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data\2023\"/>
    </mc:Choice>
  </mc:AlternateContent>
  <xr:revisionPtr revIDLastSave="0" documentId="13_ncr:1_{B438B4A6-256B-4B04-9C30-18D857B4791D}" xr6:coauthVersionLast="47" xr6:coauthVersionMax="47" xr10:uidLastSave="{00000000-0000-0000-0000-000000000000}"/>
  <bookViews>
    <workbookView xWindow="28680" yWindow="-120" windowWidth="29040" windowHeight="15840" firstSheet="21" activeTab="3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3.01.01" sheetId="24" r:id="rId6"/>
    <sheet name="2023.01.02" sheetId="25" r:id="rId7"/>
    <sheet name="2023.01.03" sheetId="26" r:id="rId8"/>
    <sheet name="2023.01.04" sheetId="27" r:id="rId9"/>
    <sheet name="2023.01.05" sheetId="28" r:id="rId10"/>
    <sheet name="2023.01.06" sheetId="29" r:id="rId11"/>
    <sheet name="2023.01.07" sheetId="30" r:id="rId12"/>
    <sheet name="2023.01.08" sheetId="31" r:id="rId13"/>
    <sheet name="2023.01.13" sheetId="32" r:id="rId14"/>
    <sheet name="2023.01.14" sheetId="33" r:id="rId15"/>
    <sheet name="2023.01.15" sheetId="34" r:id="rId16"/>
    <sheet name="2023.01.16" sheetId="35" r:id="rId17"/>
    <sheet name="2023.01.17" sheetId="36" r:id="rId18"/>
    <sheet name="2023.01.18" sheetId="37" r:id="rId19"/>
    <sheet name="2023.01.19" sheetId="38" r:id="rId20"/>
    <sheet name="2023.01.20" sheetId="39" r:id="rId21"/>
    <sheet name="2023.01.21" sheetId="40" r:id="rId22"/>
    <sheet name="2023.01.22" sheetId="41" r:id="rId23"/>
    <sheet name="2023.01.23" sheetId="42" r:id="rId24"/>
    <sheet name="2023.01.24" sheetId="43" r:id="rId25"/>
    <sheet name="2023.01.25" sheetId="44" r:id="rId26"/>
    <sheet name="2023.01.26" sheetId="45" r:id="rId27"/>
    <sheet name="2023.01.27" sheetId="46" r:id="rId28"/>
    <sheet name="2023.01.28" sheetId="47" r:id="rId29"/>
    <sheet name="2023.01.29" sheetId="48" r:id="rId30"/>
    <sheet name="2023.01.31" sheetId="49" r:id="rId31"/>
  </sheets>
  <definedNames>
    <definedName name="_xlnm._FilterDatabase" localSheetId="5" hidden="1">'2023.01.01'!#REF!</definedName>
    <definedName name="_xlnm._FilterDatabase" localSheetId="6" hidden="1">'2023.01.02'!#REF!</definedName>
    <definedName name="_xlnm._FilterDatabase" localSheetId="7" hidden="1">'2023.01.03'!#REF!</definedName>
    <definedName name="_xlnm._FilterDatabase" localSheetId="8" hidden="1">'2023.01.04'!#REF!</definedName>
    <definedName name="_xlnm._FilterDatabase" localSheetId="9" hidden="1">'2023.01.05'!#REF!</definedName>
    <definedName name="_xlnm._FilterDatabase" localSheetId="10" hidden="1">'2023.01.06'!#REF!</definedName>
    <definedName name="_xlnm._FilterDatabase" localSheetId="11" hidden="1">'2023.01.07'!#REF!</definedName>
    <definedName name="_xlnm._FilterDatabase" localSheetId="12" hidden="1">'2023.01.08'!#REF!</definedName>
    <definedName name="_xlnm._FilterDatabase" localSheetId="13" hidden="1">'2023.01.13'!#REF!</definedName>
    <definedName name="_xlnm._FilterDatabase" localSheetId="14" hidden="1">'2023.01.14'!#REF!</definedName>
    <definedName name="_xlnm._FilterDatabase" localSheetId="15" hidden="1">'2023.01.15'!#REF!</definedName>
    <definedName name="_xlnm._FilterDatabase" localSheetId="16" hidden="1">'2023.01.16'!#REF!</definedName>
    <definedName name="_xlnm._FilterDatabase" localSheetId="17" hidden="1">'2023.01.17'!#REF!</definedName>
    <definedName name="_xlnm._FilterDatabase" localSheetId="18" hidden="1">'2023.01.18'!#REF!</definedName>
    <definedName name="_xlnm._FilterDatabase" localSheetId="19" hidden="1">'2023.01.19'!#REF!</definedName>
    <definedName name="_xlnm._FilterDatabase" localSheetId="20" hidden="1">'2023.01.20'!#REF!</definedName>
    <definedName name="_xlnm._FilterDatabase" localSheetId="21" hidden="1">'2023.01.21'!#REF!</definedName>
    <definedName name="_xlnm._FilterDatabase" localSheetId="22" hidden="1">'2023.01.22'!#REF!</definedName>
    <definedName name="_xlnm._FilterDatabase" localSheetId="23" hidden="1">'2023.01.23'!#REF!</definedName>
    <definedName name="_xlnm._FilterDatabase" localSheetId="24" hidden="1">'2023.01.24'!#REF!</definedName>
    <definedName name="_xlnm._FilterDatabase" localSheetId="25" hidden="1">'2023.01.25'!#REF!</definedName>
    <definedName name="_xlnm._FilterDatabase" localSheetId="26" hidden="1">'2023.01.26'!#REF!</definedName>
    <definedName name="_xlnm._FilterDatabase" localSheetId="27" hidden="1">'2023.01.27'!#REF!</definedName>
    <definedName name="_xlnm._FilterDatabase" localSheetId="28" hidden="1">'2023.01.28'!#REF!</definedName>
    <definedName name="_xlnm._FilterDatabase" localSheetId="29" hidden="1">'2023.01.29'!#REF!</definedName>
    <definedName name="_xlnm._FilterDatabase" localSheetId="30" hidden="1">'2023.01.31'!#REF!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9" i="49" l="1"/>
  <c r="N198" i="49"/>
  <c r="O198" i="49" s="1"/>
  <c r="L198" i="49"/>
  <c r="K198" i="49"/>
  <c r="I198" i="49"/>
  <c r="H198" i="49"/>
  <c r="F198" i="49"/>
  <c r="E198" i="49"/>
  <c r="N197" i="49"/>
  <c r="O197" i="49" s="1"/>
  <c r="L197" i="49"/>
  <c r="K197" i="49"/>
  <c r="I197" i="49"/>
  <c r="H197" i="49"/>
  <c r="F197" i="49"/>
  <c r="E197" i="49"/>
  <c r="N196" i="49"/>
  <c r="O196" i="49" s="1"/>
  <c r="L196" i="49"/>
  <c r="K196" i="49"/>
  <c r="I196" i="49"/>
  <c r="H196" i="49"/>
  <c r="F196" i="49"/>
  <c r="E196" i="49"/>
  <c r="N195" i="49"/>
  <c r="O195" i="49" s="1"/>
  <c r="L195" i="49"/>
  <c r="K195" i="49"/>
  <c r="I195" i="49"/>
  <c r="H195" i="49"/>
  <c r="F195" i="49"/>
  <c r="E195" i="49"/>
  <c r="N194" i="49"/>
  <c r="O194" i="49" s="1"/>
  <c r="L194" i="49"/>
  <c r="K194" i="49"/>
  <c r="I194" i="49"/>
  <c r="H194" i="49"/>
  <c r="E194" i="49"/>
  <c r="F194" i="49" s="1"/>
  <c r="N193" i="49"/>
  <c r="O193" i="49" s="1"/>
  <c r="K193" i="49"/>
  <c r="L193" i="49" s="1"/>
  <c r="H193" i="49"/>
  <c r="I193" i="49" s="1"/>
  <c r="E193" i="49"/>
  <c r="F193" i="49" s="1"/>
  <c r="N192" i="49"/>
  <c r="O192" i="49" s="1"/>
  <c r="K192" i="49"/>
  <c r="L192" i="49" s="1"/>
  <c r="I192" i="49"/>
  <c r="H192" i="49"/>
  <c r="E192" i="49"/>
  <c r="F192" i="49" s="1"/>
  <c r="O191" i="49"/>
  <c r="N191" i="49"/>
  <c r="L191" i="49"/>
  <c r="K191" i="49"/>
  <c r="H191" i="49"/>
  <c r="I191" i="49" s="1"/>
  <c r="E191" i="49"/>
  <c r="F191" i="49" s="1"/>
  <c r="N190" i="49"/>
  <c r="O190" i="49" s="1"/>
  <c r="K190" i="49"/>
  <c r="L190" i="49" s="1"/>
  <c r="I190" i="49"/>
  <c r="H190" i="49"/>
  <c r="E190" i="49"/>
  <c r="F190" i="49" s="1"/>
  <c r="O189" i="49"/>
  <c r="N189" i="49"/>
  <c r="K189" i="49"/>
  <c r="L189" i="49" s="1"/>
  <c r="H189" i="49"/>
  <c r="I189" i="49" s="1"/>
  <c r="E189" i="49"/>
  <c r="F189" i="49" s="1"/>
  <c r="O188" i="49"/>
  <c r="N188" i="49"/>
  <c r="K188" i="49"/>
  <c r="L188" i="49" s="1"/>
  <c r="I188" i="49"/>
  <c r="H188" i="49"/>
  <c r="E188" i="49"/>
  <c r="F188" i="49" s="1"/>
  <c r="N187" i="49"/>
  <c r="O187" i="49" s="1"/>
  <c r="K187" i="49"/>
  <c r="L187" i="49" s="1"/>
  <c r="H187" i="49"/>
  <c r="I187" i="49" s="1"/>
  <c r="E187" i="49"/>
  <c r="F187" i="49" s="1"/>
  <c r="O186" i="49"/>
  <c r="N186" i="49"/>
  <c r="L186" i="49"/>
  <c r="K186" i="49"/>
  <c r="I186" i="49"/>
  <c r="H186" i="49"/>
  <c r="E186" i="49"/>
  <c r="F186" i="49" s="1"/>
  <c r="N185" i="49"/>
  <c r="O185" i="49" s="1"/>
  <c r="K185" i="49"/>
  <c r="L185" i="49" s="1"/>
  <c r="H185" i="49"/>
  <c r="I185" i="49" s="1"/>
  <c r="E185" i="49"/>
  <c r="F185" i="49" s="1"/>
  <c r="O184" i="49"/>
  <c r="N184" i="49"/>
  <c r="K184" i="49"/>
  <c r="L184" i="49" s="1"/>
  <c r="I184" i="49"/>
  <c r="H184" i="49"/>
  <c r="E184" i="49"/>
  <c r="F184" i="49" s="1"/>
  <c r="N183" i="49"/>
  <c r="O183" i="49" s="1"/>
  <c r="L183" i="49"/>
  <c r="K183" i="49"/>
  <c r="H183" i="49"/>
  <c r="I183" i="49" s="1"/>
  <c r="E183" i="49"/>
  <c r="F183" i="49" s="1"/>
  <c r="O182" i="49"/>
  <c r="N182" i="49"/>
  <c r="K182" i="49"/>
  <c r="L182" i="49" s="1"/>
  <c r="I182" i="49"/>
  <c r="H182" i="49"/>
  <c r="E182" i="49"/>
  <c r="F182" i="49" s="1"/>
  <c r="N181" i="49"/>
  <c r="O181" i="49" s="1"/>
  <c r="K181" i="49"/>
  <c r="L181" i="49" s="1"/>
  <c r="H181" i="49"/>
  <c r="I181" i="49" s="1"/>
  <c r="E181" i="49"/>
  <c r="F181" i="49" s="1"/>
  <c r="N180" i="49"/>
  <c r="O180" i="49" s="1"/>
  <c r="K180" i="49"/>
  <c r="L180" i="49" s="1"/>
  <c r="I180" i="49"/>
  <c r="H180" i="49"/>
  <c r="E180" i="49"/>
  <c r="F180" i="49" s="1"/>
  <c r="O179" i="49"/>
  <c r="N179" i="49"/>
  <c r="K179" i="49"/>
  <c r="H179" i="49"/>
  <c r="H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H171" i="49"/>
  <c r="I171" i="49" s="1"/>
  <c r="F171" i="49"/>
  <c r="E171" i="49"/>
  <c r="N170" i="49"/>
  <c r="O170" i="49" s="1"/>
  <c r="K170" i="49"/>
  <c r="L170" i="49" s="1"/>
  <c r="H170" i="49"/>
  <c r="I170" i="49" s="1"/>
  <c r="F170" i="49"/>
  <c r="E170" i="49"/>
  <c r="N169" i="49"/>
  <c r="O169" i="49" s="1"/>
  <c r="K169" i="49"/>
  <c r="L169" i="49" s="1"/>
  <c r="H169" i="49"/>
  <c r="I169" i="49" s="1"/>
  <c r="F169" i="49"/>
  <c r="E169" i="49"/>
  <c r="N168" i="49"/>
  <c r="O168" i="49" s="1"/>
  <c r="K168" i="49"/>
  <c r="L168" i="49" s="1"/>
  <c r="H168" i="49"/>
  <c r="I168" i="49" s="1"/>
  <c r="F168" i="49"/>
  <c r="E168" i="49"/>
  <c r="N167" i="49"/>
  <c r="O167" i="49" s="1"/>
  <c r="L167" i="49"/>
  <c r="K167" i="49"/>
  <c r="H167" i="49"/>
  <c r="I167" i="49" s="1"/>
  <c r="F167" i="49"/>
  <c r="E167" i="49"/>
  <c r="O166" i="49"/>
  <c r="N166" i="49"/>
  <c r="K166" i="49"/>
  <c r="L166" i="49" s="1"/>
  <c r="H166" i="49"/>
  <c r="I166" i="49" s="1"/>
  <c r="F166" i="49"/>
  <c r="E166" i="49"/>
  <c r="O165" i="49"/>
  <c r="N165" i="49"/>
  <c r="K165" i="49"/>
  <c r="L165" i="49" s="1"/>
  <c r="H165" i="49"/>
  <c r="I165" i="49" s="1"/>
  <c r="F165" i="49"/>
  <c r="E165" i="49"/>
  <c r="O164" i="49"/>
  <c r="N164" i="49"/>
  <c r="K164" i="49"/>
  <c r="L164" i="49" s="1"/>
  <c r="H164" i="49"/>
  <c r="I164" i="49" s="1"/>
  <c r="F164" i="49"/>
  <c r="E164" i="49"/>
  <c r="O163" i="49"/>
  <c r="N163" i="49"/>
  <c r="L163" i="49"/>
  <c r="K163" i="49"/>
  <c r="H163" i="49"/>
  <c r="I163" i="49" s="1"/>
  <c r="F163" i="49"/>
  <c r="E163" i="49"/>
  <c r="N162" i="49"/>
  <c r="O162" i="49" s="1"/>
  <c r="K162" i="49"/>
  <c r="L162" i="49" s="1"/>
  <c r="H162" i="49"/>
  <c r="I162" i="49" s="1"/>
  <c r="F162" i="49"/>
  <c r="E162" i="49"/>
  <c r="N161" i="49"/>
  <c r="O161" i="49" s="1"/>
  <c r="K161" i="49"/>
  <c r="L161" i="49" s="1"/>
  <c r="H161" i="49"/>
  <c r="I161" i="49" s="1"/>
  <c r="F161" i="49"/>
  <c r="E161" i="49"/>
  <c r="N160" i="49"/>
  <c r="O160" i="49" s="1"/>
  <c r="K160" i="49"/>
  <c r="L160" i="49" s="1"/>
  <c r="H160" i="49"/>
  <c r="I160" i="49" s="1"/>
  <c r="F160" i="49"/>
  <c r="E160" i="49"/>
  <c r="N159" i="49"/>
  <c r="O159" i="49" s="1"/>
  <c r="L159" i="49"/>
  <c r="K159" i="49"/>
  <c r="H159" i="49"/>
  <c r="I159" i="49" s="1"/>
  <c r="F159" i="49"/>
  <c r="E159" i="49"/>
  <c r="O158" i="49"/>
  <c r="N158" i="49"/>
  <c r="K158" i="49"/>
  <c r="L158" i="49" s="1"/>
  <c r="H158" i="49"/>
  <c r="I158" i="49" s="1"/>
  <c r="F158" i="49"/>
  <c r="E158" i="49"/>
  <c r="N157" i="49"/>
  <c r="O157" i="49" s="1"/>
  <c r="K157" i="49"/>
  <c r="L157" i="49" s="1"/>
  <c r="H157" i="49"/>
  <c r="I157" i="49" s="1"/>
  <c r="F157" i="49"/>
  <c r="E157" i="49"/>
  <c r="O156" i="49"/>
  <c r="N156" i="49"/>
  <c r="K156" i="49"/>
  <c r="L156" i="49" s="1"/>
  <c r="H156" i="49"/>
  <c r="I156" i="49" s="1"/>
  <c r="F156" i="49"/>
  <c r="E156" i="49"/>
  <c r="O155" i="49"/>
  <c r="N155" i="49"/>
  <c r="L155" i="49"/>
  <c r="K155" i="49"/>
  <c r="H155" i="49"/>
  <c r="I155" i="49" s="1"/>
  <c r="F155" i="49"/>
  <c r="E155" i="49"/>
  <c r="N154" i="49"/>
  <c r="O154" i="49" s="1"/>
  <c r="K154" i="49"/>
  <c r="L154" i="49" s="1"/>
  <c r="H154" i="49"/>
  <c r="I154" i="49" s="1"/>
  <c r="F154" i="49"/>
  <c r="E154" i="49"/>
  <c r="O153" i="49"/>
  <c r="N153" i="49"/>
  <c r="K153" i="49"/>
  <c r="L153" i="49" s="1"/>
  <c r="H153" i="49"/>
  <c r="I153" i="49" s="1"/>
  <c r="F153" i="49"/>
  <c r="E153" i="49"/>
  <c r="N152" i="49"/>
  <c r="N172" i="49" s="1"/>
  <c r="K152" i="49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B145" i="49"/>
  <c r="N144" i="49"/>
  <c r="O144" i="49" s="1"/>
  <c r="L144" i="49"/>
  <c r="K144" i="49"/>
  <c r="I144" i="49"/>
  <c r="H144" i="49"/>
  <c r="F144" i="49"/>
  <c r="E144" i="49"/>
  <c r="N143" i="49"/>
  <c r="O143" i="49" s="1"/>
  <c r="L143" i="49"/>
  <c r="K143" i="49"/>
  <c r="I143" i="49"/>
  <c r="H143" i="49"/>
  <c r="F143" i="49"/>
  <c r="E143" i="49"/>
  <c r="N142" i="49"/>
  <c r="O142" i="49" s="1"/>
  <c r="L142" i="49"/>
  <c r="K142" i="49"/>
  <c r="I142" i="49"/>
  <c r="H142" i="49"/>
  <c r="F142" i="49"/>
  <c r="E142" i="49"/>
  <c r="N141" i="49"/>
  <c r="O141" i="49" s="1"/>
  <c r="L141" i="49"/>
  <c r="K141" i="49"/>
  <c r="I141" i="49"/>
  <c r="H141" i="49"/>
  <c r="F141" i="49"/>
  <c r="E141" i="49"/>
  <c r="N140" i="49"/>
  <c r="O140" i="49" s="1"/>
  <c r="L140" i="49"/>
  <c r="K140" i="49"/>
  <c r="I140" i="49"/>
  <c r="H140" i="49"/>
  <c r="F140" i="49"/>
  <c r="E140" i="49"/>
  <c r="N139" i="49"/>
  <c r="O139" i="49" s="1"/>
  <c r="L139" i="49"/>
  <c r="K139" i="49"/>
  <c r="I139" i="49"/>
  <c r="H139" i="49"/>
  <c r="F139" i="49"/>
  <c r="E139" i="49"/>
  <c r="N138" i="49"/>
  <c r="O138" i="49" s="1"/>
  <c r="L138" i="49"/>
  <c r="K138" i="49"/>
  <c r="I138" i="49"/>
  <c r="H138" i="49"/>
  <c r="F138" i="49"/>
  <c r="E138" i="49"/>
  <c r="N137" i="49"/>
  <c r="O137" i="49" s="1"/>
  <c r="L137" i="49"/>
  <c r="K137" i="49"/>
  <c r="I137" i="49"/>
  <c r="H137" i="49"/>
  <c r="F137" i="49"/>
  <c r="E137" i="49"/>
  <c r="N136" i="49"/>
  <c r="O136" i="49" s="1"/>
  <c r="L136" i="49"/>
  <c r="K136" i="49"/>
  <c r="I136" i="49"/>
  <c r="H136" i="49"/>
  <c r="F136" i="49"/>
  <c r="E136" i="49"/>
  <c r="N135" i="49"/>
  <c r="O135" i="49" s="1"/>
  <c r="L135" i="49"/>
  <c r="K135" i="49"/>
  <c r="I135" i="49"/>
  <c r="H135" i="49"/>
  <c r="F135" i="49"/>
  <c r="E135" i="49"/>
  <c r="N134" i="49"/>
  <c r="O134" i="49" s="1"/>
  <c r="L134" i="49"/>
  <c r="K134" i="49"/>
  <c r="I134" i="49"/>
  <c r="H134" i="49"/>
  <c r="F134" i="49"/>
  <c r="E134" i="49"/>
  <c r="N133" i="49"/>
  <c r="O133" i="49" s="1"/>
  <c r="L133" i="49"/>
  <c r="K133" i="49"/>
  <c r="I133" i="49"/>
  <c r="H133" i="49"/>
  <c r="F133" i="49"/>
  <c r="E133" i="49"/>
  <c r="N132" i="49"/>
  <c r="O132" i="49" s="1"/>
  <c r="L132" i="49"/>
  <c r="K132" i="49"/>
  <c r="I132" i="49"/>
  <c r="H132" i="49"/>
  <c r="F132" i="49"/>
  <c r="E132" i="49"/>
  <c r="N131" i="49"/>
  <c r="O131" i="49" s="1"/>
  <c r="L131" i="49"/>
  <c r="K131" i="49"/>
  <c r="I131" i="49"/>
  <c r="H131" i="49"/>
  <c r="F131" i="49"/>
  <c r="E131" i="49"/>
  <c r="N130" i="49"/>
  <c r="O130" i="49" s="1"/>
  <c r="L130" i="49"/>
  <c r="K130" i="49"/>
  <c r="I130" i="49"/>
  <c r="H130" i="49"/>
  <c r="F130" i="49"/>
  <c r="E130" i="49"/>
  <c r="N129" i="49"/>
  <c r="O129" i="49" s="1"/>
  <c r="L129" i="49"/>
  <c r="K129" i="49"/>
  <c r="I129" i="49"/>
  <c r="H129" i="49"/>
  <c r="F129" i="49"/>
  <c r="E129" i="49"/>
  <c r="N128" i="49"/>
  <c r="O128" i="49" s="1"/>
  <c r="L128" i="49"/>
  <c r="K128" i="49"/>
  <c r="I128" i="49"/>
  <c r="H128" i="49"/>
  <c r="F128" i="49"/>
  <c r="E128" i="49"/>
  <c r="N127" i="49"/>
  <c r="O127" i="49" s="1"/>
  <c r="L127" i="49"/>
  <c r="K127" i="49"/>
  <c r="I127" i="49"/>
  <c r="H127" i="49"/>
  <c r="F127" i="49"/>
  <c r="E127" i="49"/>
  <c r="N126" i="49"/>
  <c r="O126" i="49" s="1"/>
  <c r="L126" i="49"/>
  <c r="K126" i="49"/>
  <c r="I126" i="49"/>
  <c r="H126" i="49"/>
  <c r="F126" i="49"/>
  <c r="E126" i="49"/>
  <c r="N125" i="49"/>
  <c r="N145" i="49" s="1"/>
  <c r="L125" i="49"/>
  <c r="L145" i="49" s="1"/>
  <c r="K125" i="49"/>
  <c r="K145" i="49" s="1"/>
  <c r="I125" i="49"/>
  <c r="I145" i="49" s="1"/>
  <c r="H125" i="49"/>
  <c r="H145" i="49" s="1"/>
  <c r="F125" i="49"/>
  <c r="F145" i="49" s="1"/>
  <c r="E125" i="49"/>
  <c r="E145" i="49" s="1"/>
  <c r="M123" i="49"/>
  <c r="J123" i="49"/>
  <c r="G123" i="49"/>
  <c r="D123" i="49"/>
  <c r="B123" i="49"/>
  <c r="M122" i="49"/>
  <c r="G122" i="49"/>
  <c r="B118" i="49"/>
  <c r="N117" i="49"/>
  <c r="O117" i="49" s="1"/>
  <c r="L117" i="49"/>
  <c r="K117" i="49"/>
  <c r="H117" i="49"/>
  <c r="I117" i="49" s="1"/>
  <c r="E117" i="49"/>
  <c r="F117" i="49" s="1"/>
  <c r="N116" i="49"/>
  <c r="O116" i="49" s="1"/>
  <c r="K116" i="49"/>
  <c r="L116" i="49" s="1"/>
  <c r="H116" i="49"/>
  <c r="I116" i="49" s="1"/>
  <c r="E116" i="49"/>
  <c r="F116" i="49" s="1"/>
  <c r="N115" i="49"/>
  <c r="O115" i="49" s="1"/>
  <c r="L115" i="49"/>
  <c r="K115" i="49"/>
  <c r="H115" i="49"/>
  <c r="I115" i="49" s="1"/>
  <c r="E115" i="49"/>
  <c r="F115" i="49" s="1"/>
  <c r="O114" i="49"/>
  <c r="N114" i="49"/>
  <c r="K114" i="49"/>
  <c r="L114" i="49" s="1"/>
  <c r="H114" i="49"/>
  <c r="I114" i="49" s="1"/>
  <c r="E114" i="49"/>
  <c r="F114" i="49" s="1"/>
  <c r="N113" i="49"/>
  <c r="O113" i="49" s="1"/>
  <c r="L113" i="49"/>
  <c r="K113" i="49"/>
  <c r="H113" i="49"/>
  <c r="I113" i="49" s="1"/>
  <c r="E113" i="49"/>
  <c r="F113" i="49" s="1"/>
  <c r="N112" i="49"/>
  <c r="O112" i="49" s="1"/>
  <c r="K112" i="49"/>
  <c r="L112" i="49" s="1"/>
  <c r="H112" i="49"/>
  <c r="I112" i="49" s="1"/>
  <c r="E112" i="49"/>
  <c r="F112" i="49" s="1"/>
  <c r="O111" i="49"/>
  <c r="N111" i="49"/>
  <c r="L111" i="49"/>
  <c r="K111" i="49"/>
  <c r="H111" i="49"/>
  <c r="I111" i="49" s="1"/>
  <c r="E111" i="49"/>
  <c r="F111" i="49" s="1"/>
  <c r="N110" i="49"/>
  <c r="O110" i="49" s="1"/>
  <c r="K110" i="49"/>
  <c r="L110" i="49" s="1"/>
  <c r="H110" i="49"/>
  <c r="I110" i="49" s="1"/>
  <c r="E110" i="49"/>
  <c r="F110" i="49" s="1"/>
  <c r="N109" i="49"/>
  <c r="O109" i="49" s="1"/>
  <c r="L109" i="49"/>
  <c r="K109" i="49"/>
  <c r="H109" i="49"/>
  <c r="I109" i="49" s="1"/>
  <c r="E109" i="49"/>
  <c r="F109" i="49" s="1"/>
  <c r="N108" i="49"/>
  <c r="O108" i="49" s="1"/>
  <c r="K108" i="49"/>
  <c r="L108" i="49" s="1"/>
  <c r="H108" i="49"/>
  <c r="I108" i="49" s="1"/>
  <c r="E108" i="49"/>
  <c r="F108" i="49" s="1"/>
  <c r="N107" i="49"/>
  <c r="O107" i="49" s="1"/>
  <c r="L107" i="49"/>
  <c r="K107" i="49"/>
  <c r="H107" i="49"/>
  <c r="I107" i="49" s="1"/>
  <c r="E107" i="49"/>
  <c r="F107" i="49" s="1"/>
  <c r="O106" i="49"/>
  <c r="N106" i="49"/>
  <c r="K106" i="49"/>
  <c r="L106" i="49" s="1"/>
  <c r="H106" i="49"/>
  <c r="I106" i="49" s="1"/>
  <c r="E106" i="49"/>
  <c r="F106" i="49" s="1"/>
  <c r="N105" i="49"/>
  <c r="O105" i="49" s="1"/>
  <c r="L105" i="49"/>
  <c r="K105" i="49"/>
  <c r="H105" i="49"/>
  <c r="I105" i="49" s="1"/>
  <c r="E105" i="49"/>
  <c r="F105" i="49" s="1"/>
  <c r="N104" i="49"/>
  <c r="O104" i="49" s="1"/>
  <c r="K104" i="49"/>
  <c r="L104" i="49" s="1"/>
  <c r="H104" i="49"/>
  <c r="I104" i="49" s="1"/>
  <c r="E104" i="49"/>
  <c r="F104" i="49" s="1"/>
  <c r="O103" i="49"/>
  <c r="N103" i="49"/>
  <c r="L103" i="49"/>
  <c r="K103" i="49"/>
  <c r="H103" i="49"/>
  <c r="I103" i="49" s="1"/>
  <c r="E103" i="49"/>
  <c r="F103" i="49" s="1"/>
  <c r="N102" i="49"/>
  <c r="O102" i="49" s="1"/>
  <c r="K102" i="49"/>
  <c r="L102" i="49" s="1"/>
  <c r="H102" i="49"/>
  <c r="I102" i="49" s="1"/>
  <c r="E102" i="49"/>
  <c r="F102" i="49" s="1"/>
  <c r="N101" i="49"/>
  <c r="O101" i="49" s="1"/>
  <c r="K101" i="49"/>
  <c r="L101" i="49" s="1"/>
  <c r="H101" i="49"/>
  <c r="I101" i="49" s="1"/>
  <c r="E101" i="49"/>
  <c r="F101" i="49" s="1"/>
  <c r="O100" i="49"/>
  <c r="N100" i="49"/>
  <c r="K100" i="49"/>
  <c r="L100" i="49" s="1"/>
  <c r="H100" i="49"/>
  <c r="I100" i="49" s="1"/>
  <c r="E100" i="49"/>
  <c r="F100" i="49" s="1"/>
  <c r="O99" i="49"/>
  <c r="N99" i="49"/>
  <c r="K99" i="49"/>
  <c r="L99" i="49" s="1"/>
  <c r="I99" i="49"/>
  <c r="H99" i="49"/>
  <c r="E99" i="49"/>
  <c r="F99" i="49" s="1"/>
  <c r="N98" i="49"/>
  <c r="N118" i="49" s="1"/>
  <c r="K98" i="49"/>
  <c r="H98" i="49"/>
  <c r="H118" i="49" s="1"/>
  <c r="F98" i="49"/>
  <c r="E98" i="49"/>
  <c r="M96" i="49"/>
  <c r="J96" i="49"/>
  <c r="G96" i="49"/>
  <c r="D96" i="49"/>
  <c r="B96" i="49"/>
  <c r="M95" i="49"/>
  <c r="G95" i="49"/>
  <c r="B91" i="49"/>
  <c r="N90" i="49"/>
  <c r="O90" i="49" s="1"/>
  <c r="K90" i="49"/>
  <c r="L90" i="49" s="1"/>
  <c r="H90" i="49"/>
  <c r="I90" i="49" s="1"/>
  <c r="E90" i="49"/>
  <c r="F90" i="49" s="1"/>
  <c r="O89" i="49"/>
  <c r="N89" i="49"/>
  <c r="K89" i="49"/>
  <c r="L89" i="49" s="1"/>
  <c r="H89" i="49"/>
  <c r="I89" i="49" s="1"/>
  <c r="E89" i="49"/>
  <c r="F89" i="49" s="1"/>
  <c r="N88" i="49"/>
  <c r="O88" i="49" s="1"/>
  <c r="K88" i="49"/>
  <c r="L88" i="49" s="1"/>
  <c r="H88" i="49"/>
  <c r="I88" i="49" s="1"/>
  <c r="E88" i="49"/>
  <c r="F88" i="49" s="1"/>
  <c r="O87" i="49"/>
  <c r="N87" i="49"/>
  <c r="K87" i="49"/>
  <c r="L87" i="49" s="1"/>
  <c r="H87" i="49"/>
  <c r="I87" i="49" s="1"/>
  <c r="E87" i="49"/>
  <c r="F87" i="49" s="1"/>
  <c r="O86" i="49"/>
  <c r="N86" i="49"/>
  <c r="K86" i="49"/>
  <c r="L86" i="49" s="1"/>
  <c r="H86" i="49"/>
  <c r="I86" i="49" s="1"/>
  <c r="E86" i="49"/>
  <c r="F86" i="49" s="1"/>
  <c r="N85" i="49"/>
  <c r="O85" i="49" s="1"/>
  <c r="K85" i="49"/>
  <c r="L85" i="49" s="1"/>
  <c r="H85" i="49"/>
  <c r="I85" i="49" s="1"/>
  <c r="E85" i="49"/>
  <c r="F85" i="49" s="1"/>
  <c r="N84" i="49"/>
  <c r="O84" i="49" s="1"/>
  <c r="K84" i="49"/>
  <c r="L84" i="49" s="1"/>
  <c r="H84" i="49"/>
  <c r="I84" i="49" s="1"/>
  <c r="E84" i="49"/>
  <c r="F84" i="49" s="1"/>
  <c r="O83" i="49"/>
  <c r="N83" i="49"/>
  <c r="K83" i="49"/>
  <c r="L83" i="49" s="1"/>
  <c r="H83" i="49"/>
  <c r="I83" i="49" s="1"/>
  <c r="E83" i="49"/>
  <c r="F83" i="49" s="1"/>
  <c r="N82" i="49"/>
  <c r="O82" i="49" s="1"/>
  <c r="K82" i="49"/>
  <c r="L82" i="49" s="1"/>
  <c r="H82" i="49"/>
  <c r="I82" i="49" s="1"/>
  <c r="E82" i="49"/>
  <c r="F82" i="49" s="1"/>
  <c r="O81" i="49"/>
  <c r="N81" i="49"/>
  <c r="K81" i="49"/>
  <c r="L81" i="49" s="1"/>
  <c r="H81" i="49"/>
  <c r="I81" i="49" s="1"/>
  <c r="E81" i="49"/>
  <c r="F81" i="49" s="1"/>
  <c r="N80" i="49"/>
  <c r="O80" i="49" s="1"/>
  <c r="K80" i="49"/>
  <c r="L80" i="49" s="1"/>
  <c r="H80" i="49"/>
  <c r="I80" i="49" s="1"/>
  <c r="E80" i="49"/>
  <c r="F80" i="49" s="1"/>
  <c r="O79" i="49"/>
  <c r="N79" i="49"/>
  <c r="K79" i="49"/>
  <c r="L79" i="49" s="1"/>
  <c r="H79" i="49"/>
  <c r="I79" i="49" s="1"/>
  <c r="E79" i="49"/>
  <c r="F79" i="49" s="1"/>
  <c r="N78" i="49"/>
  <c r="O78" i="49" s="1"/>
  <c r="K78" i="49"/>
  <c r="L78" i="49" s="1"/>
  <c r="H78" i="49"/>
  <c r="I78" i="49" s="1"/>
  <c r="E78" i="49"/>
  <c r="F78" i="49" s="1"/>
  <c r="O77" i="49"/>
  <c r="N77" i="49"/>
  <c r="K77" i="49"/>
  <c r="L77" i="49" s="1"/>
  <c r="H77" i="49"/>
  <c r="I77" i="49" s="1"/>
  <c r="E77" i="49"/>
  <c r="F77" i="49" s="1"/>
  <c r="N76" i="49"/>
  <c r="O76" i="49" s="1"/>
  <c r="K76" i="49"/>
  <c r="L76" i="49" s="1"/>
  <c r="H76" i="49"/>
  <c r="I76" i="49" s="1"/>
  <c r="E76" i="49"/>
  <c r="F76" i="49" s="1"/>
  <c r="O75" i="49"/>
  <c r="N75" i="49"/>
  <c r="K75" i="49"/>
  <c r="L75" i="49" s="1"/>
  <c r="H75" i="49"/>
  <c r="I75" i="49" s="1"/>
  <c r="E75" i="49"/>
  <c r="F75" i="49" s="1"/>
  <c r="N74" i="49"/>
  <c r="O74" i="49" s="1"/>
  <c r="K74" i="49"/>
  <c r="L74" i="49" s="1"/>
  <c r="H74" i="49"/>
  <c r="I74" i="49" s="1"/>
  <c r="E74" i="49"/>
  <c r="F74" i="49" s="1"/>
  <c r="O73" i="49"/>
  <c r="N73" i="49"/>
  <c r="L73" i="49"/>
  <c r="K73" i="49"/>
  <c r="H73" i="49"/>
  <c r="I73" i="49" s="1"/>
  <c r="E73" i="49"/>
  <c r="F73" i="49" s="1"/>
  <c r="O72" i="49"/>
  <c r="N72" i="49"/>
  <c r="K72" i="49"/>
  <c r="L72" i="49" s="1"/>
  <c r="H72" i="49"/>
  <c r="I72" i="49" s="1"/>
  <c r="E72" i="49"/>
  <c r="F72" i="49" s="1"/>
  <c r="N71" i="49"/>
  <c r="K71" i="49"/>
  <c r="H71" i="49"/>
  <c r="H91" i="49" s="1"/>
  <c r="E71" i="49"/>
  <c r="M69" i="49"/>
  <c r="J69" i="49"/>
  <c r="G69" i="49"/>
  <c r="D69" i="49"/>
  <c r="B69" i="49"/>
  <c r="M68" i="49"/>
  <c r="G68" i="49"/>
  <c r="B64" i="49"/>
  <c r="O63" i="49"/>
  <c r="N63" i="49"/>
  <c r="K63" i="49"/>
  <c r="L63" i="49" s="1"/>
  <c r="H63" i="49"/>
  <c r="I63" i="49" s="1"/>
  <c r="E63" i="49"/>
  <c r="F63" i="49" s="1"/>
  <c r="N62" i="49"/>
  <c r="O62" i="49" s="1"/>
  <c r="K62" i="49"/>
  <c r="L62" i="49" s="1"/>
  <c r="H62" i="49"/>
  <c r="I62" i="49" s="1"/>
  <c r="E62" i="49"/>
  <c r="F62" i="49" s="1"/>
  <c r="O61" i="49"/>
  <c r="N61" i="49"/>
  <c r="K61" i="49"/>
  <c r="L61" i="49" s="1"/>
  <c r="H61" i="49"/>
  <c r="I61" i="49" s="1"/>
  <c r="E61" i="49"/>
  <c r="F61" i="49" s="1"/>
  <c r="N60" i="49"/>
  <c r="O60" i="49" s="1"/>
  <c r="K60" i="49"/>
  <c r="L60" i="49" s="1"/>
  <c r="H60" i="49"/>
  <c r="I60" i="49" s="1"/>
  <c r="E60" i="49"/>
  <c r="F60" i="49" s="1"/>
  <c r="O59" i="49"/>
  <c r="N59" i="49"/>
  <c r="K59" i="49"/>
  <c r="L59" i="49" s="1"/>
  <c r="H59" i="49"/>
  <c r="I59" i="49" s="1"/>
  <c r="E59" i="49"/>
  <c r="F59" i="49" s="1"/>
  <c r="N58" i="49"/>
  <c r="O58" i="49" s="1"/>
  <c r="K58" i="49"/>
  <c r="L58" i="49" s="1"/>
  <c r="H58" i="49"/>
  <c r="I58" i="49" s="1"/>
  <c r="E58" i="49"/>
  <c r="F58" i="49" s="1"/>
  <c r="O57" i="49"/>
  <c r="N57" i="49"/>
  <c r="L57" i="49"/>
  <c r="K57" i="49"/>
  <c r="I57" i="49"/>
  <c r="H57" i="49"/>
  <c r="E57" i="49"/>
  <c r="F57" i="49" s="1"/>
  <c r="N56" i="49"/>
  <c r="O56" i="49" s="1"/>
  <c r="L56" i="49"/>
  <c r="K56" i="49"/>
  <c r="H56" i="49"/>
  <c r="I56" i="49" s="1"/>
  <c r="E56" i="49"/>
  <c r="F56" i="49" s="1"/>
  <c r="N55" i="49"/>
  <c r="O55" i="49" s="1"/>
  <c r="K55" i="49"/>
  <c r="L55" i="49" s="1"/>
  <c r="I55" i="49"/>
  <c r="H55" i="49"/>
  <c r="E55" i="49"/>
  <c r="F55" i="49" s="1"/>
  <c r="N54" i="49"/>
  <c r="O54" i="49" s="1"/>
  <c r="L54" i="49"/>
  <c r="K54" i="49"/>
  <c r="H54" i="49"/>
  <c r="I54" i="49" s="1"/>
  <c r="E54" i="49"/>
  <c r="F54" i="49" s="1"/>
  <c r="N53" i="49"/>
  <c r="O53" i="49" s="1"/>
  <c r="K53" i="49"/>
  <c r="L53" i="49" s="1"/>
  <c r="I53" i="49"/>
  <c r="H53" i="49"/>
  <c r="E53" i="49"/>
  <c r="F53" i="49" s="1"/>
  <c r="N52" i="49"/>
  <c r="O52" i="49" s="1"/>
  <c r="K52" i="49"/>
  <c r="L52" i="49" s="1"/>
  <c r="H52" i="49"/>
  <c r="I52" i="49" s="1"/>
  <c r="E52" i="49"/>
  <c r="F52" i="49" s="1"/>
  <c r="O51" i="49"/>
  <c r="N51" i="49"/>
  <c r="L51" i="49"/>
  <c r="K51" i="49"/>
  <c r="I51" i="49"/>
  <c r="H51" i="49"/>
  <c r="E51" i="49"/>
  <c r="F51" i="49" s="1"/>
  <c r="N50" i="49"/>
  <c r="O50" i="49" s="1"/>
  <c r="K50" i="49"/>
  <c r="L50" i="49" s="1"/>
  <c r="H50" i="49"/>
  <c r="I50" i="49" s="1"/>
  <c r="E50" i="49"/>
  <c r="F50" i="49" s="1"/>
  <c r="O49" i="49"/>
  <c r="N49" i="49"/>
  <c r="L49" i="49"/>
  <c r="K49" i="49"/>
  <c r="I49" i="49"/>
  <c r="H49" i="49"/>
  <c r="E49" i="49"/>
  <c r="F49" i="49" s="1"/>
  <c r="N48" i="49"/>
  <c r="O48" i="49" s="1"/>
  <c r="L48" i="49"/>
  <c r="K48" i="49"/>
  <c r="H48" i="49"/>
  <c r="I48" i="49" s="1"/>
  <c r="E48" i="49"/>
  <c r="F48" i="49" s="1"/>
  <c r="N47" i="49"/>
  <c r="O47" i="49" s="1"/>
  <c r="K47" i="49"/>
  <c r="L47" i="49" s="1"/>
  <c r="I47" i="49"/>
  <c r="H47" i="49"/>
  <c r="E47" i="49"/>
  <c r="F47" i="49" s="1"/>
  <c r="N46" i="49"/>
  <c r="O46" i="49" s="1"/>
  <c r="L46" i="49"/>
  <c r="K46" i="49"/>
  <c r="H46" i="49"/>
  <c r="I46" i="49" s="1"/>
  <c r="E46" i="49"/>
  <c r="F46" i="49" s="1"/>
  <c r="N45" i="49"/>
  <c r="O45" i="49" s="1"/>
  <c r="K45" i="49"/>
  <c r="L45" i="49" s="1"/>
  <c r="I45" i="49"/>
  <c r="H45" i="49"/>
  <c r="E45" i="49"/>
  <c r="F45" i="49" s="1"/>
  <c r="N44" i="49"/>
  <c r="N64" i="49" s="1"/>
  <c r="K44" i="49"/>
  <c r="H44" i="49"/>
  <c r="H64" i="49" s="1"/>
  <c r="E44" i="49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5" i="49"/>
  <c r="J15" i="49"/>
  <c r="G15" i="49"/>
  <c r="D15" i="49"/>
  <c r="B15" i="49"/>
  <c r="M14" i="49"/>
  <c r="G14" i="49"/>
  <c r="B199" i="48"/>
  <c r="N198" i="48"/>
  <c r="O198" i="48" s="1"/>
  <c r="L198" i="48"/>
  <c r="K198" i="48"/>
  <c r="H198" i="48"/>
  <c r="I198" i="48" s="1"/>
  <c r="F198" i="48"/>
  <c r="E198" i="48"/>
  <c r="N197" i="48"/>
  <c r="O197" i="48" s="1"/>
  <c r="K197" i="48"/>
  <c r="L197" i="48" s="1"/>
  <c r="H197" i="48"/>
  <c r="I197" i="48" s="1"/>
  <c r="F197" i="48"/>
  <c r="E197" i="48"/>
  <c r="N196" i="48"/>
  <c r="O196" i="48" s="1"/>
  <c r="K196" i="48"/>
  <c r="L196" i="48" s="1"/>
  <c r="H196" i="48"/>
  <c r="I196" i="48" s="1"/>
  <c r="F196" i="48"/>
  <c r="E196" i="48"/>
  <c r="N195" i="48"/>
  <c r="O195" i="48" s="1"/>
  <c r="K195" i="48"/>
  <c r="L195" i="48" s="1"/>
  <c r="I195" i="48"/>
  <c r="H195" i="48"/>
  <c r="F195" i="48"/>
  <c r="E195" i="48"/>
  <c r="O194" i="48"/>
  <c r="N194" i="48"/>
  <c r="L194" i="48"/>
  <c r="K194" i="48"/>
  <c r="I194" i="48"/>
  <c r="H194" i="48"/>
  <c r="F194" i="48"/>
  <c r="E194" i="48"/>
  <c r="O193" i="48"/>
  <c r="N193" i="48"/>
  <c r="K193" i="48"/>
  <c r="L193" i="48" s="1"/>
  <c r="I193" i="48"/>
  <c r="H193" i="48"/>
  <c r="F193" i="48"/>
  <c r="E193" i="48"/>
  <c r="N192" i="48"/>
  <c r="O192" i="48" s="1"/>
  <c r="K192" i="48"/>
  <c r="L192" i="48" s="1"/>
  <c r="I192" i="48"/>
  <c r="H192" i="48"/>
  <c r="F192" i="48"/>
  <c r="E192" i="48"/>
  <c r="N191" i="48"/>
  <c r="O191" i="48" s="1"/>
  <c r="K191" i="48"/>
  <c r="L191" i="48" s="1"/>
  <c r="I191" i="48"/>
  <c r="H191" i="48"/>
  <c r="F191" i="48"/>
  <c r="E191" i="48"/>
  <c r="N190" i="48"/>
  <c r="O190" i="48" s="1"/>
  <c r="K190" i="48"/>
  <c r="L190" i="48" s="1"/>
  <c r="I190" i="48"/>
  <c r="H190" i="48"/>
  <c r="F190" i="48"/>
  <c r="E190" i="48"/>
  <c r="O189" i="48"/>
  <c r="N189" i="48"/>
  <c r="K189" i="48"/>
  <c r="L189" i="48" s="1"/>
  <c r="I189" i="48"/>
  <c r="H189" i="48"/>
  <c r="F189" i="48"/>
  <c r="E189" i="48"/>
  <c r="N188" i="48"/>
  <c r="O188" i="48" s="1"/>
  <c r="K188" i="48"/>
  <c r="L188" i="48" s="1"/>
  <c r="I188" i="48"/>
  <c r="H188" i="48"/>
  <c r="F188" i="48"/>
  <c r="E188" i="48"/>
  <c r="N187" i="48"/>
  <c r="O187" i="48" s="1"/>
  <c r="K187" i="48"/>
  <c r="L187" i="48" s="1"/>
  <c r="I187" i="48"/>
  <c r="H187" i="48"/>
  <c r="F187" i="48"/>
  <c r="E187" i="48"/>
  <c r="N186" i="48"/>
  <c r="O186" i="48" s="1"/>
  <c r="K186" i="48"/>
  <c r="L186" i="48" s="1"/>
  <c r="I186" i="48"/>
  <c r="H186" i="48"/>
  <c r="F186" i="48"/>
  <c r="E186" i="48"/>
  <c r="O185" i="48"/>
  <c r="N185" i="48"/>
  <c r="K185" i="48"/>
  <c r="L185" i="48" s="1"/>
  <c r="I185" i="48"/>
  <c r="H185" i="48"/>
  <c r="F185" i="48"/>
  <c r="E185" i="48"/>
  <c r="N184" i="48"/>
  <c r="O184" i="48" s="1"/>
  <c r="K184" i="48"/>
  <c r="L184" i="48" s="1"/>
  <c r="I184" i="48"/>
  <c r="H184" i="48"/>
  <c r="F184" i="48"/>
  <c r="E184" i="48"/>
  <c r="N183" i="48"/>
  <c r="O183" i="48" s="1"/>
  <c r="K183" i="48"/>
  <c r="L183" i="48" s="1"/>
  <c r="I183" i="48"/>
  <c r="H183" i="48"/>
  <c r="F183" i="48"/>
  <c r="E183" i="48"/>
  <c r="N182" i="48"/>
  <c r="O182" i="48" s="1"/>
  <c r="K182" i="48"/>
  <c r="L182" i="48" s="1"/>
  <c r="I182" i="48"/>
  <c r="H182" i="48"/>
  <c r="F182" i="48"/>
  <c r="E182" i="48"/>
  <c r="O181" i="48"/>
  <c r="N181" i="48"/>
  <c r="K181" i="48"/>
  <c r="L181" i="48" s="1"/>
  <c r="I181" i="48"/>
  <c r="H181" i="48"/>
  <c r="F181" i="48"/>
  <c r="E181" i="48"/>
  <c r="N180" i="48"/>
  <c r="O180" i="48" s="1"/>
  <c r="K180" i="48"/>
  <c r="L180" i="48" s="1"/>
  <c r="I180" i="48"/>
  <c r="H180" i="48"/>
  <c r="F180" i="48"/>
  <c r="E180" i="48"/>
  <c r="N179" i="48"/>
  <c r="K179" i="48"/>
  <c r="I179" i="48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N171" i="48"/>
  <c r="O171" i="48" s="1"/>
  <c r="L171" i="48"/>
  <c r="K171" i="48"/>
  <c r="H171" i="48"/>
  <c r="I171" i="48" s="1"/>
  <c r="F171" i="48"/>
  <c r="E171" i="48"/>
  <c r="O170" i="48"/>
  <c r="N170" i="48"/>
  <c r="L170" i="48"/>
  <c r="K170" i="48"/>
  <c r="H170" i="48"/>
  <c r="I170" i="48" s="1"/>
  <c r="F170" i="48"/>
  <c r="E170" i="48"/>
  <c r="N169" i="48"/>
  <c r="O169" i="48" s="1"/>
  <c r="K169" i="48"/>
  <c r="L169" i="48" s="1"/>
  <c r="H169" i="48"/>
  <c r="I169" i="48" s="1"/>
  <c r="F169" i="48"/>
  <c r="E169" i="48"/>
  <c r="N168" i="48"/>
  <c r="O168" i="48" s="1"/>
  <c r="K168" i="48"/>
  <c r="L168" i="48" s="1"/>
  <c r="H168" i="48"/>
  <c r="I168" i="48" s="1"/>
  <c r="F168" i="48"/>
  <c r="E168" i="48"/>
  <c r="N167" i="48"/>
  <c r="O167" i="48" s="1"/>
  <c r="L167" i="48"/>
  <c r="K167" i="48"/>
  <c r="H167" i="48"/>
  <c r="I167" i="48" s="1"/>
  <c r="F167" i="48"/>
  <c r="E167" i="48"/>
  <c r="N166" i="48"/>
  <c r="O166" i="48" s="1"/>
  <c r="L166" i="48"/>
  <c r="K166" i="48"/>
  <c r="H166" i="48"/>
  <c r="I166" i="48" s="1"/>
  <c r="F166" i="48"/>
  <c r="E166" i="48"/>
  <c r="N165" i="48"/>
  <c r="O165" i="48" s="1"/>
  <c r="K165" i="48"/>
  <c r="L165" i="48" s="1"/>
  <c r="H165" i="48"/>
  <c r="I165" i="48" s="1"/>
  <c r="F165" i="48"/>
  <c r="E165" i="48"/>
  <c r="N164" i="48"/>
  <c r="O164" i="48" s="1"/>
  <c r="K164" i="48"/>
  <c r="L164" i="48" s="1"/>
  <c r="H164" i="48"/>
  <c r="I164" i="48" s="1"/>
  <c r="F164" i="48"/>
  <c r="E164" i="48"/>
  <c r="N163" i="48"/>
  <c r="O163" i="48" s="1"/>
  <c r="L163" i="48"/>
  <c r="K163" i="48"/>
  <c r="H163" i="48"/>
  <c r="I163" i="48" s="1"/>
  <c r="F163" i="48"/>
  <c r="E163" i="48"/>
  <c r="O162" i="48"/>
  <c r="N162" i="48"/>
  <c r="L162" i="48"/>
  <c r="K162" i="48"/>
  <c r="H162" i="48"/>
  <c r="I162" i="48" s="1"/>
  <c r="F162" i="48"/>
  <c r="E162" i="48"/>
  <c r="N161" i="48"/>
  <c r="O161" i="48" s="1"/>
  <c r="K161" i="48"/>
  <c r="L161" i="48" s="1"/>
  <c r="H161" i="48"/>
  <c r="I161" i="48" s="1"/>
  <c r="F161" i="48"/>
  <c r="E161" i="48"/>
  <c r="N160" i="48"/>
  <c r="O160" i="48" s="1"/>
  <c r="K160" i="48"/>
  <c r="L160" i="48" s="1"/>
  <c r="H160" i="48"/>
  <c r="I160" i="48" s="1"/>
  <c r="F160" i="48"/>
  <c r="E160" i="48"/>
  <c r="N159" i="48"/>
  <c r="O159" i="48" s="1"/>
  <c r="L159" i="48"/>
  <c r="K159" i="48"/>
  <c r="H159" i="48"/>
  <c r="I159" i="48" s="1"/>
  <c r="F159" i="48"/>
  <c r="E159" i="48"/>
  <c r="N158" i="48"/>
  <c r="O158" i="48" s="1"/>
  <c r="L158" i="48"/>
  <c r="K158" i="48"/>
  <c r="H158" i="48"/>
  <c r="I158" i="48" s="1"/>
  <c r="F158" i="48"/>
  <c r="E158" i="48"/>
  <c r="N157" i="48"/>
  <c r="O157" i="48" s="1"/>
  <c r="K157" i="48"/>
  <c r="L157" i="48" s="1"/>
  <c r="H157" i="48"/>
  <c r="I157" i="48" s="1"/>
  <c r="F157" i="48"/>
  <c r="E157" i="48"/>
  <c r="N156" i="48"/>
  <c r="O156" i="48" s="1"/>
  <c r="K156" i="48"/>
  <c r="L156" i="48" s="1"/>
  <c r="H156" i="48"/>
  <c r="I156" i="48" s="1"/>
  <c r="F156" i="48"/>
  <c r="E156" i="48"/>
  <c r="N155" i="48"/>
  <c r="O155" i="48" s="1"/>
  <c r="L155" i="48"/>
  <c r="K155" i="48"/>
  <c r="H155" i="48"/>
  <c r="I155" i="48" s="1"/>
  <c r="F155" i="48"/>
  <c r="E155" i="48"/>
  <c r="O154" i="48"/>
  <c r="N154" i="48"/>
  <c r="L154" i="48"/>
  <c r="K154" i="48"/>
  <c r="H154" i="48"/>
  <c r="I154" i="48" s="1"/>
  <c r="F154" i="48"/>
  <c r="E154" i="48"/>
  <c r="N153" i="48"/>
  <c r="O153" i="48" s="1"/>
  <c r="K153" i="48"/>
  <c r="L153" i="48" s="1"/>
  <c r="H153" i="48"/>
  <c r="I153" i="48" s="1"/>
  <c r="F153" i="48"/>
  <c r="E153" i="48"/>
  <c r="N152" i="48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N144" i="48"/>
  <c r="O144" i="48" s="1"/>
  <c r="K144" i="48"/>
  <c r="L144" i="48" s="1"/>
  <c r="H144" i="48"/>
  <c r="I144" i="48" s="1"/>
  <c r="F144" i="48"/>
  <c r="E144" i="48"/>
  <c r="N143" i="48"/>
  <c r="O143" i="48" s="1"/>
  <c r="L143" i="48"/>
  <c r="K143" i="48"/>
  <c r="H143" i="48"/>
  <c r="I143" i="48" s="1"/>
  <c r="F143" i="48"/>
  <c r="E143" i="48"/>
  <c r="O142" i="48"/>
  <c r="N142" i="48"/>
  <c r="K142" i="48"/>
  <c r="L142" i="48" s="1"/>
  <c r="H142" i="48"/>
  <c r="I142" i="48" s="1"/>
  <c r="F142" i="48"/>
  <c r="E142" i="48"/>
  <c r="N141" i="48"/>
  <c r="O141" i="48" s="1"/>
  <c r="K141" i="48"/>
  <c r="L141" i="48" s="1"/>
  <c r="H141" i="48"/>
  <c r="I141" i="48" s="1"/>
  <c r="F141" i="48"/>
  <c r="E141" i="48"/>
  <c r="O140" i="48"/>
  <c r="N140" i="48"/>
  <c r="K140" i="48"/>
  <c r="L140" i="48" s="1"/>
  <c r="H140" i="48"/>
  <c r="I140" i="48" s="1"/>
  <c r="F140" i="48"/>
  <c r="E140" i="48"/>
  <c r="N139" i="48"/>
  <c r="O139" i="48" s="1"/>
  <c r="L139" i="48"/>
  <c r="K139" i="48"/>
  <c r="H139" i="48"/>
  <c r="I139" i="48" s="1"/>
  <c r="F139" i="48"/>
  <c r="E139" i="48"/>
  <c r="N138" i="48"/>
  <c r="O138" i="48" s="1"/>
  <c r="K138" i="48"/>
  <c r="L138" i="48" s="1"/>
  <c r="H138" i="48"/>
  <c r="I138" i="48" s="1"/>
  <c r="F138" i="48"/>
  <c r="E138" i="48"/>
  <c r="N137" i="48"/>
  <c r="O137" i="48" s="1"/>
  <c r="K137" i="48"/>
  <c r="L137" i="48" s="1"/>
  <c r="H137" i="48"/>
  <c r="I137" i="48" s="1"/>
  <c r="F137" i="48"/>
  <c r="E137" i="48"/>
  <c r="N136" i="48"/>
  <c r="O136" i="48" s="1"/>
  <c r="K136" i="48"/>
  <c r="L136" i="48" s="1"/>
  <c r="H136" i="48"/>
  <c r="I136" i="48" s="1"/>
  <c r="F136" i="48"/>
  <c r="E136" i="48"/>
  <c r="N135" i="48"/>
  <c r="O135" i="48" s="1"/>
  <c r="L135" i="48"/>
  <c r="K135" i="48"/>
  <c r="H135" i="48"/>
  <c r="I135" i="48" s="1"/>
  <c r="F135" i="48"/>
  <c r="E135" i="48"/>
  <c r="N134" i="48"/>
  <c r="O134" i="48" s="1"/>
  <c r="K134" i="48"/>
  <c r="L134" i="48" s="1"/>
  <c r="H134" i="48"/>
  <c r="I134" i="48" s="1"/>
  <c r="F134" i="48"/>
  <c r="E134" i="48"/>
  <c r="O133" i="48"/>
  <c r="N133" i="48"/>
  <c r="K133" i="48"/>
  <c r="L133" i="48" s="1"/>
  <c r="H133" i="48"/>
  <c r="I133" i="48" s="1"/>
  <c r="F133" i="48"/>
  <c r="E133" i="48"/>
  <c r="N132" i="48"/>
  <c r="O132" i="48" s="1"/>
  <c r="K132" i="48"/>
  <c r="L132" i="48" s="1"/>
  <c r="H132" i="48"/>
  <c r="I132" i="48" s="1"/>
  <c r="F132" i="48"/>
  <c r="E132" i="48"/>
  <c r="O131" i="48"/>
  <c r="N131" i="48"/>
  <c r="L131" i="48"/>
  <c r="K131" i="48"/>
  <c r="H131" i="48"/>
  <c r="I131" i="48" s="1"/>
  <c r="F131" i="48"/>
  <c r="E131" i="48"/>
  <c r="N130" i="48"/>
  <c r="O130" i="48" s="1"/>
  <c r="K130" i="48"/>
  <c r="L130" i="48" s="1"/>
  <c r="H130" i="48"/>
  <c r="I130" i="48" s="1"/>
  <c r="F130" i="48"/>
  <c r="E130" i="48"/>
  <c r="N129" i="48"/>
  <c r="O129" i="48" s="1"/>
  <c r="K129" i="48"/>
  <c r="L129" i="48" s="1"/>
  <c r="H129" i="48"/>
  <c r="I129" i="48" s="1"/>
  <c r="F129" i="48"/>
  <c r="E129" i="48"/>
  <c r="N128" i="48"/>
  <c r="O128" i="48" s="1"/>
  <c r="K128" i="48"/>
  <c r="L128" i="48" s="1"/>
  <c r="H128" i="48"/>
  <c r="I128" i="48" s="1"/>
  <c r="F128" i="48"/>
  <c r="E128" i="48"/>
  <c r="N127" i="48"/>
  <c r="O127" i="48" s="1"/>
  <c r="L127" i="48"/>
  <c r="K127" i="48"/>
  <c r="H127" i="48"/>
  <c r="I127" i="48" s="1"/>
  <c r="F127" i="48"/>
  <c r="E127" i="48"/>
  <c r="O126" i="48"/>
  <c r="N126" i="48"/>
  <c r="K126" i="48"/>
  <c r="L126" i="48" s="1"/>
  <c r="H126" i="48"/>
  <c r="I126" i="48" s="1"/>
  <c r="F126" i="48"/>
  <c r="E126" i="48"/>
  <c r="O125" i="48"/>
  <c r="N125" i="48"/>
  <c r="K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K117" i="48"/>
  <c r="L117" i="48" s="1"/>
  <c r="H117" i="48"/>
  <c r="I117" i="48" s="1"/>
  <c r="F117" i="48"/>
  <c r="E117" i="48"/>
  <c r="N116" i="48"/>
  <c r="O116" i="48" s="1"/>
  <c r="L116" i="48"/>
  <c r="K116" i="48"/>
  <c r="H116" i="48"/>
  <c r="I116" i="48" s="1"/>
  <c r="F116" i="48"/>
  <c r="E116" i="48"/>
  <c r="N115" i="48"/>
  <c r="O115" i="48" s="1"/>
  <c r="K115" i="48"/>
  <c r="L115" i="48" s="1"/>
  <c r="H115" i="48"/>
  <c r="I115" i="48" s="1"/>
  <c r="F115" i="48"/>
  <c r="E115" i="48"/>
  <c r="N114" i="48"/>
  <c r="O114" i="48" s="1"/>
  <c r="L114" i="48"/>
  <c r="K114" i="48"/>
  <c r="H114" i="48"/>
  <c r="I114" i="48" s="1"/>
  <c r="F114" i="48"/>
  <c r="E114" i="48"/>
  <c r="N113" i="48"/>
  <c r="O113" i="48" s="1"/>
  <c r="K113" i="48"/>
  <c r="L113" i="48" s="1"/>
  <c r="H113" i="48"/>
  <c r="I113" i="48" s="1"/>
  <c r="F113" i="48"/>
  <c r="E113" i="48"/>
  <c r="O112" i="48"/>
  <c r="N112" i="48"/>
  <c r="L112" i="48"/>
  <c r="K112" i="48"/>
  <c r="H112" i="48"/>
  <c r="I112" i="48" s="1"/>
  <c r="F112" i="48"/>
  <c r="E112" i="48"/>
  <c r="N111" i="48"/>
  <c r="O111" i="48" s="1"/>
  <c r="K111" i="48"/>
  <c r="L111" i="48" s="1"/>
  <c r="H111" i="48"/>
  <c r="I111" i="48" s="1"/>
  <c r="F111" i="48"/>
  <c r="E111" i="48"/>
  <c r="N110" i="48"/>
  <c r="O110" i="48" s="1"/>
  <c r="K110" i="48"/>
  <c r="L110" i="48" s="1"/>
  <c r="H110" i="48"/>
  <c r="I110" i="48" s="1"/>
  <c r="F110" i="48"/>
  <c r="E110" i="48"/>
  <c r="N109" i="48"/>
  <c r="O109" i="48" s="1"/>
  <c r="K109" i="48"/>
  <c r="L109" i="48" s="1"/>
  <c r="H109" i="48"/>
  <c r="I109" i="48" s="1"/>
  <c r="F109" i="48"/>
  <c r="E109" i="48"/>
  <c r="N108" i="48"/>
  <c r="O108" i="48" s="1"/>
  <c r="L108" i="48"/>
  <c r="K108" i="48"/>
  <c r="H108" i="48"/>
  <c r="I108" i="48" s="1"/>
  <c r="F108" i="48"/>
  <c r="E108" i="48"/>
  <c r="O107" i="48"/>
  <c r="N107" i="48"/>
  <c r="K107" i="48"/>
  <c r="L107" i="48" s="1"/>
  <c r="H107" i="48"/>
  <c r="I107" i="48" s="1"/>
  <c r="F107" i="48"/>
  <c r="E107" i="48"/>
  <c r="N106" i="48"/>
  <c r="O106" i="48" s="1"/>
  <c r="K106" i="48"/>
  <c r="L106" i="48" s="1"/>
  <c r="H106" i="48"/>
  <c r="I106" i="48" s="1"/>
  <c r="F106" i="48"/>
  <c r="E106" i="48"/>
  <c r="O105" i="48"/>
  <c r="N105" i="48"/>
  <c r="K105" i="48"/>
  <c r="L105" i="48" s="1"/>
  <c r="H105" i="48"/>
  <c r="I105" i="48" s="1"/>
  <c r="F105" i="48"/>
  <c r="E105" i="48"/>
  <c r="N104" i="48"/>
  <c r="O104" i="48" s="1"/>
  <c r="L104" i="48"/>
  <c r="K104" i="48"/>
  <c r="H104" i="48"/>
  <c r="I104" i="48" s="1"/>
  <c r="F104" i="48"/>
  <c r="E104" i="48"/>
  <c r="N103" i="48"/>
  <c r="O103" i="48" s="1"/>
  <c r="K103" i="48"/>
  <c r="L103" i="48" s="1"/>
  <c r="H103" i="48"/>
  <c r="I103" i="48" s="1"/>
  <c r="F103" i="48"/>
  <c r="E103" i="48"/>
  <c r="N102" i="48"/>
  <c r="O102" i="48" s="1"/>
  <c r="K102" i="48"/>
  <c r="L102" i="48" s="1"/>
  <c r="H102" i="48"/>
  <c r="I102" i="48" s="1"/>
  <c r="F102" i="48"/>
  <c r="E102" i="48"/>
  <c r="N101" i="48"/>
  <c r="O101" i="48" s="1"/>
  <c r="K101" i="48"/>
  <c r="L101" i="48" s="1"/>
  <c r="H101" i="48"/>
  <c r="I101" i="48" s="1"/>
  <c r="F101" i="48"/>
  <c r="E101" i="48"/>
  <c r="N100" i="48"/>
  <c r="O100" i="48" s="1"/>
  <c r="L100" i="48"/>
  <c r="K100" i="48"/>
  <c r="H100" i="48"/>
  <c r="I100" i="48" s="1"/>
  <c r="F100" i="48"/>
  <c r="E100" i="48"/>
  <c r="N99" i="48"/>
  <c r="O99" i="48" s="1"/>
  <c r="K99" i="48"/>
  <c r="L99" i="48" s="1"/>
  <c r="H99" i="48"/>
  <c r="I99" i="48" s="1"/>
  <c r="F99" i="48"/>
  <c r="E99" i="48"/>
  <c r="O98" i="48"/>
  <c r="N98" i="48"/>
  <c r="K98" i="48"/>
  <c r="H98" i="48"/>
  <c r="H118" i="48" s="1"/>
  <c r="F98" i="48"/>
  <c r="E98" i="48"/>
  <c r="E118" i="48" s="1"/>
  <c r="M96" i="48"/>
  <c r="J96" i="48"/>
  <c r="G96" i="48"/>
  <c r="D96" i="48"/>
  <c r="B96" i="48"/>
  <c r="M95" i="48"/>
  <c r="G95" i="48"/>
  <c r="B91" i="48"/>
  <c r="N90" i="48"/>
  <c r="O90" i="48" s="1"/>
  <c r="K90" i="48"/>
  <c r="L90" i="48" s="1"/>
  <c r="H90" i="48"/>
  <c r="I90" i="48" s="1"/>
  <c r="E90" i="48"/>
  <c r="F90" i="48" s="1"/>
  <c r="N89" i="48"/>
  <c r="O89" i="48" s="1"/>
  <c r="K89" i="48"/>
  <c r="L89" i="48" s="1"/>
  <c r="H89" i="48"/>
  <c r="I89" i="48" s="1"/>
  <c r="E89" i="48"/>
  <c r="F89" i="48" s="1"/>
  <c r="O88" i="48"/>
  <c r="N88" i="48"/>
  <c r="K88" i="48"/>
  <c r="L88" i="48" s="1"/>
  <c r="I88" i="48"/>
  <c r="H88" i="48"/>
  <c r="E88" i="48"/>
  <c r="F88" i="48" s="1"/>
  <c r="N87" i="48"/>
  <c r="O87" i="48" s="1"/>
  <c r="L87" i="48"/>
  <c r="K87" i="48"/>
  <c r="H87" i="48"/>
  <c r="I87" i="48" s="1"/>
  <c r="E87" i="48"/>
  <c r="F87" i="48" s="1"/>
  <c r="O86" i="48"/>
  <c r="N86" i="48"/>
  <c r="L86" i="48"/>
  <c r="K86" i="48"/>
  <c r="H86" i="48"/>
  <c r="I86" i="48" s="1"/>
  <c r="E86" i="48"/>
  <c r="F86" i="48" s="1"/>
  <c r="N85" i="48"/>
  <c r="O85" i="48" s="1"/>
  <c r="L85" i="48"/>
  <c r="K85" i="48"/>
  <c r="H85" i="48"/>
  <c r="I85" i="48" s="1"/>
  <c r="E85" i="48"/>
  <c r="F85" i="48" s="1"/>
  <c r="O84" i="48"/>
  <c r="N84" i="48"/>
  <c r="K84" i="48"/>
  <c r="L84" i="48" s="1"/>
  <c r="I84" i="48"/>
  <c r="H84" i="48"/>
  <c r="E84" i="48"/>
  <c r="F84" i="48" s="1"/>
  <c r="N83" i="48"/>
  <c r="O83" i="48" s="1"/>
  <c r="K83" i="48"/>
  <c r="L83" i="48" s="1"/>
  <c r="H83" i="48"/>
  <c r="I83" i="48" s="1"/>
  <c r="E83" i="48"/>
  <c r="F83" i="48" s="1"/>
  <c r="N82" i="48"/>
  <c r="O82" i="48" s="1"/>
  <c r="K82" i="48"/>
  <c r="L82" i="48" s="1"/>
  <c r="H82" i="48"/>
  <c r="I82" i="48" s="1"/>
  <c r="E82" i="48"/>
  <c r="F82" i="48" s="1"/>
  <c r="O81" i="48"/>
  <c r="N81" i="48"/>
  <c r="L81" i="48"/>
  <c r="K81" i="48"/>
  <c r="H81" i="48"/>
  <c r="I81" i="48" s="1"/>
  <c r="E81" i="48"/>
  <c r="F81" i="48" s="1"/>
  <c r="N80" i="48"/>
  <c r="O80" i="48" s="1"/>
  <c r="K80" i="48"/>
  <c r="L80" i="48" s="1"/>
  <c r="I80" i="48"/>
  <c r="H80" i="48"/>
  <c r="E80" i="48"/>
  <c r="F80" i="48" s="1"/>
  <c r="O79" i="48"/>
  <c r="N79" i="48"/>
  <c r="K79" i="48"/>
  <c r="L79" i="48" s="1"/>
  <c r="H79" i="48"/>
  <c r="I79" i="48" s="1"/>
  <c r="E79" i="48"/>
  <c r="F79" i="48" s="1"/>
  <c r="N78" i="48"/>
  <c r="O78" i="48" s="1"/>
  <c r="L78" i="48"/>
  <c r="K78" i="48"/>
  <c r="H78" i="48"/>
  <c r="I78" i="48" s="1"/>
  <c r="E78" i="48"/>
  <c r="F78" i="48" s="1"/>
  <c r="N77" i="48"/>
  <c r="O77" i="48" s="1"/>
  <c r="K77" i="48"/>
  <c r="L77" i="48" s="1"/>
  <c r="H77" i="48"/>
  <c r="I77" i="48" s="1"/>
  <c r="E77" i="48"/>
  <c r="F77" i="48" s="1"/>
  <c r="O76" i="48"/>
  <c r="N76" i="48"/>
  <c r="L76" i="48"/>
  <c r="K76" i="48"/>
  <c r="I76" i="48"/>
  <c r="H76" i="48"/>
  <c r="E76" i="48"/>
  <c r="F76" i="48" s="1"/>
  <c r="N75" i="48"/>
  <c r="O75" i="48" s="1"/>
  <c r="K75" i="48"/>
  <c r="L75" i="48" s="1"/>
  <c r="H75" i="48"/>
  <c r="I75" i="48" s="1"/>
  <c r="E75" i="48"/>
  <c r="F75" i="48" s="1"/>
  <c r="O74" i="48"/>
  <c r="N74" i="48"/>
  <c r="L74" i="48"/>
  <c r="K74" i="48"/>
  <c r="H74" i="48"/>
  <c r="I74" i="48" s="1"/>
  <c r="E74" i="48"/>
  <c r="F74" i="48" s="1"/>
  <c r="N73" i="48"/>
  <c r="O73" i="48" s="1"/>
  <c r="K73" i="48"/>
  <c r="L73" i="48" s="1"/>
  <c r="H73" i="48"/>
  <c r="I73" i="48" s="1"/>
  <c r="E73" i="48"/>
  <c r="F73" i="48" s="1"/>
  <c r="N72" i="48"/>
  <c r="O72" i="48" s="1"/>
  <c r="L72" i="48"/>
  <c r="K72" i="48"/>
  <c r="I72" i="48"/>
  <c r="H72" i="48"/>
  <c r="E72" i="48"/>
  <c r="F72" i="48" s="1"/>
  <c r="N71" i="48"/>
  <c r="O71" i="48" s="1"/>
  <c r="L71" i="48"/>
  <c r="K71" i="48"/>
  <c r="H71" i="48"/>
  <c r="I71" i="48" s="1"/>
  <c r="E71" i="48"/>
  <c r="M69" i="48"/>
  <c r="J69" i="48"/>
  <c r="G69" i="48"/>
  <c r="D69" i="48"/>
  <c r="B69" i="48"/>
  <c r="M68" i="48"/>
  <c r="G68" i="48"/>
  <c r="B64" i="48"/>
  <c r="O63" i="48"/>
  <c r="N63" i="48"/>
  <c r="K63" i="48"/>
  <c r="L63" i="48" s="1"/>
  <c r="H63" i="48"/>
  <c r="I63" i="48" s="1"/>
  <c r="F63" i="48"/>
  <c r="E63" i="48"/>
  <c r="N62" i="48"/>
  <c r="O62" i="48" s="1"/>
  <c r="K62" i="48"/>
  <c r="L62" i="48" s="1"/>
  <c r="H62" i="48"/>
  <c r="I62" i="48" s="1"/>
  <c r="F62" i="48"/>
  <c r="E62" i="48"/>
  <c r="O61" i="48"/>
  <c r="N61" i="48"/>
  <c r="L61" i="48"/>
  <c r="K61" i="48"/>
  <c r="H61" i="48"/>
  <c r="I61" i="48" s="1"/>
  <c r="F61" i="48"/>
  <c r="E61" i="48"/>
  <c r="N60" i="48"/>
  <c r="O60" i="48" s="1"/>
  <c r="K60" i="48"/>
  <c r="L60" i="48" s="1"/>
  <c r="H60" i="48"/>
  <c r="I60" i="48" s="1"/>
  <c r="F60" i="48"/>
  <c r="E60" i="48"/>
  <c r="N59" i="48"/>
  <c r="O59" i="48" s="1"/>
  <c r="K59" i="48"/>
  <c r="L59" i="48" s="1"/>
  <c r="I59" i="48"/>
  <c r="H59" i="48"/>
  <c r="F59" i="48"/>
  <c r="E59" i="48"/>
  <c r="O58" i="48"/>
  <c r="N58" i="48"/>
  <c r="K58" i="48"/>
  <c r="L58" i="48" s="1"/>
  <c r="I58" i="48"/>
  <c r="H58" i="48"/>
  <c r="F58" i="48"/>
  <c r="E58" i="48"/>
  <c r="N57" i="48"/>
  <c r="O57" i="48" s="1"/>
  <c r="K57" i="48"/>
  <c r="L57" i="48" s="1"/>
  <c r="I57" i="48"/>
  <c r="H57" i="48"/>
  <c r="F57" i="48"/>
  <c r="E57" i="48"/>
  <c r="N56" i="48"/>
  <c r="O56" i="48" s="1"/>
  <c r="K56" i="48"/>
  <c r="L56" i="48" s="1"/>
  <c r="I56" i="48"/>
  <c r="H56" i="48"/>
  <c r="F56" i="48"/>
  <c r="E56" i="48"/>
  <c r="O55" i="48"/>
  <c r="N55" i="48"/>
  <c r="K55" i="48"/>
  <c r="L55" i="48" s="1"/>
  <c r="I55" i="48"/>
  <c r="H55" i="48"/>
  <c r="F55" i="48"/>
  <c r="E55" i="48"/>
  <c r="O54" i="48"/>
  <c r="N54" i="48"/>
  <c r="K54" i="48"/>
  <c r="L54" i="48" s="1"/>
  <c r="I54" i="48"/>
  <c r="H54" i="48"/>
  <c r="F54" i="48"/>
  <c r="E54" i="48"/>
  <c r="N53" i="48"/>
  <c r="O53" i="48" s="1"/>
  <c r="K53" i="48"/>
  <c r="L53" i="48" s="1"/>
  <c r="I53" i="48"/>
  <c r="H53" i="48"/>
  <c r="F53" i="48"/>
  <c r="E53" i="48"/>
  <c r="N52" i="48"/>
  <c r="O52" i="48" s="1"/>
  <c r="K52" i="48"/>
  <c r="L52" i="48" s="1"/>
  <c r="I52" i="48"/>
  <c r="H52" i="48"/>
  <c r="F52" i="48"/>
  <c r="E52" i="48"/>
  <c r="O51" i="48"/>
  <c r="N51" i="48"/>
  <c r="K51" i="48"/>
  <c r="L51" i="48" s="1"/>
  <c r="I51" i="48"/>
  <c r="H51" i="48"/>
  <c r="F51" i="48"/>
  <c r="E51" i="48"/>
  <c r="O50" i="48"/>
  <c r="N50" i="48"/>
  <c r="K50" i="48"/>
  <c r="L50" i="48" s="1"/>
  <c r="I50" i="48"/>
  <c r="H50" i="48"/>
  <c r="F50" i="48"/>
  <c r="E50" i="48"/>
  <c r="N49" i="48"/>
  <c r="O49" i="48" s="1"/>
  <c r="K49" i="48"/>
  <c r="L49" i="48" s="1"/>
  <c r="I49" i="48"/>
  <c r="H49" i="48"/>
  <c r="F49" i="48"/>
  <c r="E49" i="48"/>
  <c r="N48" i="48"/>
  <c r="O48" i="48" s="1"/>
  <c r="K48" i="48"/>
  <c r="L48" i="48" s="1"/>
  <c r="I48" i="48"/>
  <c r="H48" i="48"/>
  <c r="F48" i="48"/>
  <c r="E48" i="48"/>
  <c r="O47" i="48"/>
  <c r="N47" i="48"/>
  <c r="K47" i="48"/>
  <c r="L47" i="48" s="1"/>
  <c r="I47" i="48"/>
  <c r="H47" i="48"/>
  <c r="F47" i="48"/>
  <c r="E47" i="48"/>
  <c r="O46" i="48"/>
  <c r="N46" i="48"/>
  <c r="K46" i="48"/>
  <c r="L46" i="48" s="1"/>
  <c r="I46" i="48"/>
  <c r="H46" i="48"/>
  <c r="F46" i="48"/>
  <c r="E46" i="48"/>
  <c r="N45" i="48"/>
  <c r="O45" i="48" s="1"/>
  <c r="K45" i="48"/>
  <c r="L45" i="48" s="1"/>
  <c r="I45" i="48"/>
  <c r="H45" i="48"/>
  <c r="F45" i="48"/>
  <c r="E45" i="48"/>
  <c r="N44" i="48"/>
  <c r="K44" i="48"/>
  <c r="I44" i="48"/>
  <c r="H44" i="48"/>
  <c r="H64" i="48" s="1"/>
  <c r="F44" i="48"/>
  <c r="F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F198" i="47" s="1"/>
  <c r="N198" i="47"/>
  <c r="L198" i="47"/>
  <c r="K198" i="47"/>
  <c r="H198" i="47"/>
  <c r="I198" i="47" s="1"/>
  <c r="E198" i="47"/>
  <c r="O197" i="47"/>
  <c r="N197" i="47"/>
  <c r="K197" i="47"/>
  <c r="H197" i="47"/>
  <c r="I197" i="47" s="1"/>
  <c r="F197" i="47"/>
  <c r="E197" i="47"/>
  <c r="N196" i="47"/>
  <c r="K196" i="47"/>
  <c r="L196" i="47" s="1"/>
  <c r="H196" i="47"/>
  <c r="I196" i="47" s="1"/>
  <c r="E196" i="47"/>
  <c r="O195" i="47"/>
  <c r="N195" i="47"/>
  <c r="K195" i="47"/>
  <c r="H195" i="47"/>
  <c r="I195" i="47" s="1"/>
  <c r="F195" i="47"/>
  <c r="E195" i="47"/>
  <c r="N194" i="47"/>
  <c r="L194" i="47"/>
  <c r="K194" i="47"/>
  <c r="H194" i="47"/>
  <c r="F194" i="47"/>
  <c r="E194" i="47"/>
  <c r="N193" i="47"/>
  <c r="O193" i="47" s="1"/>
  <c r="K193" i="47"/>
  <c r="H193" i="47"/>
  <c r="I193" i="47" s="1"/>
  <c r="F193" i="47"/>
  <c r="E193" i="47"/>
  <c r="N192" i="47"/>
  <c r="K192" i="47"/>
  <c r="L192" i="47" s="1"/>
  <c r="H192" i="47"/>
  <c r="I192" i="47" s="1"/>
  <c r="F192" i="47"/>
  <c r="E192" i="47"/>
  <c r="N191" i="47"/>
  <c r="O191" i="47" s="1"/>
  <c r="K191" i="47"/>
  <c r="L191" i="47" s="1"/>
  <c r="H191" i="47"/>
  <c r="I191" i="47" s="1"/>
  <c r="E191" i="47"/>
  <c r="N190" i="47"/>
  <c r="O190" i="47" s="1"/>
  <c r="L190" i="47"/>
  <c r="K190" i="47"/>
  <c r="H190" i="47"/>
  <c r="I190" i="47" s="1"/>
  <c r="F190" i="47"/>
  <c r="E190" i="47"/>
  <c r="N189" i="47"/>
  <c r="K189" i="47"/>
  <c r="L189" i="47" s="1"/>
  <c r="H189" i="47"/>
  <c r="I189" i="47" s="1"/>
  <c r="F189" i="47"/>
  <c r="E189" i="47"/>
  <c r="O188" i="47"/>
  <c r="N188" i="47"/>
  <c r="K188" i="47"/>
  <c r="L188" i="47" s="1"/>
  <c r="H188" i="47"/>
  <c r="F188" i="47"/>
  <c r="E188" i="47"/>
  <c r="O187" i="47"/>
  <c r="N187" i="47"/>
  <c r="K187" i="47"/>
  <c r="L187" i="47" s="1"/>
  <c r="H187" i="47"/>
  <c r="I187" i="47" s="1"/>
  <c r="F187" i="47"/>
  <c r="E187" i="47"/>
  <c r="O186" i="47"/>
  <c r="N186" i="47"/>
  <c r="L186" i="47"/>
  <c r="K186" i="47"/>
  <c r="H186" i="47"/>
  <c r="I186" i="47" s="1"/>
  <c r="F186" i="47"/>
  <c r="E186" i="47"/>
  <c r="N185" i="47"/>
  <c r="K185" i="47"/>
  <c r="L185" i="47" s="1"/>
  <c r="H185" i="47"/>
  <c r="I185" i="47" s="1"/>
  <c r="F185" i="47"/>
  <c r="E185" i="47"/>
  <c r="N184" i="47"/>
  <c r="O184" i="47" s="1"/>
  <c r="K184" i="47"/>
  <c r="L184" i="47" s="1"/>
  <c r="H184" i="47"/>
  <c r="I184" i="47" s="1"/>
  <c r="E184" i="47"/>
  <c r="N183" i="47"/>
  <c r="O183" i="47" s="1"/>
  <c r="K183" i="47"/>
  <c r="L183" i="47" s="1"/>
  <c r="H183" i="47"/>
  <c r="F183" i="47"/>
  <c r="E183" i="47"/>
  <c r="N182" i="47"/>
  <c r="O182" i="47" s="1"/>
  <c r="K182" i="47"/>
  <c r="H182" i="47"/>
  <c r="I182" i="47" s="1"/>
  <c r="F182" i="47"/>
  <c r="E182" i="47"/>
  <c r="O181" i="47"/>
  <c r="N181" i="47"/>
  <c r="K181" i="47"/>
  <c r="L181" i="47" s="1"/>
  <c r="H181" i="47"/>
  <c r="F181" i="47"/>
  <c r="E181" i="47"/>
  <c r="O180" i="47"/>
  <c r="N180" i="47"/>
  <c r="K180" i="47"/>
  <c r="L180" i="47" s="1"/>
  <c r="H180" i="47"/>
  <c r="I180" i="47" s="1"/>
  <c r="F180" i="47"/>
  <c r="E180" i="47"/>
  <c r="O179" i="47"/>
  <c r="N179" i="47"/>
  <c r="K179" i="47"/>
  <c r="H179" i="47"/>
  <c r="F179" i="47"/>
  <c r="E179" i="47"/>
  <c r="M177" i="47"/>
  <c r="J177" i="47"/>
  <c r="G177" i="47"/>
  <c r="D177" i="47"/>
  <c r="B177" i="47"/>
  <c r="M176" i="47"/>
  <c r="G176" i="47"/>
  <c r="B172" i="47"/>
  <c r="L171" i="47" s="1"/>
  <c r="N171" i="47"/>
  <c r="K171" i="47"/>
  <c r="H171" i="47"/>
  <c r="I171" i="47" s="1"/>
  <c r="E171" i="47"/>
  <c r="N170" i="47"/>
  <c r="O170" i="47" s="1"/>
  <c r="K170" i="47"/>
  <c r="L170" i="47" s="1"/>
  <c r="H170" i="47"/>
  <c r="E170" i="47"/>
  <c r="N169" i="47"/>
  <c r="O169" i="47" s="1"/>
  <c r="K169" i="47"/>
  <c r="H169" i="47"/>
  <c r="F169" i="47"/>
  <c r="E169" i="47"/>
  <c r="N168" i="47"/>
  <c r="K168" i="47"/>
  <c r="H168" i="47"/>
  <c r="I168" i="47" s="1"/>
  <c r="F168" i="47"/>
  <c r="E168" i="47"/>
  <c r="N167" i="47"/>
  <c r="L167" i="47"/>
  <c r="K167" i="47"/>
  <c r="H167" i="47"/>
  <c r="E167" i="47"/>
  <c r="N166" i="47"/>
  <c r="O166" i="47" s="1"/>
  <c r="K166" i="47"/>
  <c r="H166" i="47"/>
  <c r="F166" i="47"/>
  <c r="E166" i="47"/>
  <c r="N165" i="47"/>
  <c r="K165" i="47"/>
  <c r="L165" i="47" s="1"/>
  <c r="H165" i="47"/>
  <c r="I165" i="47" s="1"/>
  <c r="E165" i="47"/>
  <c r="N164" i="47"/>
  <c r="O164" i="47" s="1"/>
  <c r="K164" i="47"/>
  <c r="L164" i="47" s="1"/>
  <c r="H164" i="47"/>
  <c r="E164" i="47"/>
  <c r="O163" i="47"/>
  <c r="N163" i="47"/>
  <c r="K163" i="47"/>
  <c r="H163" i="47"/>
  <c r="I163" i="47" s="1"/>
  <c r="E163" i="47"/>
  <c r="N162" i="47"/>
  <c r="O162" i="47" s="1"/>
  <c r="K162" i="47"/>
  <c r="L162" i="47" s="1"/>
  <c r="H162" i="47"/>
  <c r="E162" i="47"/>
  <c r="N161" i="47"/>
  <c r="O161" i="47" s="1"/>
  <c r="K161" i="47"/>
  <c r="H161" i="47"/>
  <c r="F161" i="47"/>
  <c r="E161" i="47"/>
  <c r="N160" i="47"/>
  <c r="K160" i="47"/>
  <c r="H160" i="47"/>
  <c r="I160" i="47" s="1"/>
  <c r="F160" i="47"/>
  <c r="E160" i="47"/>
  <c r="N159" i="47"/>
  <c r="L159" i="47"/>
  <c r="K159" i="47"/>
  <c r="H159" i="47"/>
  <c r="E159" i="47"/>
  <c r="O158" i="47"/>
  <c r="N158" i="47"/>
  <c r="K158" i="47"/>
  <c r="H158" i="47"/>
  <c r="I158" i="47" s="1"/>
  <c r="F158" i="47"/>
  <c r="E158" i="47"/>
  <c r="N157" i="47"/>
  <c r="K157" i="47"/>
  <c r="L157" i="47" s="1"/>
  <c r="H157" i="47"/>
  <c r="I157" i="47" s="1"/>
  <c r="E157" i="47"/>
  <c r="O156" i="47"/>
  <c r="N156" i="47"/>
  <c r="K156" i="47"/>
  <c r="H156" i="47"/>
  <c r="F156" i="47"/>
  <c r="E156" i="47"/>
  <c r="N155" i="47"/>
  <c r="K155" i="47"/>
  <c r="H155" i="47"/>
  <c r="I155" i="47" s="1"/>
  <c r="E155" i="47"/>
  <c r="N154" i="47"/>
  <c r="O154" i="47" s="1"/>
  <c r="K154" i="47"/>
  <c r="L154" i="47" s="1"/>
  <c r="H154" i="47"/>
  <c r="E154" i="47"/>
  <c r="N153" i="47"/>
  <c r="O153" i="47" s="1"/>
  <c r="K153" i="47"/>
  <c r="H153" i="47"/>
  <c r="F153" i="47"/>
  <c r="E153" i="47"/>
  <c r="N152" i="47"/>
  <c r="K152" i="47"/>
  <c r="H152" i="47"/>
  <c r="H172" i="47" s="1"/>
  <c r="F152" i="47"/>
  <c r="E152" i="47"/>
  <c r="M150" i="47"/>
  <c r="J150" i="47"/>
  <c r="G150" i="47"/>
  <c r="D150" i="47"/>
  <c r="B150" i="47"/>
  <c r="M149" i="47"/>
  <c r="G149" i="47"/>
  <c r="B145" i="47"/>
  <c r="N144" i="47"/>
  <c r="L144" i="47"/>
  <c r="K144" i="47"/>
  <c r="I144" i="47"/>
  <c r="H144" i="47"/>
  <c r="F144" i="47"/>
  <c r="E144" i="47"/>
  <c r="N143" i="47"/>
  <c r="O143" i="47" s="1"/>
  <c r="K143" i="47"/>
  <c r="I143" i="47"/>
  <c r="H143" i="47"/>
  <c r="E143" i="47"/>
  <c r="N142" i="47"/>
  <c r="O142" i="47" s="1"/>
  <c r="L142" i="47"/>
  <c r="K142" i="47"/>
  <c r="I142" i="47"/>
  <c r="H142" i="47"/>
  <c r="F142" i="47"/>
  <c r="E142" i="47"/>
  <c r="N141" i="47"/>
  <c r="O141" i="47" s="1"/>
  <c r="L141" i="47"/>
  <c r="K141" i="47"/>
  <c r="H141" i="47"/>
  <c r="F141" i="47"/>
  <c r="E141" i="47"/>
  <c r="N140" i="47"/>
  <c r="L140" i="47"/>
  <c r="K140" i="47"/>
  <c r="I140" i="47"/>
  <c r="H140" i="47"/>
  <c r="F140" i="47"/>
  <c r="E140" i="47"/>
  <c r="N139" i="47"/>
  <c r="O139" i="47" s="1"/>
  <c r="K139" i="47"/>
  <c r="I139" i="47"/>
  <c r="H139" i="47"/>
  <c r="E139" i="47"/>
  <c r="F139" i="47" s="1"/>
  <c r="N138" i="47"/>
  <c r="O138" i="47" s="1"/>
  <c r="L138" i="47"/>
  <c r="K138" i="47"/>
  <c r="I138" i="47"/>
  <c r="H138" i="47"/>
  <c r="F138" i="47"/>
  <c r="E138" i="47"/>
  <c r="N137" i="47"/>
  <c r="O137" i="47" s="1"/>
  <c r="L137" i="47"/>
  <c r="K137" i="47"/>
  <c r="H137" i="47"/>
  <c r="I137" i="47" s="1"/>
  <c r="F137" i="47"/>
  <c r="E137" i="47"/>
  <c r="N136" i="47"/>
  <c r="O136" i="47" s="1"/>
  <c r="L136" i="47"/>
  <c r="K136" i="47"/>
  <c r="I136" i="47"/>
  <c r="H136" i="47"/>
  <c r="F136" i="47"/>
  <c r="E136" i="47"/>
  <c r="N135" i="47"/>
  <c r="O135" i="47" s="1"/>
  <c r="K135" i="47"/>
  <c r="L135" i="47" s="1"/>
  <c r="I135" i="47"/>
  <c r="H135" i="47"/>
  <c r="E135" i="47"/>
  <c r="F135" i="47" s="1"/>
  <c r="N134" i="47"/>
  <c r="O134" i="47" s="1"/>
  <c r="L134" i="47"/>
  <c r="K134" i="47"/>
  <c r="I134" i="47"/>
  <c r="H134" i="47"/>
  <c r="F134" i="47"/>
  <c r="E134" i="47"/>
  <c r="N133" i="47"/>
  <c r="O133" i="47" s="1"/>
  <c r="L133" i="47"/>
  <c r="K133" i="47"/>
  <c r="H133" i="47"/>
  <c r="I133" i="47" s="1"/>
  <c r="F133" i="47"/>
  <c r="E133" i="47"/>
  <c r="N132" i="47"/>
  <c r="O132" i="47" s="1"/>
  <c r="L132" i="47"/>
  <c r="K132" i="47"/>
  <c r="I132" i="47"/>
  <c r="H132" i="47"/>
  <c r="F132" i="47"/>
  <c r="E132" i="47"/>
  <c r="N131" i="47"/>
  <c r="O131" i="47" s="1"/>
  <c r="K131" i="47"/>
  <c r="L131" i="47" s="1"/>
  <c r="I131" i="47"/>
  <c r="H131" i="47"/>
  <c r="E131" i="47"/>
  <c r="F131" i="47" s="1"/>
  <c r="N130" i="47"/>
  <c r="O130" i="47" s="1"/>
  <c r="L130" i="47"/>
  <c r="K130" i="47"/>
  <c r="I130" i="47"/>
  <c r="H130" i="47"/>
  <c r="F130" i="47"/>
  <c r="E130" i="47"/>
  <c r="N129" i="47"/>
  <c r="O129" i="47" s="1"/>
  <c r="L129" i="47"/>
  <c r="K129" i="47"/>
  <c r="H129" i="47"/>
  <c r="I129" i="47" s="1"/>
  <c r="F129" i="47"/>
  <c r="E129" i="47"/>
  <c r="N128" i="47"/>
  <c r="O128" i="47" s="1"/>
  <c r="L128" i="47"/>
  <c r="K128" i="47"/>
  <c r="I128" i="47"/>
  <c r="H128" i="47"/>
  <c r="F128" i="47"/>
  <c r="E128" i="47"/>
  <c r="N127" i="47"/>
  <c r="O127" i="47" s="1"/>
  <c r="K127" i="47"/>
  <c r="L127" i="47" s="1"/>
  <c r="I127" i="47"/>
  <c r="H127" i="47"/>
  <c r="E127" i="47"/>
  <c r="F127" i="47" s="1"/>
  <c r="N126" i="47"/>
  <c r="O126" i="47" s="1"/>
  <c r="L126" i="47"/>
  <c r="K126" i="47"/>
  <c r="I126" i="47"/>
  <c r="H126" i="47"/>
  <c r="F126" i="47"/>
  <c r="E126" i="47"/>
  <c r="N125" i="47"/>
  <c r="L125" i="47"/>
  <c r="K125" i="47"/>
  <c r="H125" i="47"/>
  <c r="F125" i="47"/>
  <c r="E125" i="47"/>
  <c r="M123" i="47"/>
  <c r="J123" i="47"/>
  <c r="G123" i="47"/>
  <c r="D123" i="47"/>
  <c r="B123" i="47"/>
  <c r="M122" i="47"/>
  <c r="G122" i="47"/>
  <c r="B118" i="47"/>
  <c r="N117" i="47"/>
  <c r="O117" i="47" s="1"/>
  <c r="L117" i="47"/>
  <c r="K117" i="47"/>
  <c r="H117" i="47"/>
  <c r="I117" i="47" s="1"/>
  <c r="E117" i="47"/>
  <c r="F117" i="47" s="1"/>
  <c r="N116" i="47"/>
  <c r="O116" i="47" s="1"/>
  <c r="K116" i="47"/>
  <c r="L116" i="47" s="1"/>
  <c r="H116" i="47"/>
  <c r="I116" i="47" s="1"/>
  <c r="F116" i="47"/>
  <c r="E116" i="47"/>
  <c r="N115" i="47"/>
  <c r="O115" i="47" s="1"/>
  <c r="K115" i="47"/>
  <c r="L115" i="47" s="1"/>
  <c r="I115" i="47"/>
  <c r="H115" i="47"/>
  <c r="E115" i="47"/>
  <c r="F115" i="47" s="1"/>
  <c r="N114" i="47"/>
  <c r="O114" i="47" s="1"/>
  <c r="K114" i="47"/>
  <c r="L114" i="47" s="1"/>
  <c r="H114" i="47"/>
  <c r="I114" i="47" s="1"/>
  <c r="F114" i="47"/>
  <c r="E114" i="47"/>
  <c r="N113" i="47"/>
  <c r="O113" i="47" s="1"/>
  <c r="K113" i="47"/>
  <c r="L113" i="47" s="1"/>
  <c r="I113" i="47"/>
  <c r="H113" i="47"/>
  <c r="E113" i="47"/>
  <c r="F113" i="47" s="1"/>
  <c r="N112" i="47"/>
  <c r="O112" i="47" s="1"/>
  <c r="K112" i="47"/>
  <c r="L112" i="47" s="1"/>
  <c r="H112" i="47"/>
  <c r="I112" i="47" s="1"/>
  <c r="F112" i="47"/>
  <c r="E112" i="47"/>
  <c r="N111" i="47"/>
  <c r="O111" i="47" s="1"/>
  <c r="K111" i="47"/>
  <c r="L111" i="47" s="1"/>
  <c r="H111" i="47"/>
  <c r="I111" i="47" s="1"/>
  <c r="F111" i="47"/>
  <c r="E111" i="47"/>
  <c r="N110" i="47"/>
  <c r="O110" i="47" s="1"/>
  <c r="K110" i="47"/>
  <c r="L110" i="47" s="1"/>
  <c r="I110" i="47"/>
  <c r="H110" i="47"/>
  <c r="E110" i="47"/>
  <c r="F110" i="47" s="1"/>
  <c r="O109" i="47"/>
  <c r="N109" i="47"/>
  <c r="K109" i="47"/>
  <c r="L109" i="47" s="1"/>
  <c r="H109" i="47"/>
  <c r="I109" i="47" s="1"/>
  <c r="F109" i="47"/>
  <c r="E109" i="47"/>
  <c r="N108" i="47"/>
  <c r="O108" i="47" s="1"/>
  <c r="K108" i="47"/>
  <c r="L108" i="47" s="1"/>
  <c r="I108" i="47"/>
  <c r="H108" i="47"/>
  <c r="E108" i="47"/>
  <c r="F108" i="47" s="1"/>
  <c r="O107" i="47"/>
  <c r="N107" i="47"/>
  <c r="K107" i="47"/>
  <c r="L107" i="47" s="1"/>
  <c r="I107" i="47"/>
  <c r="H107" i="47"/>
  <c r="E107" i="47"/>
  <c r="F107" i="47" s="1"/>
  <c r="N106" i="47"/>
  <c r="O106" i="47" s="1"/>
  <c r="K106" i="47"/>
  <c r="L106" i="47" s="1"/>
  <c r="H106" i="47"/>
  <c r="I106" i="47" s="1"/>
  <c r="E106" i="47"/>
  <c r="F106" i="47" s="1"/>
  <c r="N105" i="47"/>
  <c r="O105" i="47" s="1"/>
  <c r="K105" i="47"/>
  <c r="L105" i="47" s="1"/>
  <c r="H105" i="47"/>
  <c r="I105" i="47" s="1"/>
  <c r="F105" i="47"/>
  <c r="E105" i="47"/>
  <c r="N104" i="47"/>
  <c r="O104" i="47" s="1"/>
  <c r="K104" i="47"/>
  <c r="L104" i="47" s="1"/>
  <c r="H104" i="47"/>
  <c r="I104" i="47" s="1"/>
  <c r="E104" i="47"/>
  <c r="F104" i="47" s="1"/>
  <c r="N103" i="47"/>
  <c r="O103" i="47" s="1"/>
  <c r="K103" i="47"/>
  <c r="L103" i="47" s="1"/>
  <c r="H103" i="47"/>
  <c r="I103" i="47" s="1"/>
  <c r="E103" i="47"/>
  <c r="F103" i="47" s="1"/>
  <c r="O102" i="47"/>
  <c r="N102" i="47"/>
  <c r="K102" i="47"/>
  <c r="L102" i="47" s="1"/>
  <c r="H102" i="47"/>
  <c r="I102" i="47" s="1"/>
  <c r="F102" i="47"/>
  <c r="E102" i="47"/>
  <c r="N101" i="47"/>
  <c r="O101" i="47" s="1"/>
  <c r="K101" i="47"/>
  <c r="L101" i="47" s="1"/>
  <c r="H101" i="47"/>
  <c r="I101" i="47" s="1"/>
  <c r="E101" i="47"/>
  <c r="F101" i="47" s="1"/>
  <c r="O100" i="47"/>
  <c r="N100" i="47"/>
  <c r="K100" i="47"/>
  <c r="L100" i="47" s="1"/>
  <c r="H100" i="47"/>
  <c r="I100" i="47" s="1"/>
  <c r="F100" i="47"/>
  <c r="E100" i="47"/>
  <c r="N99" i="47"/>
  <c r="O99" i="47" s="1"/>
  <c r="K99" i="47"/>
  <c r="L99" i="47" s="1"/>
  <c r="H99" i="47"/>
  <c r="I99" i="47" s="1"/>
  <c r="E99" i="47"/>
  <c r="F99" i="47" s="1"/>
  <c r="N98" i="47"/>
  <c r="K98" i="47"/>
  <c r="H98" i="47"/>
  <c r="E98" i="47"/>
  <c r="M96" i="47"/>
  <c r="J96" i="47"/>
  <c r="G96" i="47"/>
  <c r="D96" i="47"/>
  <c r="B96" i="47"/>
  <c r="M95" i="47"/>
  <c r="G95" i="47"/>
  <c r="B91" i="47"/>
  <c r="N90" i="47"/>
  <c r="O90" i="47" s="1"/>
  <c r="K90" i="47"/>
  <c r="H90" i="47"/>
  <c r="E90" i="47"/>
  <c r="F90" i="47" s="1"/>
  <c r="N89" i="47"/>
  <c r="K89" i="47"/>
  <c r="H89" i="47"/>
  <c r="I89" i="47" s="1"/>
  <c r="E89" i="47"/>
  <c r="N88" i="47"/>
  <c r="O88" i="47" s="1"/>
  <c r="K88" i="47"/>
  <c r="H88" i="47"/>
  <c r="E88" i="47"/>
  <c r="F88" i="47" s="1"/>
  <c r="N87" i="47"/>
  <c r="K87" i="47"/>
  <c r="L87" i="47" s="1"/>
  <c r="H87" i="47"/>
  <c r="I87" i="47" s="1"/>
  <c r="E87" i="47"/>
  <c r="N86" i="47"/>
  <c r="O86" i="47" s="1"/>
  <c r="K86" i="47"/>
  <c r="H86" i="47"/>
  <c r="E86" i="47"/>
  <c r="F86" i="47" s="1"/>
  <c r="N85" i="47"/>
  <c r="K85" i="47"/>
  <c r="H85" i="47"/>
  <c r="I85" i="47" s="1"/>
  <c r="E85" i="47"/>
  <c r="N84" i="47"/>
  <c r="O84" i="47" s="1"/>
  <c r="K84" i="47"/>
  <c r="L84" i="47" s="1"/>
  <c r="H84" i="47"/>
  <c r="E84" i="47"/>
  <c r="N83" i="47"/>
  <c r="O83" i="47" s="1"/>
  <c r="K83" i="47"/>
  <c r="H83" i="47"/>
  <c r="E83" i="47"/>
  <c r="F83" i="47" s="1"/>
  <c r="N82" i="47"/>
  <c r="K82" i="47"/>
  <c r="H82" i="47"/>
  <c r="I82" i="47" s="1"/>
  <c r="F82" i="47"/>
  <c r="E82" i="47"/>
  <c r="N81" i="47"/>
  <c r="K81" i="47"/>
  <c r="L81" i="47" s="1"/>
  <c r="H81" i="47"/>
  <c r="E81" i="47"/>
  <c r="N80" i="47"/>
  <c r="O80" i="47" s="1"/>
  <c r="K80" i="47"/>
  <c r="H80" i="47"/>
  <c r="E80" i="47"/>
  <c r="F80" i="47" s="1"/>
  <c r="N79" i="47"/>
  <c r="K79" i="47"/>
  <c r="L79" i="47" s="1"/>
  <c r="H79" i="47"/>
  <c r="I79" i="47" s="1"/>
  <c r="E79" i="47"/>
  <c r="N78" i="47"/>
  <c r="O78" i="47" s="1"/>
  <c r="K78" i="47"/>
  <c r="L78" i="47" s="1"/>
  <c r="H78" i="47"/>
  <c r="E78" i="47"/>
  <c r="O77" i="47"/>
  <c r="N77" i="47"/>
  <c r="K77" i="47"/>
  <c r="H77" i="47"/>
  <c r="I77" i="47" s="1"/>
  <c r="E77" i="47"/>
  <c r="N76" i="47"/>
  <c r="O76" i="47" s="1"/>
  <c r="K76" i="47"/>
  <c r="L76" i="47" s="1"/>
  <c r="H76" i="47"/>
  <c r="E76" i="47"/>
  <c r="N75" i="47"/>
  <c r="O75" i="47" s="1"/>
  <c r="K75" i="47"/>
  <c r="H75" i="47"/>
  <c r="E75" i="47"/>
  <c r="F75" i="47" s="1"/>
  <c r="N74" i="47"/>
  <c r="K74" i="47"/>
  <c r="L74" i="47" s="1"/>
  <c r="H74" i="47"/>
  <c r="I74" i="47" s="1"/>
  <c r="F74" i="47"/>
  <c r="E74" i="47"/>
  <c r="N73" i="47"/>
  <c r="O73" i="47" s="1"/>
  <c r="K73" i="47"/>
  <c r="L73" i="47" s="1"/>
  <c r="H73" i="47"/>
  <c r="E73" i="47"/>
  <c r="F73" i="47" s="1"/>
  <c r="O72" i="47"/>
  <c r="N72" i="47"/>
  <c r="K72" i="47"/>
  <c r="L72" i="47" s="1"/>
  <c r="H72" i="47"/>
  <c r="I72" i="47" s="1"/>
  <c r="F72" i="47"/>
  <c r="E72" i="47"/>
  <c r="N71" i="47"/>
  <c r="O71" i="47" s="1"/>
  <c r="K71" i="47"/>
  <c r="H71" i="47"/>
  <c r="E71" i="47"/>
  <c r="M69" i="47"/>
  <c r="J69" i="47"/>
  <c r="G69" i="47"/>
  <c r="D69" i="47"/>
  <c r="B69" i="47"/>
  <c r="M68" i="47"/>
  <c r="G68" i="47"/>
  <c r="B64" i="47"/>
  <c r="I62" i="47" s="1"/>
  <c r="O63" i="47"/>
  <c r="N63" i="47"/>
  <c r="K63" i="47"/>
  <c r="H63" i="47"/>
  <c r="I63" i="47" s="1"/>
  <c r="F63" i="47"/>
  <c r="E63" i="47"/>
  <c r="N62" i="47"/>
  <c r="K62" i="47"/>
  <c r="L62" i="47" s="1"/>
  <c r="H62" i="47"/>
  <c r="E62" i="47"/>
  <c r="F62" i="47" s="1"/>
  <c r="N61" i="47"/>
  <c r="K61" i="47"/>
  <c r="I61" i="47"/>
  <c r="H61" i="47"/>
  <c r="E61" i="47"/>
  <c r="N60" i="47"/>
  <c r="O60" i="47" s="1"/>
  <c r="K60" i="47"/>
  <c r="H60" i="47"/>
  <c r="I60" i="47" s="1"/>
  <c r="E60" i="47"/>
  <c r="N59" i="47"/>
  <c r="O59" i="47" s="1"/>
  <c r="L59" i="47"/>
  <c r="K59" i="47"/>
  <c r="H59" i="47"/>
  <c r="F59" i="47"/>
  <c r="E59" i="47"/>
  <c r="N58" i="47"/>
  <c r="K58" i="47"/>
  <c r="L58" i="47" s="1"/>
  <c r="H58" i="47"/>
  <c r="E58" i="47"/>
  <c r="F58" i="47" s="1"/>
  <c r="N57" i="47"/>
  <c r="K57" i="47"/>
  <c r="I57" i="47"/>
  <c r="H57" i="47"/>
  <c r="E57" i="47"/>
  <c r="N56" i="47"/>
  <c r="O56" i="47" s="1"/>
  <c r="K56" i="47"/>
  <c r="H56" i="47"/>
  <c r="I56" i="47" s="1"/>
  <c r="E56" i="47"/>
  <c r="N55" i="47"/>
  <c r="O55" i="47" s="1"/>
  <c r="L55" i="47"/>
  <c r="K55" i="47"/>
  <c r="H55" i="47"/>
  <c r="F55" i="47"/>
  <c r="E55" i="47"/>
  <c r="N54" i="47"/>
  <c r="K54" i="47"/>
  <c r="L54" i="47" s="1"/>
  <c r="H54" i="47"/>
  <c r="E54" i="47"/>
  <c r="F54" i="47" s="1"/>
  <c r="N53" i="47"/>
  <c r="K53" i="47"/>
  <c r="I53" i="47"/>
  <c r="H53" i="47"/>
  <c r="E53" i="47"/>
  <c r="N52" i="47"/>
  <c r="O52" i="47" s="1"/>
  <c r="K52" i="47"/>
  <c r="H52" i="47"/>
  <c r="I52" i="47" s="1"/>
  <c r="E52" i="47"/>
  <c r="N51" i="47"/>
  <c r="O51" i="47" s="1"/>
  <c r="L51" i="47"/>
  <c r="K51" i="47"/>
  <c r="H51" i="47"/>
  <c r="F51" i="47"/>
  <c r="E51" i="47"/>
  <c r="N50" i="47"/>
  <c r="K50" i="47"/>
  <c r="L50" i="47" s="1"/>
  <c r="H50" i="47"/>
  <c r="E50" i="47"/>
  <c r="F50" i="47" s="1"/>
  <c r="N49" i="47"/>
  <c r="K49" i="47"/>
  <c r="H49" i="47"/>
  <c r="I49" i="47" s="1"/>
  <c r="E49" i="47"/>
  <c r="N48" i="47"/>
  <c r="O48" i="47" s="1"/>
  <c r="K48" i="47"/>
  <c r="L48" i="47" s="1"/>
  <c r="H48" i="47"/>
  <c r="E48" i="47"/>
  <c r="N47" i="47"/>
  <c r="O47" i="47" s="1"/>
  <c r="K47" i="47"/>
  <c r="H47" i="47"/>
  <c r="I47" i="47" s="1"/>
  <c r="E47" i="47"/>
  <c r="N46" i="47"/>
  <c r="O46" i="47" s="1"/>
  <c r="L46" i="47"/>
  <c r="K46" i="47"/>
  <c r="H46" i="47"/>
  <c r="F46" i="47"/>
  <c r="E46" i="47"/>
  <c r="N45" i="47"/>
  <c r="K45" i="47"/>
  <c r="L45" i="47" s="1"/>
  <c r="H45" i="47"/>
  <c r="E45" i="47"/>
  <c r="F45" i="47" s="1"/>
  <c r="N44" i="47"/>
  <c r="K44" i="47"/>
  <c r="I44" i="47"/>
  <c r="H44" i="47"/>
  <c r="E44" i="47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O197" i="46" s="1"/>
  <c r="N198" i="46"/>
  <c r="O198" i="46" s="1"/>
  <c r="L198" i="46"/>
  <c r="K198" i="46"/>
  <c r="H198" i="46"/>
  <c r="I198" i="46" s="1"/>
  <c r="E198" i="46"/>
  <c r="F198" i="46" s="1"/>
  <c r="N197" i="46"/>
  <c r="K197" i="46"/>
  <c r="L197" i="46" s="1"/>
  <c r="H197" i="46"/>
  <c r="I197" i="46" s="1"/>
  <c r="E197" i="46"/>
  <c r="N196" i="46"/>
  <c r="O196" i="46" s="1"/>
  <c r="K196" i="46"/>
  <c r="H196" i="46"/>
  <c r="I196" i="46" s="1"/>
  <c r="E196" i="46"/>
  <c r="F196" i="46" s="1"/>
  <c r="N195" i="46"/>
  <c r="K195" i="46"/>
  <c r="L195" i="46" s="1"/>
  <c r="H195" i="46"/>
  <c r="I195" i="46" s="1"/>
  <c r="E195" i="46"/>
  <c r="N194" i="46"/>
  <c r="O194" i="46" s="1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E193" i="46"/>
  <c r="N192" i="46"/>
  <c r="O192" i="46" s="1"/>
  <c r="K192" i="46"/>
  <c r="L192" i="46" s="1"/>
  <c r="H192" i="46"/>
  <c r="E192" i="46"/>
  <c r="F192" i="46" s="1"/>
  <c r="N191" i="46"/>
  <c r="O191" i="46" s="1"/>
  <c r="K191" i="46"/>
  <c r="H191" i="46"/>
  <c r="I191" i="46" s="1"/>
  <c r="E191" i="46"/>
  <c r="F191" i="46" s="1"/>
  <c r="N190" i="46"/>
  <c r="K190" i="46"/>
  <c r="L190" i="46" s="1"/>
  <c r="H190" i="46"/>
  <c r="I190" i="46" s="1"/>
  <c r="E190" i="46"/>
  <c r="N189" i="46"/>
  <c r="O189" i="46" s="1"/>
  <c r="K189" i="46"/>
  <c r="H189" i="46"/>
  <c r="I189" i="46" s="1"/>
  <c r="E189" i="46"/>
  <c r="F189" i="46" s="1"/>
  <c r="N188" i="46"/>
  <c r="K188" i="46"/>
  <c r="L188" i="46" s="1"/>
  <c r="H188" i="46"/>
  <c r="I188" i="46" s="1"/>
  <c r="E188" i="46"/>
  <c r="N187" i="46"/>
  <c r="O187" i="46" s="1"/>
  <c r="K187" i="46"/>
  <c r="H187" i="46"/>
  <c r="I187" i="46" s="1"/>
  <c r="E187" i="46"/>
  <c r="F187" i="46" s="1"/>
  <c r="N186" i="46"/>
  <c r="K186" i="46"/>
  <c r="L186" i="46" s="1"/>
  <c r="H186" i="46"/>
  <c r="E186" i="46"/>
  <c r="F186" i="46" s="1"/>
  <c r="N185" i="46"/>
  <c r="O185" i="46" s="1"/>
  <c r="K185" i="46"/>
  <c r="H185" i="46"/>
  <c r="I185" i="46" s="1"/>
  <c r="E185" i="46"/>
  <c r="F185" i="46" s="1"/>
  <c r="N184" i="46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E183" i="46"/>
  <c r="N182" i="46"/>
  <c r="O182" i="46" s="1"/>
  <c r="L182" i="46"/>
  <c r="K182" i="46"/>
  <c r="H182" i="46"/>
  <c r="I182" i="46" s="1"/>
  <c r="E182" i="46"/>
  <c r="F182" i="46" s="1"/>
  <c r="N181" i="46"/>
  <c r="K181" i="46"/>
  <c r="L181" i="46" s="1"/>
  <c r="H181" i="46"/>
  <c r="I181" i="46" s="1"/>
  <c r="E181" i="46"/>
  <c r="N180" i="46"/>
  <c r="O180" i="46" s="1"/>
  <c r="K180" i="46"/>
  <c r="H180" i="46"/>
  <c r="I180" i="46" s="1"/>
  <c r="E180" i="46"/>
  <c r="F180" i="46" s="1"/>
  <c r="N179" i="46"/>
  <c r="K179" i="46"/>
  <c r="H179" i="46"/>
  <c r="E179" i="46"/>
  <c r="M177" i="46"/>
  <c r="J177" i="46"/>
  <c r="G177" i="46"/>
  <c r="D177" i="46"/>
  <c r="B177" i="46"/>
  <c r="M176" i="46"/>
  <c r="G176" i="46"/>
  <c r="B172" i="46"/>
  <c r="F169" i="46" s="1"/>
  <c r="N171" i="46"/>
  <c r="O171" i="46" s="1"/>
  <c r="L171" i="46"/>
  <c r="K171" i="46"/>
  <c r="H171" i="46"/>
  <c r="I171" i="46" s="1"/>
  <c r="E171" i="46"/>
  <c r="F171" i="46" s="1"/>
  <c r="N170" i="46"/>
  <c r="K170" i="46"/>
  <c r="L170" i="46" s="1"/>
  <c r="H170" i="46"/>
  <c r="I170" i="46" s="1"/>
  <c r="F170" i="46"/>
  <c r="E170" i="46"/>
  <c r="N169" i="46"/>
  <c r="O169" i="46" s="1"/>
  <c r="K169" i="46"/>
  <c r="L169" i="46" s="1"/>
  <c r="H169" i="46"/>
  <c r="I169" i="46" s="1"/>
  <c r="E169" i="46"/>
  <c r="N168" i="46"/>
  <c r="O168" i="46" s="1"/>
  <c r="K168" i="46"/>
  <c r="L168" i="46" s="1"/>
  <c r="H168" i="46"/>
  <c r="E168" i="46"/>
  <c r="F168" i="46" s="1"/>
  <c r="N167" i="46"/>
  <c r="O167" i="46" s="1"/>
  <c r="K167" i="46"/>
  <c r="H167" i="46"/>
  <c r="I167" i="46" s="1"/>
  <c r="F167" i="46"/>
  <c r="E167" i="46"/>
  <c r="N166" i="46"/>
  <c r="O166" i="46" s="1"/>
  <c r="K166" i="46"/>
  <c r="L166" i="46" s="1"/>
  <c r="H166" i="46"/>
  <c r="E166" i="46"/>
  <c r="F166" i="46" s="1"/>
  <c r="O165" i="46"/>
  <c r="N165" i="46"/>
  <c r="K165" i="46"/>
  <c r="L165" i="46" s="1"/>
  <c r="H165" i="46"/>
  <c r="I165" i="46" s="1"/>
  <c r="F165" i="46"/>
  <c r="E165" i="46"/>
  <c r="N164" i="46"/>
  <c r="O164" i="46" s="1"/>
  <c r="K164" i="46"/>
  <c r="L164" i="46" s="1"/>
  <c r="H164" i="46"/>
  <c r="E164" i="46"/>
  <c r="F164" i="46" s="1"/>
  <c r="O163" i="46"/>
  <c r="N163" i="46"/>
  <c r="K163" i="46"/>
  <c r="L163" i="46" s="1"/>
  <c r="H163" i="46"/>
  <c r="I163" i="46" s="1"/>
  <c r="E163" i="46"/>
  <c r="N162" i="46"/>
  <c r="O162" i="46" s="1"/>
  <c r="K162" i="46"/>
  <c r="L162" i="46" s="1"/>
  <c r="H162" i="46"/>
  <c r="E162" i="46"/>
  <c r="F162" i="46" s="1"/>
  <c r="N161" i="46"/>
  <c r="O161" i="46" s="1"/>
  <c r="K161" i="46"/>
  <c r="H161" i="46"/>
  <c r="I161" i="46" s="1"/>
  <c r="E161" i="46"/>
  <c r="F161" i="46" s="1"/>
  <c r="N160" i="46"/>
  <c r="K160" i="46"/>
  <c r="L160" i="46" s="1"/>
  <c r="H160" i="46"/>
  <c r="I160" i="46" s="1"/>
  <c r="F160" i="46"/>
  <c r="E160" i="46"/>
  <c r="N159" i="46"/>
  <c r="O159" i="46" s="1"/>
  <c r="K159" i="46"/>
  <c r="L159" i="46" s="1"/>
  <c r="H159" i="46"/>
  <c r="E159" i="46"/>
  <c r="F159" i="46" s="1"/>
  <c r="O158" i="46"/>
  <c r="N158" i="46"/>
  <c r="K158" i="46"/>
  <c r="L158" i="46" s="1"/>
  <c r="H158" i="46"/>
  <c r="I158" i="46" s="1"/>
  <c r="F158" i="46"/>
  <c r="E158" i="46"/>
  <c r="N157" i="46"/>
  <c r="O157" i="46" s="1"/>
  <c r="K157" i="46"/>
  <c r="L157" i="46" s="1"/>
  <c r="H157" i="46"/>
  <c r="I157" i="46" s="1"/>
  <c r="E157" i="46"/>
  <c r="O156" i="46"/>
  <c r="N156" i="46"/>
  <c r="K156" i="46"/>
  <c r="H156" i="46"/>
  <c r="I156" i="46" s="1"/>
  <c r="F156" i="46"/>
  <c r="E156" i="46"/>
  <c r="N155" i="46"/>
  <c r="K155" i="46"/>
  <c r="L155" i="46" s="1"/>
  <c r="H155" i="46"/>
  <c r="I155" i="46" s="1"/>
  <c r="E155" i="46"/>
  <c r="N154" i="46"/>
  <c r="O154" i="46" s="1"/>
  <c r="K154" i="46"/>
  <c r="L154" i="46" s="1"/>
  <c r="H154" i="46"/>
  <c r="E154" i="46"/>
  <c r="F154" i="46" s="1"/>
  <c r="N153" i="46"/>
  <c r="O153" i="46" s="1"/>
  <c r="K153" i="46"/>
  <c r="H153" i="46"/>
  <c r="I153" i="46" s="1"/>
  <c r="E153" i="46"/>
  <c r="F153" i="46" s="1"/>
  <c r="N152" i="46"/>
  <c r="K152" i="46"/>
  <c r="H152" i="46"/>
  <c r="F152" i="46"/>
  <c r="E152" i="46"/>
  <c r="M150" i="46"/>
  <c r="J150" i="46"/>
  <c r="G150" i="46"/>
  <c r="D150" i="46"/>
  <c r="B150" i="46"/>
  <c r="M149" i="46"/>
  <c r="G149" i="46"/>
  <c r="B145" i="46"/>
  <c r="N144" i="46"/>
  <c r="O144" i="46" s="1"/>
  <c r="K144" i="46"/>
  <c r="L144" i="46" s="1"/>
  <c r="H144" i="46"/>
  <c r="I144" i="46" s="1"/>
  <c r="E144" i="46"/>
  <c r="F144" i="46" s="1"/>
  <c r="N143" i="46"/>
  <c r="O143" i="46" s="1"/>
  <c r="K143" i="46"/>
  <c r="L143" i="46" s="1"/>
  <c r="H143" i="46"/>
  <c r="I143" i="46" s="1"/>
  <c r="F143" i="46"/>
  <c r="E143" i="46"/>
  <c r="N142" i="46"/>
  <c r="O142" i="46" s="1"/>
  <c r="K142" i="46"/>
  <c r="L142" i="46" s="1"/>
  <c r="H142" i="46"/>
  <c r="I142" i="46" s="1"/>
  <c r="E142" i="46"/>
  <c r="F142" i="46" s="1"/>
  <c r="N141" i="46"/>
  <c r="O141" i="46" s="1"/>
  <c r="K141" i="46"/>
  <c r="L141" i="46" s="1"/>
  <c r="H141" i="46"/>
  <c r="I141" i="46" s="1"/>
  <c r="E141" i="46"/>
  <c r="F141" i="46" s="1"/>
  <c r="O140" i="46"/>
  <c r="N140" i="46"/>
  <c r="K140" i="46"/>
  <c r="L140" i="46" s="1"/>
  <c r="H140" i="46"/>
  <c r="I140" i="46" s="1"/>
  <c r="E140" i="46"/>
  <c r="F140" i="46" s="1"/>
  <c r="N139" i="46"/>
  <c r="O139" i="46" s="1"/>
  <c r="K139" i="46"/>
  <c r="L139" i="46" s="1"/>
  <c r="H139" i="46"/>
  <c r="I139" i="46" s="1"/>
  <c r="E139" i="46"/>
  <c r="F139" i="46" s="1"/>
  <c r="N138" i="46"/>
  <c r="O138" i="46" s="1"/>
  <c r="K138" i="46"/>
  <c r="L138" i="46" s="1"/>
  <c r="H138" i="46"/>
  <c r="I138" i="46" s="1"/>
  <c r="E138" i="46"/>
  <c r="F138" i="46" s="1"/>
  <c r="N137" i="46"/>
  <c r="O137" i="46" s="1"/>
  <c r="K137" i="46"/>
  <c r="L137" i="46" s="1"/>
  <c r="H137" i="46"/>
  <c r="I137" i="46" s="1"/>
  <c r="F137" i="46"/>
  <c r="E137" i="46"/>
  <c r="N136" i="46"/>
  <c r="O136" i="46" s="1"/>
  <c r="K136" i="46"/>
  <c r="L136" i="46" s="1"/>
  <c r="H136" i="46"/>
  <c r="I136" i="46" s="1"/>
  <c r="E136" i="46"/>
  <c r="F136" i="46" s="1"/>
  <c r="O135" i="46"/>
  <c r="N135" i="46"/>
  <c r="K135" i="46"/>
  <c r="L135" i="46" s="1"/>
  <c r="H135" i="46"/>
  <c r="I135" i="46" s="1"/>
  <c r="F135" i="46"/>
  <c r="E135" i="46"/>
  <c r="N134" i="46"/>
  <c r="O134" i="46" s="1"/>
  <c r="K134" i="46"/>
  <c r="L134" i="46" s="1"/>
  <c r="H134" i="46"/>
  <c r="I134" i="46" s="1"/>
  <c r="E134" i="46"/>
  <c r="F134" i="46" s="1"/>
  <c r="O133" i="46"/>
  <c r="N133" i="46"/>
  <c r="K133" i="46"/>
  <c r="L133" i="46" s="1"/>
  <c r="H133" i="46"/>
  <c r="I133" i="46" s="1"/>
  <c r="F133" i="46"/>
  <c r="E133" i="46"/>
  <c r="N132" i="46"/>
  <c r="O132" i="46" s="1"/>
  <c r="K132" i="46"/>
  <c r="L132" i="46" s="1"/>
  <c r="H132" i="46"/>
  <c r="I132" i="46" s="1"/>
  <c r="E132" i="46"/>
  <c r="F132" i="46" s="1"/>
  <c r="N131" i="46"/>
  <c r="O131" i="46" s="1"/>
  <c r="K131" i="46"/>
  <c r="L131" i="46" s="1"/>
  <c r="H131" i="46"/>
  <c r="I131" i="46" s="1"/>
  <c r="E131" i="46"/>
  <c r="F131" i="46" s="1"/>
  <c r="N130" i="46"/>
  <c r="O130" i="46" s="1"/>
  <c r="K130" i="46"/>
  <c r="L130" i="46" s="1"/>
  <c r="H130" i="46"/>
  <c r="I130" i="46" s="1"/>
  <c r="E130" i="46"/>
  <c r="F130" i="46" s="1"/>
  <c r="N129" i="46"/>
  <c r="O129" i="46" s="1"/>
  <c r="K129" i="46"/>
  <c r="L129" i="46" s="1"/>
  <c r="H129" i="46"/>
  <c r="I129" i="46" s="1"/>
  <c r="F129" i="46"/>
  <c r="E129" i="46"/>
  <c r="N128" i="46"/>
  <c r="O128" i="46" s="1"/>
  <c r="K128" i="46"/>
  <c r="L128" i="46" s="1"/>
  <c r="H128" i="46"/>
  <c r="I128" i="46" s="1"/>
  <c r="E128" i="46"/>
  <c r="F128" i="46" s="1"/>
  <c r="N127" i="46"/>
  <c r="O127" i="46" s="1"/>
  <c r="K127" i="46"/>
  <c r="L127" i="46" s="1"/>
  <c r="H127" i="46"/>
  <c r="I127" i="46" s="1"/>
  <c r="F127" i="46"/>
  <c r="E127" i="46"/>
  <c r="N126" i="46"/>
  <c r="O126" i="46" s="1"/>
  <c r="K126" i="46"/>
  <c r="L126" i="46" s="1"/>
  <c r="H126" i="46"/>
  <c r="I126" i="46" s="1"/>
  <c r="E126" i="46"/>
  <c r="F126" i="46" s="1"/>
  <c r="N125" i="46"/>
  <c r="L125" i="46"/>
  <c r="K125" i="46"/>
  <c r="H125" i="46"/>
  <c r="E125" i="46"/>
  <c r="M123" i="46"/>
  <c r="J123" i="46"/>
  <c r="G123" i="46"/>
  <c r="D123" i="46"/>
  <c r="B123" i="46"/>
  <c r="M122" i="46"/>
  <c r="G122" i="46"/>
  <c r="B118" i="46"/>
  <c r="N117" i="46"/>
  <c r="K117" i="46"/>
  <c r="H117" i="46"/>
  <c r="E117" i="46"/>
  <c r="N116" i="46"/>
  <c r="K116" i="46"/>
  <c r="H116" i="46"/>
  <c r="E116" i="46"/>
  <c r="N115" i="46"/>
  <c r="K115" i="46"/>
  <c r="H115" i="46"/>
  <c r="E115" i="46"/>
  <c r="N114" i="46"/>
  <c r="K114" i="46"/>
  <c r="H114" i="46"/>
  <c r="E114" i="46"/>
  <c r="N113" i="46"/>
  <c r="K113" i="46"/>
  <c r="H113" i="46"/>
  <c r="E113" i="46"/>
  <c r="N112" i="46"/>
  <c r="K112" i="46"/>
  <c r="H112" i="46"/>
  <c r="E112" i="46"/>
  <c r="N111" i="46"/>
  <c r="K111" i="46"/>
  <c r="H111" i="46"/>
  <c r="E111" i="46"/>
  <c r="N110" i="46"/>
  <c r="K110" i="46"/>
  <c r="H110" i="46"/>
  <c r="E110" i="46"/>
  <c r="N109" i="46"/>
  <c r="K109" i="46"/>
  <c r="H109" i="46"/>
  <c r="E109" i="46"/>
  <c r="N108" i="46"/>
  <c r="K108" i="46"/>
  <c r="H108" i="46"/>
  <c r="E108" i="46"/>
  <c r="N107" i="46"/>
  <c r="K107" i="46"/>
  <c r="H107" i="46"/>
  <c r="E107" i="46"/>
  <c r="N106" i="46"/>
  <c r="K106" i="46"/>
  <c r="H106" i="46"/>
  <c r="E106" i="46"/>
  <c r="N105" i="46"/>
  <c r="K105" i="46"/>
  <c r="H105" i="46"/>
  <c r="I105" i="46" s="1"/>
  <c r="E105" i="46"/>
  <c r="N104" i="46"/>
  <c r="K104" i="46"/>
  <c r="H104" i="46"/>
  <c r="E104" i="46"/>
  <c r="N103" i="46"/>
  <c r="K103" i="46"/>
  <c r="H103" i="46"/>
  <c r="E103" i="46"/>
  <c r="N102" i="46"/>
  <c r="K102" i="46"/>
  <c r="H102" i="46"/>
  <c r="E102" i="46"/>
  <c r="N101" i="46"/>
  <c r="K101" i="46"/>
  <c r="H101" i="46"/>
  <c r="E101" i="46"/>
  <c r="N100" i="46"/>
  <c r="K100" i="46"/>
  <c r="H100" i="46"/>
  <c r="E100" i="46"/>
  <c r="N99" i="46"/>
  <c r="K99" i="46"/>
  <c r="H99" i="46"/>
  <c r="E99" i="46"/>
  <c r="N98" i="46"/>
  <c r="K98" i="46"/>
  <c r="H98" i="46"/>
  <c r="E98" i="46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H90" i="46"/>
  <c r="I90" i="46" s="1"/>
  <c r="E90" i="46"/>
  <c r="F90" i="46" s="1"/>
  <c r="N89" i="46"/>
  <c r="O89" i="46" s="1"/>
  <c r="K89" i="46"/>
  <c r="L89" i="46" s="1"/>
  <c r="H89" i="46"/>
  <c r="I89" i="46" s="1"/>
  <c r="F89" i="46"/>
  <c r="E89" i="46"/>
  <c r="N88" i="46"/>
  <c r="O88" i="46" s="1"/>
  <c r="K88" i="46"/>
  <c r="L88" i="46" s="1"/>
  <c r="H88" i="46"/>
  <c r="I88" i="46" s="1"/>
  <c r="E88" i="46"/>
  <c r="F88" i="46" s="1"/>
  <c r="N87" i="46"/>
  <c r="O87" i="46" s="1"/>
  <c r="K87" i="46"/>
  <c r="L87" i="46" s="1"/>
  <c r="H87" i="46"/>
  <c r="I87" i="46" s="1"/>
  <c r="E87" i="46"/>
  <c r="F87" i="46" s="1"/>
  <c r="O86" i="46"/>
  <c r="N86" i="46"/>
  <c r="K86" i="46"/>
  <c r="L86" i="46" s="1"/>
  <c r="H86" i="46"/>
  <c r="I86" i="46" s="1"/>
  <c r="E86" i="46"/>
  <c r="F86" i="46" s="1"/>
  <c r="N85" i="46"/>
  <c r="O85" i="46" s="1"/>
  <c r="K85" i="46"/>
  <c r="L85" i="46" s="1"/>
  <c r="H85" i="46"/>
  <c r="I85" i="46" s="1"/>
  <c r="E85" i="46"/>
  <c r="F85" i="46" s="1"/>
  <c r="N84" i="46"/>
  <c r="O84" i="46" s="1"/>
  <c r="K84" i="46"/>
  <c r="L84" i="46" s="1"/>
  <c r="H84" i="46"/>
  <c r="I84" i="46" s="1"/>
  <c r="F84" i="46"/>
  <c r="E84" i="46"/>
  <c r="N83" i="46"/>
  <c r="O83" i="46" s="1"/>
  <c r="K83" i="46"/>
  <c r="L83" i="46" s="1"/>
  <c r="H83" i="46"/>
  <c r="I83" i="46" s="1"/>
  <c r="F83" i="46"/>
  <c r="E83" i="46"/>
  <c r="N82" i="46"/>
  <c r="O82" i="46" s="1"/>
  <c r="L82" i="46"/>
  <c r="K82" i="46"/>
  <c r="H82" i="46"/>
  <c r="I82" i="46" s="1"/>
  <c r="F82" i="46"/>
  <c r="E82" i="46"/>
  <c r="N81" i="46"/>
  <c r="O81" i="46" s="1"/>
  <c r="K81" i="46"/>
  <c r="L81" i="46" s="1"/>
  <c r="H81" i="46"/>
  <c r="I81" i="46" s="1"/>
  <c r="E81" i="46"/>
  <c r="F81" i="46" s="1"/>
  <c r="N80" i="46"/>
  <c r="O80" i="46" s="1"/>
  <c r="K80" i="46"/>
  <c r="L80" i="46" s="1"/>
  <c r="H80" i="46"/>
  <c r="I80" i="46" s="1"/>
  <c r="E80" i="46"/>
  <c r="F80" i="46" s="1"/>
  <c r="N79" i="46"/>
  <c r="O79" i="46" s="1"/>
  <c r="K79" i="46"/>
  <c r="L79" i="46" s="1"/>
  <c r="H79" i="46"/>
  <c r="I79" i="46" s="1"/>
  <c r="E79" i="46"/>
  <c r="F79" i="46" s="1"/>
  <c r="N78" i="46"/>
  <c r="O78" i="46" s="1"/>
  <c r="L78" i="46"/>
  <c r="K78" i="46"/>
  <c r="H78" i="46"/>
  <c r="I78" i="46" s="1"/>
  <c r="F78" i="46"/>
  <c r="E78" i="46"/>
  <c r="N77" i="46"/>
  <c r="O77" i="46" s="1"/>
  <c r="K77" i="46"/>
  <c r="L77" i="46" s="1"/>
  <c r="H77" i="46"/>
  <c r="I77" i="46" s="1"/>
  <c r="E77" i="46"/>
  <c r="F77" i="46" s="1"/>
  <c r="N76" i="46"/>
  <c r="O76" i="46" s="1"/>
  <c r="K76" i="46"/>
  <c r="L76" i="46" s="1"/>
  <c r="H76" i="46"/>
  <c r="I76" i="46" s="1"/>
  <c r="E76" i="46"/>
  <c r="F76" i="46" s="1"/>
  <c r="N75" i="46"/>
  <c r="O75" i="46" s="1"/>
  <c r="K75" i="46"/>
  <c r="L75" i="46" s="1"/>
  <c r="H75" i="46"/>
  <c r="I75" i="46" s="1"/>
  <c r="F75" i="46"/>
  <c r="E75" i="46"/>
  <c r="N74" i="46"/>
  <c r="O74" i="46" s="1"/>
  <c r="K74" i="46"/>
  <c r="L74" i="46" s="1"/>
  <c r="H74" i="46"/>
  <c r="I74" i="46" s="1"/>
  <c r="E74" i="46"/>
  <c r="F74" i="46" s="1"/>
  <c r="N73" i="46"/>
  <c r="O73" i="46" s="1"/>
  <c r="K73" i="46"/>
  <c r="L73" i="46" s="1"/>
  <c r="H73" i="46"/>
  <c r="I73" i="46" s="1"/>
  <c r="E73" i="46"/>
  <c r="F73" i="46" s="1"/>
  <c r="O72" i="46"/>
  <c r="N72" i="46"/>
  <c r="K72" i="46"/>
  <c r="L72" i="46" s="1"/>
  <c r="H72" i="46"/>
  <c r="I72" i="46" s="1"/>
  <c r="F72" i="46"/>
  <c r="E72" i="46"/>
  <c r="N71" i="46"/>
  <c r="K71" i="46"/>
  <c r="H71" i="46"/>
  <c r="E71" i="46"/>
  <c r="M69" i="46"/>
  <c r="J69" i="46"/>
  <c r="G69" i="46"/>
  <c r="D69" i="46"/>
  <c r="B69" i="46"/>
  <c r="M68" i="46"/>
  <c r="G68" i="46"/>
  <c r="B64" i="46"/>
  <c r="L63" i="46" s="1"/>
  <c r="O63" i="46"/>
  <c r="N63" i="46"/>
  <c r="K63" i="46"/>
  <c r="H63" i="46"/>
  <c r="I63" i="46" s="1"/>
  <c r="F63" i="46"/>
  <c r="E63" i="46"/>
  <c r="N62" i="46"/>
  <c r="O62" i="46" s="1"/>
  <c r="K62" i="46"/>
  <c r="L62" i="46" s="1"/>
  <c r="H62" i="46"/>
  <c r="I62" i="46" s="1"/>
  <c r="E62" i="46"/>
  <c r="N61" i="46"/>
  <c r="O61" i="46" s="1"/>
  <c r="K61" i="46"/>
  <c r="H61" i="46"/>
  <c r="I61" i="46" s="1"/>
  <c r="E61" i="46"/>
  <c r="F61" i="46" s="1"/>
  <c r="N60" i="46"/>
  <c r="K60" i="46"/>
  <c r="L60" i="46" s="1"/>
  <c r="H60" i="46"/>
  <c r="I60" i="46" s="1"/>
  <c r="F60" i="46"/>
  <c r="E60" i="46"/>
  <c r="N59" i="46"/>
  <c r="O59" i="46" s="1"/>
  <c r="L59" i="46"/>
  <c r="K59" i="46"/>
  <c r="H59" i="46"/>
  <c r="I59" i="46" s="1"/>
  <c r="E59" i="46"/>
  <c r="F59" i="46" s="1"/>
  <c r="N58" i="46"/>
  <c r="K58" i="46"/>
  <c r="L58" i="46" s="1"/>
  <c r="H58" i="46"/>
  <c r="I58" i="46" s="1"/>
  <c r="E58" i="46"/>
  <c r="N57" i="46"/>
  <c r="O57" i="46" s="1"/>
  <c r="K57" i="46"/>
  <c r="L57" i="46" s="1"/>
  <c r="H57" i="46"/>
  <c r="E57" i="46"/>
  <c r="F57" i="46" s="1"/>
  <c r="O56" i="46"/>
  <c r="N56" i="46"/>
  <c r="K56" i="46"/>
  <c r="L56" i="46" s="1"/>
  <c r="H56" i="46"/>
  <c r="I56" i="46" s="1"/>
  <c r="E56" i="46"/>
  <c r="N55" i="46"/>
  <c r="O55" i="46" s="1"/>
  <c r="L55" i="46"/>
  <c r="K55" i="46"/>
  <c r="H55" i="46"/>
  <c r="I55" i="46" s="1"/>
  <c r="F55" i="46"/>
  <c r="E55" i="46"/>
  <c r="N54" i="46"/>
  <c r="K54" i="46"/>
  <c r="L54" i="46" s="1"/>
  <c r="H54" i="46"/>
  <c r="I54" i="46" s="1"/>
  <c r="F54" i="46"/>
  <c r="E54" i="46"/>
  <c r="N53" i="46"/>
  <c r="O53" i="46" s="1"/>
  <c r="K53" i="46"/>
  <c r="L53" i="46" s="1"/>
  <c r="H53" i="46"/>
  <c r="E53" i="46"/>
  <c r="F53" i="46" s="1"/>
  <c r="N52" i="46"/>
  <c r="O52" i="46" s="1"/>
  <c r="K52" i="46"/>
  <c r="H52" i="46"/>
  <c r="I52" i="46" s="1"/>
  <c r="F52" i="46"/>
  <c r="E52" i="46"/>
  <c r="N51" i="46"/>
  <c r="O51" i="46" s="1"/>
  <c r="K51" i="46"/>
  <c r="L51" i="46" s="1"/>
  <c r="H51" i="46"/>
  <c r="E51" i="46"/>
  <c r="F51" i="46" s="1"/>
  <c r="O50" i="46"/>
  <c r="N50" i="46"/>
  <c r="K50" i="46"/>
  <c r="L50" i="46" s="1"/>
  <c r="H50" i="46"/>
  <c r="I50" i="46" s="1"/>
  <c r="F50" i="46"/>
  <c r="E50" i="46"/>
  <c r="N49" i="46"/>
  <c r="O49" i="46" s="1"/>
  <c r="K49" i="46"/>
  <c r="L49" i="46" s="1"/>
  <c r="H49" i="46"/>
  <c r="I49" i="46" s="1"/>
  <c r="E49" i="46"/>
  <c r="O48" i="46"/>
  <c r="N48" i="46"/>
  <c r="K48" i="46"/>
  <c r="H48" i="46"/>
  <c r="I48" i="46" s="1"/>
  <c r="F48" i="46"/>
  <c r="E48" i="46"/>
  <c r="N47" i="46"/>
  <c r="O47" i="46" s="1"/>
  <c r="L47" i="46"/>
  <c r="K47" i="46"/>
  <c r="H47" i="46"/>
  <c r="E47" i="46"/>
  <c r="F47" i="46" s="1"/>
  <c r="N46" i="46"/>
  <c r="O46" i="46" s="1"/>
  <c r="K46" i="46"/>
  <c r="H46" i="46"/>
  <c r="I46" i="46" s="1"/>
  <c r="E46" i="46"/>
  <c r="F46" i="46" s="1"/>
  <c r="N45" i="46"/>
  <c r="K45" i="46"/>
  <c r="L45" i="46" s="1"/>
  <c r="H45" i="46"/>
  <c r="I45" i="46" s="1"/>
  <c r="E45" i="46"/>
  <c r="N44" i="46"/>
  <c r="L44" i="46"/>
  <c r="K44" i="46"/>
  <c r="H44" i="46"/>
  <c r="F44" i="46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K198" i="45"/>
  <c r="H198" i="45"/>
  <c r="E198" i="45"/>
  <c r="N197" i="45"/>
  <c r="K197" i="45"/>
  <c r="H197" i="45"/>
  <c r="E197" i="45"/>
  <c r="N196" i="45"/>
  <c r="K196" i="45"/>
  <c r="H196" i="45"/>
  <c r="E196" i="45"/>
  <c r="N195" i="45"/>
  <c r="K195" i="45"/>
  <c r="H195" i="45"/>
  <c r="E195" i="45"/>
  <c r="N194" i="45"/>
  <c r="K194" i="45"/>
  <c r="H194" i="45"/>
  <c r="E194" i="45"/>
  <c r="N193" i="45"/>
  <c r="K193" i="45"/>
  <c r="H193" i="45"/>
  <c r="E193" i="45"/>
  <c r="N192" i="45"/>
  <c r="K192" i="45"/>
  <c r="H192" i="45"/>
  <c r="E192" i="45"/>
  <c r="N191" i="45"/>
  <c r="K191" i="45"/>
  <c r="H191" i="45"/>
  <c r="F191" i="45"/>
  <c r="E191" i="45"/>
  <c r="N190" i="45"/>
  <c r="K190" i="45"/>
  <c r="H190" i="45"/>
  <c r="I190" i="45" s="1"/>
  <c r="E190" i="45"/>
  <c r="N189" i="45"/>
  <c r="K189" i="45"/>
  <c r="H189" i="45"/>
  <c r="E189" i="45"/>
  <c r="N188" i="45"/>
  <c r="K188" i="45"/>
  <c r="H188" i="45"/>
  <c r="E188" i="45"/>
  <c r="N187" i="45"/>
  <c r="K187" i="45"/>
  <c r="H187" i="45"/>
  <c r="E187" i="45"/>
  <c r="N186" i="45"/>
  <c r="K186" i="45"/>
  <c r="H186" i="45"/>
  <c r="E186" i="45"/>
  <c r="N185" i="45"/>
  <c r="K185" i="45"/>
  <c r="H185" i="45"/>
  <c r="E185" i="45"/>
  <c r="N184" i="45"/>
  <c r="K184" i="45"/>
  <c r="H184" i="45"/>
  <c r="E184" i="45"/>
  <c r="N183" i="45"/>
  <c r="K183" i="45"/>
  <c r="H183" i="45"/>
  <c r="E183" i="45"/>
  <c r="N182" i="45"/>
  <c r="K182" i="45"/>
  <c r="H182" i="45"/>
  <c r="E182" i="45"/>
  <c r="N181" i="45"/>
  <c r="K181" i="45"/>
  <c r="H181" i="45"/>
  <c r="E181" i="45"/>
  <c r="N180" i="45"/>
  <c r="K180" i="45"/>
  <c r="H180" i="45"/>
  <c r="E180" i="45"/>
  <c r="N179" i="45"/>
  <c r="K179" i="45"/>
  <c r="H179" i="45"/>
  <c r="E179" i="45"/>
  <c r="M177" i="45"/>
  <c r="J177" i="45"/>
  <c r="G177" i="45"/>
  <c r="D177" i="45"/>
  <c r="B177" i="45"/>
  <c r="M176" i="45"/>
  <c r="G176" i="45"/>
  <c r="B172" i="45"/>
  <c r="N171" i="45"/>
  <c r="O171" i="45" s="1"/>
  <c r="K171" i="45"/>
  <c r="H171" i="45"/>
  <c r="I171" i="45" s="1"/>
  <c r="F171" i="45"/>
  <c r="E171" i="45"/>
  <c r="N170" i="45"/>
  <c r="K170" i="45"/>
  <c r="L170" i="45" s="1"/>
  <c r="H170" i="45"/>
  <c r="I170" i="45" s="1"/>
  <c r="E170" i="45"/>
  <c r="N169" i="45"/>
  <c r="O169" i="45" s="1"/>
  <c r="K169" i="45"/>
  <c r="L169" i="45" s="1"/>
  <c r="H169" i="45"/>
  <c r="E169" i="45"/>
  <c r="N168" i="45"/>
  <c r="O168" i="45" s="1"/>
  <c r="K168" i="45"/>
  <c r="H168" i="45"/>
  <c r="E168" i="45"/>
  <c r="F168" i="45" s="1"/>
  <c r="N167" i="45"/>
  <c r="K167" i="45"/>
  <c r="H167" i="45"/>
  <c r="I167" i="45" s="1"/>
  <c r="E167" i="45"/>
  <c r="N166" i="45"/>
  <c r="O166" i="45" s="1"/>
  <c r="K166" i="45"/>
  <c r="L166" i="45" s="1"/>
  <c r="H166" i="45"/>
  <c r="E166" i="45"/>
  <c r="O165" i="45"/>
  <c r="N165" i="45"/>
  <c r="K165" i="45"/>
  <c r="H165" i="45"/>
  <c r="I165" i="45" s="1"/>
  <c r="F165" i="45"/>
  <c r="E165" i="45"/>
  <c r="N164" i="45"/>
  <c r="K164" i="45"/>
  <c r="L164" i="45" s="1"/>
  <c r="H164" i="45"/>
  <c r="I164" i="45" s="1"/>
  <c r="E164" i="45"/>
  <c r="N163" i="45"/>
  <c r="O163" i="45" s="1"/>
  <c r="K163" i="45"/>
  <c r="H163" i="45"/>
  <c r="I163" i="45" s="1"/>
  <c r="F163" i="45"/>
  <c r="E163" i="45"/>
  <c r="N162" i="45"/>
  <c r="K162" i="45"/>
  <c r="L162" i="45" s="1"/>
  <c r="H162" i="45"/>
  <c r="I162" i="45" s="1"/>
  <c r="E162" i="45"/>
  <c r="N161" i="45"/>
  <c r="O161" i="45" s="1"/>
  <c r="K161" i="45"/>
  <c r="L161" i="45" s="1"/>
  <c r="H161" i="45"/>
  <c r="E161" i="45"/>
  <c r="N160" i="45"/>
  <c r="O160" i="45" s="1"/>
  <c r="K160" i="45"/>
  <c r="H160" i="45"/>
  <c r="F160" i="45"/>
  <c r="E160" i="45"/>
  <c r="N159" i="45"/>
  <c r="K159" i="45"/>
  <c r="L159" i="45" s="1"/>
  <c r="I159" i="45"/>
  <c r="H159" i="45"/>
  <c r="E159" i="45"/>
  <c r="N158" i="45"/>
  <c r="O158" i="45" s="1"/>
  <c r="K158" i="45"/>
  <c r="H158" i="45"/>
  <c r="F158" i="45"/>
  <c r="E158" i="45"/>
  <c r="N157" i="45"/>
  <c r="K157" i="45"/>
  <c r="L157" i="45" s="1"/>
  <c r="H157" i="45"/>
  <c r="E157" i="45"/>
  <c r="F157" i="45" s="1"/>
  <c r="N156" i="45"/>
  <c r="K156" i="45"/>
  <c r="H156" i="45"/>
  <c r="I156" i="45" s="1"/>
  <c r="E156" i="45"/>
  <c r="N155" i="45"/>
  <c r="O155" i="45" s="1"/>
  <c r="K155" i="45"/>
  <c r="L155" i="45" s="1"/>
  <c r="H155" i="45"/>
  <c r="F155" i="45"/>
  <c r="E155" i="45"/>
  <c r="N154" i="45"/>
  <c r="K154" i="45"/>
  <c r="I154" i="45"/>
  <c r="H154" i="45"/>
  <c r="E154" i="45"/>
  <c r="N153" i="45"/>
  <c r="O153" i="45" s="1"/>
  <c r="K153" i="45"/>
  <c r="H153" i="45"/>
  <c r="F153" i="45"/>
  <c r="E153" i="45"/>
  <c r="N152" i="45"/>
  <c r="K152" i="45"/>
  <c r="I152" i="45"/>
  <c r="H152" i="45"/>
  <c r="E152" i="45"/>
  <c r="M150" i="45"/>
  <c r="J150" i="45"/>
  <c r="G150" i="45"/>
  <c r="D150" i="45"/>
  <c r="B150" i="45"/>
  <c r="M149" i="45"/>
  <c r="G149" i="45"/>
  <c r="B145" i="45"/>
  <c r="N144" i="45"/>
  <c r="O144" i="45" s="1"/>
  <c r="K144" i="45"/>
  <c r="H144" i="45"/>
  <c r="E144" i="45"/>
  <c r="F144" i="45" s="1"/>
  <c r="N143" i="45"/>
  <c r="L143" i="45"/>
  <c r="K143" i="45"/>
  <c r="H143" i="45"/>
  <c r="E143" i="45"/>
  <c r="N142" i="45"/>
  <c r="O142" i="45" s="1"/>
  <c r="K142" i="45"/>
  <c r="H142" i="45"/>
  <c r="E142" i="45"/>
  <c r="F142" i="45" s="1"/>
  <c r="N141" i="45"/>
  <c r="K141" i="45"/>
  <c r="H141" i="45"/>
  <c r="I141" i="45" s="1"/>
  <c r="F141" i="45"/>
  <c r="E141" i="45"/>
  <c r="N140" i="45"/>
  <c r="K140" i="45"/>
  <c r="L140" i="45" s="1"/>
  <c r="H140" i="45"/>
  <c r="I140" i="45" s="1"/>
  <c r="E140" i="45"/>
  <c r="N139" i="45"/>
  <c r="O139" i="45" s="1"/>
  <c r="K139" i="45"/>
  <c r="H139" i="45"/>
  <c r="I139" i="45" s="1"/>
  <c r="F139" i="45"/>
  <c r="E139" i="45"/>
  <c r="N138" i="45"/>
  <c r="K138" i="45"/>
  <c r="L138" i="45" s="1"/>
  <c r="H138" i="45"/>
  <c r="E138" i="45"/>
  <c r="N137" i="45"/>
  <c r="O137" i="45" s="1"/>
  <c r="K137" i="45"/>
  <c r="H137" i="45"/>
  <c r="E137" i="45"/>
  <c r="F137" i="45" s="1"/>
  <c r="N136" i="45"/>
  <c r="K136" i="45"/>
  <c r="L136" i="45" s="1"/>
  <c r="H136" i="45"/>
  <c r="I136" i="45" s="1"/>
  <c r="E136" i="45"/>
  <c r="N135" i="45"/>
  <c r="O135" i="45" s="1"/>
  <c r="L135" i="45"/>
  <c r="K135" i="45"/>
  <c r="H135" i="45"/>
  <c r="E135" i="45"/>
  <c r="F135" i="45" s="1"/>
  <c r="N134" i="45"/>
  <c r="K134" i="45"/>
  <c r="H134" i="45"/>
  <c r="I134" i="45" s="1"/>
  <c r="F134" i="45"/>
  <c r="E134" i="45"/>
  <c r="N133" i="45"/>
  <c r="K133" i="45"/>
  <c r="L133" i="45" s="1"/>
  <c r="H133" i="45"/>
  <c r="I133" i="45" s="1"/>
  <c r="E133" i="45"/>
  <c r="N132" i="45"/>
  <c r="O132" i="45" s="1"/>
  <c r="K132" i="45"/>
  <c r="L132" i="45" s="1"/>
  <c r="H132" i="45"/>
  <c r="E132" i="45"/>
  <c r="N131" i="45"/>
  <c r="O131" i="45" s="1"/>
  <c r="K131" i="45"/>
  <c r="H131" i="45"/>
  <c r="I131" i="45" s="1"/>
  <c r="F131" i="45"/>
  <c r="E131" i="45"/>
  <c r="N130" i="45"/>
  <c r="K130" i="45"/>
  <c r="L130" i="45" s="1"/>
  <c r="H130" i="45"/>
  <c r="I130" i="45" s="1"/>
  <c r="E130" i="45"/>
  <c r="N129" i="45"/>
  <c r="O129" i="45" s="1"/>
  <c r="K129" i="45"/>
  <c r="H129" i="45"/>
  <c r="E129" i="45"/>
  <c r="F129" i="45" s="1"/>
  <c r="N128" i="45"/>
  <c r="K128" i="45"/>
  <c r="H128" i="45"/>
  <c r="I128" i="45" s="1"/>
  <c r="F128" i="45"/>
  <c r="E128" i="45"/>
  <c r="N127" i="45"/>
  <c r="L127" i="45"/>
  <c r="K127" i="45"/>
  <c r="H127" i="45"/>
  <c r="F127" i="45"/>
  <c r="E127" i="45"/>
  <c r="N126" i="45"/>
  <c r="K126" i="45"/>
  <c r="H126" i="45"/>
  <c r="I126" i="45" s="1"/>
  <c r="F126" i="45"/>
  <c r="E126" i="45"/>
  <c r="N125" i="45"/>
  <c r="K125" i="45"/>
  <c r="H125" i="45"/>
  <c r="E125" i="45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E117" i="45"/>
  <c r="F117" i="45" s="1"/>
  <c r="N116" i="45"/>
  <c r="O116" i="45" s="1"/>
  <c r="L116" i="45"/>
  <c r="K116" i="45"/>
  <c r="H116" i="45"/>
  <c r="I116" i="45" s="1"/>
  <c r="F116" i="45"/>
  <c r="E116" i="45"/>
  <c r="N115" i="45"/>
  <c r="O115" i="45" s="1"/>
  <c r="K115" i="45"/>
  <c r="L115" i="45" s="1"/>
  <c r="H115" i="45"/>
  <c r="I115" i="45" s="1"/>
  <c r="E115" i="45"/>
  <c r="F115" i="45" s="1"/>
  <c r="O114" i="45"/>
  <c r="N114" i="45"/>
  <c r="K114" i="45"/>
  <c r="L114" i="45" s="1"/>
  <c r="H114" i="45"/>
  <c r="I114" i="45" s="1"/>
  <c r="F114" i="45"/>
  <c r="E114" i="45"/>
  <c r="N113" i="45"/>
  <c r="O113" i="45" s="1"/>
  <c r="K113" i="45"/>
  <c r="L113" i="45" s="1"/>
  <c r="H113" i="45"/>
  <c r="I113" i="45" s="1"/>
  <c r="E113" i="45"/>
  <c r="F113" i="45" s="1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E111" i="45"/>
  <c r="F111" i="45" s="1"/>
  <c r="N110" i="45"/>
  <c r="O110" i="45" s="1"/>
  <c r="K110" i="45"/>
  <c r="L110" i="45" s="1"/>
  <c r="H110" i="45"/>
  <c r="I110" i="45" s="1"/>
  <c r="F110" i="45"/>
  <c r="E110" i="45"/>
  <c r="N109" i="45"/>
  <c r="O109" i="45" s="1"/>
  <c r="K109" i="45"/>
  <c r="L109" i="45" s="1"/>
  <c r="H109" i="45"/>
  <c r="I109" i="45" s="1"/>
  <c r="F109" i="45"/>
  <c r="E109" i="45"/>
  <c r="N108" i="45"/>
  <c r="O108" i="45" s="1"/>
  <c r="L108" i="45"/>
  <c r="K108" i="45"/>
  <c r="H108" i="45"/>
  <c r="I108" i="45" s="1"/>
  <c r="E108" i="45"/>
  <c r="F108" i="45" s="1"/>
  <c r="O107" i="45"/>
  <c r="N107" i="45"/>
  <c r="K107" i="45"/>
  <c r="L107" i="45" s="1"/>
  <c r="H107" i="45"/>
  <c r="I107" i="45" s="1"/>
  <c r="F107" i="45"/>
  <c r="E107" i="45"/>
  <c r="N106" i="45"/>
  <c r="O106" i="45" s="1"/>
  <c r="K106" i="45"/>
  <c r="L106" i="45" s="1"/>
  <c r="H106" i="45"/>
  <c r="I106" i="45" s="1"/>
  <c r="E106" i="45"/>
  <c r="F106" i="45" s="1"/>
  <c r="O105" i="45"/>
  <c r="N105" i="45"/>
  <c r="K105" i="45"/>
  <c r="L105" i="45" s="1"/>
  <c r="H105" i="45"/>
  <c r="I105" i="45" s="1"/>
  <c r="F105" i="45"/>
  <c r="E105" i="45"/>
  <c r="N104" i="45"/>
  <c r="O104" i="45" s="1"/>
  <c r="L104" i="45"/>
  <c r="K104" i="45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K102" i="45"/>
  <c r="L102" i="45" s="1"/>
  <c r="H102" i="45"/>
  <c r="I102" i="45" s="1"/>
  <c r="F102" i="45"/>
  <c r="E102" i="45"/>
  <c r="N101" i="45"/>
  <c r="O101" i="45" s="1"/>
  <c r="L101" i="45"/>
  <c r="K101" i="45"/>
  <c r="H101" i="45"/>
  <c r="I101" i="45" s="1"/>
  <c r="F101" i="45"/>
  <c r="E101" i="45"/>
  <c r="O100" i="45"/>
  <c r="N100" i="45"/>
  <c r="L100" i="45"/>
  <c r="K100" i="45"/>
  <c r="H100" i="45"/>
  <c r="I100" i="45" s="1"/>
  <c r="E100" i="45"/>
  <c r="F100" i="45" s="1"/>
  <c r="N99" i="45"/>
  <c r="O99" i="45" s="1"/>
  <c r="K99" i="45"/>
  <c r="L99" i="45" s="1"/>
  <c r="H99" i="45"/>
  <c r="I99" i="45" s="1"/>
  <c r="E99" i="45"/>
  <c r="F99" i="45" s="1"/>
  <c r="N98" i="45"/>
  <c r="K98" i="45"/>
  <c r="H98" i="45"/>
  <c r="F98" i="45"/>
  <c r="E98" i="45"/>
  <c r="M96" i="45"/>
  <c r="J96" i="45"/>
  <c r="G96" i="45"/>
  <c r="D96" i="45"/>
  <c r="B96" i="45"/>
  <c r="M95" i="45"/>
  <c r="G95" i="45"/>
  <c r="B91" i="45"/>
  <c r="N90" i="45"/>
  <c r="K90" i="45"/>
  <c r="L90" i="45" s="1"/>
  <c r="H90" i="45"/>
  <c r="I90" i="45" s="1"/>
  <c r="F90" i="45"/>
  <c r="E90" i="45"/>
  <c r="N89" i="45"/>
  <c r="O89" i="45" s="1"/>
  <c r="L89" i="45"/>
  <c r="K89" i="45"/>
  <c r="H89" i="45"/>
  <c r="E89" i="45"/>
  <c r="F89" i="45" s="1"/>
  <c r="O88" i="45"/>
  <c r="N88" i="45"/>
  <c r="K88" i="45"/>
  <c r="L88" i="45" s="1"/>
  <c r="H88" i="45"/>
  <c r="I88" i="45" s="1"/>
  <c r="F88" i="45"/>
  <c r="E88" i="45"/>
  <c r="N87" i="45"/>
  <c r="O87" i="45" s="1"/>
  <c r="K87" i="45"/>
  <c r="L87" i="45" s="1"/>
  <c r="H87" i="45"/>
  <c r="E87" i="45"/>
  <c r="F87" i="45" s="1"/>
  <c r="O86" i="45"/>
  <c r="N86" i="45"/>
  <c r="K86" i="45"/>
  <c r="L86" i="45" s="1"/>
  <c r="H86" i="45"/>
  <c r="I86" i="45" s="1"/>
  <c r="F86" i="45"/>
  <c r="E86" i="45"/>
  <c r="N85" i="45"/>
  <c r="O85" i="45" s="1"/>
  <c r="L85" i="45"/>
  <c r="K85" i="45"/>
  <c r="H85" i="45"/>
  <c r="I85" i="45" s="1"/>
  <c r="F85" i="45"/>
  <c r="E85" i="45"/>
  <c r="N84" i="45"/>
  <c r="K84" i="45"/>
  <c r="L84" i="45" s="1"/>
  <c r="H84" i="45"/>
  <c r="I84" i="45" s="1"/>
  <c r="F84" i="45"/>
  <c r="E84" i="45"/>
  <c r="N83" i="45"/>
  <c r="O83" i="45" s="1"/>
  <c r="K83" i="45"/>
  <c r="L83" i="45" s="1"/>
  <c r="H83" i="45"/>
  <c r="I83" i="45" s="1"/>
  <c r="E83" i="45"/>
  <c r="N82" i="45"/>
  <c r="O82" i="45" s="1"/>
  <c r="K82" i="45"/>
  <c r="L82" i="45" s="1"/>
  <c r="H82" i="45"/>
  <c r="E82" i="45"/>
  <c r="F82" i="45" s="1"/>
  <c r="N81" i="45"/>
  <c r="O81" i="45" s="1"/>
  <c r="K81" i="45"/>
  <c r="H81" i="45"/>
  <c r="I81" i="45" s="1"/>
  <c r="F81" i="45"/>
  <c r="E81" i="45"/>
  <c r="N80" i="45"/>
  <c r="O80" i="45" s="1"/>
  <c r="K80" i="45"/>
  <c r="L80" i="45" s="1"/>
  <c r="H80" i="45"/>
  <c r="E80" i="45"/>
  <c r="F80" i="45" s="1"/>
  <c r="O79" i="45"/>
  <c r="N79" i="45"/>
  <c r="K79" i="45"/>
  <c r="L79" i="45" s="1"/>
  <c r="H79" i="45"/>
  <c r="I79" i="45" s="1"/>
  <c r="F79" i="45"/>
  <c r="E79" i="45"/>
  <c r="N78" i="45"/>
  <c r="O78" i="45" s="1"/>
  <c r="K78" i="45"/>
  <c r="L78" i="45" s="1"/>
  <c r="H78" i="45"/>
  <c r="F78" i="45"/>
  <c r="E78" i="45"/>
  <c r="N77" i="45"/>
  <c r="K77" i="45"/>
  <c r="L77" i="45" s="1"/>
  <c r="I77" i="45"/>
  <c r="H77" i="45"/>
  <c r="E77" i="45"/>
  <c r="O76" i="45"/>
  <c r="N76" i="45"/>
  <c r="K76" i="45"/>
  <c r="H76" i="45"/>
  <c r="I76" i="45" s="1"/>
  <c r="F76" i="45"/>
  <c r="E76" i="45"/>
  <c r="N75" i="45"/>
  <c r="O75" i="45" s="1"/>
  <c r="K75" i="45"/>
  <c r="L75" i="45" s="1"/>
  <c r="I75" i="45"/>
  <c r="H75" i="45"/>
  <c r="E75" i="45"/>
  <c r="F75" i="45" s="1"/>
  <c r="O74" i="45"/>
  <c r="N74" i="45"/>
  <c r="K74" i="45"/>
  <c r="L74" i="45" s="1"/>
  <c r="I74" i="45"/>
  <c r="H74" i="45"/>
  <c r="E74" i="45"/>
  <c r="N73" i="45"/>
  <c r="O73" i="45" s="1"/>
  <c r="K73" i="45"/>
  <c r="L73" i="45" s="1"/>
  <c r="H73" i="45"/>
  <c r="F73" i="45"/>
  <c r="E73" i="45"/>
  <c r="N72" i="45"/>
  <c r="K72" i="45"/>
  <c r="L72" i="45" s="1"/>
  <c r="I72" i="45"/>
  <c r="H72" i="45"/>
  <c r="F72" i="45"/>
  <c r="E72" i="45"/>
  <c r="N71" i="45"/>
  <c r="K71" i="45"/>
  <c r="H71" i="45"/>
  <c r="H91" i="45" s="1"/>
  <c r="F71" i="45"/>
  <c r="E71" i="45"/>
  <c r="M69" i="45"/>
  <c r="J69" i="45"/>
  <c r="G69" i="45"/>
  <c r="D69" i="45"/>
  <c r="B69" i="45"/>
  <c r="M68" i="45"/>
  <c r="G68" i="45"/>
  <c r="B64" i="45"/>
  <c r="N63" i="45"/>
  <c r="L63" i="45"/>
  <c r="K63" i="45"/>
  <c r="H63" i="45"/>
  <c r="I63" i="45" s="1"/>
  <c r="E63" i="45"/>
  <c r="N62" i="45"/>
  <c r="O62" i="45" s="1"/>
  <c r="K62" i="45"/>
  <c r="H62" i="45"/>
  <c r="E62" i="45"/>
  <c r="F62" i="45" s="1"/>
  <c r="N61" i="45"/>
  <c r="K61" i="45"/>
  <c r="L61" i="45" s="1"/>
  <c r="H61" i="45"/>
  <c r="I61" i="45" s="1"/>
  <c r="E61" i="45"/>
  <c r="N60" i="45"/>
  <c r="O60" i="45" s="1"/>
  <c r="K60" i="45"/>
  <c r="L60" i="45" s="1"/>
  <c r="H60" i="45"/>
  <c r="E60" i="45"/>
  <c r="N59" i="45"/>
  <c r="O59" i="45" s="1"/>
  <c r="K59" i="45"/>
  <c r="H59" i="45"/>
  <c r="I59" i="45" s="1"/>
  <c r="F59" i="45"/>
  <c r="E59" i="45"/>
  <c r="N58" i="45"/>
  <c r="K58" i="45"/>
  <c r="L58" i="45" s="1"/>
  <c r="H58" i="45"/>
  <c r="I58" i="45" s="1"/>
  <c r="E58" i="45"/>
  <c r="N57" i="45"/>
  <c r="K57" i="45"/>
  <c r="L57" i="45" s="1"/>
  <c r="H57" i="45"/>
  <c r="F57" i="45"/>
  <c r="E57" i="45"/>
  <c r="N56" i="45"/>
  <c r="O56" i="45" s="1"/>
  <c r="K56" i="45"/>
  <c r="H56" i="45"/>
  <c r="I56" i="45" s="1"/>
  <c r="E56" i="45"/>
  <c r="N55" i="45"/>
  <c r="L55" i="45"/>
  <c r="K55" i="45"/>
  <c r="H55" i="45"/>
  <c r="I55" i="45" s="1"/>
  <c r="E55" i="45"/>
  <c r="O54" i="45"/>
  <c r="N54" i="45"/>
  <c r="K54" i="45"/>
  <c r="H54" i="45"/>
  <c r="I54" i="45" s="1"/>
  <c r="F54" i="45"/>
  <c r="E54" i="45"/>
  <c r="N53" i="45"/>
  <c r="K53" i="45"/>
  <c r="L53" i="45" s="1"/>
  <c r="H53" i="45"/>
  <c r="I53" i="45" s="1"/>
  <c r="F53" i="45"/>
  <c r="E53" i="45"/>
  <c r="N52" i="45"/>
  <c r="O52" i="45" s="1"/>
  <c r="K52" i="45"/>
  <c r="L52" i="45" s="1"/>
  <c r="H52" i="45"/>
  <c r="E52" i="45"/>
  <c r="F52" i="45" s="1"/>
  <c r="N51" i="45"/>
  <c r="O51" i="45" s="1"/>
  <c r="K51" i="45"/>
  <c r="H51" i="45"/>
  <c r="I51" i="45" s="1"/>
  <c r="F51" i="45"/>
  <c r="E51" i="45"/>
  <c r="N50" i="45"/>
  <c r="O50" i="45" s="1"/>
  <c r="K50" i="45"/>
  <c r="L50" i="45" s="1"/>
  <c r="H50" i="45"/>
  <c r="I50" i="45" s="1"/>
  <c r="E50" i="45"/>
  <c r="N49" i="45"/>
  <c r="O49" i="45" s="1"/>
  <c r="K49" i="45"/>
  <c r="L49" i="45" s="1"/>
  <c r="H49" i="45"/>
  <c r="E49" i="45"/>
  <c r="F49" i="45" s="1"/>
  <c r="N48" i="45"/>
  <c r="O48" i="45" s="1"/>
  <c r="K48" i="45"/>
  <c r="H48" i="45"/>
  <c r="I48" i="45" s="1"/>
  <c r="E48" i="45"/>
  <c r="F48" i="45" s="1"/>
  <c r="N47" i="45"/>
  <c r="K47" i="45"/>
  <c r="L47" i="45" s="1"/>
  <c r="H47" i="45"/>
  <c r="I47" i="45" s="1"/>
  <c r="E47" i="45"/>
  <c r="N46" i="45"/>
  <c r="O46" i="45" s="1"/>
  <c r="K46" i="45"/>
  <c r="L46" i="45" s="1"/>
  <c r="H46" i="45"/>
  <c r="F46" i="45"/>
  <c r="E46" i="45"/>
  <c r="O45" i="45"/>
  <c r="N45" i="45"/>
  <c r="K45" i="45"/>
  <c r="L45" i="45" s="1"/>
  <c r="H45" i="45"/>
  <c r="I45" i="45" s="1"/>
  <c r="F45" i="45"/>
  <c r="E45" i="45"/>
  <c r="N44" i="45"/>
  <c r="K44" i="45"/>
  <c r="H44" i="45"/>
  <c r="E44" i="45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E198" i="44"/>
  <c r="F198" i="44" s="1"/>
  <c r="N197" i="44"/>
  <c r="O197" i="44" s="1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E195" i="44"/>
  <c r="F195" i="44" s="1"/>
  <c r="N194" i="44"/>
  <c r="O194" i="44" s="1"/>
  <c r="L194" i="44"/>
  <c r="K194" i="44"/>
  <c r="H194" i="44"/>
  <c r="I194" i="44" s="1"/>
  <c r="E194" i="44"/>
  <c r="F194" i="44" s="1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E192" i="44"/>
  <c r="F192" i="44" s="1"/>
  <c r="N191" i="44"/>
  <c r="O191" i="44" s="1"/>
  <c r="K191" i="44"/>
  <c r="L191" i="44" s="1"/>
  <c r="H191" i="44"/>
  <c r="I191" i="44" s="1"/>
  <c r="F191" i="44"/>
  <c r="E191" i="44"/>
  <c r="N190" i="44"/>
  <c r="O190" i="44" s="1"/>
  <c r="K190" i="44"/>
  <c r="L190" i="44" s="1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E188" i="44"/>
  <c r="F188" i="44" s="1"/>
  <c r="O187" i="44"/>
  <c r="N187" i="44"/>
  <c r="K187" i="44"/>
  <c r="L187" i="44" s="1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E184" i="44"/>
  <c r="F184" i="44" s="1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E182" i="44"/>
  <c r="F182" i="44" s="1"/>
  <c r="N181" i="44"/>
  <c r="O181" i="44" s="1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N179" i="44"/>
  <c r="K179" i="44"/>
  <c r="H179" i="44"/>
  <c r="F179" i="44"/>
  <c r="E179" i="44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E166" i="44"/>
  <c r="F166" i="44" s="1"/>
  <c r="N165" i="44"/>
  <c r="O165" i="44" s="1"/>
  <c r="K165" i="44"/>
  <c r="L165" i="44" s="1"/>
  <c r="H165" i="44"/>
  <c r="I165" i="44" s="1"/>
  <c r="E165" i="44"/>
  <c r="F165" i="44" s="1"/>
  <c r="O164" i="44"/>
  <c r="N164" i="44"/>
  <c r="K164" i="44"/>
  <c r="L164" i="44" s="1"/>
  <c r="H164" i="44"/>
  <c r="I164" i="44" s="1"/>
  <c r="E164" i="44"/>
  <c r="F164" i="44" s="1"/>
  <c r="N163" i="44"/>
  <c r="O163" i="44" s="1"/>
  <c r="K163" i="44"/>
  <c r="L163" i="44" s="1"/>
  <c r="H163" i="44"/>
  <c r="I163" i="44" s="1"/>
  <c r="F163" i="44"/>
  <c r="E163" i="44"/>
  <c r="N162" i="44"/>
  <c r="O162" i="44" s="1"/>
  <c r="K162" i="44"/>
  <c r="L162" i="44" s="1"/>
  <c r="H162" i="44"/>
  <c r="I162" i="44" s="1"/>
  <c r="E162" i="44"/>
  <c r="F162" i="44" s="1"/>
  <c r="O161" i="44"/>
  <c r="N161" i="44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N159" i="44"/>
  <c r="O159" i="44" s="1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E158" i="44"/>
  <c r="F158" i="44" s="1"/>
  <c r="N157" i="44"/>
  <c r="O157" i="44" s="1"/>
  <c r="K157" i="44"/>
  <c r="L157" i="44" s="1"/>
  <c r="H157" i="44"/>
  <c r="I157" i="44" s="1"/>
  <c r="F157" i="44"/>
  <c r="E157" i="44"/>
  <c r="O156" i="44"/>
  <c r="N156" i="44"/>
  <c r="K156" i="44"/>
  <c r="L156" i="44" s="1"/>
  <c r="H156" i="44"/>
  <c r="I156" i="44" s="1"/>
  <c r="F156" i="44"/>
  <c r="E156" i="44"/>
  <c r="N155" i="44"/>
  <c r="O155" i="44" s="1"/>
  <c r="K155" i="44"/>
  <c r="L155" i="44" s="1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E153" i="44"/>
  <c r="F153" i="44" s="1"/>
  <c r="O152" i="44"/>
  <c r="N152" i="44"/>
  <c r="K152" i="44"/>
  <c r="H152" i="44"/>
  <c r="F152" i="44"/>
  <c r="E152" i="44"/>
  <c r="M150" i="44"/>
  <c r="J150" i="44"/>
  <c r="G150" i="44"/>
  <c r="D150" i="44"/>
  <c r="B150" i="44"/>
  <c r="M149" i="44"/>
  <c r="G149" i="44"/>
  <c r="B145" i="44"/>
  <c r="N144" i="44"/>
  <c r="L144" i="44"/>
  <c r="K144" i="44"/>
  <c r="H144" i="44"/>
  <c r="I144" i="44" s="1"/>
  <c r="E144" i="44"/>
  <c r="N143" i="44"/>
  <c r="O143" i="44" s="1"/>
  <c r="K143" i="44"/>
  <c r="L143" i="44" s="1"/>
  <c r="H143" i="44"/>
  <c r="F143" i="44"/>
  <c r="E143" i="44"/>
  <c r="O142" i="44"/>
  <c r="N142" i="44"/>
  <c r="K142" i="44"/>
  <c r="L142" i="44" s="1"/>
  <c r="H142" i="44"/>
  <c r="I142" i="44" s="1"/>
  <c r="F142" i="44"/>
  <c r="E142" i="44"/>
  <c r="N141" i="44"/>
  <c r="O141" i="44" s="1"/>
  <c r="K141" i="44"/>
  <c r="L141" i="44" s="1"/>
  <c r="H141" i="44"/>
  <c r="I141" i="44" s="1"/>
  <c r="E141" i="44"/>
  <c r="O140" i="44"/>
  <c r="N140" i="44"/>
  <c r="K140" i="44"/>
  <c r="H140" i="44"/>
  <c r="I140" i="44" s="1"/>
  <c r="F140" i="44"/>
  <c r="E140" i="44"/>
  <c r="N139" i="44"/>
  <c r="O139" i="44" s="1"/>
  <c r="K139" i="44"/>
  <c r="L139" i="44" s="1"/>
  <c r="H139" i="44"/>
  <c r="I139" i="44" s="1"/>
  <c r="E139" i="44"/>
  <c r="N138" i="44"/>
  <c r="O138" i="44" s="1"/>
  <c r="K138" i="44"/>
  <c r="L138" i="44" s="1"/>
  <c r="H138" i="44"/>
  <c r="F138" i="44"/>
  <c r="E138" i="44"/>
  <c r="N137" i="44"/>
  <c r="O137" i="44" s="1"/>
  <c r="K137" i="44"/>
  <c r="H137" i="44"/>
  <c r="I137" i="44" s="1"/>
  <c r="F137" i="44"/>
  <c r="E137" i="44"/>
  <c r="N136" i="44"/>
  <c r="L136" i="44"/>
  <c r="K136" i="44"/>
  <c r="H136" i="44"/>
  <c r="I136" i="44" s="1"/>
  <c r="E136" i="44"/>
  <c r="O135" i="44"/>
  <c r="N135" i="44"/>
  <c r="K135" i="44"/>
  <c r="H135" i="44"/>
  <c r="I135" i="44" s="1"/>
  <c r="F135" i="44"/>
  <c r="E135" i="44"/>
  <c r="N134" i="44"/>
  <c r="K134" i="44"/>
  <c r="L134" i="44" s="1"/>
  <c r="H134" i="44"/>
  <c r="I134" i="44" s="1"/>
  <c r="E134" i="44"/>
  <c r="N133" i="44"/>
  <c r="O133" i="44" s="1"/>
  <c r="K133" i="44"/>
  <c r="H133" i="44"/>
  <c r="I133" i="44" s="1"/>
  <c r="E133" i="44"/>
  <c r="F133" i="44" s="1"/>
  <c r="N132" i="44"/>
  <c r="L132" i="44"/>
  <c r="K132" i="44"/>
  <c r="H132" i="44"/>
  <c r="F132" i="44"/>
  <c r="E132" i="44"/>
  <c r="N131" i="44"/>
  <c r="O131" i="44" s="1"/>
  <c r="K131" i="44"/>
  <c r="H131" i="44"/>
  <c r="I131" i="44" s="1"/>
  <c r="F131" i="44"/>
  <c r="E131" i="44"/>
  <c r="N130" i="44"/>
  <c r="K130" i="44"/>
  <c r="L130" i="44" s="1"/>
  <c r="H130" i="44"/>
  <c r="I130" i="44" s="1"/>
  <c r="F130" i="44"/>
  <c r="E130" i="44"/>
  <c r="N129" i="44"/>
  <c r="O129" i="44" s="1"/>
  <c r="K129" i="44"/>
  <c r="L129" i="44" s="1"/>
  <c r="H129" i="44"/>
  <c r="I129" i="44" s="1"/>
  <c r="E129" i="44"/>
  <c r="N128" i="44"/>
  <c r="O128" i="44" s="1"/>
  <c r="L128" i="44"/>
  <c r="K128" i="44"/>
  <c r="H128" i="44"/>
  <c r="I128" i="44" s="1"/>
  <c r="F128" i="44"/>
  <c r="E128" i="44"/>
  <c r="N127" i="44"/>
  <c r="K127" i="44"/>
  <c r="L127" i="44" s="1"/>
  <c r="H127" i="44"/>
  <c r="I127" i="44" s="1"/>
  <c r="E127" i="44"/>
  <c r="N126" i="44"/>
  <c r="O126" i="44" s="1"/>
  <c r="K126" i="44"/>
  <c r="H126" i="44"/>
  <c r="I126" i="44" s="1"/>
  <c r="E126" i="44"/>
  <c r="F126" i="44" s="1"/>
  <c r="N125" i="44"/>
  <c r="K125" i="44"/>
  <c r="H125" i="44"/>
  <c r="F125" i="44"/>
  <c r="E125" i="44"/>
  <c r="M123" i="44"/>
  <c r="J123" i="44"/>
  <c r="G123" i="44"/>
  <c r="D123" i="44"/>
  <c r="B123" i="44"/>
  <c r="M122" i="44"/>
  <c r="G122" i="44"/>
  <c r="B118" i="44"/>
  <c r="O117" i="44"/>
  <c r="N117" i="44"/>
  <c r="L117" i="44"/>
  <c r="K117" i="44"/>
  <c r="H117" i="44"/>
  <c r="I117" i="44" s="1"/>
  <c r="E117" i="44"/>
  <c r="F117" i="44" s="1"/>
  <c r="N116" i="44"/>
  <c r="O116" i="44" s="1"/>
  <c r="K116" i="44"/>
  <c r="L116" i="44" s="1"/>
  <c r="H116" i="44"/>
  <c r="I116" i="44" s="1"/>
  <c r="E116" i="44"/>
  <c r="F116" i="44" s="1"/>
  <c r="N115" i="44"/>
  <c r="O115" i="44" s="1"/>
  <c r="K115" i="44"/>
  <c r="L115" i="44" s="1"/>
  <c r="H115" i="44"/>
  <c r="I115" i="44" s="1"/>
  <c r="F115" i="44"/>
  <c r="E115" i="44"/>
  <c r="N114" i="44"/>
  <c r="O114" i="44" s="1"/>
  <c r="K114" i="44"/>
  <c r="L114" i="44" s="1"/>
  <c r="I114" i="44"/>
  <c r="H114" i="44"/>
  <c r="E114" i="44"/>
  <c r="F114" i="44" s="1"/>
  <c r="O113" i="44"/>
  <c r="N113" i="44"/>
  <c r="K113" i="44"/>
  <c r="L113" i="44" s="1"/>
  <c r="H113" i="44"/>
  <c r="I113" i="44" s="1"/>
  <c r="F113" i="44"/>
  <c r="E113" i="44"/>
  <c r="N112" i="44"/>
  <c r="O112" i="44" s="1"/>
  <c r="K112" i="44"/>
  <c r="L112" i="44" s="1"/>
  <c r="I112" i="44"/>
  <c r="H112" i="44"/>
  <c r="E112" i="44"/>
  <c r="F112" i="44" s="1"/>
  <c r="N111" i="44"/>
  <c r="O111" i="44" s="1"/>
  <c r="K111" i="44"/>
  <c r="L111" i="44" s="1"/>
  <c r="H111" i="44"/>
  <c r="I111" i="44" s="1"/>
  <c r="F111" i="44"/>
  <c r="E111" i="44"/>
  <c r="N110" i="44"/>
  <c r="O110" i="44" s="1"/>
  <c r="K110" i="44"/>
  <c r="L110" i="44" s="1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K108" i="44"/>
  <c r="L108" i="44" s="1"/>
  <c r="H108" i="44"/>
  <c r="I108" i="44" s="1"/>
  <c r="F108" i="44"/>
  <c r="E108" i="44"/>
  <c r="N107" i="44"/>
  <c r="O107" i="44" s="1"/>
  <c r="K107" i="44"/>
  <c r="L107" i="44" s="1"/>
  <c r="I107" i="44"/>
  <c r="H107" i="44"/>
  <c r="E107" i="44"/>
  <c r="F107" i="44" s="1"/>
  <c r="O106" i="44"/>
  <c r="N106" i="44"/>
  <c r="K106" i="44"/>
  <c r="L106" i="44" s="1"/>
  <c r="I106" i="44"/>
  <c r="H106" i="44"/>
  <c r="E106" i="44"/>
  <c r="F106" i="44" s="1"/>
  <c r="N105" i="44"/>
  <c r="O105" i="44" s="1"/>
  <c r="K105" i="44"/>
  <c r="L105" i="44" s="1"/>
  <c r="H105" i="44"/>
  <c r="I105" i="44" s="1"/>
  <c r="F105" i="44"/>
  <c r="E105" i="44"/>
  <c r="N104" i="44"/>
  <c r="O104" i="44" s="1"/>
  <c r="K104" i="44"/>
  <c r="L104" i="44" s="1"/>
  <c r="H104" i="44"/>
  <c r="I104" i="44" s="1"/>
  <c r="F104" i="44"/>
  <c r="E104" i="44"/>
  <c r="N103" i="44"/>
  <c r="O103" i="44" s="1"/>
  <c r="L103" i="44"/>
  <c r="K103" i="44"/>
  <c r="H103" i="44"/>
  <c r="I103" i="44" s="1"/>
  <c r="E103" i="44"/>
  <c r="F103" i="44" s="1"/>
  <c r="N102" i="44"/>
  <c r="O102" i="44" s="1"/>
  <c r="K102" i="44"/>
  <c r="L102" i="44" s="1"/>
  <c r="H102" i="44"/>
  <c r="I102" i="44" s="1"/>
  <c r="E102" i="44"/>
  <c r="F102" i="44" s="1"/>
  <c r="O101" i="44"/>
  <c r="N101" i="44"/>
  <c r="K101" i="44"/>
  <c r="L101" i="44" s="1"/>
  <c r="H101" i="44"/>
  <c r="I101" i="44" s="1"/>
  <c r="F101" i="44"/>
  <c r="E101" i="44"/>
  <c r="N100" i="44"/>
  <c r="O100" i="44" s="1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F99" i="44"/>
  <c r="E99" i="44"/>
  <c r="N98" i="44"/>
  <c r="K98" i="44"/>
  <c r="H98" i="44"/>
  <c r="E98" i="44"/>
  <c r="M96" i="44"/>
  <c r="J96" i="44"/>
  <c r="G96" i="44"/>
  <c r="D96" i="44"/>
  <c r="B96" i="44"/>
  <c r="M95" i="44"/>
  <c r="G95" i="44"/>
  <c r="B91" i="44"/>
  <c r="F89" i="44" s="1"/>
  <c r="N90" i="44"/>
  <c r="K90" i="44"/>
  <c r="H90" i="44"/>
  <c r="F90" i="44"/>
  <c r="E90" i="44"/>
  <c r="N89" i="44"/>
  <c r="K89" i="44"/>
  <c r="H89" i="44"/>
  <c r="I89" i="44" s="1"/>
  <c r="E89" i="44"/>
  <c r="N88" i="44"/>
  <c r="L88" i="44"/>
  <c r="K88" i="44"/>
  <c r="H88" i="44"/>
  <c r="E88" i="44"/>
  <c r="O87" i="44"/>
  <c r="N87" i="44"/>
  <c r="K87" i="44"/>
  <c r="H87" i="44"/>
  <c r="F87" i="44"/>
  <c r="E87" i="44"/>
  <c r="N86" i="44"/>
  <c r="K86" i="44"/>
  <c r="H86" i="44"/>
  <c r="I86" i="44" s="1"/>
  <c r="E86" i="44"/>
  <c r="O85" i="44"/>
  <c r="N85" i="44"/>
  <c r="K85" i="44"/>
  <c r="H85" i="44"/>
  <c r="F85" i="44"/>
  <c r="E85" i="44"/>
  <c r="N84" i="44"/>
  <c r="K84" i="44"/>
  <c r="H84" i="44"/>
  <c r="I84" i="44" s="1"/>
  <c r="E84" i="44"/>
  <c r="N83" i="44"/>
  <c r="O83" i="44" s="1"/>
  <c r="K83" i="44"/>
  <c r="H83" i="44"/>
  <c r="E83" i="44"/>
  <c r="N82" i="44"/>
  <c r="O82" i="44" s="1"/>
  <c r="K82" i="44"/>
  <c r="H82" i="44"/>
  <c r="E82" i="44"/>
  <c r="N81" i="44"/>
  <c r="K81" i="44"/>
  <c r="L81" i="44" s="1"/>
  <c r="H81" i="44"/>
  <c r="E81" i="44"/>
  <c r="N80" i="44"/>
  <c r="O80" i="44" s="1"/>
  <c r="K80" i="44"/>
  <c r="H80" i="44"/>
  <c r="E80" i="44"/>
  <c r="N79" i="44"/>
  <c r="K79" i="44"/>
  <c r="L79" i="44" s="1"/>
  <c r="H79" i="44"/>
  <c r="E79" i="44"/>
  <c r="N78" i="44"/>
  <c r="K78" i="44"/>
  <c r="H78" i="44"/>
  <c r="F78" i="44"/>
  <c r="E78" i="44"/>
  <c r="N77" i="44"/>
  <c r="K77" i="44"/>
  <c r="H77" i="44"/>
  <c r="E77" i="44"/>
  <c r="N76" i="44"/>
  <c r="K76" i="44"/>
  <c r="H76" i="44"/>
  <c r="F76" i="44"/>
  <c r="E76" i="44"/>
  <c r="N75" i="44"/>
  <c r="K75" i="44"/>
  <c r="H75" i="44"/>
  <c r="I75" i="44" s="1"/>
  <c r="E75" i="44"/>
  <c r="N74" i="44"/>
  <c r="O74" i="44" s="1"/>
  <c r="K74" i="44"/>
  <c r="H74" i="44"/>
  <c r="E74" i="44"/>
  <c r="N73" i="44"/>
  <c r="O73" i="44" s="1"/>
  <c r="K73" i="44"/>
  <c r="H73" i="44"/>
  <c r="I73" i="44" s="1"/>
  <c r="E73" i="44"/>
  <c r="N72" i="44"/>
  <c r="K72" i="44"/>
  <c r="L72" i="44" s="1"/>
  <c r="H72" i="44"/>
  <c r="E72" i="44"/>
  <c r="N71" i="44"/>
  <c r="K71" i="44"/>
  <c r="H71" i="44"/>
  <c r="F71" i="44"/>
  <c r="E71" i="44"/>
  <c r="M69" i="44"/>
  <c r="J69" i="44"/>
  <c r="G69" i="44"/>
  <c r="D69" i="44"/>
  <c r="B69" i="44"/>
  <c r="M68" i="44"/>
  <c r="G68" i="44"/>
  <c r="B64" i="44"/>
  <c r="N63" i="44"/>
  <c r="K63" i="44"/>
  <c r="L63" i="44" s="1"/>
  <c r="H63" i="44"/>
  <c r="I63" i="44" s="1"/>
  <c r="E63" i="44"/>
  <c r="N62" i="44"/>
  <c r="O62" i="44" s="1"/>
  <c r="L62" i="44"/>
  <c r="K62" i="44"/>
  <c r="H62" i="44"/>
  <c r="F62" i="44"/>
  <c r="E62" i="44"/>
  <c r="N61" i="44"/>
  <c r="K61" i="44"/>
  <c r="H61" i="44"/>
  <c r="I61" i="44" s="1"/>
  <c r="F61" i="44"/>
  <c r="E61" i="44"/>
  <c r="N60" i="44"/>
  <c r="K60" i="44"/>
  <c r="L60" i="44" s="1"/>
  <c r="H60" i="44"/>
  <c r="I60" i="44" s="1"/>
  <c r="E60" i="44"/>
  <c r="N59" i="44"/>
  <c r="O59" i="44" s="1"/>
  <c r="K59" i="44"/>
  <c r="L59" i="44" s="1"/>
  <c r="H59" i="44"/>
  <c r="E59" i="44"/>
  <c r="N58" i="44"/>
  <c r="O58" i="44" s="1"/>
  <c r="K58" i="44"/>
  <c r="H58" i="44"/>
  <c r="I58" i="44" s="1"/>
  <c r="F58" i="44"/>
  <c r="E58" i="44"/>
  <c r="N57" i="44"/>
  <c r="K57" i="44"/>
  <c r="L57" i="44" s="1"/>
  <c r="H57" i="44"/>
  <c r="I57" i="44" s="1"/>
  <c r="E57" i="44"/>
  <c r="O56" i="44"/>
  <c r="N56" i="44"/>
  <c r="K56" i="44"/>
  <c r="H56" i="44"/>
  <c r="I56" i="44" s="1"/>
  <c r="F56" i="44"/>
  <c r="E56" i="44"/>
  <c r="N55" i="44"/>
  <c r="K55" i="44"/>
  <c r="L55" i="44" s="1"/>
  <c r="H55" i="44"/>
  <c r="I55" i="44" s="1"/>
  <c r="E55" i="44"/>
  <c r="N54" i="44"/>
  <c r="O54" i="44" s="1"/>
  <c r="L54" i="44"/>
  <c r="K54" i="44"/>
  <c r="H54" i="44"/>
  <c r="F54" i="44"/>
  <c r="E54" i="44"/>
  <c r="N53" i="44"/>
  <c r="K53" i="44"/>
  <c r="L53" i="44" s="1"/>
  <c r="H53" i="44"/>
  <c r="I53" i="44" s="1"/>
  <c r="E53" i="44"/>
  <c r="N52" i="44"/>
  <c r="O52" i="44" s="1"/>
  <c r="K52" i="44"/>
  <c r="L52" i="44" s="1"/>
  <c r="H52" i="44"/>
  <c r="E52" i="44"/>
  <c r="O51" i="44"/>
  <c r="N51" i="44"/>
  <c r="K51" i="44"/>
  <c r="H51" i="44"/>
  <c r="I51" i="44" s="1"/>
  <c r="F51" i="44"/>
  <c r="E51" i="44"/>
  <c r="N50" i="44"/>
  <c r="K50" i="44"/>
  <c r="L50" i="44" s="1"/>
  <c r="H50" i="44"/>
  <c r="E50" i="44"/>
  <c r="N49" i="44"/>
  <c r="O49" i="44" s="1"/>
  <c r="K49" i="44"/>
  <c r="H49" i="44"/>
  <c r="F49" i="44"/>
  <c r="E49" i="44"/>
  <c r="N48" i="44"/>
  <c r="K48" i="44"/>
  <c r="H48" i="44"/>
  <c r="I48" i="44" s="1"/>
  <c r="F48" i="44"/>
  <c r="E48" i="44"/>
  <c r="N47" i="44"/>
  <c r="K47" i="44"/>
  <c r="L47" i="44" s="1"/>
  <c r="H47" i="44"/>
  <c r="I47" i="44" s="1"/>
  <c r="E47" i="44"/>
  <c r="N46" i="44"/>
  <c r="O46" i="44" s="1"/>
  <c r="L46" i="44"/>
  <c r="K46" i="44"/>
  <c r="H46" i="44"/>
  <c r="E46" i="44"/>
  <c r="F46" i="44" s="1"/>
  <c r="N45" i="44"/>
  <c r="K45" i="44"/>
  <c r="H45" i="44"/>
  <c r="I45" i="44" s="1"/>
  <c r="F45" i="44"/>
  <c r="E45" i="44"/>
  <c r="N44" i="44"/>
  <c r="K44" i="44"/>
  <c r="H44" i="44"/>
  <c r="E44" i="44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H198" i="43"/>
  <c r="I198" i="43" s="1"/>
  <c r="E198" i="43"/>
  <c r="F198" i="43" s="1"/>
  <c r="O197" i="43"/>
  <c r="N197" i="43"/>
  <c r="K197" i="43"/>
  <c r="L197" i="43" s="1"/>
  <c r="H197" i="43"/>
  <c r="I197" i="43" s="1"/>
  <c r="F197" i="43"/>
  <c r="E197" i="43"/>
  <c r="N196" i="43"/>
  <c r="O196" i="43" s="1"/>
  <c r="K196" i="43"/>
  <c r="L196" i="43" s="1"/>
  <c r="H196" i="43"/>
  <c r="I196" i="43" s="1"/>
  <c r="E196" i="43"/>
  <c r="F196" i="43" s="1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K192" i="43"/>
  <c r="L192" i="43" s="1"/>
  <c r="H192" i="43"/>
  <c r="I192" i="43" s="1"/>
  <c r="E192" i="43"/>
  <c r="F192" i="43" s="1"/>
  <c r="N191" i="43"/>
  <c r="O191" i="43" s="1"/>
  <c r="K191" i="43"/>
  <c r="L191" i="43" s="1"/>
  <c r="H191" i="43"/>
  <c r="I191" i="43" s="1"/>
  <c r="F191" i="43"/>
  <c r="E191" i="43"/>
  <c r="N190" i="43"/>
  <c r="O190" i="43" s="1"/>
  <c r="K190" i="43"/>
  <c r="L190" i="43" s="1"/>
  <c r="H190" i="43"/>
  <c r="I190" i="43" s="1"/>
  <c r="F190" i="43"/>
  <c r="E190" i="43"/>
  <c r="N189" i="43"/>
  <c r="O189" i="43" s="1"/>
  <c r="K189" i="43"/>
  <c r="L189" i="43" s="1"/>
  <c r="H189" i="43"/>
  <c r="I189" i="43" s="1"/>
  <c r="E189" i="43"/>
  <c r="F189" i="43" s="1"/>
  <c r="O188" i="43"/>
  <c r="N188" i="43"/>
  <c r="K188" i="43"/>
  <c r="L188" i="43" s="1"/>
  <c r="H188" i="43"/>
  <c r="I188" i="43" s="1"/>
  <c r="F188" i="43"/>
  <c r="E188" i="43"/>
  <c r="N187" i="43"/>
  <c r="O187" i="43" s="1"/>
  <c r="K187" i="43"/>
  <c r="L187" i="43" s="1"/>
  <c r="H187" i="43"/>
  <c r="I187" i="43" s="1"/>
  <c r="E187" i="43"/>
  <c r="F187" i="43" s="1"/>
  <c r="O186" i="43"/>
  <c r="N186" i="43"/>
  <c r="K186" i="43"/>
  <c r="L186" i="43" s="1"/>
  <c r="I186" i="43"/>
  <c r="H186" i="43"/>
  <c r="E186" i="43"/>
  <c r="F186" i="43" s="1"/>
  <c r="O185" i="43"/>
  <c r="N185" i="43"/>
  <c r="K185" i="43"/>
  <c r="L185" i="43" s="1"/>
  <c r="I185" i="43"/>
  <c r="H185" i="43"/>
  <c r="E185" i="43"/>
  <c r="F185" i="43" s="1"/>
  <c r="O184" i="43"/>
  <c r="N184" i="43"/>
  <c r="K184" i="43"/>
  <c r="L184" i="43" s="1"/>
  <c r="I184" i="43"/>
  <c r="H184" i="43"/>
  <c r="E184" i="43"/>
  <c r="F184" i="43" s="1"/>
  <c r="O183" i="43"/>
  <c r="N183" i="43"/>
  <c r="K183" i="43"/>
  <c r="L183" i="43" s="1"/>
  <c r="I183" i="43"/>
  <c r="H183" i="43"/>
  <c r="E183" i="43"/>
  <c r="F183" i="43" s="1"/>
  <c r="O182" i="43"/>
  <c r="N182" i="43"/>
  <c r="K182" i="43"/>
  <c r="L182" i="43" s="1"/>
  <c r="I182" i="43"/>
  <c r="H182" i="43"/>
  <c r="E182" i="43"/>
  <c r="F182" i="43" s="1"/>
  <c r="O181" i="43"/>
  <c r="N181" i="43"/>
  <c r="K181" i="43"/>
  <c r="L181" i="43" s="1"/>
  <c r="I181" i="43"/>
  <c r="H181" i="43"/>
  <c r="E181" i="43"/>
  <c r="F181" i="43" s="1"/>
  <c r="O180" i="43"/>
  <c r="N180" i="43"/>
  <c r="K180" i="43"/>
  <c r="L180" i="43" s="1"/>
  <c r="I180" i="43"/>
  <c r="H180" i="43"/>
  <c r="E180" i="43"/>
  <c r="F180" i="43" s="1"/>
  <c r="O179" i="43"/>
  <c r="N179" i="43"/>
  <c r="K179" i="43"/>
  <c r="L179" i="43" s="1"/>
  <c r="I179" i="43"/>
  <c r="H179" i="43"/>
  <c r="E179" i="43"/>
  <c r="M177" i="43"/>
  <c r="J177" i="43"/>
  <c r="G177" i="43"/>
  <c r="D177" i="43"/>
  <c r="B177" i="43"/>
  <c r="M176" i="43"/>
  <c r="G176" i="43"/>
  <c r="B172" i="43"/>
  <c r="N171" i="43"/>
  <c r="L171" i="43"/>
  <c r="K171" i="43"/>
  <c r="H171" i="43"/>
  <c r="E171" i="43"/>
  <c r="N170" i="43"/>
  <c r="O170" i="43" s="1"/>
  <c r="K170" i="43"/>
  <c r="H170" i="43"/>
  <c r="E170" i="43"/>
  <c r="N169" i="43"/>
  <c r="K169" i="43"/>
  <c r="H169" i="43"/>
  <c r="E169" i="43"/>
  <c r="N168" i="43"/>
  <c r="K168" i="43"/>
  <c r="H168" i="43"/>
  <c r="E168" i="43"/>
  <c r="N167" i="43"/>
  <c r="K167" i="43"/>
  <c r="H167" i="43"/>
  <c r="E167" i="43"/>
  <c r="N166" i="43"/>
  <c r="K166" i="43"/>
  <c r="L166" i="43" s="1"/>
  <c r="H166" i="43"/>
  <c r="E166" i="43"/>
  <c r="N165" i="43"/>
  <c r="K165" i="43"/>
  <c r="H165" i="43"/>
  <c r="F165" i="43"/>
  <c r="E165" i="43"/>
  <c r="N164" i="43"/>
  <c r="K164" i="43"/>
  <c r="H164" i="43"/>
  <c r="I164" i="43" s="1"/>
  <c r="E164" i="43"/>
  <c r="O163" i="43"/>
  <c r="N163" i="43"/>
  <c r="K163" i="43"/>
  <c r="H163" i="43"/>
  <c r="F163" i="43"/>
  <c r="E163" i="43"/>
  <c r="N162" i="43"/>
  <c r="K162" i="43"/>
  <c r="H162" i="43"/>
  <c r="I162" i="43" s="1"/>
  <c r="E162" i="43"/>
  <c r="O161" i="43"/>
  <c r="N161" i="43"/>
  <c r="K161" i="43"/>
  <c r="H161" i="43"/>
  <c r="F161" i="43"/>
  <c r="E161" i="43"/>
  <c r="N160" i="43"/>
  <c r="K160" i="43"/>
  <c r="H160" i="43"/>
  <c r="I160" i="43" s="1"/>
  <c r="E160" i="43"/>
  <c r="N159" i="43"/>
  <c r="O159" i="43" s="1"/>
  <c r="K159" i="43"/>
  <c r="H159" i="43"/>
  <c r="E159" i="43"/>
  <c r="N158" i="43"/>
  <c r="K158" i="43"/>
  <c r="H158" i="43"/>
  <c r="E158" i="43"/>
  <c r="N157" i="43"/>
  <c r="K157" i="43"/>
  <c r="L157" i="43" s="1"/>
  <c r="H157" i="43"/>
  <c r="E157" i="43"/>
  <c r="N156" i="43"/>
  <c r="L156" i="43"/>
  <c r="K156" i="43"/>
  <c r="H156" i="43"/>
  <c r="E156" i="43"/>
  <c r="N155" i="43"/>
  <c r="K155" i="43"/>
  <c r="H155" i="43"/>
  <c r="E155" i="43"/>
  <c r="N154" i="43"/>
  <c r="K154" i="43"/>
  <c r="H154" i="43"/>
  <c r="E154" i="43"/>
  <c r="N153" i="43"/>
  <c r="K153" i="43"/>
  <c r="L153" i="43" s="1"/>
  <c r="H153" i="43"/>
  <c r="E153" i="43"/>
  <c r="N152" i="43"/>
  <c r="K152" i="43"/>
  <c r="H152" i="43"/>
  <c r="E152" i="43"/>
  <c r="M150" i="43"/>
  <c r="J150" i="43"/>
  <c r="G150" i="43"/>
  <c r="D150" i="43"/>
  <c r="B150" i="43"/>
  <c r="M149" i="43"/>
  <c r="G149" i="43"/>
  <c r="B145" i="43"/>
  <c r="O140" i="43" s="1"/>
  <c r="N144" i="43"/>
  <c r="K144" i="43"/>
  <c r="H144" i="43"/>
  <c r="F144" i="43"/>
  <c r="E144" i="43"/>
  <c r="N143" i="43"/>
  <c r="K143" i="43"/>
  <c r="H143" i="43"/>
  <c r="E143" i="43"/>
  <c r="N142" i="43"/>
  <c r="K142" i="43"/>
  <c r="H142" i="43"/>
  <c r="E142" i="43"/>
  <c r="N141" i="43"/>
  <c r="K141" i="43"/>
  <c r="H141" i="43"/>
  <c r="E141" i="43"/>
  <c r="N140" i="43"/>
  <c r="K140" i="43"/>
  <c r="H140" i="43"/>
  <c r="E140" i="43"/>
  <c r="N139" i="43"/>
  <c r="K139" i="43"/>
  <c r="H139" i="43"/>
  <c r="E139" i="43"/>
  <c r="N138" i="43"/>
  <c r="K138" i="43"/>
  <c r="H138" i="43"/>
  <c r="E138" i="43"/>
  <c r="N137" i="43"/>
  <c r="K137" i="43"/>
  <c r="H137" i="43"/>
  <c r="E137" i="43"/>
  <c r="N136" i="43"/>
  <c r="K136" i="43"/>
  <c r="H136" i="43"/>
  <c r="E136" i="43"/>
  <c r="N135" i="43"/>
  <c r="K135" i="43"/>
  <c r="H135" i="43"/>
  <c r="E135" i="43"/>
  <c r="N134" i="43"/>
  <c r="K134" i="43"/>
  <c r="H134" i="43"/>
  <c r="E134" i="43"/>
  <c r="N133" i="43"/>
  <c r="K133" i="43"/>
  <c r="H133" i="43"/>
  <c r="E133" i="43"/>
  <c r="N132" i="43"/>
  <c r="K132" i="43"/>
  <c r="H132" i="43"/>
  <c r="E132" i="43"/>
  <c r="N131" i="43"/>
  <c r="K131" i="43"/>
  <c r="H131" i="43"/>
  <c r="E131" i="43"/>
  <c r="N130" i="43"/>
  <c r="K130" i="43"/>
  <c r="H130" i="43"/>
  <c r="E130" i="43"/>
  <c r="N129" i="43"/>
  <c r="K129" i="43"/>
  <c r="H129" i="43"/>
  <c r="E129" i="43"/>
  <c r="N128" i="43"/>
  <c r="K128" i="43"/>
  <c r="H128" i="43"/>
  <c r="E128" i="43"/>
  <c r="N127" i="43"/>
  <c r="K127" i="43"/>
  <c r="H127" i="43"/>
  <c r="E127" i="43"/>
  <c r="N126" i="43"/>
  <c r="K126" i="43"/>
  <c r="H126" i="43"/>
  <c r="E126" i="43"/>
  <c r="N125" i="43"/>
  <c r="K125" i="43"/>
  <c r="H125" i="43"/>
  <c r="E125" i="43"/>
  <c r="M123" i="43"/>
  <c r="J123" i="43"/>
  <c r="G123" i="43"/>
  <c r="D123" i="43"/>
  <c r="B123" i="43"/>
  <c r="M122" i="43"/>
  <c r="G122" i="43"/>
  <c r="B118" i="43"/>
  <c r="L116" i="43" s="1"/>
  <c r="N117" i="43"/>
  <c r="K117" i="43"/>
  <c r="H117" i="43"/>
  <c r="I117" i="43" s="1"/>
  <c r="E117" i="43"/>
  <c r="N116" i="43"/>
  <c r="O116" i="43" s="1"/>
  <c r="K116" i="43"/>
  <c r="H116" i="43"/>
  <c r="F116" i="43"/>
  <c r="E116" i="43"/>
  <c r="N115" i="43"/>
  <c r="K115" i="43"/>
  <c r="L115" i="43" s="1"/>
  <c r="H115" i="43"/>
  <c r="I115" i="43" s="1"/>
  <c r="E115" i="43"/>
  <c r="N114" i="43"/>
  <c r="O114" i="43" s="1"/>
  <c r="K114" i="43"/>
  <c r="L114" i="43" s="1"/>
  <c r="H114" i="43"/>
  <c r="E114" i="43"/>
  <c r="O113" i="43"/>
  <c r="N113" i="43"/>
  <c r="K113" i="43"/>
  <c r="H113" i="43"/>
  <c r="E113" i="43"/>
  <c r="N112" i="43"/>
  <c r="O112" i="43" s="1"/>
  <c r="L112" i="43"/>
  <c r="K112" i="43"/>
  <c r="H112" i="43"/>
  <c r="E112" i="43"/>
  <c r="F112" i="43" s="1"/>
  <c r="N111" i="43"/>
  <c r="K111" i="43"/>
  <c r="H111" i="43"/>
  <c r="I111" i="43" s="1"/>
  <c r="E111" i="43"/>
  <c r="N110" i="43"/>
  <c r="O110" i="43" s="1"/>
  <c r="K110" i="43"/>
  <c r="L110" i="43" s="1"/>
  <c r="H110" i="43"/>
  <c r="E110" i="43"/>
  <c r="N109" i="43"/>
  <c r="K109" i="43"/>
  <c r="L109" i="43" s="1"/>
  <c r="H109" i="43"/>
  <c r="E109" i="43"/>
  <c r="N108" i="43"/>
  <c r="O108" i="43" s="1"/>
  <c r="K108" i="43"/>
  <c r="H108" i="43"/>
  <c r="F108" i="43"/>
  <c r="E108" i="43"/>
  <c r="N107" i="43"/>
  <c r="K107" i="43"/>
  <c r="L107" i="43" s="1"/>
  <c r="H107" i="43"/>
  <c r="I107" i="43" s="1"/>
  <c r="E107" i="43"/>
  <c r="N106" i="43"/>
  <c r="K106" i="43"/>
  <c r="H106" i="43"/>
  <c r="E106" i="43"/>
  <c r="N105" i="43"/>
  <c r="K105" i="43"/>
  <c r="H105" i="43"/>
  <c r="E105" i="43"/>
  <c r="N104" i="43"/>
  <c r="O104" i="43" s="1"/>
  <c r="K104" i="43"/>
  <c r="H104" i="43"/>
  <c r="I104" i="43" s="1"/>
  <c r="F104" i="43"/>
  <c r="E104" i="43"/>
  <c r="N103" i="43"/>
  <c r="K103" i="43"/>
  <c r="L103" i="43" s="1"/>
  <c r="H103" i="43"/>
  <c r="E103" i="43"/>
  <c r="N102" i="43"/>
  <c r="K102" i="43"/>
  <c r="H102" i="43"/>
  <c r="F102" i="43"/>
  <c r="E102" i="43"/>
  <c r="N101" i="43"/>
  <c r="K101" i="43"/>
  <c r="L101" i="43" s="1"/>
  <c r="H101" i="43"/>
  <c r="E101" i="43"/>
  <c r="N100" i="43"/>
  <c r="O100" i="43" s="1"/>
  <c r="K100" i="43"/>
  <c r="H100" i="43"/>
  <c r="F100" i="43"/>
  <c r="E100" i="43"/>
  <c r="N99" i="43"/>
  <c r="K99" i="43"/>
  <c r="H99" i="43"/>
  <c r="I99" i="43" s="1"/>
  <c r="E99" i="43"/>
  <c r="O98" i="43"/>
  <c r="N98" i="43"/>
  <c r="K98" i="43"/>
  <c r="H98" i="43"/>
  <c r="F98" i="43"/>
  <c r="E98" i="43"/>
  <c r="M96" i="43"/>
  <c r="J96" i="43"/>
  <c r="G96" i="43"/>
  <c r="D96" i="43"/>
  <c r="B96" i="43"/>
  <c r="M95" i="43"/>
  <c r="G95" i="43"/>
  <c r="B91" i="43"/>
  <c r="N90" i="43"/>
  <c r="K90" i="43"/>
  <c r="H90" i="43"/>
  <c r="I90" i="43" s="1"/>
  <c r="E90" i="43"/>
  <c r="N89" i="43"/>
  <c r="O89" i="43" s="1"/>
  <c r="K89" i="43"/>
  <c r="L89" i="43" s="1"/>
  <c r="H89" i="43"/>
  <c r="E89" i="43"/>
  <c r="N88" i="43"/>
  <c r="O88" i="43" s="1"/>
  <c r="K88" i="43"/>
  <c r="H88" i="43"/>
  <c r="E88" i="43"/>
  <c r="F88" i="43" s="1"/>
  <c r="N87" i="43"/>
  <c r="K87" i="43"/>
  <c r="H87" i="43"/>
  <c r="I87" i="43" s="1"/>
  <c r="F87" i="43"/>
  <c r="E87" i="43"/>
  <c r="N86" i="43"/>
  <c r="K86" i="43"/>
  <c r="L86" i="43" s="1"/>
  <c r="H86" i="43"/>
  <c r="E86" i="43"/>
  <c r="N85" i="43"/>
  <c r="O85" i="43" s="1"/>
  <c r="K85" i="43"/>
  <c r="H85" i="43"/>
  <c r="F85" i="43"/>
  <c r="E85" i="43"/>
  <c r="N84" i="43"/>
  <c r="K84" i="43"/>
  <c r="L84" i="43" s="1"/>
  <c r="H84" i="43"/>
  <c r="I84" i="43" s="1"/>
  <c r="E84" i="43"/>
  <c r="N83" i="43"/>
  <c r="O83" i="43" s="1"/>
  <c r="K83" i="43"/>
  <c r="L83" i="43" s="1"/>
  <c r="H83" i="43"/>
  <c r="E83" i="43"/>
  <c r="O82" i="43"/>
  <c r="N82" i="43"/>
  <c r="K82" i="43"/>
  <c r="H82" i="43"/>
  <c r="I82" i="43" s="1"/>
  <c r="E82" i="43"/>
  <c r="N81" i="43"/>
  <c r="O81" i="43" s="1"/>
  <c r="K81" i="43"/>
  <c r="L81" i="43" s="1"/>
  <c r="H81" i="43"/>
  <c r="E81" i="43"/>
  <c r="N80" i="43"/>
  <c r="O80" i="43" s="1"/>
  <c r="K80" i="43"/>
  <c r="H80" i="43"/>
  <c r="F80" i="43"/>
  <c r="E80" i="43"/>
  <c r="N79" i="43"/>
  <c r="K79" i="43"/>
  <c r="H79" i="43"/>
  <c r="I79" i="43" s="1"/>
  <c r="F79" i="43"/>
  <c r="E79" i="43"/>
  <c r="N78" i="43"/>
  <c r="L78" i="43"/>
  <c r="K78" i="43"/>
  <c r="H78" i="43"/>
  <c r="E78" i="43"/>
  <c r="O77" i="43"/>
  <c r="N77" i="43"/>
  <c r="K77" i="43"/>
  <c r="H77" i="43"/>
  <c r="I77" i="43" s="1"/>
  <c r="F77" i="43"/>
  <c r="E77" i="43"/>
  <c r="N76" i="43"/>
  <c r="K76" i="43"/>
  <c r="L76" i="43" s="1"/>
  <c r="H76" i="43"/>
  <c r="I76" i="43" s="1"/>
  <c r="E76" i="43"/>
  <c r="O75" i="43"/>
  <c r="N75" i="43"/>
  <c r="K75" i="43"/>
  <c r="H75" i="43"/>
  <c r="F75" i="43"/>
  <c r="E75" i="43"/>
  <c r="N74" i="43"/>
  <c r="K74" i="43"/>
  <c r="H74" i="43"/>
  <c r="I74" i="43" s="1"/>
  <c r="E74" i="43"/>
  <c r="N73" i="43"/>
  <c r="O73" i="43" s="1"/>
  <c r="K73" i="43"/>
  <c r="L73" i="43" s="1"/>
  <c r="H73" i="43"/>
  <c r="E73" i="43"/>
  <c r="N72" i="43"/>
  <c r="O72" i="43" s="1"/>
  <c r="K72" i="43"/>
  <c r="H72" i="43"/>
  <c r="E72" i="43"/>
  <c r="F72" i="43" s="1"/>
  <c r="N71" i="43"/>
  <c r="K71" i="43"/>
  <c r="H71" i="43"/>
  <c r="F71" i="43"/>
  <c r="E71" i="43"/>
  <c r="M69" i="43"/>
  <c r="J69" i="43"/>
  <c r="G69" i="43"/>
  <c r="D69" i="43"/>
  <c r="B69" i="43"/>
  <c r="M68" i="43"/>
  <c r="G68" i="43"/>
  <c r="B64" i="43"/>
  <c r="N63" i="43"/>
  <c r="K63" i="43"/>
  <c r="H63" i="43"/>
  <c r="I63" i="43" s="1"/>
  <c r="E63" i="43"/>
  <c r="N62" i="43"/>
  <c r="K62" i="43"/>
  <c r="L62" i="43" s="1"/>
  <c r="H62" i="43"/>
  <c r="F62" i="43"/>
  <c r="E62" i="43"/>
  <c r="O61" i="43"/>
  <c r="N61" i="43"/>
  <c r="K61" i="43"/>
  <c r="L61" i="43" s="1"/>
  <c r="H61" i="43"/>
  <c r="F61" i="43"/>
  <c r="E61" i="43"/>
  <c r="N60" i="43"/>
  <c r="O60" i="43" s="1"/>
  <c r="K60" i="43"/>
  <c r="H60" i="43"/>
  <c r="F60" i="43"/>
  <c r="E60" i="43"/>
  <c r="N59" i="43"/>
  <c r="O59" i="43" s="1"/>
  <c r="K59" i="43"/>
  <c r="H59" i="43"/>
  <c r="I59" i="43" s="1"/>
  <c r="E59" i="43"/>
  <c r="N58" i="43"/>
  <c r="O58" i="43" s="1"/>
  <c r="K58" i="43"/>
  <c r="H58" i="43"/>
  <c r="E58" i="43"/>
  <c r="F58" i="43" s="1"/>
  <c r="N57" i="43"/>
  <c r="K57" i="43"/>
  <c r="H57" i="43"/>
  <c r="I57" i="43" s="1"/>
  <c r="F57" i="43"/>
  <c r="E57" i="43"/>
  <c r="N56" i="43"/>
  <c r="K56" i="43"/>
  <c r="L56" i="43" s="1"/>
  <c r="H56" i="43"/>
  <c r="F56" i="43"/>
  <c r="E56" i="43"/>
  <c r="N55" i="43"/>
  <c r="O55" i="43" s="1"/>
  <c r="K55" i="43"/>
  <c r="H55" i="43"/>
  <c r="I55" i="43" s="1"/>
  <c r="F55" i="43"/>
  <c r="E55" i="43"/>
  <c r="N54" i="43"/>
  <c r="K54" i="43"/>
  <c r="L54" i="43" s="1"/>
  <c r="H54" i="43"/>
  <c r="I54" i="43" s="1"/>
  <c r="E54" i="43"/>
  <c r="N53" i="43"/>
  <c r="K53" i="43"/>
  <c r="H53" i="43"/>
  <c r="I53" i="43" s="1"/>
  <c r="E53" i="43"/>
  <c r="N52" i="43"/>
  <c r="L52" i="43"/>
  <c r="K52" i="43"/>
  <c r="H52" i="43"/>
  <c r="I52" i="43" s="1"/>
  <c r="E52" i="43"/>
  <c r="N51" i="43"/>
  <c r="O51" i="43" s="1"/>
  <c r="K51" i="43"/>
  <c r="H51" i="43"/>
  <c r="I51" i="43" s="1"/>
  <c r="F51" i="43"/>
  <c r="E51" i="43"/>
  <c r="N50" i="43"/>
  <c r="K50" i="43"/>
  <c r="L50" i="43" s="1"/>
  <c r="H50" i="43"/>
  <c r="I50" i="43" s="1"/>
  <c r="E50" i="43"/>
  <c r="N49" i="43"/>
  <c r="O49" i="43" s="1"/>
  <c r="K49" i="43"/>
  <c r="L49" i="43" s="1"/>
  <c r="H49" i="43"/>
  <c r="E49" i="43"/>
  <c r="N48" i="43"/>
  <c r="O48" i="43" s="1"/>
  <c r="L48" i="43"/>
  <c r="K48" i="43"/>
  <c r="H48" i="43"/>
  <c r="E48" i="43"/>
  <c r="F48" i="43" s="1"/>
  <c r="N47" i="43"/>
  <c r="O47" i="43" s="1"/>
  <c r="K47" i="43"/>
  <c r="H47" i="43"/>
  <c r="E47" i="43"/>
  <c r="F47" i="43" s="1"/>
  <c r="N46" i="43"/>
  <c r="K46" i="43"/>
  <c r="H46" i="43"/>
  <c r="I46" i="43" s="1"/>
  <c r="E46" i="43"/>
  <c r="N45" i="43"/>
  <c r="K45" i="43"/>
  <c r="L45" i="43" s="1"/>
  <c r="H45" i="43"/>
  <c r="I45" i="43" s="1"/>
  <c r="E45" i="43"/>
  <c r="N44" i="43"/>
  <c r="L44" i="43"/>
  <c r="K44" i="43"/>
  <c r="H44" i="43"/>
  <c r="E44" i="43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F179" i="42" s="1"/>
  <c r="N198" i="42"/>
  <c r="K198" i="42"/>
  <c r="H198" i="42"/>
  <c r="E198" i="42"/>
  <c r="N197" i="42"/>
  <c r="K197" i="42"/>
  <c r="L197" i="42" s="1"/>
  <c r="H197" i="42"/>
  <c r="E197" i="42"/>
  <c r="N196" i="42"/>
  <c r="K196" i="42"/>
  <c r="H196" i="42"/>
  <c r="E196" i="42"/>
  <c r="N195" i="42"/>
  <c r="K195" i="42"/>
  <c r="H195" i="42"/>
  <c r="F195" i="42"/>
  <c r="E195" i="42"/>
  <c r="N194" i="42"/>
  <c r="K194" i="42"/>
  <c r="H194" i="42"/>
  <c r="E194" i="42"/>
  <c r="N193" i="42"/>
  <c r="O193" i="42" s="1"/>
  <c r="K193" i="42"/>
  <c r="H193" i="42"/>
  <c r="E193" i="42"/>
  <c r="N192" i="42"/>
  <c r="K192" i="42"/>
  <c r="H192" i="42"/>
  <c r="I192" i="42" s="1"/>
  <c r="E192" i="42"/>
  <c r="N191" i="42"/>
  <c r="K191" i="42"/>
  <c r="H191" i="42"/>
  <c r="E191" i="42"/>
  <c r="O190" i="42"/>
  <c r="N190" i="42"/>
  <c r="K190" i="42"/>
  <c r="H190" i="42"/>
  <c r="E190" i="42"/>
  <c r="N189" i="42"/>
  <c r="K189" i="42"/>
  <c r="L189" i="42" s="1"/>
  <c r="H189" i="42"/>
  <c r="E189" i="42"/>
  <c r="N188" i="42"/>
  <c r="K188" i="42"/>
  <c r="H188" i="42"/>
  <c r="E188" i="42"/>
  <c r="N187" i="42"/>
  <c r="K187" i="42"/>
  <c r="H187" i="42"/>
  <c r="F187" i="42"/>
  <c r="E187" i="42"/>
  <c r="N186" i="42"/>
  <c r="K186" i="42"/>
  <c r="H186" i="42"/>
  <c r="E186" i="42"/>
  <c r="O185" i="42"/>
  <c r="N185" i="42"/>
  <c r="K185" i="42"/>
  <c r="H185" i="42"/>
  <c r="F185" i="42"/>
  <c r="E185" i="42"/>
  <c r="N184" i="42"/>
  <c r="K184" i="42"/>
  <c r="H184" i="42"/>
  <c r="I184" i="42" s="1"/>
  <c r="E184" i="42"/>
  <c r="N183" i="42"/>
  <c r="K183" i="42"/>
  <c r="H183" i="42"/>
  <c r="E183" i="42"/>
  <c r="N182" i="42"/>
  <c r="K182" i="42"/>
  <c r="H182" i="42"/>
  <c r="I182" i="42" s="1"/>
  <c r="E182" i="42"/>
  <c r="N181" i="42"/>
  <c r="K181" i="42"/>
  <c r="H181" i="42"/>
  <c r="E181" i="42"/>
  <c r="N180" i="42"/>
  <c r="O180" i="42" s="1"/>
  <c r="K180" i="42"/>
  <c r="H180" i="42"/>
  <c r="E180" i="42"/>
  <c r="N179" i="42"/>
  <c r="K179" i="42"/>
  <c r="H179" i="42"/>
  <c r="E179" i="42"/>
  <c r="M177" i="42"/>
  <c r="J177" i="42"/>
  <c r="G177" i="42"/>
  <c r="D177" i="42"/>
  <c r="B177" i="42"/>
  <c r="M176" i="42"/>
  <c r="G176" i="42"/>
  <c r="B172" i="42"/>
  <c r="N171" i="42"/>
  <c r="O171" i="42" s="1"/>
  <c r="K171" i="42"/>
  <c r="L171" i="42" s="1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H169" i="42"/>
  <c r="I169" i="42" s="1"/>
  <c r="E169" i="42"/>
  <c r="F169" i="42" s="1"/>
  <c r="O168" i="42"/>
  <c r="N168" i="42"/>
  <c r="K168" i="42"/>
  <c r="L168" i="42" s="1"/>
  <c r="H168" i="42"/>
  <c r="I168" i="42" s="1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N164" i="42"/>
  <c r="O164" i="42" s="1"/>
  <c r="L164" i="42"/>
  <c r="K164" i="42"/>
  <c r="I164" i="42"/>
  <c r="H164" i="42"/>
  <c r="E164" i="42"/>
  <c r="F164" i="42" s="1"/>
  <c r="N163" i="42"/>
  <c r="O163" i="42" s="1"/>
  <c r="K163" i="42"/>
  <c r="L163" i="42" s="1"/>
  <c r="H163" i="42"/>
  <c r="I163" i="42" s="1"/>
  <c r="E163" i="42"/>
  <c r="F163" i="42" s="1"/>
  <c r="N162" i="42"/>
  <c r="O162" i="42" s="1"/>
  <c r="K162" i="42"/>
  <c r="L162" i="42" s="1"/>
  <c r="H162" i="42"/>
  <c r="I162" i="42" s="1"/>
  <c r="E162" i="42"/>
  <c r="F162" i="42" s="1"/>
  <c r="N161" i="42"/>
  <c r="O161" i="42" s="1"/>
  <c r="K161" i="42"/>
  <c r="L161" i="42" s="1"/>
  <c r="H161" i="42"/>
  <c r="I161" i="42" s="1"/>
  <c r="E161" i="42"/>
  <c r="F161" i="42" s="1"/>
  <c r="N160" i="42"/>
  <c r="O160" i="42" s="1"/>
  <c r="K160" i="42"/>
  <c r="L160" i="42" s="1"/>
  <c r="I160" i="42"/>
  <c r="H160" i="42"/>
  <c r="E160" i="42"/>
  <c r="F160" i="42" s="1"/>
  <c r="N159" i="42"/>
  <c r="O159" i="42" s="1"/>
  <c r="L159" i="42"/>
  <c r="K159" i="42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L157" i="42"/>
  <c r="K157" i="42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N155" i="42"/>
  <c r="O155" i="42" s="1"/>
  <c r="K155" i="42"/>
  <c r="L155" i="42" s="1"/>
  <c r="H155" i="42"/>
  <c r="I155" i="42" s="1"/>
  <c r="E155" i="42"/>
  <c r="F155" i="42" s="1"/>
  <c r="N154" i="42"/>
  <c r="O154" i="42" s="1"/>
  <c r="K154" i="42"/>
  <c r="L154" i="42" s="1"/>
  <c r="H154" i="42"/>
  <c r="I154" i="42" s="1"/>
  <c r="E154" i="42"/>
  <c r="F154" i="42" s="1"/>
  <c r="N153" i="42"/>
  <c r="O153" i="42" s="1"/>
  <c r="K153" i="42"/>
  <c r="L153" i="42" s="1"/>
  <c r="H153" i="42"/>
  <c r="I153" i="42" s="1"/>
  <c r="E153" i="42"/>
  <c r="F153" i="42" s="1"/>
  <c r="N152" i="42"/>
  <c r="O152" i="42" s="1"/>
  <c r="K152" i="42"/>
  <c r="I152" i="42"/>
  <c r="H152" i="42"/>
  <c r="E152" i="42"/>
  <c r="M150" i="42"/>
  <c r="J150" i="42"/>
  <c r="G150" i="42"/>
  <c r="D150" i="42"/>
  <c r="B150" i="42"/>
  <c r="M149" i="42"/>
  <c r="G149" i="42"/>
  <c r="B145" i="42"/>
  <c r="F142" i="42" s="1"/>
  <c r="N144" i="42"/>
  <c r="K144" i="42"/>
  <c r="H144" i="42"/>
  <c r="F144" i="42"/>
  <c r="E144" i="42"/>
  <c r="N143" i="42"/>
  <c r="K143" i="42"/>
  <c r="H143" i="42"/>
  <c r="E143" i="42"/>
  <c r="N142" i="42"/>
  <c r="O142" i="42" s="1"/>
  <c r="K142" i="42"/>
  <c r="H142" i="42"/>
  <c r="E142" i="42"/>
  <c r="N141" i="42"/>
  <c r="K141" i="42"/>
  <c r="H141" i="42"/>
  <c r="E141" i="42"/>
  <c r="N140" i="42"/>
  <c r="K140" i="42"/>
  <c r="L140" i="42" s="1"/>
  <c r="H140" i="42"/>
  <c r="E140" i="42"/>
  <c r="N139" i="42"/>
  <c r="K139" i="42"/>
  <c r="H139" i="42"/>
  <c r="E139" i="42"/>
  <c r="N138" i="42"/>
  <c r="K138" i="42"/>
  <c r="H138" i="42"/>
  <c r="E138" i="42"/>
  <c r="N137" i="42"/>
  <c r="K137" i="42"/>
  <c r="H137" i="42"/>
  <c r="E137" i="42"/>
  <c r="N136" i="42"/>
  <c r="K136" i="42"/>
  <c r="H136" i="42"/>
  <c r="E136" i="42"/>
  <c r="N135" i="42"/>
  <c r="K135" i="42"/>
  <c r="H135" i="42"/>
  <c r="E135" i="42"/>
  <c r="N134" i="42"/>
  <c r="K134" i="42"/>
  <c r="H134" i="42"/>
  <c r="E134" i="42"/>
  <c r="N133" i="42"/>
  <c r="K133" i="42"/>
  <c r="H133" i="42"/>
  <c r="E133" i="42"/>
  <c r="N132" i="42"/>
  <c r="K132" i="42"/>
  <c r="H132" i="42"/>
  <c r="F132" i="42"/>
  <c r="E132" i="42"/>
  <c r="N131" i="42"/>
  <c r="K131" i="42"/>
  <c r="H131" i="42"/>
  <c r="I131" i="42" s="1"/>
  <c r="E131" i="42"/>
  <c r="N130" i="42"/>
  <c r="K130" i="42"/>
  <c r="H130" i="42"/>
  <c r="E130" i="42"/>
  <c r="N129" i="42"/>
  <c r="K129" i="42"/>
  <c r="H129" i="42"/>
  <c r="E129" i="42"/>
  <c r="N128" i="42"/>
  <c r="K128" i="42"/>
  <c r="H128" i="42"/>
  <c r="E128" i="42"/>
  <c r="N127" i="42"/>
  <c r="K127" i="42"/>
  <c r="H127" i="42"/>
  <c r="E127" i="42"/>
  <c r="N126" i="42"/>
  <c r="K126" i="42"/>
  <c r="H126" i="42"/>
  <c r="F126" i="42"/>
  <c r="E126" i="42"/>
  <c r="N125" i="42"/>
  <c r="K125" i="42"/>
  <c r="H125" i="42"/>
  <c r="E125" i="42"/>
  <c r="M123" i="42"/>
  <c r="J123" i="42"/>
  <c r="G123" i="42"/>
  <c r="D123" i="42"/>
  <c r="B123" i="42"/>
  <c r="M122" i="42"/>
  <c r="G122" i="42"/>
  <c r="B118" i="42"/>
  <c r="L116" i="42" s="1"/>
  <c r="N117" i="42"/>
  <c r="K117" i="42"/>
  <c r="L117" i="42" s="1"/>
  <c r="H117" i="42"/>
  <c r="E117" i="42"/>
  <c r="F117" i="42" s="1"/>
  <c r="N116" i="42"/>
  <c r="K116" i="42"/>
  <c r="H116" i="42"/>
  <c r="E116" i="42"/>
  <c r="F116" i="42" s="1"/>
  <c r="N115" i="42"/>
  <c r="K115" i="42"/>
  <c r="L115" i="42" s="1"/>
  <c r="H115" i="42"/>
  <c r="E115" i="42"/>
  <c r="F115" i="42" s="1"/>
  <c r="N114" i="42"/>
  <c r="L114" i="42"/>
  <c r="K114" i="42"/>
  <c r="I114" i="42"/>
  <c r="H114" i="42"/>
  <c r="E114" i="42"/>
  <c r="F114" i="42" s="1"/>
  <c r="N113" i="42"/>
  <c r="K113" i="42"/>
  <c r="L113" i="42" s="1"/>
  <c r="H113" i="42"/>
  <c r="E113" i="42"/>
  <c r="F113" i="42" s="1"/>
  <c r="N112" i="42"/>
  <c r="K112" i="42"/>
  <c r="L112" i="42" s="1"/>
  <c r="H112" i="42"/>
  <c r="E112" i="42"/>
  <c r="F112" i="42" s="1"/>
  <c r="N111" i="42"/>
  <c r="K111" i="42"/>
  <c r="H111" i="42"/>
  <c r="I111" i="42" s="1"/>
  <c r="E111" i="42"/>
  <c r="N110" i="42"/>
  <c r="K110" i="42"/>
  <c r="L110" i="42" s="1"/>
  <c r="H110" i="42"/>
  <c r="F110" i="42"/>
  <c r="E110" i="42"/>
  <c r="O109" i="42"/>
  <c r="N109" i="42"/>
  <c r="K109" i="42"/>
  <c r="L109" i="42" s="1"/>
  <c r="H109" i="42"/>
  <c r="F109" i="42"/>
  <c r="E109" i="42"/>
  <c r="N108" i="42"/>
  <c r="O108" i="42" s="1"/>
  <c r="K108" i="42"/>
  <c r="H108" i="42"/>
  <c r="F108" i="42"/>
  <c r="E108" i="42"/>
  <c r="N107" i="42"/>
  <c r="O107" i="42" s="1"/>
  <c r="K107" i="42"/>
  <c r="H107" i="42"/>
  <c r="I107" i="42" s="1"/>
  <c r="E107" i="42"/>
  <c r="N106" i="42"/>
  <c r="K106" i="42"/>
  <c r="L106" i="42" s="1"/>
  <c r="H106" i="42"/>
  <c r="F106" i="42"/>
  <c r="E106" i="42"/>
  <c r="N105" i="42"/>
  <c r="O105" i="42" s="1"/>
  <c r="K105" i="42"/>
  <c r="H105" i="42"/>
  <c r="I105" i="42" s="1"/>
  <c r="E105" i="42"/>
  <c r="N104" i="42"/>
  <c r="L104" i="42"/>
  <c r="K104" i="42"/>
  <c r="H104" i="42"/>
  <c r="I104" i="42" s="1"/>
  <c r="E104" i="42"/>
  <c r="N103" i="42"/>
  <c r="K103" i="42"/>
  <c r="L103" i="42" s="1"/>
  <c r="H103" i="42"/>
  <c r="F103" i="42"/>
  <c r="E103" i="42"/>
  <c r="O102" i="42"/>
  <c r="N102" i="42"/>
  <c r="K102" i="42"/>
  <c r="L102" i="42" s="1"/>
  <c r="H102" i="42"/>
  <c r="E102" i="42"/>
  <c r="F102" i="42" s="1"/>
  <c r="N101" i="42"/>
  <c r="L101" i="42"/>
  <c r="K101" i="42"/>
  <c r="I101" i="42"/>
  <c r="H101" i="42"/>
  <c r="E101" i="42"/>
  <c r="F101" i="42" s="1"/>
  <c r="N100" i="42"/>
  <c r="K100" i="42"/>
  <c r="H100" i="42"/>
  <c r="I100" i="42" s="1"/>
  <c r="E100" i="42"/>
  <c r="O99" i="42"/>
  <c r="N99" i="42"/>
  <c r="L99" i="42"/>
  <c r="K99" i="42"/>
  <c r="H99" i="42"/>
  <c r="I99" i="42" s="1"/>
  <c r="E99" i="42"/>
  <c r="N98" i="42"/>
  <c r="K98" i="42"/>
  <c r="H98" i="42"/>
  <c r="E98" i="42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N89" i="42"/>
  <c r="O89" i="42" s="1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N87" i="42"/>
  <c r="O87" i="42" s="1"/>
  <c r="L87" i="42"/>
  <c r="K87" i="42"/>
  <c r="H87" i="42"/>
  <c r="I87" i="42" s="1"/>
  <c r="E87" i="42"/>
  <c r="F87" i="42" s="1"/>
  <c r="O86" i="42"/>
  <c r="N86" i="42"/>
  <c r="L86" i="42"/>
  <c r="K86" i="42"/>
  <c r="I86" i="42"/>
  <c r="H86" i="42"/>
  <c r="E86" i="42"/>
  <c r="F86" i="42" s="1"/>
  <c r="N85" i="42"/>
  <c r="O85" i="42" s="1"/>
  <c r="K85" i="42"/>
  <c r="L85" i="42" s="1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K83" i="42"/>
  <c r="L83" i="42" s="1"/>
  <c r="H83" i="42"/>
  <c r="I83" i="42" s="1"/>
  <c r="E83" i="42"/>
  <c r="F83" i="42" s="1"/>
  <c r="N82" i="42"/>
  <c r="O82" i="42" s="1"/>
  <c r="K82" i="42"/>
  <c r="L82" i="42" s="1"/>
  <c r="I82" i="42"/>
  <c r="H82" i="42"/>
  <c r="E82" i="42"/>
  <c r="F82" i="42" s="1"/>
  <c r="N81" i="42"/>
  <c r="O81" i="42" s="1"/>
  <c r="K81" i="42"/>
  <c r="L81" i="42" s="1"/>
  <c r="H81" i="42"/>
  <c r="I81" i="42" s="1"/>
  <c r="E81" i="42"/>
  <c r="F81" i="42" s="1"/>
  <c r="N80" i="42"/>
  <c r="O80" i="42" s="1"/>
  <c r="L80" i="42"/>
  <c r="K80" i="42"/>
  <c r="H80" i="42"/>
  <c r="I80" i="42" s="1"/>
  <c r="E80" i="42"/>
  <c r="F80" i="42" s="1"/>
  <c r="O79" i="42"/>
  <c r="N79" i="42"/>
  <c r="K79" i="42"/>
  <c r="L79" i="42" s="1"/>
  <c r="H79" i="42"/>
  <c r="I79" i="42" s="1"/>
  <c r="E79" i="42"/>
  <c r="F79" i="42" s="1"/>
  <c r="N78" i="42"/>
  <c r="O78" i="42" s="1"/>
  <c r="L78" i="42"/>
  <c r="K78" i="42"/>
  <c r="I78" i="42"/>
  <c r="H78" i="42"/>
  <c r="E78" i="42"/>
  <c r="F78" i="42" s="1"/>
  <c r="N77" i="42"/>
  <c r="O77" i="42" s="1"/>
  <c r="K77" i="42"/>
  <c r="L77" i="42" s="1"/>
  <c r="H77" i="42"/>
  <c r="I77" i="42" s="1"/>
  <c r="E77" i="42"/>
  <c r="F77" i="42" s="1"/>
  <c r="O76" i="42"/>
  <c r="N76" i="42"/>
  <c r="K76" i="42"/>
  <c r="L76" i="42" s="1"/>
  <c r="H76" i="42"/>
  <c r="I76" i="42" s="1"/>
  <c r="E76" i="42"/>
  <c r="F76" i="42" s="1"/>
  <c r="N75" i="42"/>
  <c r="O75" i="42" s="1"/>
  <c r="K75" i="42"/>
  <c r="L75" i="42" s="1"/>
  <c r="H75" i="42"/>
  <c r="I75" i="42" s="1"/>
  <c r="E75" i="42"/>
  <c r="F75" i="42" s="1"/>
  <c r="N74" i="42"/>
  <c r="O74" i="42" s="1"/>
  <c r="K74" i="42"/>
  <c r="L74" i="42" s="1"/>
  <c r="I74" i="42"/>
  <c r="H74" i="42"/>
  <c r="E74" i="42"/>
  <c r="F74" i="42" s="1"/>
  <c r="N73" i="42"/>
  <c r="O73" i="42" s="1"/>
  <c r="K73" i="42"/>
  <c r="L73" i="42" s="1"/>
  <c r="H73" i="42"/>
  <c r="I73" i="42" s="1"/>
  <c r="E73" i="42"/>
  <c r="F73" i="42" s="1"/>
  <c r="N72" i="42"/>
  <c r="O72" i="42" s="1"/>
  <c r="L72" i="42"/>
  <c r="K72" i="42"/>
  <c r="H72" i="42"/>
  <c r="I72" i="42" s="1"/>
  <c r="E72" i="42"/>
  <c r="F72" i="42" s="1"/>
  <c r="N71" i="42"/>
  <c r="K71" i="42"/>
  <c r="L71" i="42" s="1"/>
  <c r="H71" i="42"/>
  <c r="E71" i="42"/>
  <c r="M69" i="42"/>
  <c r="J69" i="42"/>
  <c r="G69" i="42"/>
  <c r="D69" i="42"/>
  <c r="B69" i="42"/>
  <c r="M68" i="42"/>
  <c r="G68" i="42"/>
  <c r="B64" i="42"/>
  <c r="N63" i="42"/>
  <c r="K63" i="42"/>
  <c r="H63" i="42"/>
  <c r="E63" i="42"/>
  <c r="N62" i="42"/>
  <c r="K62" i="42"/>
  <c r="H62" i="42"/>
  <c r="I62" i="42" s="1"/>
  <c r="E62" i="42"/>
  <c r="N61" i="42"/>
  <c r="K61" i="42"/>
  <c r="H61" i="42"/>
  <c r="I61" i="42" s="1"/>
  <c r="E61" i="42"/>
  <c r="N60" i="42"/>
  <c r="K60" i="42"/>
  <c r="H60" i="42"/>
  <c r="I60" i="42" s="1"/>
  <c r="E60" i="42"/>
  <c r="N59" i="42"/>
  <c r="K59" i="42"/>
  <c r="L59" i="42" s="1"/>
  <c r="H59" i="42"/>
  <c r="E59" i="42"/>
  <c r="N58" i="42"/>
  <c r="O58" i="42" s="1"/>
  <c r="K58" i="42"/>
  <c r="H58" i="42"/>
  <c r="E58" i="42"/>
  <c r="N57" i="42"/>
  <c r="O57" i="42" s="1"/>
  <c r="K57" i="42"/>
  <c r="H57" i="42"/>
  <c r="E57" i="42"/>
  <c r="F57" i="42" s="1"/>
  <c r="N56" i="42"/>
  <c r="K56" i="42"/>
  <c r="H56" i="42"/>
  <c r="E56" i="42"/>
  <c r="N55" i="42"/>
  <c r="K55" i="42"/>
  <c r="I55" i="42"/>
  <c r="H55" i="42"/>
  <c r="E55" i="42"/>
  <c r="N54" i="42"/>
  <c r="L54" i="42"/>
  <c r="K54" i="42"/>
  <c r="H54" i="42"/>
  <c r="E54" i="42"/>
  <c r="N53" i="42"/>
  <c r="O53" i="42" s="1"/>
  <c r="K53" i="42"/>
  <c r="H53" i="42"/>
  <c r="E53" i="42"/>
  <c r="F53" i="42" s="1"/>
  <c r="N52" i="42"/>
  <c r="K52" i="42"/>
  <c r="H52" i="42"/>
  <c r="I52" i="42" s="1"/>
  <c r="E52" i="42"/>
  <c r="N51" i="42"/>
  <c r="K51" i="42"/>
  <c r="H51" i="42"/>
  <c r="E51" i="42"/>
  <c r="N50" i="42"/>
  <c r="O50" i="42" s="1"/>
  <c r="K50" i="42"/>
  <c r="H50" i="42"/>
  <c r="E50" i="42"/>
  <c r="N49" i="42"/>
  <c r="O49" i="42" s="1"/>
  <c r="K49" i="42"/>
  <c r="H49" i="42"/>
  <c r="E49" i="42"/>
  <c r="O48" i="42"/>
  <c r="N48" i="42"/>
  <c r="K48" i="42"/>
  <c r="H48" i="42"/>
  <c r="E48" i="42"/>
  <c r="F48" i="42" s="1"/>
  <c r="N47" i="42"/>
  <c r="K47" i="42"/>
  <c r="I47" i="42"/>
  <c r="H47" i="42"/>
  <c r="E47" i="42"/>
  <c r="N46" i="42"/>
  <c r="L46" i="42"/>
  <c r="K46" i="42"/>
  <c r="H46" i="42"/>
  <c r="E46" i="42"/>
  <c r="O45" i="42"/>
  <c r="N45" i="42"/>
  <c r="K45" i="42"/>
  <c r="H45" i="42"/>
  <c r="I45" i="42" s="1"/>
  <c r="E45" i="42"/>
  <c r="N44" i="42"/>
  <c r="K44" i="42"/>
  <c r="H44" i="42"/>
  <c r="E44" i="42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E192" i="41"/>
  <c r="F192" i="41" s="1"/>
  <c r="N191" i="41"/>
  <c r="O191" i="41" s="1"/>
  <c r="K191" i="41"/>
  <c r="L191" i="41" s="1"/>
  <c r="H191" i="41"/>
  <c r="I191" i="41" s="1"/>
  <c r="E191" i="41"/>
  <c r="F191" i="41" s="1"/>
  <c r="N190" i="41"/>
  <c r="O190" i="41" s="1"/>
  <c r="K190" i="41"/>
  <c r="L190" i="41" s="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L186" i="41"/>
  <c r="K186" i="41"/>
  <c r="H186" i="41"/>
  <c r="I186" i="41" s="1"/>
  <c r="E186" i="41"/>
  <c r="F186" i="41" s="1"/>
  <c r="N185" i="41"/>
  <c r="O185" i="41" s="1"/>
  <c r="K185" i="41"/>
  <c r="L185" i="41" s="1"/>
  <c r="I185" i="41"/>
  <c r="H185" i="41"/>
  <c r="F185" i="41"/>
  <c r="E185" i="41"/>
  <c r="O184" i="41"/>
  <c r="N184" i="41"/>
  <c r="K184" i="41"/>
  <c r="L184" i="41" s="1"/>
  <c r="H184" i="41"/>
  <c r="I184" i="41" s="1"/>
  <c r="E184" i="41"/>
  <c r="F184" i="41" s="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N181" i="41"/>
  <c r="O181" i="41" s="1"/>
  <c r="K181" i="41"/>
  <c r="L181" i="41" s="1"/>
  <c r="I181" i="41"/>
  <c r="H181" i="41"/>
  <c r="F181" i="41"/>
  <c r="E181" i="41"/>
  <c r="O180" i="41"/>
  <c r="N180" i="41"/>
  <c r="K180" i="41"/>
  <c r="L180" i="41" s="1"/>
  <c r="H180" i="41"/>
  <c r="I180" i="41" s="1"/>
  <c r="E180" i="41"/>
  <c r="F180" i="41" s="1"/>
  <c r="N179" i="41"/>
  <c r="O179" i="41" s="1"/>
  <c r="K179" i="41"/>
  <c r="I179" i="41"/>
  <c r="H179" i="41"/>
  <c r="F179" i="41"/>
  <c r="E179" i="41"/>
  <c r="M177" i="41"/>
  <c r="J177" i="41"/>
  <c r="G177" i="41"/>
  <c r="D177" i="41"/>
  <c r="B177" i="41"/>
  <c r="M176" i="41"/>
  <c r="G176" i="41"/>
  <c r="B172" i="41"/>
  <c r="N171" i="41"/>
  <c r="O171" i="41" s="1"/>
  <c r="K171" i="41"/>
  <c r="L171" i="41" s="1"/>
  <c r="H171" i="41"/>
  <c r="I171" i="41" s="1"/>
  <c r="E171" i="41"/>
  <c r="F171" i="41" s="1"/>
  <c r="N170" i="41"/>
  <c r="O170" i="41" s="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E169" i="41"/>
  <c r="F169" i="41" s="1"/>
  <c r="N168" i="41"/>
  <c r="O168" i="41" s="1"/>
  <c r="L168" i="41"/>
  <c r="K168" i="41"/>
  <c r="H168" i="41"/>
  <c r="I168" i="41" s="1"/>
  <c r="E168" i="41"/>
  <c r="F168" i="41" s="1"/>
  <c r="N167" i="41"/>
  <c r="O167" i="41" s="1"/>
  <c r="K167" i="41"/>
  <c r="L167" i="41" s="1"/>
  <c r="H167" i="41"/>
  <c r="I167" i="41" s="1"/>
  <c r="E167" i="41"/>
  <c r="F167" i="41" s="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O164" i="41"/>
  <c r="N164" i="41"/>
  <c r="L164" i="41"/>
  <c r="K164" i="41"/>
  <c r="H164" i="41"/>
  <c r="I164" i="41" s="1"/>
  <c r="E164" i="41"/>
  <c r="F164" i="41" s="1"/>
  <c r="N163" i="41"/>
  <c r="O163" i="41" s="1"/>
  <c r="K163" i="41"/>
  <c r="L163" i="41" s="1"/>
  <c r="H163" i="41"/>
  <c r="I163" i="41" s="1"/>
  <c r="F163" i="41"/>
  <c r="E163" i="41"/>
  <c r="N162" i="41"/>
  <c r="O162" i="41" s="1"/>
  <c r="K162" i="41"/>
  <c r="L162" i="41" s="1"/>
  <c r="H162" i="41"/>
  <c r="I162" i="41" s="1"/>
  <c r="E162" i="41"/>
  <c r="F162" i="41" s="1"/>
  <c r="N161" i="41"/>
  <c r="O161" i="41" s="1"/>
  <c r="K161" i="41"/>
  <c r="L161" i="41" s="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K159" i="41"/>
  <c r="L159" i="41" s="1"/>
  <c r="H159" i="41"/>
  <c r="I159" i="41" s="1"/>
  <c r="E159" i="41"/>
  <c r="F159" i="41" s="1"/>
  <c r="N158" i="41"/>
  <c r="O158" i="41" s="1"/>
  <c r="K158" i="41"/>
  <c r="L158" i="41" s="1"/>
  <c r="H158" i="41"/>
  <c r="I158" i="41" s="1"/>
  <c r="E158" i="41"/>
  <c r="F158" i="41" s="1"/>
  <c r="N157" i="41"/>
  <c r="O157" i="41" s="1"/>
  <c r="K157" i="41"/>
  <c r="L157" i="41" s="1"/>
  <c r="H157" i="41"/>
  <c r="I157" i="41" s="1"/>
  <c r="F157" i="41"/>
  <c r="E157" i="41"/>
  <c r="O156" i="41"/>
  <c r="N156" i="4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F155" i="41"/>
  <c r="E155" i="41"/>
  <c r="O154" i="41"/>
  <c r="N154" i="41"/>
  <c r="K154" i="41"/>
  <c r="L154" i="41" s="1"/>
  <c r="H154" i="41"/>
  <c r="I154" i="41" s="1"/>
  <c r="F154" i="41"/>
  <c r="E154" i="41"/>
  <c r="N153" i="41"/>
  <c r="O153" i="41" s="1"/>
  <c r="K153" i="41"/>
  <c r="L153" i="41" s="1"/>
  <c r="H153" i="41"/>
  <c r="I153" i="41" s="1"/>
  <c r="F153" i="41"/>
  <c r="E153" i="41"/>
  <c r="N152" i="41"/>
  <c r="K152" i="41"/>
  <c r="L152" i="41" s="1"/>
  <c r="H152" i="41"/>
  <c r="F152" i="41"/>
  <c r="E152" i="41"/>
  <c r="M150" i="41"/>
  <c r="J150" i="41"/>
  <c r="G150" i="41"/>
  <c r="D150" i="41"/>
  <c r="B150" i="41"/>
  <c r="M149" i="41"/>
  <c r="G149" i="41"/>
  <c r="B145" i="41"/>
  <c r="N144" i="41"/>
  <c r="O144" i="41" s="1"/>
  <c r="K144" i="41"/>
  <c r="L144" i="41" s="1"/>
  <c r="H144" i="41"/>
  <c r="I144" i="41" s="1"/>
  <c r="E144" i="41"/>
  <c r="F144" i="41" s="1"/>
  <c r="N143" i="41"/>
  <c r="O143" i="41" s="1"/>
  <c r="K143" i="41"/>
  <c r="L143" i="41" s="1"/>
  <c r="H143" i="41"/>
  <c r="I143" i="41" s="1"/>
  <c r="F143" i="41"/>
  <c r="E143" i="41"/>
  <c r="N142" i="41"/>
  <c r="O142" i="41" s="1"/>
  <c r="K142" i="41"/>
  <c r="L142" i="41" s="1"/>
  <c r="H142" i="41"/>
  <c r="I142" i="41" s="1"/>
  <c r="E142" i="41"/>
  <c r="F142" i="41" s="1"/>
  <c r="N141" i="41"/>
  <c r="O141" i="41" s="1"/>
  <c r="L141" i="41"/>
  <c r="K141" i="41"/>
  <c r="H141" i="41"/>
  <c r="I141" i="41" s="1"/>
  <c r="E141" i="41"/>
  <c r="F141" i="41" s="1"/>
  <c r="N140" i="41"/>
  <c r="O140" i="41" s="1"/>
  <c r="K140" i="41"/>
  <c r="L140" i="41" s="1"/>
  <c r="H140" i="41"/>
  <c r="I140" i="41" s="1"/>
  <c r="F140" i="41"/>
  <c r="E140" i="41"/>
  <c r="O139" i="41"/>
  <c r="N139" i="41"/>
  <c r="K139" i="41"/>
  <c r="L139" i="41" s="1"/>
  <c r="H139" i="41"/>
  <c r="I139" i="41" s="1"/>
  <c r="F139" i="41"/>
  <c r="E139" i="41"/>
  <c r="N138" i="41"/>
  <c r="O138" i="41" s="1"/>
  <c r="K138" i="41"/>
  <c r="L138" i="41" s="1"/>
  <c r="H138" i="41"/>
  <c r="I138" i="41" s="1"/>
  <c r="E138" i="41"/>
  <c r="F138" i="41" s="1"/>
  <c r="N137" i="41"/>
  <c r="O137" i="41" s="1"/>
  <c r="K137" i="41"/>
  <c r="L137" i="41" s="1"/>
  <c r="H137" i="41"/>
  <c r="I137" i="41" s="1"/>
  <c r="F137" i="41"/>
  <c r="E137" i="41"/>
  <c r="N136" i="41"/>
  <c r="O136" i="41" s="1"/>
  <c r="K136" i="41"/>
  <c r="L136" i="41" s="1"/>
  <c r="H136" i="41"/>
  <c r="I136" i="41" s="1"/>
  <c r="E136" i="41"/>
  <c r="F136" i="41" s="1"/>
  <c r="O135" i="41"/>
  <c r="N135" i="41"/>
  <c r="L135" i="41"/>
  <c r="K135" i="41"/>
  <c r="H135" i="41"/>
  <c r="I135" i="41" s="1"/>
  <c r="E135" i="41"/>
  <c r="F135" i="41" s="1"/>
  <c r="N134" i="41"/>
  <c r="O134" i="41" s="1"/>
  <c r="K134" i="41"/>
  <c r="L134" i="41" s="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H132" i="41"/>
  <c r="I132" i="41" s="1"/>
  <c r="E132" i="41"/>
  <c r="F132" i="41" s="1"/>
  <c r="N131" i="41"/>
  <c r="O131" i="41" s="1"/>
  <c r="K131" i="41"/>
  <c r="L131" i="41" s="1"/>
  <c r="H131" i="41"/>
  <c r="I131" i="41" s="1"/>
  <c r="E131" i="41"/>
  <c r="F131" i="41" s="1"/>
  <c r="O130" i="41"/>
  <c r="N130" i="41"/>
  <c r="L130" i="41"/>
  <c r="K130" i="41"/>
  <c r="I130" i="41"/>
  <c r="H130" i="41"/>
  <c r="E130" i="41"/>
  <c r="F130" i="41" s="1"/>
  <c r="N129" i="41"/>
  <c r="O129" i="41" s="1"/>
  <c r="K129" i="41"/>
  <c r="L129" i="41" s="1"/>
  <c r="H129" i="41"/>
  <c r="I129" i="41" s="1"/>
  <c r="E129" i="41"/>
  <c r="F129" i="41" s="1"/>
  <c r="N128" i="41"/>
  <c r="O128" i="41" s="1"/>
  <c r="K128" i="41"/>
  <c r="L128" i="41" s="1"/>
  <c r="H128" i="41"/>
  <c r="I128" i="41" s="1"/>
  <c r="E128" i="41"/>
  <c r="F128" i="41" s="1"/>
  <c r="N127" i="41"/>
  <c r="O127" i="41" s="1"/>
  <c r="K127" i="41"/>
  <c r="L127" i="41" s="1"/>
  <c r="H127" i="41"/>
  <c r="I127" i="41" s="1"/>
  <c r="E127" i="41"/>
  <c r="F127" i="41" s="1"/>
  <c r="N126" i="41"/>
  <c r="O126" i="41" s="1"/>
  <c r="L126" i="41"/>
  <c r="K126" i="41"/>
  <c r="I126" i="41"/>
  <c r="H126" i="41"/>
  <c r="E126" i="41"/>
  <c r="F126" i="41" s="1"/>
  <c r="N125" i="41"/>
  <c r="L125" i="41"/>
  <c r="K125" i="41"/>
  <c r="H125" i="41"/>
  <c r="E125" i="41"/>
  <c r="M123" i="41"/>
  <c r="J123" i="41"/>
  <c r="G123" i="41"/>
  <c r="D123" i="41"/>
  <c r="B123" i="41"/>
  <c r="M122" i="41"/>
  <c r="G122" i="41"/>
  <c r="B118" i="41"/>
  <c r="O116" i="41" s="1"/>
  <c r="O117" i="41"/>
  <c r="N117" i="41"/>
  <c r="K117" i="41"/>
  <c r="L117" i="41" s="1"/>
  <c r="H117" i="41"/>
  <c r="I117" i="41" s="1"/>
  <c r="E117" i="41"/>
  <c r="F117" i="41" s="1"/>
  <c r="N116" i="41"/>
  <c r="K116" i="41"/>
  <c r="L116" i="41" s="1"/>
  <c r="H116" i="41"/>
  <c r="E116" i="41"/>
  <c r="F116" i="41" s="1"/>
  <c r="N115" i="41"/>
  <c r="O115" i="41" s="1"/>
  <c r="K115" i="41"/>
  <c r="L115" i="41" s="1"/>
  <c r="H115" i="41"/>
  <c r="E115" i="41"/>
  <c r="F115" i="41" s="1"/>
  <c r="O114" i="41"/>
  <c r="N114" i="41"/>
  <c r="K114" i="41"/>
  <c r="L114" i="41" s="1"/>
  <c r="H114" i="41"/>
  <c r="I114" i="41" s="1"/>
  <c r="F114" i="41"/>
  <c r="E114" i="41"/>
  <c r="N113" i="41"/>
  <c r="O113" i="41" s="1"/>
  <c r="K113" i="41"/>
  <c r="L113" i="41" s="1"/>
  <c r="H113" i="41"/>
  <c r="F113" i="41"/>
  <c r="E113" i="41"/>
  <c r="N112" i="41"/>
  <c r="O112" i="41" s="1"/>
  <c r="K112" i="41"/>
  <c r="H112" i="41"/>
  <c r="I112" i="41" s="1"/>
  <c r="E112" i="41"/>
  <c r="F112" i="41" s="1"/>
  <c r="N111" i="41"/>
  <c r="K111" i="41"/>
  <c r="L111" i="41" s="1"/>
  <c r="H111" i="41"/>
  <c r="I111" i="41" s="1"/>
  <c r="E111" i="41"/>
  <c r="N110" i="41"/>
  <c r="O110" i="41" s="1"/>
  <c r="K110" i="41"/>
  <c r="L110" i="41" s="1"/>
  <c r="H110" i="41"/>
  <c r="F110" i="41"/>
  <c r="E110" i="41"/>
  <c r="O109" i="41"/>
  <c r="N109" i="41"/>
  <c r="L109" i="41"/>
  <c r="K109" i="41"/>
  <c r="H109" i="41"/>
  <c r="I109" i="41" s="1"/>
  <c r="E109" i="41"/>
  <c r="N108" i="41"/>
  <c r="O108" i="41" s="1"/>
  <c r="K108" i="41"/>
  <c r="L108" i="41" s="1"/>
  <c r="H108" i="41"/>
  <c r="F108" i="41"/>
  <c r="E108" i="41"/>
  <c r="N107" i="41"/>
  <c r="O107" i="41" s="1"/>
  <c r="K107" i="41"/>
  <c r="H107" i="41"/>
  <c r="I107" i="41" s="1"/>
  <c r="E107" i="41"/>
  <c r="F107" i="41" s="1"/>
  <c r="N106" i="41"/>
  <c r="K106" i="41"/>
  <c r="L106" i="41" s="1"/>
  <c r="H106" i="41"/>
  <c r="I106" i="41" s="1"/>
  <c r="F106" i="41"/>
  <c r="E106" i="41"/>
  <c r="O105" i="41"/>
  <c r="N105" i="41"/>
  <c r="L105" i="41"/>
  <c r="K105" i="41"/>
  <c r="H105" i="41"/>
  <c r="I105" i="41" s="1"/>
  <c r="E105" i="41"/>
  <c r="F105" i="41" s="1"/>
  <c r="N104" i="41"/>
  <c r="K104" i="41"/>
  <c r="L104" i="41" s="1"/>
  <c r="H104" i="41"/>
  <c r="I104" i="41" s="1"/>
  <c r="E104" i="41"/>
  <c r="N103" i="41"/>
  <c r="O103" i="41" s="1"/>
  <c r="K103" i="41"/>
  <c r="L103" i="41" s="1"/>
  <c r="H103" i="41"/>
  <c r="F103" i="41"/>
  <c r="E103" i="41"/>
  <c r="O102" i="41"/>
  <c r="N102" i="41"/>
  <c r="K102" i="41"/>
  <c r="L102" i="41" s="1"/>
  <c r="H102" i="41"/>
  <c r="I102" i="41" s="1"/>
  <c r="F102" i="41"/>
  <c r="E102" i="41"/>
  <c r="N101" i="41"/>
  <c r="O101" i="41" s="1"/>
  <c r="K101" i="41"/>
  <c r="L101" i="41" s="1"/>
  <c r="H101" i="41"/>
  <c r="F101" i="41"/>
  <c r="E101" i="41"/>
  <c r="O100" i="41"/>
  <c r="N100" i="41"/>
  <c r="K100" i="41"/>
  <c r="L100" i="41" s="1"/>
  <c r="H100" i="41"/>
  <c r="I100" i="41" s="1"/>
  <c r="F100" i="41"/>
  <c r="E100" i="41"/>
  <c r="N99" i="41"/>
  <c r="O99" i="41" s="1"/>
  <c r="K99" i="41"/>
  <c r="L99" i="41" s="1"/>
  <c r="H99" i="41"/>
  <c r="I99" i="41" s="1"/>
  <c r="E99" i="41"/>
  <c r="N98" i="41"/>
  <c r="O98" i="41" s="1"/>
  <c r="K98" i="41"/>
  <c r="H98" i="41"/>
  <c r="E98" i="41"/>
  <c r="M96" i="41"/>
  <c r="J96" i="41"/>
  <c r="G96" i="41"/>
  <c r="D96" i="41"/>
  <c r="B96" i="41"/>
  <c r="M95" i="41"/>
  <c r="G95" i="41"/>
  <c r="B91" i="41"/>
  <c r="N90" i="41"/>
  <c r="K90" i="41"/>
  <c r="H90" i="41"/>
  <c r="E90" i="41"/>
  <c r="N89" i="41"/>
  <c r="K89" i="41"/>
  <c r="H89" i="41"/>
  <c r="E89" i="41"/>
  <c r="N88" i="41"/>
  <c r="K88" i="41"/>
  <c r="H88" i="41"/>
  <c r="E88" i="41"/>
  <c r="N87" i="41"/>
  <c r="K87" i="41"/>
  <c r="H87" i="41"/>
  <c r="E87" i="41"/>
  <c r="N86" i="41"/>
  <c r="K86" i="41"/>
  <c r="H86" i="41"/>
  <c r="E86" i="41"/>
  <c r="N85" i="41"/>
  <c r="K85" i="41"/>
  <c r="H85" i="41"/>
  <c r="E85" i="41"/>
  <c r="N84" i="41"/>
  <c r="K84" i="41"/>
  <c r="H84" i="41"/>
  <c r="E84" i="41"/>
  <c r="N83" i="41"/>
  <c r="K83" i="41"/>
  <c r="H83" i="41"/>
  <c r="E83" i="41"/>
  <c r="N82" i="41"/>
  <c r="K82" i="41"/>
  <c r="H82" i="41"/>
  <c r="E82" i="41"/>
  <c r="N81" i="41"/>
  <c r="K81" i="41"/>
  <c r="H81" i="41"/>
  <c r="E81" i="41"/>
  <c r="N80" i="41"/>
  <c r="K80" i="41"/>
  <c r="H80" i="41"/>
  <c r="E80" i="41"/>
  <c r="N79" i="41"/>
  <c r="K79" i="41"/>
  <c r="H79" i="41"/>
  <c r="E79" i="41"/>
  <c r="N78" i="41"/>
  <c r="O78" i="41" s="1"/>
  <c r="K78" i="41"/>
  <c r="H78" i="41"/>
  <c r="E78" i="41"/>
  <c r="N77" i="41"/>
  <c r="O77" i="41" s="1"/>
  <c r="K77" i="41"/>
  <c r="H77" i="41"/>
  <c r="E77" i="41"/>
  <c r="O76" i="41"/>
  <c r="N76" i="41"/>
  <c r="K76" i="41"/>
  <c r="H76" i="41"/>
  <c r="E76" i="41"/>
  <c r="F76" i="41" s="1"/>
  <c r="N75" i="41"/>
  <c r="K75" i="41"/>
  <c r="H75" i="41"/>
  <c r="E75" i="41"/>
  <c r="N74" i="41"/>
  <c r="K74" i="41"/>
  <c r="H74" i="41"/>
  <c r="E74" i="41"/>
  <c r="N73" i="41"/>
  <c r="K73" i="41"/>
  <c r="H73" i="41"/>
  <c r="E73" i="41"/>
  <c r="N72" i="41"/>
  <c r="K72" i="41"/>
  <c r="H72" i="41"/>
  <c r="E72" i="41"/>
  <c r="N71" i="41"/>
  <c r="K71" i="41"/>
  <c r="H71" i="41"/>
  <c r="E71" i="4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E63" i="41"/>
  <c r="F63" i="41" s="1"/>
  <c r="N62" i="41"/>
  <c r="O62" i="41" s="1"/>
  <c r="K62" i="41"/>
  <c r="L62" i="41" s="1"/>
  <c r="I62" i="41"/>
  <c r="H62" i="41"/>
  <c r="E62" i="41"/>
  <c r="F62" i="41" s="1"/>
  <c r="N61" i="41"/>
  <c r="O61" i="41" s="1"/>
  <c r="L61" i="41"/>
  <c r="K61" i="41"/>
  <c r="H61" i="41"/>
  <c r="I61" i="41" s="1"/>
  <c r="E61" i="41"/>
  <c r="F61" i="41" s="1"/>
  <c r="N60" i="41"/>
  <c r="O60" i="41" s="1"/>
  <c r="K60" i="41"/>
  <c r="L60" i="41" s="1"/>
  <c r="I60" i="41"/>
  <c r="H60" i="41"/>
  <c r="E60" i="41"/>
  <c r="F60" i="41" s="1"/>
  <c r="N59" i="41"/>
  <c r="O59" i="41" s="1"/>
  <c r="K59" i="41"/>
  <c r="L59" i="41" s="1"/>
  <c r="H59" i="41"/>
  <c r="I59" i="41" s="1"/>
  <c r="E59" i="41"/>
  <c r="F59" i="41" s="1"/>
  <c r="N58" i="41"/>
  <c r="O58" i="41" s="1"/>
  <c r="K58" i="41"/>
  <c r="L58" i="41" s="1"/>
  <c r="H58" i="41"/>
  <c r="I58" i="41" s="1"/>
  <c r="E58" i="41"/>
  <c r="F58" i="41" s="1"/>
  <c r="O57" i="41"/>
  <c r="N57" i="41"/>
  <c r="K57" i="41"/>
  <c r="L57" i="41" s="1"/>
  <c r="H57" i="41"/>
  <c r="I57" i="41" s="1"/>
  <c r="E57" i="41"/>
  <c r="F57" i="41" s="1"/>
  <c r="N56" i="41"/>
  <c r="O56" i="41" s="1"/>
  <c r="L56" i="41"/>
  <c r="K56" i="41"/>
  <c r="I56" i="41"/>
  <c r="H56" i="41"/>
  <c r="E56" i="41"/>
  <c r="F56" i="41" s="1"/>
  <c r="N55" i="41"/>
  <c r="O55" i="41" s="1"/>
  <c r="K55" i="41"/>
  <c r="L55" i="41" s="1"/>
  <c r="H55" i="41"/>
  <c r="I55" i="41" s="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L53" i="41"/>
  <c r="K53" i="41"/>
  <c r="H53" i="41"/>
  <c r="I53" i="41" s="1"/>
  <c r="E53" i="41"/>
  <c r="F53" i="41" s="1"/>
  <c r="O52" i="41"/>
  <c r="N52" i="41"/>
  <c r="K52" i="41"/>
  <c r="L52" i="41" s="1"/>
  <c r="H52" i="41"/>
  <c r="I52" i="41" s="1"/>
  <c r="E52" i="41"/>
  <c r="F52" i="41" s="1"/>
  <c r="N51" i="41"/>
  <c r="O51" i="41" s="1"/>
  <c r="K51" i="41"/>
  <c r="L51" i="41" s="1"/>
  <c r="H51" i="41"/>
  <c r="I51" i="41" s="1"/>
  <c r="E51" i="41"/>
  <c r="F51" i="41" s="1"/>
  <c r="O50" i="41"/>
  <c r="N50" i="41"/>
  <c r="K50" i="41"/>
  <c r="L50" i="41" s="1"/>
  <c r="H50" i="41"/>
  <c r="I50" i="41" s="1"/>
  <c r="E50" i="41"/>
  <c r="F50" i="41" s="1"/>
  <c r="N49" i="41"/>
  <c r="O49" i="41" s="1"/>
  <c r="K49" i="41"/>
  <c r="L49" i="41" s="1"/>
  <c r="H49" i="41"/>
  <c r="I49" i="41" s="1"/>
  <c r="E49" i="41"/>
  <c r="F49" i="41" s="1"/>
  <c r="N48" i="41"/>
  <c r="O48" i="41" s="1"/>
  <c r="K48" i="41"/>
  <c r="L48" i="41" s="1"/>
  <c r="H48" i="41"/>
  <c r="I48" i="41" s="1"/>
  <c r="E48" i="41"/>
  <c r="F48" i="41" s="1"/>
  <c r="N47" i="41"/>
  <c r="O47" i="41" s="1"/>
  <c r="K47" i="41"/>
  <c r="L47" i="41" s="1"/>
  <c r="H47" i="41"/>
  <c r="I47" i="41" s="1"/>
  <c r="E47" i="41"/>
  <c r="F47" i="41" s="1"/>
  <c r="N46" i="41"/>
  <c r="O46" i="41" s="1"/>
  <c r="K46" i="41"/>
  <c r="L46" i="41" s="1"/>
  <c r="H46" i="41"/>
  <c r="I46" i="41" s="1"/>
  <c r="E46" i="41"/>
  <c r="F46" i="41" s="1"/>
  <c r="N45" i="41"/>
  <c r="O45" i="41" s="1"/>
  <c r="K45" i="41"/>
  <c r="L45" i="41" s="1"/>
  <c r="H45" i="41"/>
  <c r="I45" i="41" s="1"/>
  <c r="E45" i="41"/>
  <c r="F45" i="41" s="1"/>
  <c r="N44" i="41"/>
  <c r="K44" i="41"/>
  <c r="L44" i="41" s="1"/>
  <c r="I44" i="41"/>
  <c r="H44" i="41"/>
  <c r="E44" i="4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E198" i="40"/>
  <c r="F198" i="40" s="1"/>
  <c r="N197" i="40"/>
  <c r="O197" i="40" s="1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E196" i="40"/>
  <c r="F196" i="40" s="1"/>
  <c r="N195" i="40"/>
  <c r="O195" i="40" s="1"/>
  <c r="K195" i="40"/>
  <c r="L195" i="40" s="1"/>
  <c r="H195" i="40"/>
  <c r="I195" i="40" s="1"/>
  <c r="F195" i="40"/>
  <c r="E195" i="40"/>
  <c r="N194" i="40"/>
  <c r="O194" i="40" s="1"/>
  <c r="K194" i="40"/>
  <c r="L194" i="40" s="1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E190" i="40"/>
  <c r="F190" i="40" s="1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F187" i="40"/>
  <c r="E187" i="40"/>
  <c r="N186" i="40"/>
  <c r="O186" i="40" s="1"/>
  <c r="K186" i="40"/>
  <c r="L186" i="40" s="1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E182" i="40"/>
  <c r="F182" i="40" s="1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E180" i="40"/>
  <c r="F180" i="40" s="1"/>
  <c r="N179" i="40"/>
  <c r="K179" i="40"/>
  <c r="H179" i="40"/>
  <c r="F179" i="40"/>
  <c r="F199" i="40" s="1"/>
  <c r="E179" i="40"/>
  <c r="M177" i="40"/>
  <c r="J177" i="40"/>
  <c r="G177" i="40"/>
  <c r="D177" i="40"/>
  <c r="B177" i="40"/>
  <c r="M176" i="40"/>
  <c r="G176" i="40"/>
  <c r="B172" i="40"/>
  <c r="N171" i="40"/>
  <c r="O171" i="40" s="1"/>
  <c r="K171" i="40"/>
  <c r="H171" i="40"/>
  <c r="I171" i="40" s="1"/>
  <c r="F171" i="40"/>
  <c r="E171" i="40"/>
  <c r="O170" i="40"/>
  <c r="N170" i="40"/>
  <c r="K170" i="40"/>
  <c r="L170" i="40" s="1"/>
  <c r="H170" i="40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K168" i="40"/>
  <c r="L168" i="40" s="1"/>
  <c r="H168" i="40"/>
  <c r="F168" i="40"/>
  <c r="E168" i="40"/>
  <c r="O167" i="40"/>
  <c r="N167" i="40"/>
  <c r="L167" i="40"/>
  <c r="K167" i="40"/>
  <c r="H167" i="40"/>
  <c r="I167" i="40" s="1"/>
  <c r="E167" i="40"/>
  <c r="N166" i="40"/>
  <c r="O166" i="40" s="1"/>
  <c r="K166" i="40"/>
  <c r="L166" i="40" s="1"/>
  <c r="H166" i="40"/>
  <c r="F166" i="40"/>
  <c r="E166" i="40"/>
  <c r="N165" i="40"/>
  <c r="O165" i="40" s="1"/>
  <c r="K165" i="40"/>
  <c r="H165" i="40"/>
  <c r="I165" i="40" s="1"/>
  <c r="E165" i="40"/>
  <c r="F165" i="40" s="1"/>
  <c r="N164" i="40"/>
  <c r="K164" i="40"/>
  <c r="L164" i="40" s="1"/>
  <c r="H164" i="40"/>
  <c r="I164" i="40" s="1"/>
  <c r="F164" i="40"/>
  <c r="E164" i="40"/>
  <c r="N163" i="40"/>
  <c r="O163" i="40" s="1"/>
  <c r="K163" i="40"/>
  <c r="L163" i="40" s="1"/>
  <c r="H163" i="40"/>
  <c r="F163" i="40"/>
  <c r="E163" i="40"/>
  <c r="N162" i="40"/>
  <c r="O162" i="40" s="1"/>
  <c r="K162" i="40"/>
  <c r="H162" i="40"/>
  <c r="I162" i="40" s="1"/>
  <c r="E162" i="40"/>
  <c r="F162" i="40" s="1"/>
  <c r="N161" i="40"/>
  <c r="K161" i="40"/>
  <c r="L161" i="40" s="1"/>
  <c r="H161" i="40"/>
  <c r="I161" i="40" s="1"/>
  <c r="E161" i="40"/>
  <c r="N160" i="40"/>
  <c r="O160" i="40" s="1"/>
  <c r="K160" i="40"/>
  <c r="H160" i="40"/>
  <c r="I160" i="40" s="1"/>
  <c r="F160" i="40"/>
  <c r="E160" i="40"/>
  <c r="N159" i="40"/>
  <c r="O159" i="40" s="1"/>
  <c r="K159" i="40"/>
  <c r="L159" i="40" s="1"/>
  <c r="H159" i="40"/>
  <c r="F159" i="40"/>
  <c r="E159" i="40"/>
  <c r="O158" i="40"/>
  <c r="N158" i="40"/>
  <c r="K158" i="40"/>
  <c r="L158" i="40" s="1"/>
  <c r="H158" i="40"/>
  <c r="I158" i="40" s="1"/>
  <c r="F158" i="40"/>
  <c r="E158" i="40"/>
  <c r="O157" i="40"/>
  <c r="N157" i="40"/>
  <c r="K157" i="40"/>
  <c r="L157" i="40" s="1"/>
  <c r="H157" i="40"/>
  <c r="F157" i="40"/>
  <c r="E157" i="40"/>
  <c r="O156" i="40"/>
  <c r="N156" i="40"/>
  <c r="K156" i="40"/>
  <c r="L156" i="40" s="1"/>
  <c r="H156" i="40"/>
  <c r="I156" i="40" s="1"/>
  <c r="F156" i="40"/>
  <c r="E156" i="40"/>
  <c r="N155" i="40"/>
  <c r="O155" i="40" s="1"/>
  <c r="K155" i="40"/>
  <c r="L155" i="40" s="1"/>
  <c r="H155" i="40"/>
  <c r="F155" i="40"/>
  <c r="E155" i="40"/>
  <c r="N154" i="40"/>
  <c r="O154" i="40" s="1"/>
  <c r="K154" i="40"/>
  <c r="H154" i="40"/>
  <c r="I154" i="40" s="1"/>
  <c r="E154" i="40"/>
  <c r="F154" i="40" s="1"/>
  <c r="N153" i="40"/>
  <c r="K153" i="40"/>
  <c r="L153" i="40" s="1"/>
  <c r="H153" i="40"/>
  <c r="I153" i="40" s="1"/>
  <c r="F153" i="40"/>
  <c r="E153" i="40"/>
  <c r="N152" i="40"/>
  <c r="K152" i="40"/>
  <c r="H152" i="40"/>
  <c r="E152" i="40"/>
  <c r="E172" i="40" s="1"/>
  <c r="M150" i="40"/>
  <c r="J150" i="40"/>
  <c r="G150" i="40"/>
  <c r="D150" i="40"/>
  <c r="B150" i="40"/>
  <c r="M149" i="40"/>
  <c r="G149" i="40"/>
  <c r="B145" i="40"/>
  <c r="N144" i="40"/>
  <c r="K144" i="40"/>
  <c r="H144" i="40"/>
  <c r="E144" i="40"/>
  <c r="N143" i="40"/>
  <c r="K143" i="40"/>
  <c r="H143" i="40"/>
  <c r="E143" i="40"/>
  <c r="N142" i="40"/>
  <c r="K142" i="40"/>
  <c r="H142" i="40"/>
  <c r="E142" i="40"/>
  <c r="N141" i="40"/>
  <c r="K141" i="40"/>
  <c r="H141" i="40"/>
  <c r="E141" i="40"/>
  <c r="F141" i="40" s="1"/>
  <c r="N140" i="40"/>
  <c r="K140" i="40"/>
  <c r="H140" i="40"/>
  <c r="E140" i="40"/>
  <c r="F140" i="40" s="1"/>
  <c r="N139" i="40"/>
  <c r="K139" i="40"/>
  <c r="H139" i="40"/>
  <c r="E139" i="40"/>
  <c r="F139" i="40" s="1"/>
  <c r="N138" i="40"/>
  <c r="K138" i="40"/>
  <c r="H138" i="40"/>
  <c r="E138" i="40"/>
  <c r="F138" i="40" s="1"/>
  <c r="N137" i="40"/>
  <c r="K137" i="40"/>
  <c r="H137" i="40"/>
  <c r="E137" i="40"/>
  <c r="F137" i="40" s="1"/>
  <c r="N136" i="40"/>
  <c r="K136" i="40"/>
  <c r="I136" i="40"/>
  <c r="H136" i="40"/>
  <c r="E136" i="40"/>
  <c r="N135" i="40"/>
  <c r="O135" i="40" s="1"/>
  <c r="K135" i="40"/>
  <c r="H135" i="40"/>
  <c r="E135" i="40"/>
  <c r="F135" i="40" s="1"/>
  <c r="N134" i="40"/>
  <c r="O134" i="40" s="1"/>
  <c r="K134" i="40"/>
  <c r="H134" i="40"/>
  <c r="E134" i="40"/>
  <c r="F134" i="40" s="1"/>
  <c r="N133" i="40"/>
  <c r="O133" i="40" s="1"/>
  <c r="K133" i="40"/>
  <c r="H133" i="40"/>
  <c r="E133" i="40"/>
  <c r="F133" i="40" s="1"/>
  <c r="N132" i="40"/>
  <c r="O132" i="40" s="1"/>
  <c r="K132" i="40"/>
  <c r="H132" i="40"/>
  <c r="E132" i="40"/>
  <c r="F132" i="40" s="1"/>
  <c r="N131" i="40"/>
  <c r="K131" i="40"/>
  <c r="H131" i="40"/>
  <c r="E131" i="40"/>
  <c r="N130" i="40"/>
  <c r="K130" i="40"/>
  <c r="L130" i="40" s="1"/>
  <c r="H130" i="40"/>
  <c r="E130" i="40"/>
  <c r="N129" i="40"/>
  <c r="L129" i="40"/>
  <c r="K129" i="40"/>
  <c r="H129" i="40"/>
  <c r="E129" i="40"/>
  <c r="F129" i="40" s="1"/>
  <c r="N128" i="40"/>
  <c r="O128" i="40" s="1"/>
  <c r="K128" i="40"/>
  <c r="H128" i="40"/>
  <c r="E128" i="40"/>
  <c r="F128" i="40" s="1"/>
  <c r="N127" i="40"/>
  <c r="K127" i="40"/>
  <c r="H127" i="40"/>
  <c r="E127" i="40"/>
  <c r="N126" i="40"/>
  <c r="K126" i="40"/>
  <c r="H126" i="40"/>
  <c r="E126" i="40"/>
  <c r="N125" i="40"/>
  <c r="K125" i="40"/>
  <c r="H125" i="40"/>
  <c r="E125" i="40"/>
  <c r="M123" i="40"/>
  <c r="J123" i="40"/>
  <c r="G123" i="40"/>
  <c r="D123" i="40"/>
  <c r="B123" i="40"/>
  <c r="M122" i="40"/>
  <c r="G122" i="40"/>
  <c r="B118" i="40"/>
  <c r="N117" i="40"/>
  <c r="O117" i="40" s="1"/>
  <c r="K117" i="40"/>
  <c r="H117" i="40"/>
  <c r="I117" i="40" s="1"/>
  <c r="E117" i="40"/>
  <c r="F117" i="40" s="1"/>
  <c r="N116" i="40"/>
  <c r="K116" i="40"/>
  <c r="L116" i="40" s="1"/>
  <c r="H116" i="40"/>
  <c r="I116" i="40" s="1"/>
  <c r="E116" i="40"/>
  <c r="F116" i="40" s="1"/>
  <c r="N115" i="40"/>
  <c r="K115" i="40"/>
  <c r="L115" i="40" s="1"/>
  <c r="H115" i="40"/>
  <c r="I115" i="40" s="1"/>
  <c r="E115" i="40"/>
  <c r="N114" i="40"/>
  <c r="O114" i="40" s="1"/>
  <c r="K114" i="40"/>
  <c r="L114" i="40" s="1"/>
  <c r="H114" i="40"/>
  <c r="I114" i="40" s="1"/>
  <c r="E114" i="40"/>
  <c r="N113" i="40"/>
  <c r="O113" i="40" s="1"/>
  <c r="K113" i="40"/>
  <c r="L113" i="40" s="1"/>
  <c r="H113" i="40"/>
  <c r="E113" i="40"/>
  <c r="F113" i="40" s="1"/>
  <c r="N112" i="40"/>
  <c r="O112" i="40" s="1"/>
  <c r="K112" i="40"/>
  <c r="H112" i="40"/>
  <c r="I112" i="40" s="1"/>
  <c r="E112" i="40"/>
  <c r="F112" i="40" s="1"/>
  <c r="N111" i="40"/>
  <c r="O111" i="40" s="1"/>
  <c r="K111" i="40"/>
  <c r="H111" i="40"/>
  <c r="I111" i="40" s="1"/>
  <c r="E111" i="40"/>
  <c r="F111" i="40" s="1"/>
  <c r="N110" i="40"/>
  <c r="K110" i="40"/>
  <c r="L110" i="40" s="1"/>
  <c r="H110" i="40"/>
  <c r="I110" i="40" s="1"/>
  <c r="E110" i="40"/>
  <c r="N109" i="40"/>
  <c r="O109" i="40" s="1"/>
  <c r="K109" i="40"/>
  <c r="L109" i="40" s="1"/>
  <c r="H109" i="40"/>
  <c r="E109" i="40"/>
  <c r="F109" i="40" s="1"/>
  <c r="O108" i="40"/>
  <c r="N108" i="40"/>
  <c r="K108" i="40"/>
  <c r="L108" i="40" s="1"/>
  <c r="H108" i="40"/>
  <c r="I108" i="40" s="1"/>
  <c r="E108" i="40"/>
  <c r="N107" i="40"/>
  <c r="O107" i="40" s="1"/>
  <c r="K107" i="40"/>
  <c r="L107" i="40" s="1"/>
  <c r="H107" i="40"/>
  <c r="I107" i="40" s="1"/>
  <c r="E107" i="40"/>
  <c r="N106" i="40"/>
  <c r="O106" i="40" s="1"/>
  <c r="K106" i="40"/>
  <c r="L106" i="40" s="1"/>
  <c r="H106" i="40"/>
  <c r="E106" i="40"/>
  <c r="F106" i="40" s="1"/>
  <c r="N105" i="40"/>
  <c r="O105" i="40" s="1"/>
  <c r="K105" i="40"/>
  <c r="L105" i="40" s="1"/>
  <c r="H105" i="40"/>
  <c r="E105" i="40"/>
  <c r="F105" i="40" s="1"/>
  <c r="N104" i="40"/>
  <c r="O104" i="40" s="1"/>
  <c r="K104" i="40"/>
  <c r="H104" i="40"/>
  <c r="I104" i="40" s="1"/>
  <c r="E104" i="40"/>
  <c r="F104" i="40" s="1"/>
  <c r="N103" i="40"/>
  <c r="K103" i="40"/>
  <c r="L103" i="40" s="1"/>
  <c r="H103" i="40"/>
  <c r="I103" i="40" s="1"/>
  <c r="E103" i="40"/>
  <c r="F103" i="40" s="1"/>
  <c r="N102" i="40"/>
  <c r="K102" i="40"/>
  <c r="L102" i="40" s="1"/>
  <c r="H102" i="40"/>
  <c r="I102" i="40" s="1"/>
  <c r="E102" i="40"/>
  <c r="N101" i="40"/>
  <c r="O101" i="40" s="1"/>
  <c r="K101" i="40"/>
  <c r="L101" i="40" s="1"/>
  <c r="H101" i="40"/>
  <c r="E101" i="40"/>
  <c r="F101" i="40" s="1"/>
  <c r="N100" i="40"/>
  <c r="O100" i="40" s="1"/>
  <c r="K100" i="40"/>
  <c r="H100" i="40"/>
  <c r="I100" i="40" s="1"/>
  <c r="E100" i="40"/>
  <c r="F100" i="40" s="1"/>
  <c r="N99" i="40"/>
  <c r="O99" i="40" s="1"/>
  <c r="K99" i="40"/>
  <c r="H99" i="40"/>
  <c r="I99" i="40" s="1"/>
  <c r="E99" i="40"/>
  <c r="F99" i="40" s="1"/>
  <c r="N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K90" i="40"/>
  <c r="H90" i="40"/>
  <c r="E90" i="40"/>
  <c r="N89" i="40"/>
  <c r="K89" i="40"/>
  <c r="H89" i="40"/>
  <c r="E89" i="40"/>
  <c r="N88" i="40"/>
  <c r="K88" i="40"/>
  <c r="H88" i="40"/>
  <c r="E88" i="40"/>
  <c r="N87" i="40"/>
  <c r="K87" i="40"/>
  <c r="H87" i="40"/>
  <c r="E87" i="40"/>
  <c r="N86" i="40"/>
  <c r="K86" i="40"/>
  <c r="H86" i="40"/>
  <c r="E86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F83" i="40" s="1"/>
  <c r="N82" i="40"/>
  <c r="K82" i="40"/>
  <c r="H82" i="40"/>
  <c r="E82" i="40"/>
  <c r="F82" i="40" s="1"/>
  <c r="N81" i="40"/>
  <c r="K81" i="40"/>
  <c r="H81" i="40"/>
  <c r="E81" i="40"/>
  <c r="F81" i="40" s="1"/>
  <c r="N80" i="40"/>
  <c r="K80" i="40"/>
  <c r="H80" i="40"/>
  <c r="E80" i="40"/>
  <c r="N79" i="40"/>
  <c r="K79" i="40"/>
  <c r="H79" i="40"/>
  <c r="E79" i="40"/>
  <c r="F79" i="40" s="1"/>
  <c r="N78" i="40"/>
  <c r="K78" i="40"/>
  <c r="I78" i="40"/>
  <c r="H78" i="40"/>
  <c r="E78" i="40"/>
  <c r="N77" i="40"/>
  <c r="K77" i="40"/>
  <c r="L77" i="40" s="1"/>
  <c r="H77" i="40"/>
  <c r="E77" i="40"/>
  <c r="N76" i="40"/>
  <c r="K76" i="40"/>
  <c r="L76" i="40" s="1"/>
  <c r="H76" i="40"/>
  <c r="E76" i="40"/>
  <c r="N75" i="40"/>
  <c r="K75" i="40"/>
  <c r="L75" i="40" s="1"/>
  <c r="H75" i="40"/>
  <c r="E75" i="40"/>
  <c r="N74" i="40"/>
  <c r="O74" i="40" s="1"/>
  <c r="K74" i="40"/>
  <c r="H74" i="40"/>
  <c r="E74" i="40"/>
  <c r="F74" i="40" s="1"/>
  <c r="N73" i="40"/>
  <c r="K73" i="40"/>
  <c r="H73" i="40"/>
  <c r="I73" i="40" s="1"/>
  <c r="E73" i="40"/>
  <c r="F73" i="40" s="1"/>
  <c r="N72" i="40"/>
  <c r="K72" i="40"/>
  <c r="H72" i="40"/>
  <c r="I72" i="40" s="1"/>
  <c r="E72" i="40"/>
  <c r="N71" i="40"/>
  <c r="K71" i="40"/>
  <c r="H71" i="40"/>
  <c r="E71" i="40"/>
  <c r="M69" i="40"/>
  <c r="J69" i="40"/>
  <c r="G69" i="40"/>
  <c r="D69" i="40"/>
  <c r="B69" i="40"/>
  <c r="M68" i="40"/>
  <c r="G68" i="40"/>
  <c r="B64" i="40"/>
  <c r="N63" i="40"/>
  <c r="O63" i="40" s="1"/>
  <c r="K63" i="40"/>
  <c r="H63" i="40"/>
  <c r="E63" i="40"/>
  <c r="F63" i="40" s="1"/>
  <c r="N62" i="40"/>
  <c r="K62" i="40"/>
  <c r="H62" i="40"/>
  <c r="I62" i="40" s="1"/>
  <c r="E62" i="40"/>
  <c r="N61" i="40"/>
  <c r="O61" i="40" s="1"/>
  <c r="K61" i="40"/>
  <c r="H61" i="40"/>
  <c r="I61" i="40" s="1"/>
  <c r="E61" i="40"/>
  <c r="N60" i="40"/>
  <c r="O60" i="40" s="1"/>
  <c r="K60" i="40"/>
  <c r="H60" i="40"/>
  <c r="I60" i="40" s="1"/>
  <c r="E60" i="40"/>
  <c r="N59" i="40"/>
  <c r="O59" i="40" s="1"/>
  <c r="K59" i="40"/>
  <c r="I59" i="40"/>
  <c r="H59" i="40"/>
  <c r="E59" i="40"/>
  <c r="F59" i="40" s="1"/>
  <c r="N58" i="40"/>
  <c r="K58" i="40"/>
  <c r="L58" i="40" s="1"/>
  <c r="H58" i="40"/>
  <c r="E58" i="40"/>
  <c r="F58" i="40" s="1"/>
  <c r="N57" i="40"/>
  <c r="L57" i="40"/>
  <c r="K57" i="40"/>
  <c r="H57" i="40"/>
  <c r="I57" i="40" s="1"/>
  <c r="E57" i="40"/>
  <c r="O56" i="40"/>
  <c r="N56" i="40"/>
  <c r="K56" i="40"/>
  <c r="L56" i="40" s="1"/>
  <c r="H56" i="40"/>
  <c r="E56" i="40"/>
  <c r="F56" i="40" s="1"/>
  <c r="N55" i="40"/>
  <c r="L55" i="40"/>
  <c r="K55" i="40"/>
  <c r="I55" i="40"/>
  <c r="H55" i="40"/>
  <c r="E55" i="40"/>
  <c r="F55" i="40" s="1"/>
  <c r="N54" i="40"/>
  <c r="K54" i="40"/>
  <c r="H54" i="40"/>
  <c r="I54" i="40" s="1"/>
  <c r="E54" i="40"/>
  <c r="N53" i="40"/>
  <c r="O53" i="40" s="1"/>
  <c r="K53" i="40"/>
  <c r="H53" i="40"/>
  <c r="I53" i="40" s="1"/>
  <c r="E53" i="40"/>
  <c r="N52" i="40"/>
  <c r="O52" i="40" s="1"/>
  <c r="K52" i="40"/>
  <c r="H52" i="40"/>
  <c r="I52" i="40" s="1"/>
  <c r="E52" i="40"/>
  <c r="N51" i="40"/>
  <c r="O51" i="40" s="1"/>
  <c r="K51" i="40"/>
  <c r="I51" i="40"/>
  <c r="H51" i="40"/>
  <c r="E51" i="40"/>
  <c r="F51" i="40" s="1"/>
  <c r="N50" i="40"/>
  <c r="L50" i="40"/>
  <c r="K50" i="40"/>
  <c r="H50" i="40"/>
  <c r="I50" i="40" s="1"/>
  <c r="E50" i="40"/>
  <c r="N49" i="40"/>
  <c r="O49" i="40" s="1"/>
  <c r="K49" i="40"/>
  <c r="H49" i="40"/>
  <c r="I49" i="40" s="1"/>
  <c r="E49" i="40"/>
  <c r="O48" i="40"/>
  <c r="N48" i="40"/>
  <c r="L48" i="40"/>
  <c r="K48" i="40"/>
  <c r="H48" i="40"/>
  <c r="I48" i="40" s="1"/>
  <c r="E48" i="40"/>
  <c r="N47" i="40"/>
  <c r="O47" i="40" s="1"/>
  <c r="K47" i="40"/>
  <c r="I47" i="40"/>
  <c r="H47" i="40"/>
  <c r="E47" i="40"/>
  <c r="F47" i="40" s="1"/>
  <c r="N46" i="40"/>
  <c r="K46" i="40"/>
  <c r="L46" i="40" s="1"/>
  <c r="H46" i="40"/>
  <c r="E46" i="40"/>
  <c r="N45" i="40"/>
  <c r="O45" i="40" s="1"/>
  <c r="K45" i="40"/>
  <c r="L45" i="40" s="1"/>
  <c r="H45" i="40"/>
  <c r="E45" i="40"/>
  <c r="N44" i="40"/>
  <c r="K44" i="40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E196" i="39"/>
  <c r="F196" i="39" s="1"/>
  <c r="N195" i="39"/>
  <c r="O195" i="39" s="1"/>
  <c r="K195" i="39"/>
  <c r="L195" i="39" s="1"/>
  <c r="H195" i="39"/>
  <c r="I195" i="39" s="1"/>
  <c r="E195" i="39"/>
  <c r="F195" i="39" s="1"/>
  <c r="O194" i="39"/>
  <c r="N194" i="39"/>
  <c r="K194" i="39"/>
  <c r="L194" i="39" s="1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E190" i="39"/>
  <c r="F190" i="39" s="1"/>
  <c r="O189" i="39"/>
  <c r="N189" i="39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K186" i="39"/>
  <c r="L186" i="39" s="1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K184" i="39"/>
  <c r="L184" i="39" s="1"/>
  <c r="H184" i="39"/>
  <c r="I184" i="39" s="1"/>
  <c r="E184" i="39"/>
  <c r="F184" i="39" s="1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E182" i="39"/>
  <c r="F182" i="39" s="1"/>
  <c r="N181" i="39"/>
  <c r="O181" i="39" s="1"/>
  <c r="K181" i="39"/>
  <c r="L181" i="39" s="1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K179" i="39"/>
  <c r="H179" i="39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H171" i="39"/>
  <c r="I171" i="39" s="1"/>
  <c r="E171" i="39"/>
  <c r="N170" i="39"/>
  <c r="K170" i="39"/>
  <c r="H170" i="39"/>
  <c r="E170" i="39"/>
  <c r="N169" i="39"/>
  <c r="K169" i="39"/>
  <c r="H169" i="39"/>
  <c r="F169" i="39"/>
  <c r="E169" i="39"/>
  <c r="N168" i="39"/>
  <c r="K168" i="39"/>
  <c r="H168" i="39"/>
  <c r="I168" i="39" s="1"/>
  <c r="E168" i="39"/>
  <c r="N167" i="39"/>
  <c r="L167" i="39"/>
  <c r="K167" i="39"/>
  <c r="H167" i="39"/>
  <c r="E167" i="39"/>
  <c r="O166" i="39"/>
  <c r="N166" i="39"/>
  <c r="K166" i="39"/>
  <c r="H166" i="39"/>
  <c r="I166" i="39" s="1"/>
  <c r="F166" i="39"/>
  <c r="E166" i="39"/>
  <c r="N165" i="39"/>
  <c r="K165" i="39"/>
  <c r="L165" i="39" s="1"/>
  <c r="H165" i="39"/>
  <c r="I165" i="39" s="1"/>
  <c r="E165" i="39"/>
  <c r="N164" i="39"/>
  <c r="K164" i="39"/>
  <c r="H164" i="39"/>
  <c r="E164" i="39"/>
  <c r="N163" i="39"/>
  <c r="K163" i="39"/>
  <c r="H163" i="39"/>
  <c r="E163" i="39"/>
  <c r="N162" i="39"/>
  <c r="O162" i="39" s="1"/>
  <c r="K162" i="39"/>
  <c r="H162" i="39"/>
  <c r="E162" i="39"/>
  <c r="N161" i="39"/>
  <c r="O161" i="39" s="1"/>
  <c r="K161" i="39"/>
  <c r="H161" i="39"/>
  <c r="E161" i="39"/>
  <c r="F161" i="39" s="1"/>
  <c r="N160" i="39"/>
  <c r="K160" i="39"/>
  <c r="H160" i="39"/>
  <c r="I160" i="39" s="1"/>
  <c r="F160" i="39"/>
  <c r="E160" i="39"/>
  <c r="N159" i="39"/>
  <c r="K159" i="39"/>
  <c r="L159" i="39" s="1"/>
  <c r="H159" i="39"/>
  <c r="E159" i="39"/>
  <c r="N158" i="39"/>
  <c r="O158" i="39" s="1"/>
  <c r="K158" i="39"/>
  <c r="H158" i="39"/>
  <c r="E158" i="39"/>
  <c r="N157" i="39"/>
  <c r="K157" i="39"/>
  <c r="H157" i="39"/>
  <c r="E157" i="39"/>
  <c r="N156" i="39"/>
  <c r="O156" i="39" s="1"/>
  <c r="K156" i="39"/>
  <c r="H156" i="39"/>
  <c r="E156" i="39"/>
  <c r="O155" i="39"/>
  <c r="N155" i="39"/>
  <c r="K155" i="39"/>
  <c r="H155" i="39"/>
  <c r="I155" i="39" s="1"/>
  <c r="E155" i="39"/>
  <c r="N154" i="39"/>
  <c r="K154" i="39"/>
  <c r="H154" i="39"/>
  <c r="E154" i="39"/>
  <c r="N153" i="39"/>
  <c r="K153" i="39"/>
  <c r="H153" i="39"/>
  <c r="F153" i="39"/>
  <c r="E153" i="39"/>
  <c r="N152" i="39"/>
  <c r="K152" i="39"/>
  <c r="H152" i="39"/>
  <c r="H172" i="39" s="1"/>
  <c r="E152" i="39"/>
  <c r="M150" i="39"/>
  <c r="J150" i="39"/>
  <c r="G150" i="39"/>
  <c r="D150" i="39"/>
  <c r="B150" i="39"/>
  <c r="M149" i="39"/>
  <c r="G149" i="39"/>
  <c r="B145" i="39"/>
  <c r="N144" i="39"/>
  <c r="O144" i="39" s="1"/>
  <c r="L144" i="39"/>
  <c r="K144" i="39"/>
  <c r="H144" i="39"/>
  <c r="I144" i="39" s="1"/>
  <c r="F144" i="39"/>
  <c r="E144" i="39"/>
  <c r="N143" i="39"/>
  <c r="O143" i="39" s="1"/>
  <c r="K143" i="39"/>
  <c r="L143" i="39" s="1"/>
  <c r="H143" i="39"/>
  <c r="I143" i="39" s="1"/>
  <c r="E143" i="39"/>
  <c r="F143" i="39" s="1"/>
  <c r="N142" i="39"/>
  <c r="O142" i="39" s="1"/>
  <c r="K142" i="39"/>
  <c r="L142" i="39" s="1"/>
  <c r="H142" i="39"/>
  <c r="I142" i="39" s="1"/>
  <c r="F142" i="39"/>
  <c r="E142" i="39"/>
  <c r="O141" i="39"/>
  <c r="N141" i="39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K139" i="39"/>
  <c r="L139" i="39" s="1"/>
  <c r="H139" i="39"/>
  <c r="I139" i="39" s="1"/>
  <c r="E139" i="39"/>
  <c r="F139" i="39" s="1"/>
  <c r="N138" i="39"/>
  <c r="O138" i="39" s="1"/>
  <c r="K138" i="39"/>
  <c r="L138" i="39" s="1"/>
  <c r="H138" i="39"/>
  <c r="I138" i="39" s="1"/>
  <c r="F138" i="39"/>
  <c r="E138" i="39"/>
  <c r="N137" i="39"/>
  <c r="O137" i="39" s="1"/>
  <c r="K137" i="39"/>
  <c r="L137" i="39" s="1"/>
  <c r="H137" i="39"/>
  <c r="I137" i="39" s="1"/>
  <c r="E137" i="39"/>
  <c r="F137" i="39" s="1"/>
  <c r="O136" i="39"/>
  <c r="N136" i="39"/>
  <c r="K136" i="39"/>
  <c r="L136" i="39" s="1"/>
  <c r="H136" i="39"/>
  <c r="I136" i="39" s="1"/>
  <c r="F136" i="39"/>
  <c r="E136" i="39"/>
  <c r="N135" i="39"/>
  <c r="O135" i="39" s="1"/>
  <c r="K135" i="39"/>
  <c r="L135" i="39" s="1"/>
  <c r="H135" i="39"/>
  <c r="I135" i="39" s="1"/>
  <c r="E135" i="39"/>
  <c r="F135" i="39" s="1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E133" i="39"/>
  <c r="F133" i="39" s="1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E131" i="39"/>
  <c r="F131" i="39" s="1"/>
  <c r="O130" i="39"/>
  <c r="N130" i="39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E129" i="39"/>
  <c r="F129" i="39" s="1"/>
  <c r="N128" i="39"/>
  <c r="O128" i="39" s="1"/>
  <c r="L128" i="39"/>
  <c r="K128" i="39"/>
  <c r="H128" i="39"/>
  <c r="I128" i="39" s="1"/>
  <c r="E128" i="39"/>
  <c r="F128" i="39" s="1"/>
  <c r="N127" i="39"/>
  <c r="O127" i="39" s="1"/>
  <c r="K127" i="39"/>
  <c r="L127" i="39" s="1"/>
  <c r="H127" i="39"/>
  <c r="I127" i="39" s="1"/>
  <c r="E127" i="39"/>
  <c r="F127" i="39" s="1"/>
  <c r="N126" i="39"/>
  <c r="O126" i="39" s="1"/>
  <c r="L126" i="39"/>
  <c r="K126" i="39"/>
  <c r="H126" i="39"/>
  <c r="I126" i="39" s="1"/>
  <c r="F126" i="39"/>
  <c r="E126" i="39"/>
  <c r="N125" i="39"/>
  <c r="K125" i="39"/>
  <c r="H125" i="39"/>
  <c r="F125" i="39"/>
  <c r="E125" i="39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E115" i="39"/>
  <c r="F115" i="39" s="1"/>
  <c r="N114" i="39"/>
  <c r="O114" i="39" s="1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E111" i="39"/>
  <c r="F111" i="39" s="1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E109" i="39"/>
  <c r="F109" i="39" s="1"/>
  <c r="N108" i="39"/>
  <c r="O108" i="39" s="1"/>
  <c r="K108" i="39"/>
  <c r="L108" i="39" s="1"/>
  <c r="H108" i="39"/>
  <c r="I108" i="39" s="1"/>
  <c r="E108" i="39"/>
  <c r="F108" i="39" s="1"/>
  <c r="N107" i="39"/>
  <c r="O107" i="39" s="1"/>
  <c r="K107" i="39"/>
  <c r="L107" i="39" s="1"/>
  <c r="H107" i="39"/>
  <c r="I107" i="39" s="1"/>
  <c r="E107" i="39"/>
  <c r="F107" i="39" s="1"/>
  <c r="O106" i="39"/>
  <c r="N106" i="39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E105" i="39"/>
  <c r="F105" i="39" s="1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E102" i="39"/>
  <c r="F102" i="39" s="1"/>
  <c r="N101" i="39"/>
  <c r="O101" i="39" s="1"/>
  <c r="L101" i="39"/>
  <c r="K101" i="39"/>
  <c r="H101" i="39"/>
  <c r="I101" i="39" s="1"/>
  <c r="E101" i="39"/>
  <c r="F101" i="39" s="1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E99" i="39"/>
  <c r="F99" i="39" s="1"/>
  <c r="N98" i="39"/>
  <c r="K98" i="39"/>
  <c r="H98" i="39"/>
  <c r="E98" i="39"/>
  <c r="E118" i="39" s="1"/>
  <c r="M96" i="39"/>
  <c r="J96" i="39"/>
  <c r="G96" i="39"/>
  <c r="D96" i="39"/>
  <c r="B96" i="39"/>
  <c r="M95" i="39"/>
  <c r="G95" i="39"/>
  <c r="B91" i="39"/>
  <c r="N90" i="39"/>
  <c r="K90" i="39"/>
  <c r="H90" i="39"/>
  <c r="E90" i="39"/>
  <c r="N89" i="39"/>
  <c r="K89" i="39"/>
  <c r="H89" i="39"/>
  <c r="E89" i="39"/>
  <c r="N88" i="39"/>
  <c r="K88" i="39"/>
  <c r="H88" i="39"/>
  <c r="E88" i="39"/>
  <c r="N87" i="39"/>
  <c r="O87" i="39" s="1"/>
  <c r="K87" i="39"/>
  <c r="H87" i="39"/>
  <c r="E87" i="39"/>
  <c r="N86" i="39"/>
  <c r="K86" i="39"/>
  <c r="H86" i="39"/>
  <c r="E86" i="39"/>
  <c r="N85" i="39"/>
  <c r="K85" i="39"/>
  <c r="H85" i="39"/>
  <c r="E85" i="39"/>
  <c r="N84" i="39"/>
  <c r="K84" i="39"/>
  <c r="H84" i="39"/>
  <c r="F84" i="39"/>
  <c r="E84" i="39"/>
  <c r="N83" i="39"/>
  <c r="L83" i="39"/>
  <c r="K83" i="39"/>
  <c r="H83" i="39"/>
  <c r="E83" i="39"/>
  <c r="N82" i="39"/>
  <c r="K82" i="39"/>
  <c r="H82" i="39"/>
  <c r="I82" i="39" s="1"/>
  <c r="E82" i="39"/>
  <c r="N81" i="39"/>
  <c r="K81" i="39"/>
  <c r="H81" i="39"/>
  <c r="E81" i="39"/>
  <c r="N80" i="39"/>
  <c r="K80" i="39"/>
  <c r="H80" i="39"/>
  <c r="E80" i="39"/>
  <c r="N79" i="39"/>
  <c r="K79" i="39"/>
  <c r="H79" i="39"/>
  <c r="E79" i="39"/>
  <c r="N78" i="39"/>
  <c r="K78" i="39"/>
  <c r="H78" i="39"/>
  <c r="I78" i="39" s="1"/>
  <c r="E78" i="39"/>
  <c r="N77" i="39"/>
  <c r="K77" i="39"/>
  <c r="L77" i="39" s="1"/>
  <c r="H77" i="39"/>
  <c r="E77" i="39"/>
  <c r="N76" i="39"/>
  <c r="K76" i="39"/>
  <c r="H76" i="39"/>
  <c r="E76" i="39"/>
  <c r="N75" i="39"/>
  <c r="K75" i="39"/>
  <c r="H75" i="39"/>
  <c r="F75" i="39"/>
  <c r="E75" i="39"/>
  <c r="N74" i="39"/>
  <c r="K74" i="39"/>
  <c r="H74" i="39"/>
  <c r="E74" i="39"/>
  <c r="O73" i="39"/>
  <c r="N73" i="39"/>
  <c r="K73" i="39"/>
  <c r="H73" i="39"/>
  <c r="F73" i="39"/>
  <c r="E73" i="39"/>
  <c r="N72" i="39"/>
  <c r="K72" i="39"/>
  <c r="H72" i="39"/>
  <c r="I72" i="39" s="1"/>
  <c r="E72" i="39"/>
  <c r="N71" i="39"/>
  <c r="K71" i="39"/>
  <c r="H71" i="39"/>
  <c r="E71" i="39"/>
  <c r="M69" i="39"/>
  <c r="J69" i="39"/>
  <c r="G69" i="39"/>
  <c r="D69" i="39"/>
  <c r="B69" i="39"/>
  <c r="M68" i="39"/>
  <c r="G68" i="39"/>
  <c r="B64" i="39"/>
  <c r="N63" i="39"/>
  <c r="K63" i="39"/>
  <c r="H63" i="39"/>
  <c r="I63" i="39" s="1"/>
  <c r="E63" i="39"/>
  <c r="N62" i="39"/>
  <c r="K62" i="39"/>
  <c r="H62" i="39"/>
  <c r="F62" i="39"/>
  <c r="E62" i="39"/>
  <c r="N61" i="39"/>
  <c r="K61" i="39"/>
  <c r="H61" i="39"/>
  <c r="I61" i="39" s="1"/>
  <c r="E61" i="39"/>
  <c r="N60" i="39"/>
  <c r="K60" i="39"/>
  <c r="L60" i="39" s="1"/>
  <c r="H60" i="39"/>
  <c r="E60" i="39"/>
  <c r="N59" i="39"/>
  <c r="O59" i="39" s="1"/>
  <c r="K59" i="39"/>
  <c r="H59" i="39"/>
  <c r="F59" i="39"/>
  <c r="E59" i="39"/>
  <c r="N58" i="39"/>
  <c r="K58" i="39"/>
  <c r="H58" i="39"/>
  <c r="I58" i="39" s="1"/>
  <c r="E58" i="39"/>
  <c r="N57" i="39"/>
  <c r="K57" i="39"/>
  <c r="L57" i="39" s="1"/>
  <c r="H57" i="39"/>
  <c r="E57" i="39"/>
  <c r="N56" i="39"/>
  <c r="O56" i="39" s="1"/>
  <c r="K56" i="39"/>
  <c r="L56" i="39" s="1"/>
  <c r="H56" i="39"/>
  <c r="E56" i="39"/>
  <c r="O55" i="39"/>
  <c r="N55" i="39"/>
  <c r="K55" i="39"/>
  <c r="H55" i="39"/>
  <c r="I55" i="39" s="1"/>
  <c r="E55" i="39"/>
  <c r="N54" i="39"/>
  <c r="K54" i="39"/>
  <c r="L54" i="39" s="1"/>
  <c r="H54" i="39"/>
  <c r="E54" i="39"/>
  <c r="N53" i="39"/>
  <c r="O53" i="39" s="1"/>
  <c r="K53" i="39"/>
  <c r="H53" i="39"/>
  <c r="E53" i="39"/>
  <c r="N52" i="39"/>
  <c r="K52" i="39"/>
  <c r="H52" i="39"/>
  <c r="F52" i="39"/>
  <c r="E52" i="39"/>
  <c r="N51" i="39"/>
  <c r="K51" i="39"/>
  <c r="H51" i="39"/>
  <c r="E51" i="39"/>
  <c r="O50" i="39"/>
  <c r="N50" i="39"/>
  <c r="K50" i="39"/>
  <c r="H50" i="39"/>
  <c r="F50" i="39"/>
  <c r="E50" i="39"/>
  <c r="N49" i="39"/>
  <c r="K49" i="39"/>
  <c r="H49" i="39"/>
  <c r="I49" i="39" s="1"/>
  <c r="E49" i="39"/>
  <c r="N48" i="39"/>
  <c r="K48" i="39"/>
  <c r="H48" i="39"/>
  <c r="I48" i="39" s="1"/>
  <c r="E48" i="39"/>
  <c r="N47" i="39"/>
  <c r="L47" i="39"/>
  <c r="K47" i="39"/>
  <c r="H47" i="39"/>
  <c r="E47" i="39"/>
  <c r="N46" i="39"/>
  <c r="O46" i="39" s="1"/>
  <c r="K46" i="39"/>
  <c r="H46" i="39"/>
  <c r="E46" i="39"/>
  <c r="F46" i="39" s="1"/>
  <c r="N45" i="39"/>
  <c r="K45" i="39"/>
  <c r="H45" i="39"/>
  <c r="I45" i="39" s="1"/>
  <c r="F45" i="39"/>
  <c r="E45" i="39"/>
  <c r="N44" i="39"/>
  <c r="K44" i="39"/>
  <c r="H44" i="39"/>
  <c r="H64" i="39" s="1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79" i="38" s="1"/>
  <c r="N198" i="38"/>
  <c r="K198" i="38"/>
  <c r="L198" i="38" s="1"/>
  <c r="H198" i="38"/>
  <c r="I198" i="38" s="1"/>
  <c r="E198" i="38"/>
  <c r="N197" i="38"/>
  <c r="O197" i="38" s="1"/>
  <c r="K197" i="38"/>
  <c r="H197" i="38"/>
  <c r="E197" i="38"/>
  <c r="F197" i="38" s="1"/>
  <c r="N196" i="38"/>
  <c r="K196" i="38"/>
  <c r="H196" i="38"/>
  <c r="I196" i="38" s="1"/>
  <c r="E196" i="38"/>
  <c r="O195" i="38"/>
  <c r="N195" i="38"/>
  <c r="K195" i="38"/>
  <c r="H195" i="38"/>
  <c r="I195" i="38" s="1"/>
  <c r="F195" i="38"/>
  <c r="E195" i="38"/>
  <c r="N194" i="38"/>
  <c r="L194" i="38"/>
  <c r="K194" i="38"/>
  <c r="H194" i="38"/>
  <c r="E194" i="38"/>
  <c r="F194" i="38" s="1"/>
  <c r="N193" i="38"/>
  <c r="O193" i="38" s="1"/>
  <c r="K193" i="38"/>
  <c r="H193" i="38"/>
  <c r="I193" i="38" s="1"/>
  <c r="F193" i="38"/>
  <c r="E193" i="38"/>
  <c r="N192" i="38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E191" i="38"/>
  <c r="N190" i="38"/>
  <c r="O190" i="38" s="1"/>
  <c r="L190" i="38"/>
  <c r="K190" i="38"/>
  <c r="H190" i="38"/>
  <c r="E190" i="38"/>
  <c r="F190" i="38" s="1"/>
  <c r="N189" i="38"/>
  <c r="K189" i="38"/>
  <c r="H189" i="38"/>
  <c r="I189" i="38" s="1"/>
  <c r="E189" i="38"/>
  <c r="O188" i="38"/>
  <c r="N188" i="38"/>
  <c r="K188" i="38"/>
  <c r="H188" i="38"/>
  <c r="I188" i="38" s="1"/>
  <c r="F188" i="38"/>
  <c r="E188" i="38"/>
  <c r="N187" i="38"/>
  <c r="K187" i="38"/>
  <c r="L187" i="38" s="1"/>
  <c r="H187" i="38"/>
  <c r="I187" i="38" s="1"/>
  <c r="E187" i="38"/>
  <c r="N186" i="38"/>
  <c r="O186" i="38" s="1"/>
  <c r="K186" i="38"/>
  <c r="H186" i="38"/>
  <c r="F186" i="38"/>
  <c r="E186" i="38"/>
  <c r="N185" i="38"/>
  <c r="O185" i="38" s="1"/>
  <c r="K185" i="38"/>
  <c r="H185" i="38"/>
  <c r="I185" i="38" s="1"/>
  <c r="E185" i="38"/>
  <c r="N184" i="38"/>
  <c r="O184" i="38" s="1"/>
  <c r="K184" i="38"/>
  <c r="H184" i="38"/>
  <c r="F184" i="38"/>
  <c r="E184" i="38"/>
  <c r="N183" i="38"/>
  <c r="K183" i="38"/>
  <c r="H183" i="38"/>
  <c r="I183" i="38" s="1"/>
  <c r="F183" i="38"/>
  <c r="E183" i="38"/>
  <c r="N182" i="38"/>
  <c r="L182" i="38"/>
  <c r="K182" i="38"/>
  <c r="H182" i="38"/>
  <c r="E182" i="38"/>
  <c r="O181" i="38"/>
  <c r="N181" i="38"/>
  <c r="K181" i="38"/>
  <c r="H181" i="38"/>
  <c r="I181" i="38" s="1"/>
  <c r="F181" i="38"/>
  <c r="E181" i="38"/>
  <c r="N180" i="38"/>
  <c r="K180" i="38"/>
  <c r="L180" i="38" s="1"/>
  <c r="H180" i="38"/>
  <c r="I180" i="38" s="1"/>
  <c r="E180" i="38"/>
  <c r="N179" i="38"/>
  <c r="K179" i="38"/>
  <c r="H179" i="38"/>
  <c r="E179" i="38"/>
  <c r="M177" i="38"/>
  <c r="J177" i="38"/>
  <c r="G177" i="38"/>
  <c r="D177" i="38"/>
  <c r="B177" i="38"/>
  <c r="M176" i="38"/>
  <c r="G176" i="38"/>
  <c r="B172" i="38"/>
  <c r="N171" i="38"/>
  <c r="K171" i="38"/>
  <c r="H171" i="38"/>
  <c r="I171" i="38" s="1"/>
  <c r="E171" i="38"/>
  <c r="N170" i="38"/>
  <c r="K170" i="38"/>
  <c r="H170" i="38"/>
  <c r="F170" i="38"/>
  <c r="E170" i="38"/>
  <c r="N169" i="38"/>
  <c r="K169" i="38"/>
  <c r="H169" i="38"/>
  <c r="I169" i="38" s="1"/>
  <c r="E169" i="38"/>
  <c r="N168" i="38"/>
  <c r="K168" i="38"/>
  <c r="L168" i="38" s="1"/>
  <c r="H168" i="38"/>
  <c r="E168" i="38"/>
  <c r="N167" i="38"/>
  <c r="O167" i="38" s="1"/>
  <c r="K167" i="38"/>
  <c r="H167" i="38"/>
  <c r="F167" i="38"/>
  <c r="E167" i="38"/>
  <c r="N166" i="38"/>
  <c r="K166" i="38"/>
  <c r="H166" i="38"/>
  <c r="I166" i="38" s="1"/>
  <c r="E166" i="38"/>
  <c r="N165" i="38"/>
  <c r="K165" i="38"/>
  <c r="L165" i="38" s="1"/>
  <c r="H165" i="38"/>
  <c r="E165" i="38"/>
  <c r="N164" i="38"/>
  <c r="O164" i="38" s="1"/>
  <c r="L164" i="38"/>
  <c r="K164" i="38"/>
  <c r="H164" i="38"/>
  <c r="E164" i="38"/>
  <c r="F164" i="38" s="1"/>
  <c r="N163" i="38"/>
  <c r="K163" i="38"/>
  <c r="H163" i="38"/>
  <c r="I163" i="38" s="1"/>
  <c r="E163" i="38"/>
  <c r="N162" i="38"/>
  <c r="K162" i="38"/>
  <c r="H162" i="38"/>
  <c r="E162" i="38"/>
  <c r="N161" i="38"/>
  <c r="K161" i="38"/>
  <c r="H161" i="38"/>
  <c r="F161" i="38"/>
  <c r="E161" i="38"/>
  <c r="N160" i="38"/>
  <c r="L160" i="38"/>
  <c r="K160" i="38"/>
  <c r="H160" i="38"/>
  <c r="E160" i="38"/>
  <c r="N159" i="38"/>
  <c r="K159" i="38"/>
  <c r="H159" i="38"/>
  <c r="I159" i="38" s="1"/>
  <c r="E159" i="38"/>
  <c r="N158" i="38"/>
  <c r="K158" i="38"/>
  <c r="H158" i="38"/>
  <c r="F158" i="38"/>
  <c r="E158" i="38"/>
  <c r="N157" i="38"/>
  <c r="K157" i="38"/>
  <c r="L157" i="38" s="1"/>
  <c r="H157" i="38"/>
  <c r="E157" i="38"/>
  <c r="N156" i="38"/>
  <c r="O156" i="38" s="1"/>
  <c r="K156" i="38"/>
  <c r="H156" i="38"/>
  <c r="E156" i="38"/>
  <c r="O155" i="38"/>
  <c r="N155" i="38"/>
  <c r="K155" i="38"/>
  <c r="H155" i="38"/>
  <c r="I155" i="38" s="1"/>
  <c r="E155" i="38"/>
  <c r="N154" i="38"/>
  <c r="K154" i="38"/>
  <c r="H154" i="38"/>
  <c r="E154" i="38"/>
  <c r="O153" i="38"/>
  <c r="N153" i="38"/>
  <c r="K153" i="38"/>
  <c r="H153" i="38"/>
  <c r="I153" i="38" s="1"/>
  <c r="E153" i="38"/>
  <c r="N152" i="38"/>
  <c r="K152" i="38"/>
  <c r="H152" i="38"/>
  <c r="E152" i="38"/>
  <c r="M150" i="38"/>
  <c r="J150" i="38"/>
  <c r="G150" i="38"/>
  <c r="D150" i="38"/>
  <c r="B150" i="38"/>
  <c r="M149" i="38"/>
  <c r="G149" i="38"/>
  <c r="B145" i="38"/>
  <c r="O144" i="38"/>
  <c r="N144" i="38"/>
  <c r="K144" i="38"/>
  <c r="H144" i="38"/>
  <c r="I144" i="38" s="1"/>
  <c r="E144" i="38"/>
  <c r="F144" i="38" s="1"/>
  <c r="N143" i="38"/>
  <c r="K143" i="38"/>
  <c r="H143" i="38"/>
  <c r="I143" i="38" s="1"/>
  <c r="E143" i="38"/>
  <c r="F143" i="38" s="1"/>
  <c r="N142" i="38"/>
  <c r="K142" i="38"/>
  <c r="H142" i="38"/>
  <c r="I142" i="38" s="1"/>
  <c r="E142" i="38"/>
  <c r="F142" i="38" s="1"/>
  <c r="N141" i="38"/>
  <c r="K141" i="38"/>
  <c r="H141" i="38"/>
  <c r="I141" i="38" s="1"/>
  <c r="E141" i="38"/>
  <c r="N140" i="38"/>
  <c r="K140" i="38"/>
  <c r="L140" i="38" s="1"/>
  <c r="H140" i="38"/>
  <c r="E140" i="38"/>
  <c r="N139" i="38"/>
  <c r="O139" i="38" s="1"/>
  <c r="L139" i="38"/>
  <c r="K139" i="38"/>
  <c r="H139" i="38"/>
  <c r="E139" i="38"/>
  <c r="F139" i="38" s="1"/>
  <c r="N138" i="38"/>
  <c r="O138" i="38" s="1"/>
  <c r="K138" i="38"/>
  <c r="H138" i="38"/>
  <c r="I138" i="38" s="1"/>
  <c r="E138" i="38"/>
  <c r="F138" i="38" s="1"/>
  <c r="N137" i="38"/>
  <c r="K137" i="38"/>
  <c r="H137" i="38"/>
  <c r="I137" i="38" s="1"/>
  <c r="E137" i="38"/>
  <c r="N136" i="38"/>
  <c r="K136" i="38"/>
  <c r="L136" i="38" s="1"/>
  <c r="H136" i="38"/>
  <c r="I136" i="38" s="1"/>
  <c r="E136" i="38"/>
  <c r="N135" i="38"/>
  <c r="K135" i="38"/>
  <c r="L135" i="38" s="1"/>
  <c r="H135" i="38"/>
  <c r="I135" i="38" s="1"/>
  <c r="E135" i="38"/>
  <c r="N134" i="38"/>
  <c r="K134" i="38"/>
  <c r="L134" i="38" s="1"/>
  <c r="H134" i="38"/>
  <c r="E134" i="38"/>
  <c r="N133" i="38"/>
  <c r="O133" i="38" s="1"/>
  <c r="K133" i="38"/>
  <c r="L133" i="38" s="1"/>
  <c r="H133" i="38"/>
  <c r="E133" i="38"/>
  <c r="N132" i="38"/>
  <c r="O132" i="38" s="1"/>
  <c r="K132" i="38"/>
  <c r="H132" i="38"/>
  <c r="E132" i="38"/>
  <c r="N131" i="38"/>
  <c r="L131" i="38"/>
  <c r="K131" i="38"/>
  <c r="H131" i="38"/>
  <c r="E131" i="38"/>
  <c r="N130" i="38"/>
  <c r="O130" i="38" s="1"/>
  <c r="K130" i="38"/>
  <c r="H130" i="38"/>
  <c r="E130" i="38"/>
  <c r="F130" i="38" s="1"/>
  <c r="N129" i="38"/>
  <c r="K129" i="38"/>
  <c r="I129" i="38"/>
  <c r="H129" i="38"/>
  <c r="E129" i="38"/>
  <c r="N128" i="38"/>
  <c r="K128" i="38"/>
  <c r="L128" i="38" s="1"/>
  <c r="H128" i="38"/>
  <c r="E128" i="38"/>
  <c r="N127" i="38"/>
  <c r="O127" i="38" s="1"/>
  <c r="K127" i="38"/>
  <c r="L127" i="38" s="1"/>
  <c r="H127" i="38"/>
  <c r="E127" i="38"/>
  <c r="N126" i="38"/>
  <c r="O126" i="38" s="1"/>
  <c r="K126" i="38"/>
  <c r="L126" i="38" s="1"/>
  <c r="H126" i="38"/>
  <c r="E126" i="38"/>
  <c r="N125" i="38"/>
  <c r="K125" i="38"/>
  <c r="K145" i="38" s="1"/>
  <c r="H125" i="38"/>
  <c r="E125" i="38"/>
  <c r="M123" i="38"/>
  <c r="J123" i="38"/>
  <c r="G123" i="38"/>
  <c r="D123" i="38"/>
  <c r="B123" i="38"/>
  <c r="M122" i="38"/>
  <c r="G122" i="38"/>
  <c r="B118" i="38"/>
  <c r="N117" i="38"/>
  <c r="O117" i="38" s="1"/>
  <c r="K117" i="38"/>
  <c r="H117" i="38"/>
  <c r="E117" i="38"/>
  <c r="F117" i="38" s="1"/>
  <c r="N116" i="38"/>
  <c r="K116" i="38"/>
  <c r="H116" i="38"/>
  <c r="I116" i="38" s="1"/>
  <c r="F116" i="38"/>
  <c r="E116" i="38"/>
  <c r="N115" i="38"/>
  <c r="K115" i="38"/>
  <c r="L115" i="38" s="1"/>
  <c r="H115" i="38"/>
  <c r="E115" i="38"/>
  <c r="N114" i="38"/>
  <c r="O114" i="38" s="1"/>
  <c r="K114" i="38"/>
  <c r="H114" i="38"/>
  <c r="E114" i="38"/>
  <c r="F114" i="38" s="1"/>
  <c r="N113" i="38"/>
  <c r="K113" i="38"/>
  <c r="H113" i="38"/>
  <c r="I113" i="38" s="1"/>
  <c r="F113" i="38"/>
  <c r="E113" i="38"/>
  <c r="N112" i="38"/>
  <c r="K112" i="38"/>
  <c r="L112" i="38" s="1"/>
  <c r="H112" i="38"/>
  <c r="E112" i="38"/>
  <c r="N111" i="38"/>
  <c r="O111" i="38" s="1"/>
  <c r="K111" i="38"/>
  <c r="H111" i="38"/>
  <c r="F111" i="38"/>
  <c r="E111" i="38"/>
  <c r="N110" i="38"/>
  <c r="K110" i="38"/>
  <c r="H110" i="38"/>
  <c r="I110" i="38" s="1"/>
  <c r="E110" i="38"/>
  <c r="N109" i="38"/>
  <c r="K109" i="38"/>
  <c r="H109" i="38"/>
  <c r="F109" i="38"/>
  <c r="E109" i="38"/>
  <c r="N108" i="38"/>
  <c r="K108" i="38"/>
  <c r="H108" i="38"/>
  <c r="I108" i="38" s="1"/>
  <c r="E108" i="38"/>
  <c r="N107" i="38"/>
  <c r="L107" i="38"/>
  <c r="K107" i="38"/>
  <c r="H107" i="38"/>
  <c r="E107" i="38"/>
  <c r="N106" i="38"/>
  <c r="O106" i="38" s="1"/>
  <c r="K106" i="38"/>
  <c r="H106" i="38"/>
  <c r="E106" i="38"/>
  <c r="F106" i="38" s="1"/>
  <c r="N105" i="38"/>
  <c r="K105" i="38"/>
  <c r="L105" i="38" s="1"/>
  <c r="H105" i="38"/>
  <c r="I105" i="38" s="1"/>
  <c r="E105" i="38"/>
  <c r="N104" i="38"/>
  <c r="O104" i="38" s="1"/>
  <c r="K104" i="38"/>
  <c r="L104" i="38" s="1"/>
  <c r="H104" i="38"/>
  <c r="E104" i="38"/>
  <c r="N103" i="38"/>
  <c r="O103" i="38" s="1"/>
  <c r="K103" i="38"/>
  <c r="H103" i="38"/>
  <c r="F103" i="38"/>
  <c r="E103" i="38"/>
  <c r="N102" i="38"/>
  <c r="K102" i="38"/>
  <c r="H102" i="38"/>
  <c r="I102" i="38" s="1"/>
  <c r="E102" i="38"/>
  <c r="N101" i="38"/>
  <c r="K101" i="38"/>
  <c r="H101" i="38"/>
  <c r="F101" i="38"/>
  <c r="E101" i="38"/>
  <c r="N100" i="38"/>
  <c r="K100" i="38"/>
  <c r="H100" i="38"/>
  <c r="I100" i="38" s="1"/>
  <c r="E100" i="38"/>
  <c r="N99" i="38"/>
  <c r="L99" i="38"/>
  <c r="K99" i="38"/>
  <c r="H99" i="38"/>
  <c r="E99" i="38"/>
  <c r="O98" i="38"/>
  <c r="N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I79" i="38" s="1"/>
  <c r="N90" i="38"/>
  <c r="K90" i="38"/>
  <c r="L90" i="38" s="1"/>
  <c r="H90" i="38"/>
  <c r="I90" i="38" s="1"/>
  <c r="E90" i="38"/>
  <c r="F90" i="38" s="1"/>
  <c r="N89" i="38"/>
  <c r="K89" i="38"/>
  <c r="L89" i="38" s="1"/>
  <c r="H89" i="38"/>
  <c r="I89" i="38" s="1"/>
  <c r="E89" i="38"/>
  <c r="N88" i="38"/>
  <c r="O88" i="38" s="1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N86" i="38"/>
  <c r="O86" i="38" s="1"/>
  <c r="K86" i="38"/>
  <c r="H86" i="38"/>
  <c r="E86" i="38"/>
  <c r="F86" i="38" s="1"/>
  <c r="N85" i="38"/>
  <c r="O85" i="38" s="1"/>
  <c r="K85" i="38"/>
  <c r="H85" i="38"/>
  <c r="E85" i="38"/>
  <c r="F85" i="38" s="1"/>
  <c r="N84" i="38"/>
  <c r="O84" i="38" s="1"/>
  <c r="K84" i="38"/>
  <c r="H84" i="38"/>
  <c r="E84" i="38"/>
  <c r="F84" i="38" s="1"/>
  <c r="O83" i="38"/>
  <c r="N83" i="38"/>
  <c r="K83" i="38"/>
  <c r="H83" i="38"/>
  <c r="I83" i="38" s="1"/>
  <c r="E83" i="38"/>
  <c r="N82" i="38"/>
  <c r="K82" i="38"/>
  <c r="L82" i="38" s="1"/>
  <c r="H82" i="38"/>
  <c r="E82" i="38"/>
  <c r="N81" i="38"/>
  <c r="O81" i="38" s="1"/>
  <c r="K81" i="38"/>
  <c r="H81" i="38"/>
  <c r="E81" i="38"/>
  <c r="F81" i="38" s="1"/>
  <c r="N80" i="38"/>
  <c r="O80" i="38" s="1"/>
  <c r="K80" i="38"/>
  <c r="H80" i="38"/>
  <c r="E80" i="38"/>
  <c r="F80" i="38" s="1"/>
  <c r="N79" i="38"/>
  <c r="K79" i="38"/>
  <c r="L79" i="38" s="1"/>
  <c r="H79" i="38"/>
  <c r="E79" i="38"/>
  <c r="N78" i="38"/>
  <c r="O78" i="38" s="1"/>
  <c r="K78" i="38"/>
  <c r="H78" i="38"/>
  <c r="I78" i="38" s="1"/>
  <c r="E78" i="38"/>
  <c r="N77" i="38"/>
  <c r="O77" i="38" s="1"/>
  <c r="K77" i="38"/>
  <c r="H77" i="38"/>
  <c r="I77" i="38" s="1"/>
  <c r="E77" i="38"/>
  <c r="N76" i="38"/>
  <c r="O76" i="38" s="1"/>
  <c r="K76" i="38"/>
  <c r="H76" i="38"/>
  <c r="I76" i="38" s="1"/>
  <c r="E76" i="38"/>
  <c r="O75" i="38"/>
  <c r="N75" i="38"/>
  <c r="K75" i="38"/>
  <c r="L75" i="38" s="1"/>
  <c r="H75" i="38"/>
  <c r="E75" i="38"/>
  <c r="F75" i="38" s="1"/>
  <c r="N74" i="38"/>
  <c r="K74" i="38"/>
  <c r="H74" i="38"/>
  <c r="I74" i="38" s="1"/>
  <c r="E74" i="38"/>
  <c r="F74" i="38" s="1"/>
  <c r="N73" i="38"/>
  <c r="K73" i="38"/>
  <c r="H73" i="38"/>
  <c r="I73" i="38" s="1"/>
  <c r="E73" i="38"/>
  <c r="F73" i="38" s="1"/>
  <c r="N72" i="38"/>
  <c r="K72" i="38"/>
  <c r="L72" i="38" s="1"/>
  <c r="I72" i="38"/>
  <c r="H72" i="38"/>
  <c r="E72" i="38"/>
  <c r="N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H63" i="38"/>
  <c r="I63" i="38" s="1"/>
  <c r="E63" i="38"/>
  <c r="F63" i="38" s="1"/>
  <c r="N62" i="38"/>
  <c r="K62" i="38"/>
  <c r="H62" i="38"/>
  <c r="I62" i="38" s="1"/>
  <c r="E62" i="38"/>
  <c r="F62" i="38" s="1"/>
  <c r="N61" i="38"/>
  <c r="K61" i="38"/>
  <c r="L61" i="38" s="1"/>
  <c r="H61" i="38"/>
  <c r="E61" i="38"/>
  <c r="N60" i="38"/>
  <c r="O60" i="38" s="1"/>
  <c r="K60" i="38"/>
  <c r="H60" i="38"/>
  <c r="E60" i="38"/>
  <c r="F60" i="38" s="1"/>
  <c r="O59" i="38"/>
  <c r="N59" i="38"/>
  <c r="K59" i="38"/>
  <c r="H59" i="38"/>
  <c r="I59" i="38" s="1"/>
  <c r="E59" i="38"/>
  <c r="F59" i="38" s="1"/>
  <c r="N58" i="38"/>
  <c r="K58" i="38"/>
  <c r="H58" i="38"/>
  <c r="I58" i="38" s="1"/>
  <c r="E58" i="38"/>
  <c r="F58" i="38" s="1"/>
  <c r="N57" i="38"/>
  <c r="K57" i="38"/>
  <c r="H57" i="38"/>
  <c r="I57" i="38" s="1"/>
  <c r="E57" i="38"/>
  <c r="N56" i="38"/>
  <c r="K56" i="38"/>
  <c r="I56" i="38"/>
  <c r="H56" i="38"/>
  <c r="E56" i="38"/>
  <c r="N55" i="38"/>
  <c r="K55" i="38"/>
  <c r="L55" i="38" s="1"/>
  <c r="H55" i="38"/>
  <c r="E55" i="38"/>
  <c r="N54" i="38"/>
  <c r="K54" i="38"/>
  <c r="H54" i="38"/>
  <c r="E54" i="38"/>
  <c r="N53" i="38"/>
  <c r="K53" i="38"/>
  <c r="L53" i="38" s="1"/>
  <c r="H53" i="38"/>
  <c r="E53" i="38"/>
  <c r="N52" i="38"/>
  <c r="O52" i="38" s="1"/>
  <c r="L52" i="38"/>
  <c r="K52" i="38"/>
  <c r="H52" i="38"/>
  <c r="E52" i="38"/>
  <c r="F52" i="38" s="1"/>
  <c r="O51" i="38"/>
  <c r="N51" i="38"/>
  <c r="K51" i="38"/>
  <c r="H51" i="38"/>
  <c r="I51" i="38" s="1"/>
  <c r="E51" i="38"/>
  <c r="F51" i="38" s="1"/>
  <c r="N50" i="38"/>
  <c r="K50" i="38"/>
  <c r="H50" i="38"/>
  <c r="I50" i="38" s="1"/>
  <c r="E50" i="38"/>
  <c r="N49" i="38"/>
  <c r="K49" i="38"/>
  <c r="L49" i="38" s="1"/>
  <c r="H49" i="38"/>
  <c r="I49" i="38" s="1"/>
  <c r="E49" i="38"/>
  <c r="N48" i="38"/>
  <c r="K48" i="38"/>
  <c r="L48" i="38" s="1"/>
  <c r="H48" i="38"/>
  <c r="E48" i="38"/>
  <c r="O47" i="38"/>
  <c r="N47" i="38"/>
  <c r="K47" i="38"/>
  <c r="H47" i="38"/>
  <c r="I47" i="38" s="1"/>
  <c r="E47" i="38"/>
  <c r="N46" i="38"/>
  <c r="K46" i="38"/>
  <c r="L46" i="38" s="1"/>
  <c r="H46" i="38"/>
  <c r="E46" i="38"/>
  <c r="N45" i="38"/>
  <c r="L45" i="38"/>
  <c r="K45" i="38"/>
  <c r="H45" i="38"/>
  <c r="E45" i="38"/>
  <c r="N44" i="38"/>
  <c r="K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E197" i="37"/>
  <c r="N196" i="37"/>
  <c r="O196" i="37" s="1"/>
  <c r="K196" i="37"/>
  <c r="L196" i="37" s="1"/>
  <c r="H196" i="37"/>
  <c r="E196" i="37"/>
  <c r="F196" i="37" s="1"/>
  <c r="N195" i="37"/>
  <c r="O195" i="37" s="1"/>
  <c r="K195" i="37"/>
  <c r="H195" i="37"/>
  <c r="I195" i="37" s="1"/>
  <c r="F195" i="37"/>
  <c r="E195" i="37"/>
  <c r="N194" i="37"/>
  <c r="K194" i="37"/>
  <c r="L194" i="37" s="1"/>
  <c r="H194" i="37"/>
  <c r="I194" i="37" s="1"/>
  <c r="E194" i="37"/>
  <c r="N193" i="37"/>
  <c r="O193" i="37" s="1"/>
  <c r="K193" i="37"/>
  <c r="L193" i="37" s="1"/>
  <c r="H193" i="37"/>
  <c r="E193" i="37"/>
  <c r="F193" i="37" s="1"/>
  <c r="O192" i="37"/>
  <c r="N192" i="37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E191" i="37"/>
  <c r="N190" i="37"/>
  <c r="O190" i="37" s="1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E189" i="37"/>
  <c r="N188" i="37"/>
  <c r="O188" i="37" s="1"/>
  <c r="K188" i="37"/>
  <c r="L188" i="37" s="1"/>
  <c r="H188" i="37"/>
  <c r="E188" i="37"/>
  <c r="F188" i="37" s="1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H185" i="37"/>
  <c r="I185" i="37" s="1"/>
  <c r="E185" i="37"/>
  <c r="F185" i="37" s="1"/>
  <c r="N184" i="37"/>
  <c r="K184" i="37"/>
  <c r="L184" i="37" s="1"/>
  <c r="H184" i="37"/>
  <c r="I184" i="37" s="1"/>
  <c r="F184" i="37"/>
  <c r="E184" i="37"/>
  <c r="N183" i="37"/>
  <c r="O183" i="37" s="1"/>
  <c r="K183" i="37"/>
  <c r="L183" i="37" s="1"/>
  <c r="H183" i="37"/>
  <c r="E183" i="37"/>
  <c r="F183" i="37" s="1"/>
  <c r="N182" i="37"/>
  <c r="O182" i="37" s="1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E181" i="37"/>
  <c r="N180" i="37"/>
  <c r="O180" i="37" s="1"/>
  <c r="K180" i="37"/>
  <c r="L180" i="37" s="1"/>
  <c r="H180" i="37"/>
  <c r="F180" i="37"/>
  <c r="E180" i="37"/>
  <c r="N179" i="37"/>
  <c r="K179" i="37"/>
  <c r="H179" i="37"/>
  <c r="H199" i="37" s="1"/>
  <c r="F179" i="37"/>
  <c r="E179" i="37"/>
  <c r="M177" i="37"/>
  <c r="J177" i="37"/>
  <c r="G177" i="37"/>
  <c r="D177" i="37"/>
  <c r="B177" i="37"/>
  <c r="M176" i="37"/>
  <c r="G176" i="37"/>
  <c r="B172" i="37"/>
  <c r="N171" i="37"/>
  <c r="L171" i="37"/>
  <c r="K171" i="37"/>
  <c r="H171" i="37"/>
  <c r="I171" i="37" s="1"/>
  <c r="E171" i="37"/>
  <c r="N170" i="37"/>
  <c r="O170" i="37" s="1"/>
  <c r="K170" i="37"/>
  <c r="L170" i="37" s="1"/>
  <c r="H170" i="37"/>
  <c r="E170" i="37"/>
  <c r="F170" i="37" s="1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E168" i="37"/>
  <c r="N167" i="37"/>
  <c r="O167" i="37" s="1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E166" i="37"/>
  <c r="N165" i="37"/>
  <c r="O165" i="37" s="1"/>
  <c r="K165" i="37"/>
  <c r="L165" i="37" s="1"/>
  <c r="H165" i="37"/>
  <c r="F165" i="37"/>
  <c r="E165" i="37"/>
  <c r="N164" i="37"/>
  <c r="O164" i="37" s="1"/>
  <c r="K164" i="37"/>
  <c r="H164" i="37"/>
  <c r="I164" i="37" s="1"/>
  <c r="F164" i="37"/>
  <c r="E164" i="37"/>
  <c r="N163" i="37"/>
  <c r="L163" i="37"/>
  <c r="K163" i="37"/>
  <c r="H163" i="37"/>
  <c r="I163" i="37" s="1"/>
  <c r="E163" i="37"/>
  <c r="O162" i="37"/>
  <c r="N162" i="37"/>
  <c r="K162" i="37"/>
  <c r="H162" i="37"/>
  <c r="I162" i="37" s="1"/>
  <c r="F162" i="37"/>
  <c r="E162" i="37"/>
  <c r="N161" i="37"/>
  <c r="K161" i="37"/>
  <c r="L161" i="37" s="1"/>
  <c r="H161" i="37"/>
  <c r="I161" i="37" s="1"/>
  <c r="F161" i="37"/>
  <c r="E161" i="37"/>
  <c r="N160" i="37"/>
  <c r="O160" i="37" s="1"/>
  <c r="K160" i="37"/>
  <c r="L160" i="37" s="1"/>
  <c r="H160" i="37"/>
  <c r="E160" i="37"/>
  <c r="F160" i="37" s="1"/>
  <c r="N159" i="37"/>
  <c r="O159" i="37" s="1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E158" i="37"/>
  <c r="N157" i="37"/>
  <c r="O157" i="37" s="1"/>
  <c r="K157" i="37"/>
  <c r="L157" i="37" s="1"/>
  <c r="H157" i="37"/>
  <c r="F157" i="37"/>
  <c r="E157" i="37"/>
  <c r="N156" i="37"/>
  <c r="O156" i="37" s="1"/>
  <c r="K156" i="37"/>
  <c r="H156" i="37"/>
  <c r="I156" i="37" s="1"/>
  <c r="E156" i="37"/>
  <c r="F156" i="37" s="1"/>
  <c r="N155" i="37"/>
  <c r="L155" i="37"/>
  <c r="K155" i="37"/>
  <c r="H155" i="37"/>
  <c r="I155" i="37" s="1"/>
  <c r="E155" i="37"/>
  <c r="N154" i="37"/>
  <c r="O154" i="37" s="1"/>
  <c r="K154" i="37"/>
  <c r="L154" i="37" s="1"/>
  <c r="H154" i="37"/>
  <c r="F154" i="37"/>
  <c r="E154" i="37"/>
  <c r="O153" i="37"/>
  <c r="N153" i="37"/>
  <c r="K153" i="37"/>
  <c r="L153" i="37" s="1"/>
  <c r="H153" i="37"/>
  <c r="I153" i="37" s="1"/>
  <c r="F153" i="37"/>
  <c r="E153" i="37"/>
  <c r="N152" i="37"/>
  <c r="K152" i="37"/>
  <c r="H152" i="37"/>
  <c r="E152" i="37"/>
  <c r="M150" i="37"/>
  <c r="J150" i="37"/>
  <c r="G150" i="37"/>
  <c r="D150" i="37"/>
  <c r="B150" i="37"/>
  <c r="M149" i="37"/>
  <c r="G149" i="37"/>
  <c r="B145" i="37"/>
  <c r="O144" i="37"/>
  <c r="N144" i="37"/>
  <c r="K144" i="37"/>
  <c r="H144" i="37"/>
  <c r="I144" i="37" s="1"/>
  <c r="F144" i="37"/>
  <c r="E144" i="37"/>
  <c r="N143" i="37"/>
  <c r="K143" i="37"/>
  <c r="L143" i="37" s="1"/>
  <c r="H143" i="37"/>
  <c r="I143" i="37" s="1"/>
  <c r="E143" i="37"/>
  <c r="N142" i="37"/>
  <c r="K142" i="37"/>
  <c r="H142" i="37"/>
  <c r="E142" i="37"/>
  <c r="N141" i="37"/>
  <c r="K141" i="37"/>
  <c r="H141" i="37"/>
  <c r="F141" i="37"/>
  <c r="E141" i="37"/>
  <c r="N140" i="37"/>
  <c r="L140" i="37"/>
  <c r="K140" i="37"/>
  <c r="H140" i="37"/>
  <c r="E140" i="37"/>
  <c r="N139" i="37"/>
  <c r="K139" i="37"/>
  <c r="H139" i="37"/>
  <c r="E139" i="37"/>
  <c r="N138" i="37"/>
  <c r="O138" i="37" s="1"/>
  <c r="K138" i="37"/>
  <c r="H138" i="37"/>
  <c r="E138" i="37"/>
  <c r="F138" i="37" s="1"/>
  <c r="N137" i="37"/>
  <c r="K137" i="37"/>
  <c r="L137" i="37" s="1"/>
  <c r="H137" i="37"/>
  <c r="I137" i="37" s="1"/>
  <c r="E137" i="37"/>
  <c r="N136" i="37"/>
  <c r="O136" i="37" s="1"/>
  <c r="L136" i="37"/>
  <c r="K136" i="37"/>
  <c r="H136" i="37"/>
  <c r="E136" i="37"/>
  <c r="F136" i="37" s="1"/>
  <c r="N135" i="37"/>
  <c r="K135" i="37"/>
  <c r="H135" i="37"/>
  <c r="I135" i="37" s="1"/>
  <c r="F135" i="37"/>
  <c r="E135" i="37"/>
  <c r="N134" i="37"/>
  <c r="K134" i="37"/>
  <c r="L134" i="37" s="1"/>
  <c r="H134" i="37"/>
  <c r="I134" i="37" s="1"/>
  <c r="E134" i="37"/>
  <c r="N133" i="37"/>
  <c r="O133" i="37" s="1"/>
  <c r="K133" i="37"/>
  <c r="L133" i="37" s="1"/>
  <c r="H133" i="37"/>
  <c r="E133" i="37"/>
  <c r="N132" i="37"/>
  <c r="O132" i="37" s="1"/>
  <c r="L132" i="37"/>
  <c r="K132" i="37"/>
  <c r="H132" i="37"/>
  <c r="E132" i="37"/>
  <c r="F132" i="37" s="1"/>
  <c r="N131" i="37"/>
  <c r="K131" i="37"/>
  <c r="H131" i="37"/>
  <c r="I131" i="37" s="1"/>
  <c r="F131" i="37"/>
  <c r="E131" i="37"/>
  <c r="N130" i="37"/>
  <c r="K130" i="37"/>
  <c r="L130" i="37" s="1"/>
  <c r="H130" i="37"/>
  <c r="E130" i="37"/>
  <c r="N129" i="37"/>
  <c r="O129" i="37" s="1"/>
  <c r="K129" i="37"/>
  <c r="H129" i="37"/>
  <c r="E129" i="37"/>
  <c r="F129" i="37" s="1"/>
  <c r="N128" i="37"/>
  <c r="K128" i="37"/>
  <c r="H128" i="37"/>
  <c r="E128" i="37"/>
  <c r="N127" i="37"/>
  <c r="O127" i="37" s="1"/>
  <c r="K127" i="37"/>
  <c r="H127" i="37"/>
  <c r="E127" i="37"/>
  <c r="O126" i="37"/>
  <c r="N126" i="37"/>
  <c r="K126" i="37"/>
  <c r="H126" i="37"/>
  <c r="I126" i="37" s="1"/>
  <c r="F126" i="37"/>
  <c r="E126" i="37"/>
  <c r="N125" i="37"/>
  <c r="K125" i="37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E117" i="37"/>
  <c r="F117" i="37" s="1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E115" i="37"/>
  <c r="F115" i="37" s="1"/>
  <c r="O114" i="37"/>
  <c r="N114" i="37"/>
  <c r="K114" i="37"/>
  <c r="L114" i="37" s="1"/>
  <c r="H114" i="37"/>
  <c r="I114" i="37" s="1"/>
  <c r="F114" i="37"/>
  <c r="E114" i="37"/>
  <c r="N113" i="37"/>
  <c r="O113" i="37" s="1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E112" i="37"/>
  <c r="F112" i="37" s="1"/>
  <c r="N111" i="37"/>
  <c r="O111" i="37" s="1"/>
  <c r="K111" i="37"/>
  <c r="L111" i="37" s="1"/>
  <c r="H111" i="37"/>
  <c r="I111" i="37" s="1"/>
  <c r="E111" i="37"/>
  <c r="F111" i="37" s="1"/>
  <c r="O110" i="37"/>
  <c r="N110" i="37"/>
  <c r="K110" i="37"/>
  <c r="L110" i="37" s="1"/>
  <c r="H110" i="37"/>
  <c r="I110" i="37" s="1"/>
  <c r="F110" i="37"/>
  <c r="E110" i="37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E107" i="37"/>
  <c r="F107" i="37" s="1"/>
  <c r="N106" i="37"/>
  <c r="O106" i="37" s="1"/>
  <c r="K106" i="37"/>
  <c r="L106" i="37" s="1"/>
  <c r="H106" i="37"/>
  <c r="I106" i="37" s="1"/>
  <c r="E106" i="37"/>
  <c r="F106" i="37" s="1"/>
  <c r="O105" i="37"/>
  <c r="N105" i="37"/>
  <c r="K105" i="37"/>
  <c r="L105" i="37" s="1"/>
  <c r="H105" i="37"/>
  <c r="I105" i="37" s="1"/>
  <c r="E105" i="37"/>
  <c r="F105" i="37" s="1"/>
  <c r="N104" i="37"/>
  <c r="O104" i="37" s="1"/>
  <c r="K104" i="37"/>
  <c r="L104" i="37" s="1"/>
  <c r="H104" i="37"/>
  <c r="I104" i="37" s="1"/>
  <c r="E104" i="37"/>
  <c r="F104" i="37" s="1"/>
  <c r="N103" i="37"/>
  <c r="O103" i="37" s="1"/>
  <c r="K103" i="37"/>
  <c r="L103" i="37" s="1"/>
  <c r="H103" i="37"/>
  <c r="I103" i="37" s="1"/>
  <c r="F103" i="37"/>
  <c r="E103" i="37"/>
  <c r="N102" i="37"/>
  <c r="O102" i="37" s="1"/>
  <c r="K102" i="37"/>
  <c r="L102" i="37" s="1"/>
  <c r="H102" i="37"/>
  <c r="I102" i="37" s="1"/>
  <c r="F102" i="37"/>
  <c r="E102" i="37"/>
  <c r="N101" i="37"/>
  <c r="O101" i="37" s="1"/>
  <c r="L101" i="37"/>
  <c r="K101" i="37"/>
  <c r="H101" i="37"/>
  <c r="I101" i="37" s="1"/>
  <c r="E101" i="37"/>
  <c r="F101" i="37" s="1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E99" i="37"/>
  <c r="F99" i="37" s="1"/>
  <c r="O98" i="37"/>
  <c r="N98" i="37"/>
  <c r="K98" i="37"/>
  <c r="H98" i="37"/>
  <c r="H118" i="37" s="1"/>
  <c r="F98" i="37"/>
  <c r="E98" i="37"/>
  <c r="M96" i="37"/>
  <c r="J96" i="37"/>
  <c r="G96" i="37"/>
  <c r="D96" i="37"/>
  <c r="B96" i="37"/>
  <c r="M95" i="37"/>
  <c r="G95" i="37"/>
  <c r="B91" i="37"/>
  <c r="N90" i="37"/>
  <c r="O90" i="37" s="1"/>
  <c r="L90" i="37"/>
  <c r="K90" i="37"/>
  <c r="H90" i="37"/>
  <c r="I90" i="37" s="1"/>
  <c r="F90" i="37"/>
  <c r="E90" i="37"/>
  <c r="N89" i="37"/>
  <c r="O89" i="37" s="1"/>
  <c r="K89" i="37"/>
  <c r="L89" i="37" s="1"/>
  <c r="I89" i="37"/>
  <c r="H89" i="37"/>
  <c r="E89" i="37"/>
  <c r="F89" i="37" s="1"/>
  <c r="O88" i="37"/>
  <c r="N88" i="37"/>
  <c r="K88" i="37"/>
  <c r="L88" i="37" s="1"/>
  <c r="H88" i="37"/>
  <c r="I88" i="37" s="1"/>
  <c r="F88" i="37"/>
  <c r="E88" i="37"/>
  <c r="N87" i="37"/>
  <c r="O87" i="37" s="1"/>
  <c r="K87" i="37"/>
  <c r="L87" i="37" s="1"/>
  <c r="I87" i="37"/>
  <c r="H87" i="37"/>
  <c r="E87" i="37"/>
  <c r="F87" i="37" s="1"/>
  <c r="O86" i="37"/>
  <c r="N86" i="37"/>
  <c r="K86" i="37"/>
  <c r="L86" i="37" s="1"/>
  <c r="I86" i="37"/>
  <c r="H86" i="37"/>
  <c r="E86" i="37"/>
  <c r="F86" i="37" s="1"/>
  <c r="N85" i="37"/>
  <c r="O85" i="37" s="1"/>
  <c r="K85" i="37"/>
  <c r="L85" i="37" s="1"/>
  <c r="H85" i="37"/>
  <c r="I85" i="37" s="1"/>
  <c r="F85" i="37"/>
  <c r="E85" i="37"/>
  <c r="N84" i="37"/>
  <c r="O84" i="37" s="1"/>
  <c r="K84" i="37"/>
  <c r="L84" i="37" s="1"/>
  <c r="I84" i="37"/>
  <c r="H84" i="37"/>
  <c r="E84" i="37"/>
  <c r="F84" i="37" s="1"/>
  <c r="N83" i="37"/>
  <c r="O83" i="37" s="1"/>
  <c r="K83" i="37"/>
  <c r="L83" i="37" s="1"/>
  <c r="H83" i="37"/>
  <c r="I83" i="37" s="1"/>
  <c r="F83" i="37"/>
  <c r="E83" i="37"/>
  <c r="N82" i="37"/>
  <c r="O82" i="37" s="1"/>
  <c r="K82" i="37"/>
  <c r="L82" i="37" s="1"/>
  <c r="H82" i="37"/>
  <c r="I82" i="37" s="1"/>
  <c r="E82" i="37"/>
  <c r="F82" i="37" s="1"/>
  <c r="O81" i="37"/>
  <c r="N81" i="37"/>
  <c r="K81" i="37"/>
  <c r="L81" i="37" s="1"/>
  <c r="H81" i="37"/>
  <c r="I81" i="37" s="1"/>
  <c r="F81" i="37"/>
  <c r="E81" i="37"/>
  <c r="N80" i="37"/>
  <c r="O80" i="37" s="1"/>
  <c r="K80" i="37"/>
  <c r="L80" i="37" s="1"/>
  <c r="H80" i="37"/>
  <c r="I80" i="37" s="1"/>
  <c r="E80" i="37"/>
  <c r="F80" i="37" s="1"/>
  <c r="O79" i="37"/>
  <c r="N79" i="37"/>
  <c r="K79" i="37"/>
  <c r="L79" i="37" s="1"/>
  <c r="I79" i="37"/>
  <c r="H79" i="37"/>
  <c r="E79" i="37"/>
  <c r="F79" i="37" s="1"/>
  <c r="O78" i="37"/>
  <c r="N78" i="37"/>
  <c r="K78" i="37"/>
  <c r="L78" i="37" s="1"/>
  <c r="H78" i="37"/>
  <c r="I78" i="37" s="1"/>
  <c r="E78" i="37"/>
  <c r="F78" i="37" s="1"/>
  <c r="N77" i="37"/>
  <c r="O77" i="37" s="1"/>
  <c r="K77" i="37"/>
  <c r="L77" i="37" s="1"/>
  <c r="H77" i="37"/>
  <c r="I77" i="37" s="1"/>
  <c r="E77" i="37"/>
  <c r="F77" i="37" s="1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E75" i="37"/>
  <c r="F75" i="37" s="1"/>
  <c r="N74" i="37"/>
  <c r="O74" i="37" s="1"/>
  <c r="L74" i="37"/>
  <c r="K74" i="37"/>
  <c r="H74" i="37"/>
  <c r="I74" i="37" s="1"/>
  <c r="F74" i="37"/>
  <c r="E74" i="37"/>
  <c r="N73" i="37"/>
  <c r="O73" i="37" s="1"/>
  <c r="K73" i="37"/>
  <c r="L73" i="37" s="1"/>
  <c r="H73" i="37"/>
  <c r="I73" i="37" s="1"/>
  <c r="F73" i="37"/>
  <c r="E73" i="37"/>
  <c r="N72" i="37"/>
  <c r="O72" i="37" s="1"/>
  <c r="K72" i="37"/>
  <c r="L72" i="37" s="1"/>
  <c r="H72" i="37"/>
  <c r="I72" i="37" s="1"/>
  <c r="E72" i="37"/>
  <c r="F72" i="37" s="1"/>
  <c r="N71" i="37"/>
  <c r="K71" i="37"/>
  <c r="H71" i="37"/>
  <c r="F71" i="37"/>
  <c r="E71" i="37"/>
  <c r="M69" i="37"/>
  <c r="J69" i="37"/>
  <c r="G69" i="37"/>
  <c r="D69" i="37"/>
  <c r="B69" i="37"/>
  <c r="M68" i="37"/>
  <c r="G68" i="37"/>
  <c r="B64" i="37"/>
  <c r="O63" i="37" s="1"/>
  <c r="N63" i="37"/>
  <c r="K63" i="37"/>
  <c r="L63" i="37" s="1"/>
  <c r="H63" i="37"/>
  <c r="I63" i="37" s="1"/>
  <c r="E63" i="37"/>
  <c r="N62" i="37"/>
  <c r="O62" i="37" s="1"/>
  <c r="L62" i="37"/>
  <c r="K62" i="37"/>
  <c r="H62" i="37"/>
  <c r="I62" i="37" s="1"/>
  <c r="F62" i="37"/>
  <c r="E62" i="37"/>
  <c r="N61" i="37"/>
  <c r="K61" i="37"/>
  <c r="L61" i="37" s="1"/>
  <c r="I61" i="37"/>
  <c r="H61" i="37"/>
  <c r="E61" i="37"/>
  <c r="O60" i="37"/>
  <c r="N60" i="37"/>
  <c r="K60" i="37"/>
  <c r="H60" i="37"/>
  <c r="I60" i="37" s="1"/>
  <c r="F60" i="37"/>
  <c r="E60" i="37"/>
  <c r="N59" i="37"/>
  <c r="O59" i="37" s="1"/>
  <c r="K59" i="37"/>
  <c r="L59" i="37" s="1"/>
  <c r="I59" i="37"/>
  <c r="H59" i="37"/>
  <c r="E59" i="37"/>
  <c r="F59" i="37" s="1"/>
  <c r="N58" i="37"/>
  <c r="O58" i="37" s="1"/>
  <c r="K58" i="37"/>
  <c r="H58" i="37"/>
  <c r="I58" i="37" s="1"/>
  <c r="F58" i="37"/>
  <c r="E58" i="37"/>
  <c r="N57" i="37"/>
  <c r="O57" i="37" s="1"/>
  <c r="K57" i="37"/>
  <c r="L57" i="37" s="1"/>
  <c r="I57" i="37"/>
  <c r="H57" i="37"/>
  <c r="E57" i="37"/>
  <c r="F57" i="37" s="1"/>
  <c r="O56" i="37"/>
  <c r="N56" i="37"/>
  <c r="K56" i="37"/>
  <c r="L56" i="37" s="1"/>
  <c r="I56" i="37"/>
  <c r="H56" i="37"/>
  <c r="E56" i="37"/>
  <c r="N55" i="37"/>
  <c r="O55" i="37" s="1"/>
  <c r="K55" i="37"/>
  <c r="L55" i="37" s="1"/>
  <c r="H55" i="37"/>
  <c r="F55" i="37"/>
  <c r="E55" i="37"/>
  <c r="N54" i="37"/>
  <c r="K54" i="37"/>
  <c r="L54" i="37" s="1"/>
  <c r="I54" i="37"/>
  <c r="H54" i="37"/>
  <c r="E54" i="37"/>
  <c r="N53" i="37"/>
  <c r="O53" i="37" s="1"/>
  <c r="K53" i="37"/>
  <c r="L53" i="37" s="1"/>
  <c r="H53" i="37"/>
  <c r="F53" i="37"/>
  <c r="E53" i="37"/>
  <c r="N52" i="37"/>
  <c r="K52" i="37"/>
  <c r="L52" i="37" s="1"/>
  <c r="I52" i="37"/>
  <c r="H52" i="37"/>
  <c r="E52" i="37"/>
  <c r="F52" i="37" s="1"/>
  <c r="N51" i="37"/>
  <c r="O51" i="37" s="1"/>
  <c r="K51" i="37"/>
  <c r="H51" i="37"/>
  <c r="I51" i="37" s="1"/>
  <c r="F51" i="37"/>
  <c r="E51" i="37"/>
  <c r="N50" i="37"/>
  <c r="O50" i="37" s="1"/>
  <c r="K50" i="37"/>
  <c r="L50" i="37" s="1"/>
  <c r="I50" i="37"/>
  <c r="H50" i="37"/>
  <c r="E50" i="37"/>
  <c r="F50" i="37" s="1"/>
  <c r="N49" i="37"/>
  <c r="O49" i="37" s="1"/>
  <c r="K49" i="37"/>
  <c r="H49" i="37"/>
  <c r="I49" i="37" s="1"/>
  <c r="F49" i="37"/>
  <c r="E49" i="37"/>
  <c r="N48" i="37"/>
  <c r="O48" i="37" s="1"/>
  <c r="K48" i="37"/>
  <c r="L48" i="37" s="1"/>
  <c r="H48" i="37"/>
  <c r="F48" i="37"/>
  <c r="E48" i="37"/>
  <c r="N47" i="37"/>
  <c r="K47" i="37"/>
  <c r="L47" i="37" s="1"/>
  <c r="I47" i="37"/>
  <c r="H47" i="37"/>
  <c r="E47" i="37"/>
  <c r="N46" i="37"/>
  <c r="O46" i="37" s="1"/>
  <c r="K46" i="37"/>
  <c r="L46" i="37" s="1"/>
  <c r="H46" i="37"/>
  <c r="F46" i="37"/>
  <c r="E46" i="37"/>
  <c r="N45" i="37"/>
  <c r="K45" i="37"/>
  <c r="L45" i="37" s="1"/>
  <c r="I45" i="37"/>
  <c r="H45" i="37"/>
  <c r="E45" i="37"/>
  <c r="O44" i="37"/>
  <c r="N44" i="37"/>
  <c r="K44" i="37"/>
  <c r="H44" i="37"/>
  <c r="H64" i="37" s="1"/>
  <c r="F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F198" i="36" s="1"/>
  <c r="N198" i="36"/>
  <c r="K198" i="36"/>
  <c r="L198" i="36" s="1"/>
  <c r="H198" i="36"/>
  <c r="I198" i="36" s="1"/>
  <c r="E198" i="36"/>
  <c r="O197" i="36"/>
  <c r="N197" i="36"/>
  <c r="K197" i="36"/>
  <c r="H197" i="36"/>
  <c r="I197" i="36" s="1"/>
  <c r="F197" i="36"/>
  <c r="E197" i="36"/>
  <c r="N196" i="36"/>
  <c r="K196" i="36"/>
  <c r="L196" i="36" s="1"/>
  <c r="H196" i="36"/>
  <c r="I196" i="36" s="1"/>
  <c r="E196" i="36"/>
  <c r="O195" i="36"/>
  <c r="N195" i="36"/>
  <c r="K195" i="36"/>
  <c r="H195" i="36"/>
  <c r="I195" i="36" s="1"/>
  <c r="F195" i="36"/>
  <c r="E195" i="36"/>
  <c r="N194" i="36"/>
  <c r="L194" i="36"/>
  <c r="K194" i="36"/>
  <c r="H194" i="36"/>
  <c r="E194" i="36"/>
  <c r="F194" i="36" s="1"/>
  <c r="N193" i="36"/>
  <c r="O193" i="36" s="1"/>
  <c r="K193" i="36"/>
  <c r="H193" i="36"/>
  <c r="I193" i="36" s="1"/>
  <c r="F193" i="36"/>
  <c r="E193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E191" i="36"/>
  <c r="N190" i="36"/>
  <c r="O190" i="36" s="1"/>
  <c r="L190" i="36"/>
  <c r="K190" i="36"/>
  <c r="H190" i="36"/>
  <c r="I190" i="36" s="1"/>
  <c r="F190" i="36"/>
  <c r="E190" i="36"/>
  <c r="N189" i="36"/>
  <c r="K189" i="36"/>
  <c r="L189" i="36" s="1"/>
  <c r="H189" i="36"/>
  <c r="I189" i="36" s="1"/>
  <c r="E189" i="36"/>
  <c r="O188" i="36"/>
  <c r="N188" i="36"/>
  <c r="K188" i="36"/>
  <c r="H188" i="36"/>
  <c r="I188" i="36" s="1"/>
  <c r="F188" i="36"/>
  <c r="E188" i="36"/>
  <c r="N187" i="36"/>
  <c r="K187" i="36"/>
  <c r="L187" i="36" s="1"/>
  <c r="H187" i="36"/>
  <c r="I187" i="36" s="1"/>
  <c r="E187" i="36"/>
  <c r="O186" i="36"/>
  <c r="N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N183" i="36"/>
  <c r="O183" i="36" s="1"/>
  <c r="K183" i="36"/>
  <c r="H183" i="36"/>
  <c r="I183" i="36" s="1"/>
  <c r="F183" i="36"/>
  <c r="E183" i="36"/>
  <c r="N182" i="36"/>
  <c r="K182" i="36"/>
  <c r="L182" i="36" s="1"/>
  <c r="H182" i="36"/>
  <c r="I182" i="36" s="1"/>
  <c r="E182" i="36"/>
  <c r="O181" i="36"/>
  <c r="N181" i="36"/>
  <c r="K181" i="36"/>
  <c r="H181" i="36"/>
  <c r="I181" i="36" s="1"/>
  <c r="F181" i="36"/>
  <c r="E181" i="36"/>
  <c r="N180" i="36"/>
  <c r="K180" i="36"/>
  <c r="L180" i="36" s="1"/>
  <c r="H180" i="36"/>
  <c r="I180" i="36" s="1"/>
  <c r="E180" i="36"/>
  <c r="O179" i="36"/>
  <c r="N179" i="36"/>
  <c r="K179" i="36"/>
  <c r="H179" i="36"/>
  <c r="F179" i="36"/>
  <c r="E179" i="36"/>
  <c r="M177" i="36"/>
  <c r="J177" i="36"/>
  <c r="G177" i="36"/>
  <c r="D177" i="36"/>
  <c r="B177" i="36"/>
  <c r="M176" i="36"/>
  <c r="G176" i="36"/>
  <c r="B172" i="36"/>
  <c r="F171" i="36" s="1"/>
  <c r="N171" i="36"/>
  <c r="K171" i="36"/>
  <c r="L171" i="36" s="1"/>
  <c r="H171" i="36"/>
  <c r="I171" i="36" s="1"/>
  <c r="E171" i="36"/>
  <c r="N170" i="36"/>
  <c r="O170" i="36" s="1"/>
  <c r="K170" i="36"/>
  <c r="L170" i="36" s="1"/>
  <c r="H170" i="36"/>
  <c r="E170" i="36"/>
  <c r="F170" i="36" s="1"/>
  <c r="N169" i="36"/>
  <c r="O169" i="36" s="1"/>
  <c r="K169" i="36"/>
  <c r="H169" i="36"/>
  <c r="I169" i="36" s="1"/>
  <c r="F169" i="36"/>
  <c r="E169" i="36"/>
  <c r="N168" i="36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E167" i="36"/>
  <c r="F167" i="36" s="1"/>
  <c r="N166" i="36"/>
  <c r="O166" i="36" s="1"/>
  <c r="K166" i="36"/>
  <c r="H166" i="36"/>
  <c r="I166" i="36" s="1"/>
  <c r="F166" i="36"/>
  <c r="E166" i="36"/>
  <c r="N165" i="36"/>
  <c r="K165" i="36"/>
  <c r="L165" i="36" s="1"/>
  <c r="H165" i="36"/>
  <c r="I165" i="36" s="1"/>
  <c r="E165" i="36"/>
  <c r="N164" i="36"/>
  <c r="O164" i="36" s="1"/>
  <c r="K164" i="36"/>
  <c r="L164" i="36" s="1"/>
  <c r="H164" i="36"/>
  <c r="E164" i="36"/>
  <c r="F164" i="36" s="1"/>
  <c r="O163" i="36"/>
  <c r="N163" i="36"/>
  <c r="K163" i="36"/>
  <c r="L163" i="36" s="1"/>
  <c r="H163" i="36"/>
  <c r="I163" i="36" s="1"/>
  <c r="E163" i="36"/>
  <c r="N162" i="36"/>
  <c r="O162" i="36" s="1"/>
  <c r="K162" i="36"/>
  <c r="L162" i="36" s="1"/>
  <c r="H162" i="36"/>
  <c r="E162" i="36"/>
  <c r="F162" i="36" s="1"/>
  <c r="N161" i="36"/>
  <c r="O161" i="36" s="1"/>
  <c r="K161" i="36"/>
  <c r="H161" i="36"/>
  <c r="I161" i="36" s="1"/>
  <c r="F161" i="36"/>
  <c r="E161" i="36"/>
  <c r="N160" i="36"/>
  <c r="K160" i="36"/>
  <c r="L160" i="36" s="1"/>
  <c r="H160" i="36"/>
  <c r="I160" i="36" s="1"/>
  <c r="E160" i="36"/>
  <c r="N159" i="36"/>
  <c r="O159" i="36" s="1"/>
  <c r="L159" i="36"/>
  <c r="K159" i="36"/>
  <c r="H159" i="36"/>
  <c r="I159" i="36" s="1"/>
  <c r="F159" i="36"/>
  <c r="E159" i="36"/>
  <c r="N158" i="36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E157" i="36"/>
  <c r="N156" i="36"/>
  <c r="O156" i="36" s="1"/>
  <c r="L156" i="36"/>
  <c r="K156" i="36"/>
  <c r="H156" i="36"/>
  <c r="I156" i="36" s="1"/>
  <c r="F156" i="36"/>
  <c r="E156" i="36"/>
  <c r="N155" i="36"/>
  <c r="L155" i="36"/>
  <c r="K155" i="36"/>
  <c r="H155" i="36"/>
  <c r="E155" i="36"/>
  <c r="F155" i="36" s="1"/>
  <c r="N154" i="36"/>
  <c r="O154" i="36" s="1"/>
  <c r="K154" i="36"/>
  <c r="H154" i="36"/>
  <c r="I154" i="36" s="1"/>
  <c r="F154" i="36"/>
  <c r="E154" i="36"/>
  <c r="N153" i="36"/>
  <c r="K153" i="36"/>
  <c r="L153" i="36" s="1"/>
  <c r="H153" i="36"/>
  <c r="I153" i="36" s="1"/>
  <c r="F153" i="36"/>
  <c r="E153" i="36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L144" i="36" s="1"/>
  <c r="N144" i="36"/>
  <c r="O144" i="36" s="1"/>
  <c r="K144" i="36"/>
  <c r="H144" i="36"/>
  <c r="I144" i="36" s="1"/>
  <c r="E144" i="36"/>
  <c r="F144" i="36" s="1"/>
  <c r="N143" i="36"/>
  <c r="K143" i="36"/>
  <c r="H143" i="36"/>
  <c r="I143" i="36" s="1"/>
  <c r="E143" i="36"/>
  <c r="F143" i="36" s="1"/>
  <c r="N142" i="36"/>
  <c r="K142" i="36"/>
  <c r="L142" i="36" s="1"/>
  <c r="H142" i="36"/>
  <c r="E142" i="36"/>
  <c r="F142" i="36" s="1"/>
  <c r="N141" i="36"/>
  <c r="O141" i="36" s="1"/>
  <c r="K141" i="36"/>
  <c r="H141" i="36"/>
  <c r="E141" i="36"/>
  <c r="F141" i="36" s="1"/>
  <c r="O140" i="36"/>
  <c r="N140" i="36"/>
  <c r="K140" i="36"/>
  <c r="H140" i="36"/>
  <c r="I140" i="36" s="1"/>
  <c r="E140" i="36"/>
  <c r="F140" i="36" s="1"/>
  <c r="N139" i="36"/>
  <c r="K139" i="36"/>
  <c r="L139" i="36" s="1"/>
  <c r="H139" i="36"/>
  <c r="I139" i="36" s="1"/>
  <c r="E139" i="36"/>
  <c r="N138" i="36"/>
  <c r="K138" i="36"/>
  <c r="L138" i="36" s="1"/>
  <c r="H138" i="36"/>
  <c r="E138" i="36"/>
  <c r="F138" i="36" s="1"/>
  <c r="O137" i="36"/>
  <c r="N137" i="36"/>
  <c r="K137" i="36"/>
  <c r="H137" i="36"/>
  <c r="I137" i="36" s="1"/>
  <c r="E137" i="36"/>
  <c r="N136" i="36"/>
  <c r="K136" i="36"/>
  <c r="L136" i="36" s="1"/>
  <c r="H136" i="36"/>
  <c r="I136" i="36" s="1"/>
  <c r="E136" i="36"/>
  <c r="N135" i="36"/>
  <c r="L135" i="36"/>
  <c r="K135" i="36"/>
  <c r="H135" i="36"/>
  <c r="E135" i="36"/>
  <c r="F135" i="36" s="1"/>
  <c r="N134" i="36"/>
  <c r="O134" i="36" s="1"/>
  <c r="K134" i="36"/>
  <c r="H134" i="36"/>
  <c r="E134" i="36"/>
  <c r="F134" i="36" s="1"/>
  <c r="N133" i="36"/>
  <c r="K133" i="36"/>
  <c r="L133" i="36" s="1"/>
  <c r="H133" i="36"/>
  <c r="E133" i="36"/>
  <c r="N132" i="36"/>
  <c r="O132" i="36" s="1"/>
  <c r="K132" i="36"/>
  <c r="H132" i="36"/>
  <c r="I132" i="36" s="1"/>
  <c r="F132" i="36"/>
  <c r="E132" i="36"/>
  <c r="N131" i="36"/>
  <c r="K131" i="36"/>
  <c r="L131" i="36" s="1"/>
  <c r="H131" i="36"/>
  <c r="I131" i="36" s="1"/>
  <c r="E131" i="36"/>
  <c r="N130" i="36"/>
  <c r="O130" i="36" s="1"/>
  <c r="K130" i="36"/>
  <c r="H130" i="36"/>
  <c r="E130" i="36"/>
  <c r="F130" i="36" s="1"/>
  <c r="N129" i="36"/>
  <c r="K129" i="36"/>
  <c r="H129" i="36"/>
  <c r="I129" i="36" s="1"/>
  <c r="F129" i="36"/>
  <c r="E129" i="36"/>
  <c r="N128" i="36"/>
  <c r="L128" i="36"/>
  <c r="K128" i="36"/>
  <c r="H128" i="36"/>
  <c r="E128" i="36"/>
  <c r="F128" i="36" s="1"/>
  <c r="N127" i="36"/>
  <c r="K127" i="36"/>
  <c r="H127" i="36"/>
  <c r="I127" i="36" s="1"/>
  <c r="F127" i="36"/>
  <c r="E127" i="36"/>
  <c r="N126" i="36"/>
  <c r="K126" i="36"/>
  <c r="L126" i="36" s="1"/>
  <c r="H126" i="36"/>
  <c r="E126" i="36"/>
  <c r="N125" i="36"/>
  <c r="N145" i="36" s="1"/>
  <c r="K125" i="36"/>
  <c r="H125" i="36"/>
  <c r="F125" i="36"/>
  <c r="E125" i="36"/>
  <c r="M123" i="36"/>
  <c r="J123" i="36"/>
  <c r="G123" i="36"/>
  <c r="D123" i="36"/>
  <c r="B123" i="36"/>
  <c r="M122" i="36"/>
  <c r="G122" i="36"/>
  <c r="B118" i="36"/>
  <c r="O113" i="36" s="1"/>
  <c r="N117" i="36"/>
  <c r="K117" i="36"/>
  <c r="L117" i="36" s="1"/>
  <c r="H117" i="36"/>
  <c r="I117" i="36" s="1"/>
  <c r="E117" i="36"/>
  <c r="N116" i="36"/>
  <c r="O116" i="36" s="1"/>
  <c r="K116" i="36"/>
  <c r="L116" i="36" s="1"/>
  <c r="H116" i="36"/>
  <c r="E116" i="36"/>
  <c r="F116" i="36" s="1"/>
  <c r="N115" i="36"/>
  <c r="O115" i="36" s="1"/>
  <c r="L115" i="36"/>
  <c r="K115" i="36"/>
  <c r="H115" i="36"/>
  <c r="I115" i="36" s="1"/>
  <c r="E115" i="36"/>
  <c r="F115" i="36" s="1"/>
  <c r="N114" i="36"/>
  <c r="O114" i="36" s="1"/>
  <c r="K114" i="36"/>
  <c r="H114" i="36"/>
  <c r="I114" i="36" s="1"/>
  <c r="E114" i="36"/>
  <c r="F114" i="36" s="1"/>
  <c r="N113" i="36"/>
  <c r="K113" i="36"/>
  <c r="L113" i="36" s="1"/>
  <c r="H113" i="36"/>
  <c r="I113" i="36" s="1"/>
  <c r="E113" i="36"/>
  <c r="N112" i="36"/>
  <c r="O112" i="36" s="1"/>
  <c r="K112" i="36"/>
  <c r="L112" i="36" s="1"/>
  <c r="H112" i="36"/>
  <c r="I112" i="36" s="1"/>
  <c r="E112" i="36"/>
  <c r="N111" i="36"/>
  <c r="O111" i="36" s="1"/>
  <c r="K111" i="36"/>
  <c r="L111" i="36" s="1"/>
  <c r="H111" i="36"/>
  <c r="I111" i="36" s="1"/>
  <c r="E111" i="36"/>
  <c r="N110" i="36"/>
  <c r="O110" i="36" s="1"/>
  <c r="K110" i="36"/>
  <c r="L110" i="36" s="1"/>
  <c r="H110" i="36"/>
  <c r="E110" i="36"/>
  <c r="F110" i="36" s="1"/>
  <c r="N109" i="36"/>
  <c r="O109" i="36" s="1"/>
  <c r="K109" i="36"/>
  <c r="H109" i="36"/>
  <c r="I109" i="36" s="1"/>
  <c r="E109" i="36"/>
  <c r="F109" i="36" s="1"/>
  <c r="N108" i="36"/>
  <c r="L108" i="36"/>
  <c r="K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K106" i="36"/>
  <c r="L106" i="36" s="1"/>
  <c r="I106" i="36"/>
  <c r="H106" i="36"/>
  <c r="E106" i="36"/>
  <c r="F106" i="36" s="1"/>
  <c r="N105" i="36"/>
  <c r="O105" i="36" s="1"/>
  <c r="K105" i="36"/>
  <c r="L105" i="36" s="1"/>
  <c r="H105" i="36"/>
  <c r="E105" i="36"/>
  <c r="F105" i="36" s="1"/>
  <c r="O104" i="36"/>
  <c r="N104" i="36"/>
  <c r="K104" i="36"/>
  <c r="H104" i="36"/>
  <c r="I104" i="36" s="1"/>
  <c r="E104" i="36"/>
  <c r="F104" i="36" s="1"/>
  <c r="O103" i="36"/>
  <c r="N103" i="36"/>
  <c r="K103" i="36"/>
  <c r="L103" i="36" s="1"/>
  <c r="I103" i="36"/>
  <c r="H103" i="36"/>
  <c r="E103" i="36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E101" i="36"/>
  <c r="F101" i="36" s="1"/>
  <c r="O100" i="36"/>
  <c r="N100" i="36"/>
  <c r="K100" i="36"/>
  <c r="H100" i="36"/>
  <c r="I100" i="36" s="1"/>
  <c r="E100" i="36"/>
  <c r="F100" i="36" s="1"/>
  <c r="N99" i="36"/>
  <c r="O99" i="36" s="1"/>
  <c r="K99" i="36"/>
  <c r="H99" i="36"/>
  <c r="I99" i="36" s="1"/>
  <c r="E99" i="36"/>
  <c r="F99" i="36" s="1"/>
  <c r="N98" i="36"/>
  <c r="K98" i="36"/>
  <c r="L98" i="36" s="1"/>
  <c r="I98" i="36"/>
  <c r="H98" i="36"/>
  <c r="E98" i="36"/>
  <c r="M96" i="36"/>
  <c r="J96" i="36"/>
  <c r="G96" i="36"/>
  <c r="D96" i="36"/>
  <c r="B96" i="36"/>
  <c r="M95" i="36"/>
  <c r="G95" i="36"/>
  <c r="B91" i="36"/>
  <c r="O89" i="36" s="1"/>
  <c r="O90" i="36"/>
  <c r="N90" i="36"/>
  <c r="K90" i="36"/>
  <c r="H90" i="36"/>
  <c r="I90" i="36" s="1"/>
  <c r="E90" i="36"/>
  <c r="F90" i="36" s="1"/>
  <c r="N89" i="36"/>
  <c r="K89" i="36"/>
  <c r="L89" i="36" s="1"/>
  <c r="H89" i="36"/>
  <c r="I89" i="36" s="1"/>
  <c r="E89" i="36"/>
  <c r="N88" i="36"/>
  <c r="K88" i="36"/>
  <c r="L88" i="36" s="1"/>
  <c r="H88" i="36"/>
  <c r="E88" i="36"/>
  <c r="N87" i="36"/>
  <c r="O87" i="36" s="1"/>
  <c r="K87" i="36"/>
  <c r="L87" i="36" s="1"/>
  <c r="H87" i="36"/>
  <c r="E87" i="36"/>
  <c r="F87" i="36" s="1"/>
  <c r="N86" i="36"/>
  <c r="O86" i="36" s="1"/>
  <c r="K86" i="36"/>
  <c r="H86" i="36"/>
  <c r="I86" i="36" s="1"/>
  <c r="E86" i="36"/>
  <c r="F86" i="36" s="1"/>
  <c r="N85" i="36"/>
  <c r="K85" i="36"/>
  <c r="H85" i="36"/>
  <c r="I85" i="36" s="1"/>
  <c r="E85" i="36"/>
  <c r="F85" i="36" s="1"/>
  <c r="N84" i="36"/>
  <c r="K84" i="36"/>
  <c r="L84" i="36" s="1"/>
  <c r="H84" i="36"/>
  <c r="E84" i="36"/>
  <c r="N83" i="36"/>
  <c r="O83" i="36" s="1"/>
  <c r="L83" i="36"/>
  <c r="K83" i="36"/>
  <c r="H83" i="36"/>
  <c r="E83" i="36"/>
  <c r="F83" i="36" s="1"/>
  <c r="N82" i="36"/>
  <c r="K82" i="36"/>
  <c r="H82" i="36"/>
  <c r="I82" i="36" s="1"/>
  <c r="E82" i="36"/>
  <c r="F82" i="36" s="1"/>
  <c r="N81" i="36"/>
  <c r="K81" i="36"/>
  <c r="L81" i="36" s="1"/>
  <c r="H81" i="36"/>
  <c r="I81" i="36" s="1"/>
  <c r="E81" i="36"/>
  <c r="N80" i="36"/>
  <c r="K80" i="36"/>
  <c r="L80" i="36" s="1"/>
  <c r="H80" i="36"/>
  <c r="I80" i="36" s="1"/>
  <c r="E80" i="36"/>
  <c r="N79" i="36"/>
  <c r="K79" i="36"/>
  <c r="L79" i="36" s="1"/>
  <c r="H79" i="36"/>
  <c r="E79" i="36"/>
  <c r="F79" i="36" s="1"/>
  <c r="N78" i="36"/>
  <c r="O78" i="36" s="1"/>
  <c r="K78" i="36"/>
  <c r="H78" i="36"/>
  <c r="E78" i="36"/>
  <c r="F78" i="36" s="1"/>
  <c r="N77" i="36"/>
  <c r="K77" i="36"/>
  <c r="L77" i="36" s="1"/>
  <c r="H77" i="36"/>
  <c r="I77" i="36" s="1"/>
  <c r="E77" i="36"/>
  <c r="N76" i="36"/>
  <c r="O76" i="36" s="1"/>
  <c r="L76" i="36"/>
  <c r="K76" i="36"/>
  <c r="H76" i="36"/>
  <c r="E76" i="36"/>
  <c r="F76" i="36" s="1"/>
  <c r="N75" i="36"/>
  <c r="K75" i="36"/>
  <c r="H75" i="36"/>
  <c r="I75" i="36" s="1"/>
  <c r="F75" i="36"/>
  <c r="E75" i="36"/>
  <c r="N74" i="36"/>
  <c r="K74" i="36"/>
  <c r="L74" i="36" s="1"/>
  <c r="H74" i="36"/>
  <c r="I74" i="36" s="1"/>
  <c r="E74" i="36"/>
  <c r="N73" i="36"/>
  <c r="O73" i="36" s="1"/>
  <c r="K73" i="36"/>
  <c r="L73" i="36" s="1"/>
  <c r="H73" i="36"/>
  <c r="E73" i="36"/>
  <c r="N72" i="36"/>
  <c r="O72" i="36" s="1"/>
  <c r="K72" i="36"/>
  <c r="H72" i="36"/>
  <c r="I72" i="36" s="1"/>
  <c r="F72" i="36"/>
  <c r="E72" i="36"/>
  <c r="N71" i="36"/>
  <c r="K71" i="36"/>
  <c r="H71" i="36"/>
  <c r="H91" i="36" s="1"/>
  <c r="E71" i="36"/>
  <c r="M69" i="36"/>
  <c r="J69" i="36"/>
  <c r="G69" i="36"/>
  <c r="D69" i="36"/>
  <c r="B69" i="36"/>
  <c r="M68" i="36"/>
  <c r="G68" i="36"/>
  <c r="B64" i="36"/>
  <c r="N63" i="36"/>
  <c r="O63" i="36" s="1"/>
  <c r="K63" i="36"/>
  <c r="L63" i="36" s="1"/>
  <c r="H63" i="36"/>
  <c r="I63" i="36" s="1"/>
  <c r="E63" i="36"/>
  <c r="F63" i="36" s="1"/>
  <c r="O62" i="36"/>
  <c r="N62" i="36"/>
  <c r="K62" i="36"/>
  <c r="L62" i="36" s="1"/>
  <c r="H62" i="36"/>
  <c r="I62" i="36" s="1"/>
  <c r="E62" i="36"/>
  <c r="F62" i="36" s="1"/>
  <c r="N61" i="36"/>
  <c r="O61" i="36" s="1"/>
  <c r="K61" i="36"/>
  <c r="L61" i="36" s="1"/>
  <c r="H61" i="36"/>
  <c r="I61" i="36" s="1"/>
  <c r="F61" i="36"/>
  <c r="E61" i="36"/>
  <c r="N60" i="36"/>
  <c r="O60" i="36" s="1"/>
  <c r="K60" i="36"/>
  <c r="L60" i="36" s="1"/>
  <c r="H60" i="36"/>
  <c r="I60" i="36" s="1"/>
  <c r="E60" i="36"/>
  <c r="F60" i="36" s="1"/>
  <c r="N59" i="36"/>
  <c r="O59" i="36" s="1"/>
  <c r="K59" i="36"/>
  <c r="L59" i="36" s="1"/>
  <c r="H59" i="36"/>
  <c r="I59" i="36" s="1"/>
  <c r="F59" i="36"/>
  <c r="E59" i="36"/>
  <c r="N58" i="36"/>
  <c r="O58" i="36" s="1"/>
  <c r="K58" i="36"/>
  <c r="L58" i="36" s="1"/>
  <c r="H58" i="36"/>
  <c r="I58" i="36" s="1"/>
  <c r="E58" i="36"/>
  <c r="F58" i="36" s="1"/>
  <c r="O57" i="36"/>
  <c r="N57" i="36"/>
  <c r="K57" i="36"/>
  <c r="L57" i="36" s="1"/>
  <c r="H57" i="36"/>
  <c r="I57" i="36" s="1"/>
  <c r="F57" i="36"/>
  <c r="E57" i="36"/>
  <c r="N56" i="36"/>
  <c r="O56" i="36" s="1"/>
  <c r="K56" i="36"/>
  <c r="L56" i="36" s="1"/>
  <c r="H56" i="36"/>
  <c r="I56" i="36" s="1"/>
  <c r="E56" i="36"/>
  <c r="F56" i="36" s="1"/>
  <c r="O55" i="36"/>
  <c r="N55" i="36"/>
  <c r="K55" i="36"/>
  <c r="L55" i="36" s="1"/>
  <c r="H55" i="36"/>
  <c r="I55" i="36" s="1"/>
  <c r="F55" i="36"/>
  <c r="E55" i="36"/>
  <c r="N54" i="36"/>
  <c r="O54" i="36" s="1"/>
  <c r="K54" i="36"/>
  <c r="L54" i="36" s="1"/>
  <c r="H54" i="36"/>
  <c r="I54" i="36" s="1"/>
  <c r="E54" i="36"/>
  <c r="F54" i="36" s="1"/>
  <c r="N53" i="36"/>
  <c r="O53" i="36" s="1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F52" i="36"/>
  <c r="E52" i="36"/>
  <c r="N51" i="36"/>
  <c r="O51" i="36" s="1"/>
  <c r="L51" i="36"/>
  <c r="K51" i="36"/>
  <c r="H51" i="36"/>
  <c r="I51" i="36" s="1"/>
  <c r="E51" i="36"/>
  <c r="F51" i="36" s="1"/>
  <c r="O50" i="36"/>
  <c r="N50" i="36"/>
  <c r="K50" i="36"/>
  <c r="L50" i="36" s="1"/>
  <c r="H50" i="36"/>
  <c r="I50" i="36" s="1"/>
  <c r="F50" i="36"/>
  <c r="E50" i="36"/>
  <c r="N49" i="36"/>
  <c r="O49" i="36" s="1"/>
  <c r="K49" i="36"/>
  <c r="L49" i="36" s="1"/>
  <c r="H49" i="36"/>
  <c r="I49" i="36" s="1"/>
  <c r="E49" i="36"/>
  <c r="F49" i="36" s="1"/>
  <c r="N48" i="36"/>
  <c r="O48" i="36" s="1"/>
  <c r="L48" i="36"/>
  <c r="K48" i="36"/>
  <c r="H48" i="36"/>
  <c r="I48" i="36" s="1"/>
  <c r="E48" i="36"/>
  <c r="F48" i="36" s="1"/>
  <c r="N47" i="36"/>
  <c r="O47" i="36" s="1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N45" i="36"/>
  <c r="O45" i="36" s="1"/>
  <c r="L45" i="36"/>
  <c r="K45" i="36"/>
  <c r="H45" i="36"/>
  <c r="I45" i="36" s="1"/>
  <c r="E45" i="36"/>
  <c r="F45" i="36" s="1"/>
  <c r="N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E197" i="35"/>
  <c r="N196" i="35"/>
  <c r="O196" i="35" s="1"/>
  <c r="K196" i="35"/>
  <c r="H196" i="35"/>
  <c r="E196" i="35"/>
  <c r="F196" i="35" s="1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H193" i="35"/>
  <c r="I193" i="35" s="1"/>
  <c r="F193" i="35"/>
  <c r="E193" i="35"/>
  <c r="N192" i="35"/>
  <c r="K192" i="35"/>
  <c r="L192" i="35" s="1"/>
  <c r="H192" i="35"/>
  <c r="E192" i="35"/>
  <c r="N191" i="35"/>
  <c r="O191" i="35" s="1"/>
  <c r="K191" i="35"/>
  <c r="H191" i="35"/>
  <c r="E191" i="35"/>
  <c r="F191" i="35" s="1"/>
  <c r="N190" i="35"/>
  <c r="K190" i="35"/>
  <c r="L190" i="35" s="1"/>
  <c r="H190" i="35"/>
  <c r="E190" i="35"/>
  <c r="N189" i="35"/>
  <c r="O189" i="35" s="1"/>
  <c r="K189" i="35"/>
  <c r="H189" i="35"/>
  <c r="E189" i="35"/>
  <c r="F189" i="35" s="1"/>
  <c r="N188" i="35"/>
  <c r="K188" i="35"/>
  <c r="L188" i="35" s="1"/>
  <c r="H188" i="35"/>
  <c r="I188" i="35" s="1"/>
  <c r="E188" i="35"/>
  <c r="N187" i="35"/>
  <c r="O187" i="35" s="1"/>
  <c r="K187" i="35"/>
  <c r="L187" i="35" s="1"/>
  <c r="H187" i="35"/>
  <c r="E187" i="35"/>
  <c r="O186" i="35"/>
  <c r="N186" i="35"/>
  <c r="K186" i="35"/>
  <c r="H186" i="35"/>
  <c r="I186" i="35" s="1"/>
  <c r="E186" i="35"/>
  <c r="N185" i="35"/>
  <c r="O185" i="35" s="1"/>
  <c r="K185" i="35"/>
  <c r="H185" i="35"/>
  <c r="E185" i="35"/>
  <c r="F185" i="35" s="1"/>
  <c r="N184" i="35"/>
  <c r="K184" i="35"/>
  <c r="H184" i="35"/>
  <c r="I184" i="35" s="1"/>
  <c r="F184" i="35"/>
  <c r="E184" i="35"/>
  <c r="N183" i="35"/>
  <c r="K183" i="35"/>
  <c r="L183" i="35" s="1"/>
  <c r="H183" i="35"/>
  <c r="E183" i="35"/>
  <c r="N182" i="35"/>
  <c r="O182" i="35" s="1"/>
  <c r="K182" i="35"/>
  <c r="H182" i="35"/>
  <c r="I182" i="35" s="1"/>
  <c r="F182" i="35"/>
  <c r="E182" i="35"/>
  <c r="N181" i="35"/>
  <c r="K181" i="35"/>
  <c r="L181" i="35" s="1"/>
  <c r="H181" i="35"/>
  <c r="E181" i="35"/>
  <c r="N180" i="35"/>
  <c r="O180" i="35" s="1"/>
  <c r="K180" i="35"/>
  <c r="H180" i="35"/>
  <c r="E180" i="35"/>
  <c r="F180" i="35" s="1"/>
  <c r="N179" i="35"/>
  <c r="K179" i="35"/>
  <c r="H179" i="35"/>
  <c r="H199" i="35" s="1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E167" i="35"/>
  <c r="F167" i="35" s="1"/>
  <c r="N166" i="35"/>
  <c r="O166" i="35" s="1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E164" i="35"/>
  <c r="F164" i="35" s="1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N159" i="35"/>
  <c r="O159" i="35" s="1"/>
  <c r="K159" i="35"/>
  <c r="L159" i="35" s="1"/>
  <c r="H159" i="35"/>
  <c r="I159" i="35" s="1"/>
  <c r="F159" i="35"/>
  <c r="E159" i="35"/>
  <c r="N158" i="35"/>
  <c r="O158" i="35" s="1"/>
  <c r="K158" i="35"/>
  <c r="L158" i="35" s="1"/>
  <c r="H158" i="35"/>
  <c r="I158" i="35" s="1"/>
  <c r="E158" i="35"/>
  <c r="F158" i="35" s="1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E153" i="35"/>
  <c r="F153" i="35" s="1"/>
  <c r="N152" i="35"/>
  <c r="K152" i="35"/>
  <c r="H152" i="35"/>
  <c r="F152" i="35"/>
  <c r="E152" i="35"/>
  <c r="M150" i="35"/>
  <c r="J150" i="35"/>
  <c r="G150" i="35"/>
  <c r="D150" i="35"/>
  <c r="B150" i="35"/>
  <c r="M149" i="35"/>
  <c r="G149" i="35"/>
  <c r="B145" i="35"/>
  <c r="F144" i="35" s="1"/>
  <c r="N144" i="35"/>
  <c r="K144" i="35"/>
  <c r="L144" i="35" s="1"/>
  <c r="H144" i="35"/>
  <c r="I144" i="35" s="1"/>
  <c r="E144" i="35"/>
  <c r="O143" i="35"/>
  <c r="N143" i="35"/>
  <c r="K143" i="35"/>
  <c r="H143" i="35"/>
  <c r="I143" i="35" s="1"/>
  <c r="F143" i="35"/>
  <c r="E143" i="35"/>
  <c r="N142" i="35"/>
  <c r="K142" i="35"/>
  <c r="L142" i="35" s="1"/>
  <c r="H142" i="35"/>
  <c r="I142" i="35" s="1"/>
  <c r="E142" i="35"/>
  <c r="O141" i="35"/>
  <c r="N141" i="35"/>
  <c r="K141" i="35"/>
  <c r="H141" i="35"/>
  <c r="I141" i="35" s="1"/>
  <c r="F141" i="35"/>
  <c r="E141" i="35"/>
  <c r="N140" i="35"/>
  <c r="L140" i="35"/>
  <c r="K140" i="35"/>
  <c r="H140" i="35"/>
  <c r="E140" i="35"/>
  <c r="F140" i="35" s="1"/>
  <c r="N139" i="35"/>
  <c r="O139" i="35" s="1"/>
  <c r="K139" i="35"/>
  <c r="H139" i="35"/>
  <c r="I139" i="35" s="1"/>
  <c r="F139" i="35"/>
  <c r="E139" i="35"/>
  <c r="N138" i="35"/>
  <c r="K138" i="35"/>
  <c r="L138" i="35" s="1"/>
  <c r="H138" i="35"/>
  <c r="I138" i="35" s="1"/>
  <c r="F138" i="35"/>
  <c r="E138" i="35"/>
  <c r="N137" i="35"/>
  <c r="O137" i="35" s="1"/>
  <c r="K137" i="35"/>
  <c r="L137" i="35" s="1"/>
  <c r="H137" i="35"/>
  <c r="I137" i="35" s="1"/>
  <c r="E137" i="35"/>
  <c r="N136" i="35"/>
  <c r="O136" i="35" s="1"/>
  <c r="L136" i="35"/>
  <c r="K136" i="35"/>
  <c r="H136" i="35"/>
  <c r="I136" i="35" s="1"/>
  <c r="F136" i="35"/>
  <c r="E136" i="35"/>
  <c r="N135" i="35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E134" i="35"/>
  <c r="F134" i="35" s="1"/>
  <c r="O133" i="35"/>
  <c r="N133" i="35"/>
  <c r="K133" i="35"/>
  <c r="L133" i="35" s="1"/>
  <c r="H133" i="35"/>
  <c r="I133" i="35" s="1"/>
  <c r="F133" i="35"/>
  <c r="E133" i="35"/>
  <c r="N132" i="35"/>
  <c r="O132" i="35" s="1"/>
  <c r="L132" i="35"/>
  <c r="K132" i="35"/>
  <c r="H132" i="35"/>
  <c r="I132" i="35" s="1"/>
  <c r="F132" i="35"/>
  <c r="E132" i="35"/>
  <c r="N131" i="35"/>
  <c r="K131" i="35"/>
  <c r="L131" i="35" s="1"/>
  <c r="H131" i="35"/>
  <c r="I131" i="35" s="1"/>
  <c r="F131" i="35"/>
  <c r="E131" i="35"/>
  <c r="N130" i="35"/>
  <c r="O130" i="35" s="1"/>
  <c r="K130" i="35"/>
  <c r="L130" i="35" s="1"/>
  <c r="H130" i="35"/>
  <c r="I130" i="35" s="1"/>
  <c r="E130" i="35"/>
  <c r="N129" i="35"/>
  <c r="O129" i="35" s="1"/>
  <c r="K129" i="35"/>
  <c r="L129" i="35" s="1"/>
  <c r="H129" i="35"/>
  <c r="E129" i="35"/>
  <c r="F129" i="35" s="1"/>
  <c r="N128" i="35"/>
  <c r="O128" i="35" s="1"/>
  <c r="K128" i="35"/>
  <c r="H128" i="35"/>
  <c r="I128" i="35" s="1"/>
  <c r="F128" i="35"/>
  <c r="E128" i="35"/>
  <c r="N127" i="35"/>
  <c r="O127" i="35" s="1"/>
  <c r="K127" i="35"/>
  <c r="L127" i="35" s="1"/>
  <c r="H127" i="35"/>
  <c r="E127" i="35"/>
  <c r="F127" i="35" s="1"/>
  <c r="O126" i="35"/>
  <c r="N126" i="35"/>
  <c r="K126" i="35"/>
  <c r="L126" i="35" s="1"/>
  <c r="H126" i="35"/>
  <c r="I126" i="35" s="1"/>
  <c r="F126" i="35"/>
  <c r="E126" i="35"/>
  <c r="N125" i="35"/>
  <c r="O125" i="35" s="1"/>
  <c r="K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F117" i="35" s="1"/>
  <c r="N117" i="35"/>
  <c r="K117" i="35"/>
  <c r="H117" i="35"/>
  <c r="I117" i="35" s="1"/>
  <c r="E117" i="35"/>
  <c r="N116" i="35"/>
  <c r="K116" i="35"/>
  <c r="H116" i="35"/>
  <c r="E116" i="35"/>
  <c r="N115" i="35"/>
  <c r="K115" i="35"/>
  <c r="H115" i="35"/>
  <c r="F115" i="35"/>
  <c r="E115" i="35"/>
  <c r="N114" i="35"/>
  <c r="K114" i="35"/>
  <c r="L114" i="35" s="1"/>
  <c r="H114" i="35"/>
  <c r="E114" i="35"/>
  <c r="N113" i="35"/>
  <c r="O113" i="35" s="1"/>
  <c r="K113" i="35"/>
  <c r="H113" i="35"/>
  <c r="F113" i="35"/>
  <c r="E113" i="35"/>
  <c r="N112" i="35"/>
  <c r="K112" i="35"/>
  <c r="H112" i="35"/>
  <c r="I112" i="35" s="1"/>
  <c r="E112" i="35"/>
  <c r="N111" i="35"/>
  <c r="K111" i="35"/>
  <c r="H111" i="35"/>
  <c r="E111" i="35"/>
  <c r="N110" i="35"/>
  <c r="K110" i="35"/>
  <c r="H110" i="35"/>
  <c r="F110" i="35"/>
  <c r="E110" i="35"/>
  <c r="N109" i="35"/>
  <c r="L109" i="35"/>
  <c r="K109" i="35"/>
  <c r="H109" i="35"/>
  <c r="E109" i="35"/>
  <c r="N108" i="35"/>
  <c r="K108" i="35"/>
  <c r="H108" i="35"/>
  <c r="F108" i="35"/>
  <c r="E108" i="35"/>
  <c r="N107" i="35"/>
  <c r="K107" i="35"/>
  <c r="L107" i="35" s="1"/>
  <c r="H107" i="35"/>
  <c r="E107" i="35"/>
  <c r="N106" i="35"/>
  <c r="O106" i="35" s="1"/>
  <c r="K106" i="35"/>
  <c r="H106" i="35"/>
  <c r="E106" i="35"/>
  <c r="N105" i="35"/>
  <c r="K105" i="35"/>
  <c r="H105" i="35"/>
  <c r="E105" i="35"/>
  <c r="O104" i="35"/>
  <c r="N104" i="35"/>
  <c r="K104" i="35"/>
  <c r="H104" i="35"/>
  <c r="F104" i="35"/>
  <c r="E104" i="35"/>
  <c r="N103" i="35"/>
  <c r="K103" i="35"/>
  <c r="H103" i="35"/>
  <c r="I103" i="35" s="1"/>
  <c r="E103" i="35"/>
  <c r="N102" i="35"/>
  <c r="K102" i="35"/>
  <c r="H102" i="35"/>
  <c r="E102" i="35"/>
  <c r="N101" i="35"/>
  <c r="K101" i="35"/>
  <c r="H101" i="35"/>
  <c r="I101" i="35" s="1"/>
  <c r="E101" i="35"/>
  <c r="N100" i="35"/>
  <c r="K100" i="35"/>
  <c r="H100" i="35"/>
  <c r="E100" i="35"/>
  <c r="N99" i="35"/>
  <c r="K99" i="35"/>
  <c r="H99" i="35"/>
  <c r="F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L90" i="35" s="1"/>
  <c r="N90" i="35"/>
  <c r="O90" i="35" s="1"/>
  <c r="K90" i="35"/>
  <c r="H90" i="35"/>
  <c r="I90" i="35" s="1"/>
  <c r="F90" i="35"/>
  <c r="E90" i="35"/>
  <c r="N89" i="35"/>
  <c r="K89" i="35"/>
  <c r="L89" i="35" s="1"/>
  <c r="H89" i="35"/>
  <c r="I89" i="35" s="1"/>
  <c r="E89" i="35"/>
  <c r="N88" i="35"/>
  <c r="O88" i="35" s="1"/>
  <c r="K88" i="35"/>
  <c r="H88" i="35"/>
  <c r="E88" i="35"/>
  <c r="F88" i="35" s="1"/>
  <c r="N87" i="35"/>
  <c r="K87" i="35"/>
  <c r="H87" i="35"/>
  <c r="I87" i="35" s="1"/>
  <c r="F87" i="35"/>
  <c r="E87" i="35"/>
  <c r="N86" i="35"/>
  <c r="L86" i="35"/>
  <c r="K86" i="35"/>
  <c r="H86" i="35"/>
  <c r="E86" i="35"/>
  <c r="F86" i="35" s="1"/>
  <c r="N85" i="35"/>
  <c r="K85" i="35"/>
  <c r="H85" i="35"/>
  <c r="I85" i="35" s="1"/>
  <c r="F85" i="35"/>
  <c r="E85" i="35"/>
  <c r="N84" i="35"/>
  <c r="K84" i="35"/>
  <c r="L84" i="35" s="1"/>
  <c r="H84" i="35"/>
  <c r="E84" i="35"/>
  <c r="N83" i="35"/>
  <c r="O83" i="35" s="1"/>
  <c r="K83" i="35"/>
  <c r="H83" i="35"/>
  <c r="I83" i="35" s="1"/>
  <c r="F83" i="35"/>
  <c r="E83" i="35"/>
  <c r="N82" i="35"/>
  <c r="K82" i="35"/>
  <c r="L82" i="35" s="1"/>
  <c r="H82" i="35"/>
  <c r="E82" i="35"/>
  <c r="O81" i="35"/>
  <c r="N81" i="35"/>
  <c r="K81" i="35"/>
  <c r="H81" i="35"/>
  <c r="I81" i="35" s="1"/>
  <c r="F81" i="35"/>
  <c r="E81" i="35"/>
  <c r="N80" i="35"/>
  <c r="K80" i="35"/>
  <c r="L80" i="35" s="1"/>
  <c r="H80" i="35"/>
  <c r="I80" i="35" s="1"/>
  <c r="E80" i="35"/>
  <c r="N79" i="35"/>
  <c r="O79" i="35" s="1"/>
  <c r="K79" i="35"/>
  <c r="H79" i="35"/>
  <c r="F79" i="35"/>
  <c r="E79" i="35"/>
  <c r="N78" i="35"/>
  <c r="L78" i="35"/>
  <c r="K78" i="35"/>
  <c r="H78" i="35"/>
  <c r="F78" i="35"/>
  <c r="E78" i="35"/>
  <c r="N77" i="35"/>
  <c r="K77" i="35"/>
  <c r="L77" i="35" s="1"/>
  <c r="H77" i="35"/>
  <c r="E77" i="35"/>
  <c r="F77" i="35" s="1"/>
  <c r="N76" i="35"/>
  <c r="K76" i="35"/>
  <c r="H76" i="35"/>
  <c r="I76" i="35" s="1"/>
  <c r="E76" i="35"/>
  <c r="N75" i="35"/>
  <c r="O75" i="35" s="1"/>
  <c r="K75" i="35"/>
  <c r="L75" i="35" s="1"/>
  <c r="H75" i="35"/>
  <c r="E75" i="35"/>
  <c r="F75" i="35" s="1"/>
  <c r="N74" i="35"/>
  <c r="K74" i="35"/>
  <c r="L74" i="35" s="1"/>
  <c r="I74" i="35"/>
  <c r="H74" i="35"/>
  <c r="E74" i="35"/>
  <c r="O73" i="35"/>
  <c r="N73" i="35"/>
  <c r="K73" i="35"/>
  <c r="H73" i="35"/>
  <c r="I73" i="35" s="1"/>
  <c r="E73" i="35"/>
  <c r="N72" i="35"/>
  <c r="O72" i="35" s="1"/>
  <c r="K72" i="35"/>
  <c r="L72" i="35" s="1"/>
  <c r="H72" i="35"/>
  <c r="E72" i="35"/>
  <c r="F72" i="35" s="1"/>
  <c r="N71" i="35"/>
  <c r="K71" i="35"/>
  <c r="H71" i="35"/>
  <c r="E71" i="35"/>
  <c r="M69" i="35"/>
  <c r="J69" i="35"/>
  <c r="G69" i="35"/>
  <c r="D69" i="35"/>
  <c r="B69" i="35"/>
  <c r="M68" i="35"/>
  <c r="G68" i="35"/>
  <c r="B64" i="35"/>
  <c r="N63" i="35"/>
  <c r="O63" i="35" s="1"/>
  <c r="K63" i="35"/>
  <c r="L63" i="35" s="1"/>
  <c r="H63" i="35"/>
  <c r="I63" i="35" s="1"/>
  <c r="E63" i="35"/>
  <c r="F63" i="35" s="1"/>
  <c r="N62" i="35"/>
  <c r="O62" i="35" s="1"/>
  <c r="L62" i="35"/>
  <c r="K62" i="35"/>
  <c r="H62" i="35"/>
  <c r="I62" i="35" s="1"/>
  <c r="F62" i="35"/>
  <c r="E62" i="35"/>
  <c r="N61" i="35"/>
  <c r="O61" i="35" s="1"/>
  <c r="K61" i="35"/>
  <c r="L61" i="35" s="1"/>
  <c r="H61" i="35"/>
  <c r="I61" i="35" s="1"/>
  <c r="E61" i="35"/>
  <c r="F61" i="35" s="1"/>
  <c r="O60" i="35"/>
  <c r="N60" i="35"/>
  <c r="K60" i="35"/>
  <c r="L60" i="35" s="1"/>
  <c r="H60" i="35"/>
  <c r="I60" i="35" s="1"/>
  <c r="F60" i="35"/>
  <c r="E60" i="35"/>
  <c r="N59" i="35"/>
  <c r="O59" i="35" s="1"/>
  <c r="K59" i="35"/>
  <c r="L59" i="35" s="1"/>
  <c r="H59" i="35"/>
  <c r="I59" i="35" s="1"/>
  <c r="E59" i="35"/>
  <c r="F59" i="35" s="1"/>
  <c r="O58" i="35"/>
  <c r="N58" i="35"/>
  <c r="K58" i="35"/>
  <c r="L58" i="35" s="1"/>
  <c r="H58" i="35"/>
  <c r="I58" i="35" s="1"/>
  <c r="F58" i="35"/>
  <c r="E58" i="35"/>
  <c r="N57" i="35"/>
  <c r="O57" i="35" s="1"/>
  <c r="K57" i="35"/>
  <c r="L57" i="35" s="1"/>
  <c r="H57" i="35"/>
  <c r="I57" i="35" s="1"/>
  <c r="E57" i="35"/>
  <c r="F57" i="35" s="1"/>
  <c r="N56" i="35"/>
  <c r="O56" i="35" s="1"/>
  <c r="L56" i="35"/>
  <c r="K56" i="35"/>
  <c r="H56" i="35"/>
  <c r="I56" i="35" s="1"/>
  <c r="F56" i="35"/>
  <c r="E56" i="35"/>
  <c r="N55" i="35"/>
  <c r="O55" i="35" s="1"/>
  <c r="K55" i="35"/>
  <c r="L55" i="35" s="1"/>
  <c r="H55" i="35"/>
  <c r="I55" i="35" s="1"/>
  <c r="E55" i="35"/>
  <c r="F55" i="35" s="1"/>
  <c r="O54" i="35"/>
  <c r="N54" i="35"/>
  <c r="K54" i="35"/>
  <c r="L54" i="35" s="1"/>
  <c r="H54" i="35"/>
  <c r="I54" i="35" s="1"/>
  <c r="F54" i="35"/>
  <c r="E54" i="35"/>
  <c r="N53" i="35"/>
  <c r="O53" i="35" s="1"/>
  <c r="K53" i="35"/>
  <c r="L53" i="35" s="1"/>
  <c r="H53" i="35"/>
  <c r="I53" i="35" s="1"/>
  <c r="E53" i="35"/>
  <c r="F53" i="35" s="1"/>
  <c r="N52" i="35"/>
  <c r="O52" i="35" s="1"/>
  <c r="K52" i="35"/>
  <c r="L52" i="35" s="1"/>
  <c r="H52" i="35"/>
  <c r="I52" i="35" s="1"/>
  <c r="E52" i="35"/>
  <c r="F52" i="35" s="1"/>
  <c r="N51" i="35"/>
  <c r="O51" i="35" s="1"/>
  <c r="K51" i="35"/>
  <c r="L51" i="35" s="1"/>
  <c r="H51" i="35"/>
  <c r="I51" i="35" s="1"/>
  <c r="F51" i="35"/>
  <c r="E51" i="35"/>
  <c r="N50" i="35"/>
  <c r="O50" i="35" s="1"/>
  <c r="K50" i="35"/>
  <c r="L50" i="35" s="1"/>
  <c r="H50" i="35"/>
  <c r="I50" i="35" s="1"/>
  <c r="E50" i="35"/>
  <c r="F50" i="35" s="1"/>
  <c r="O49" i="35"/>
  <c r="N49" i="35"/>
  <c r="K49" i="35"/>
  <c r="L49" i="35" s="1"/>
  <c r="H49" i="35"/>
  <c r="I49" i="35" s="1"/>
  <c r="F49" i="35"/>
  <c r="E49" i="35"/>
  <c r="N48" i="35"/>
  <c r="O48" i="35" s="1"/>
  <c r="K48" i="35"/>
  <c r="L48" i="35" s="1"/>
  <c r="H48" i="35"/>
  <c r="I48" i="35" s="1"/>
  <c r="E48" i="35"/>
  <c r="F48" i="35" s="1"/>
  <c r="O47" i="35"/>
  <c r="N47" i="35"/>
  <c r="K47" i="35"/>
  <c r="L47" i="35" s="1"/>
  <c r="H47" i="35"/>
  <c r="I47" i="35" s="1"/>
  <c r="F47" i="35"/>
  <c r="E47" i="35"/>
  <c r="N46" i="35"/>
  <c r="O46" i="35" s="1"/>
  <c r="L46" i="35"/>
  <c r="K46" i="35"/>
  <c r="H46" i="35"/>
  <c r="I46" i="35" s="1"/>
  <c r="E46" i="35"/>
  <c r="F46" i="35" s="1"/>
  <c r="N45" i="35"/>
  <c r="O45" i="35" s="1"/>
  <c r="K45" i="35"/>
  <c r="L45" i="35" s="1"/>
  <c r="H45" i="35"/>
  <c r="I45" i="35" s="1"/>
  <c r="F45" i="35"/>
  <c r="E45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L198" i="34" s="1"/>
  <c r="H198" i="34"/>
  <c r="I198" i="34" s="1"/>
  <c r="E198" i="34"/>
  <c r="O197" i="34"/>
  <c r="N197" i="34"/>
  <c r="K197" i="34"/>
  <c r="H197" i="34"/>
  <c r="I197" i="34" s="1"/>
  <c r="F197" i="34"/>
  <c r="E197" i="34"/>
  <c r="N196" i="34"/>
  <c r="K196" i="34"/>
  <c r="L196" i="34" s="1"/>
  <c r="H196" i="34"/>
  <c r="I196" i="34" s="1"/>
  <c r="E196" i="34"/>
  <c r="O195" i="34"/>
  <c r="N195" i="34"/>
  <c r="K195" i="34"/>
  <c r="H195" i="34"/>
  <c r="I195" i="34" s="1"/>
  <c r="F195" i="34"/>
  <c r="E195" i="34"/>
  <c r="N194" i="34"/>
  <c r="L194" i="34"/>
  <c r="K194" i="34"/>
  <c r="H194" i="34"/>
  <c r="E194" i="34"/>
  <c r="F194" i="34" s="1"/>
  <c r="N193" i="34"/>
  <c r="O193" i="34" s="1"/>
  <c r="K193" i="34"/>
  <c r="H193" i="34"/>
  <c r="I193" i="34" s="1"/>
  <c r="F193" i="34"/>
  <c r="E193" i="34"/>
  <c r="N192" i="34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E191" i="34"/>
  <c r="F191" i="34" s="1"/>
  <c r="N190" i="34"/>
  <c r="O190" i="34" s="1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O188" i="34"/>
  <c r="N188" i="34"/>
  <c r="K188" i="34"/>
  <c r="H188" i="34"/>
  <c r="I188" i="34" s="1"/>
  <c r="F188" i="34"/>
  <c r="E188" i="34"/>
  <c r="N187" i="34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N185" i="34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N183" i="34"/>
  <c r="O183" i="34" s="1"/>
  <c r="K183" i="34"/>
  <c r="L183" i="34" s="1"/>
  <c r="H183" i="34"/>
  <c r="F183" i="34"/>
  <c r="E183" i="34"/>
  <c r="N182" i="34"/>
  <c r="O182" i="34" s="1"/>
  <c r="K182" i="34"/>
  <c r="H182" i="34"/>
  <c r="I182" i="34" s="1"/>
  <c r="F182" i="34"/>
  <c r="E182" i="34"/>
  <c r="N181" i="34"/>
  <c r="O181" i="34" s="1"/>
  <c r="K181" i="34"/>
  <c r="L181" i="34" s="1"/>
  <c r="H181" i="34"/>
  <c r="E181" i="34"/>
  <c r="F181" i="34" s="1"/>
  <c r="O180" i="34"/>
  <c r="N180" i="34"/>
  <c r="K180" i="34"/>
  <c r="L180" i="34" s="1"/>
  <c r="H180" i="34"/>
  <c r="I180" i="34" s="1"/>
  <c r="F180" i="34"/>
  <c r="E180" i="34"/>
  <c r="N179" i="34"/>
  <c r="O179" i="34" s="1"/>
  <c r="K179" i="34"/>
  <c r="H179" i="34"/>
  <c r="E179" i="34"/>
  <c r="E199" i="34" s="1"/>
  <c r="M177" i="34"/>
  <c r="J177" i="34"/>
  <c r="G177" i="34"/>
  <c r="D177" i="34"/>
  <c r="B177" i="34"/>
  <c r="M176" i="34"/>
  <c r="G176" i="34"/>
  <c r="B172" i="34"/>
  <c r="F162" i="34" s="1"/>
  <c r="N171" i="34"/>
  <c r="K171" i="34"/>
  <c r="H171" i="34"/>
  <c r="E171" i="34"/>
  <c r="N170" i="34"/>
  <c r="K170" i="34"/>
  <c r="H170" i="34"/>
  <c r="E170" i="34"/>
  <c r="N169" i="34"/>
  <c r="K169" i="34"/>
  <c r="H169" i="34"/>
  <c r="F169" i="34"/>
  <c r="E169" i="34"/>
  <c r="N168" i="34"/>
  <c r="K168" i="34"/>
  <c r="H168" i="34"/>
  <c r="I168" i="34" s="1"/>
  <c r="E168" i="34"/>
  <c r="N167" i="34"/>
  <c r="K167" i="34"/>
  <c r="H167" i="34"/>
  <c r="E167" i="34"/>
  <c r="N166" i="34"/>
  <c r="K166" i="34"/>
  <c r="H166" i="34"/>
  <c r="E166" i="34"/>
  <c r="N165" i="34"/>
  <c r="O165" i="34" s="1"/>
  <c r="K165" i="34"/>
  <c r="H165" i="34"/>
  <c r="E165" i="34"/>
  <c r="N164" i="34"/>
  <c r="O164" i="34" s="1"/>
  <c r="K164" i="34"/>
  <c r="H164" i="34"/>
  <c r="E164" i="34"/>
  <c r="N163" i="34"/>
  <c r="K163" i="34"/>
  <c r="H163" i="34"/>
  <c r="E163" i="34"/>
  <c r="N162" i="34"/>
  <c r="K162" i="34"/>
  <c r="H162" i="34"/>
  <c r="E162" i="34"/>
  <c r="N161" i="34"/>
  <c r="K161" i="34"/>
  <c r="H161" i="34"/>
  <c r="E161" i="34"/>
  <c r="N160" i="34"/>
  <c r="K160" i="34"/>
  <c r="H160" i="34"/>
  <c r="E160" i="34"/>
  <c r="N159" i="34"/>
  <c r="O159" i="34" s="1"/>
  <c r="K159" i="34"/>
  <c r="H159" i="34"/>
  <c r="F159" i="34"/>
  <c r="E159" i="34"/>
  <c r="N158" i="34"/>
  <c r="K158" i="34"/>
  <c r="H158" i="34"/>
  <c r="I158" i="34" s="1"/>
  <c r="E158" i="34"/>
  <c r="N157" i="34"/>
  <c r="K157" i="34"/>
  <c r="L157" i="34" s="1"/>
  <c r="H157" i="34"/>
  <c r="E157" i="34"/>
  <c r="N156" i="34"/>
  <c r="K156" i="34"/>
  <c r="H156" i="34"/>
  <c r="E156" i="34"/>
  <c r="N155" i="34"/>
  <c r="K155" i="34"/>
  <c r="H155" i="34"/>
  <c r="E155" i="34"/>
  <c r="N154" i="34"/>
  <c r="K154" i="34"/>
  <c r="H154" i="34"/>
  <c r="I154" i="34" s="1"/>
  <c r="E154" i="34"/>
  <c r="N153" i="34"/>
  <c r="K153" i="34"/>
  <c r="L153" i="34" s="1"/>
  <c r="H153" i="34"/>
  <c r="E153" i="34"/>
  <c r="N152" i="34"/>
  <c r="K152" i="34"/>
  <c r="H152" i="34"/>
  <c r="E152" i="34"/>
  <c r="E172" i="34" s="1"/>
  <c r="M150" i="34"/>
  <c r="J150" i="34"/>
  <c r="G150" i="34"/>
  <c r="D150" i="34"/>
  <c r="B150" i="34"/>
  <c r="M149" i="34"/>
  <c r="G149" i="34"/>
  <c r="B145" i="34"/>
  <c r="F141" i="34" s="1"/>
  <c r="N144" i="34"/>
  <c r="K144" i="34"/>
  <c r="H144" i="34"/>
  <c r="E144" i="34"/>
  <c r="N143" i="34"/>
  <c r="K143" i="34"/>
  <c r="H143" i="34"/>
  <c r="E143" i="34"/>
  <c r="N142" i="34"/>
  <c r="K142" i="34"/>
  <c r="H142" i="34"/>
  <c r="F142" i="34"/>
  <c r="E142" i="34"/>
  <c r="N141" i="34"/>
  <c r="K141" i="34"/>
  <c r="H141" i="34"/>
  <c r="I141" i="34" s="1"/>
  <c r="E141" i="34"/>
  <c r="N140" i="34"/>
  <c r="L140" i="34"/>
  <c r="K140" i="34"/>
  <c r="H140" i="34"/>
  <c r="E140" i="34"/>
  <c r="N139" i="34"/>
  <c r="O139" i="34" s="1"/>
  <c r="K139" i="34"/>
  <c r="H139" i="34"/>
  <c r="E139" i="34"/>
  <c r="N138" i="34"/>
  <c r="K138" i="34"/>
  <c r="H138" i="34"/>
  <c r="E138" i="34"/>
  <c r="N137" i="34"/>
  <c r="K137" i="34"/>
  <c r="H137" i="34"/>
  <c r="E137" i="34"/>
  <c r="N136" i="34"/>
  <c r="K136" i="34"/>
  <c r="H136" i="34"/>
  <c r="I136" i="34" s="1"/>
  <c r="E136" i="34"/>
  <c r="N135" i="34"/>
  <c r="K135" i="34"/>
  <c r="H135" i="34"/>
  <c r="E135" i="34"/>
  <c r="N134" i="34"/>
  <c r="K134" i="34"/>
  <c r="H134" i="34"/>
  <c r="E134" i="34"/>
  <c r="N133" i="34"/>
  <c r="K133" i="34"/>
  <c r="H133" i="34"/>
  <c r="E133" i="34"/>
  <c r="N132" i="34"/>
  <c r="K132" i="34"/>
  <c r="H132" i="34"/>
  <c r="E132" i="34"/>
  <c r="N131" i="34"/>
  <c r="K131" i="34"/>
  <c r="H131" i="34"/>
  <c r="I131" i="34" s="1"/>
  <c r="E131" i="34"/>
  <c r="N130" i="34"/>
  <c r="K130" i="34"/>
  <c r="L130" i="34" s="1"/>
  <c r="H130" i="34"/>
  <c r="E130" i="34"/>
  <c r="N129" i="34"/>
  <c r="K129" i="34"/>
  <c r="H129" i="34"/>
  <c r="E129" i="34"/>
  <c r="N128" i="34"/>
  <c r="K128" i="34"/>
  <c r="H128" i="34"/>
  <c r="E128" i="34"/>
  <c r="N127" i="34"/>
  <c r="K127" i="34"/>
  <c r="H127" i="34"/>
  <c r="E127" i="34"/>
  <c r="N126" i="34"/>
  <c r="K126" i="34"/>
  <c r="H126" i="34"/>
  <c r="F126" i="34"/>
  <c r="E126" i="34"/>
  <c r="N125" i="34"/>
  <c r="K125" i="34"/>
  <c r="H125" i="34"/>
  <c r="H145" i="34" s="1"/>
  <c r="E125" i="34"/>
  <c r="M123" i="34"/>
  <c r="J123" i="34"/>
  <c r="G123" i="34"/>
  <c r="D123" i="34"/>
  <c r="B123" i="34"/>
  <c r="M122" i="34"/>
  <c r="G122" i="34"/>
  <c r="B118" i="34"/>
  <c r="F117" i="34" s="1"/>
  <c r="N117" i="34"/>
  <c r="L117" i="34"/>
  <c r="K117" i="34"/>
  <c r="H117" i="34"/>
  <c r="I117" i="34" s="1"/>
  <c r="E117" i="34"/>
  <c r="O116" i="34"/>
  <c r="N116" i="34"/>
  <c r="K116" i="34"/>
  <c r="H116" i="34"/>
  <c r="I116" i="34" s="1"/>
  <c r="F116" i="34"/>
  <c r="E116" i="34"/>
  <c r="N115" i="34"/>
  <c r="K115" i="34"/>
  <c r="L115" i="34" s="1"/>
  <c r="H115" i="34"/>
  <c r="I115" i="34" s="1"/>
  <c r="E115" i="34"/>
  <c r="O114" i="34"/>
  <c r="N114" i="34"/>
  <c r="K114" i="34"/>
  <c r="H114" i="34"/>
  <c r="I114" i="34" s="1"/>
  <c r="F114" i="34"/>
  <c r="E114" i="34"/>
  <c r="N113" i="34"/>
  <c r="L113" i="34"/>
  <c r="K113" i="34"/>
  <c r="H113" i="34"/>
  <c r="F113" i="34"/>
  <c r="E113" i="34"/>
  <c r="N112" i="34"/>
  <c r="O112" i="34" s="1"/>
  <c r="K112" i="34"/>
  <c r="H112" i="34"/>
  <c r="I112" i="34" s="1"/>
  <c r="F112" i="34"/>
  <c r="E112" i="34"/>
  <c r="N111" i="34"/>
  <c r="K111" i="34"/>
  <c r="L111" i="34" s="1"/>
  <c r="H111" i="34"/>
  <c r="I111" i="34" s="1"/>
  <c r="F111" i="34"/>
  <c r="E111" i="34"/>
  <c r="N110" i="34"/>
  <c r="O110" i="34" s="1"/>
  <c r="L110" i="34"/>
  <c r="K110" i="34"/>
  <c r="H110" i="34"/>
  <c r="F110" i="34"/>
  <c r="E110" i="34"/>
  <c r="O109" i="34"/>
  <c r="N109" i="34"/>
  <c r="L109" i="34"/>
  <c r="K109" i="34"/>
  <c r="H109" i="34"/>
  <c r="I109" i="34" s="1"/>
  <c r="E109" i="34"/>
  <c r="N108" i="34"/>
  <c r="O108" i="34" s="1"/>
  <c r="K108" i="34"/>
  <c r="L108" i="34" s="1"/>
  <c r="H108" i="34"/>
  <c r="E108" i="34"/>
  <c r="F108" i="34" s="1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F106" i="34"/>
  <c r="E106" i="34"/>
  <c r="N105" i="34"/>
  <c r="O105" i="34" s="1"/>
  <c r="L105" i="34"/>
  <c r="K105" i="34"/>
  <c r="H105" i="34"/>
  <c r="E105" i="34"/>
  <c r="F105" i="34" s="1"/>
  <c r="O104" i="34"/>
  <c r="N104" i="34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E103" i="34"/>
  <c r="F103" i="34" s="1"/>
  <c r="O102" i="34"/>
  <c r="N102" i="34"/>
  <c r="K102" i="34"/>
  <c r="L102" i="34" s="1"/>
  <c r="H102" i="34"/>
  <c r="I102" i="34" s="1"/>
  <c r="F102" i="34"/>
  <c r="E102" i="34"/>
  <c r="N101" i="34"/>
  <c r="O101" i="34" s="1"/>
  <c r="L101" i="34"/>
  <c r="K101" i="34"/>
  <c r="H101" i="34"/>
  <c r="I101" i="34" s="1"/>
  <c r="F101" i="34"/>
  <c r="E101" i="34"/>
  <c r="N100" i="34"/>
  <c r="K100" i="34"/>
  <c r="L100" i="34" s="1"/>
  <c r="H100" i="34"/>
  <c r="I100" i="34" s="1"/>
  <c r="F100" i="34"/>
  <c r="E100" i="34"/>
  <c r="N99" i="34"/>
  <c r="O99" i="34" s="1"/>
  <c r="K99" i="34"/>
  <c r="L99" i="34" s="1"/>
  <c r="H99" i="34"/>
  <c r="I99" i="34" s="1"/>
  <c r="E99" i="34"/>
  <c r="N98" i="34"/>
  <c r="K98" i="34"/>
  <c r="H98" i="34"/>
  <c r="F98" i="34"/>
  <c r="E98" i="34"/>
  <c r="M96" i="34"/>
  <c r="J96" i="34"/>
  <c r="G96" i="34"/>
  <c r="D96" i="34"/>
  <c r="B96" i="34"/>
  <c r="M95" i="34"/>
  <c r="G95" i="34"/>
  <c r="B91" i="34"/>
  <c r="L86" i="34" s="1"/>
  <c r="N90" i="34"/>
  <c r="K90" i="34"/>
  <c r="H90" i="34"/>
  <c r="I90" i="34" s="1"/>
  <c r="E90" i="34"/>
  <c r="O89" i="34"/>
  <c r="N89" i="34"/>
  <c r="K89" i="34"/>
  <c r="H89" i="34"/>
  <c r="F89" i="34"/>
  <c r="E89" i="34"/>
  <c r="N88" i="34"/>
  <c r="K88" i="34"/>
  <c r="L88" i="34" s="1"/>
  <c r="H88" i="34"/>
  <c r="I88" i="34" s="1"/>
  <c r="E88" i="34"/>
  <c r="O87" i="34"/>
  <c r="N87" i="34"/>
  <c r="K87" i="34"/>
  <c r="H87" i="34"/>
  <c r="F87" i="34"/>
  <c r="E87" i="34"/>
  <c r="N86" i="34"/>
  <c r="K86" i="34"/>
  <c r="H86" i="34"/>
  <c r="E86" i="34"/>
  <c r="N85" i="34"/>
  <c r="K85" i="34"/>
  <c r="H85" i="34"/>
  <c r="F85" i="34"/>
  <c r="E85" i="34"/>
  <c r="N84" i="34"/>
  <c r="K84" i="34"/>
  <c r="H84" i="34"/>
  <c r="I84" i="34" s="1"/>
  <c r="E84" i="34"/>
  <c r="N83" i="34"/>
  <c r="L83" i="34"/>
  <c r="K83" i="34"/>
  <c r="H83" i="34"/>
  <c r="E83" i="34"/>
  <c r="O82" i="34"/>
  <c r="N82" i="34"/>
  <c r="K82" i="34"/>
  <c r="H82" i="34"/>
  <c r="I82" i="34" s="1"/>
  <c r="E82" i="34"/>
  <c r="N81" i="34"/>
  <c r="K81" i="34"/>
  <c r="L81" i="34" s="1"/>
  <c r="H81" i="34"/>
  <c r="E81" i="34"/>
  <c r="N80" i="34"/>
  <c r="K80" i="34"/>
  <c r="H80" i="34"/>
  <c r="I80" i="34" s="1"/>
  <c r="E80" i="34"/>
  <c r="N79" i="34"/>
  <c r="K79" i="34"/>
  <c r="L79" i="34" s="1"/>
  <c r="H79" i="34"/>
  <c r="E79" i="34"/>
  <c r="N78" i="34"/>
  <c r="O78" i="34" s="1"/>
  <c r="K78" i="34"/>
  <c r="H78" i="34"/>
  <c r="I78" i="34" s="1"/>
  <c r="F78" i="34"/>
  <c r="E78" i="34"/>
  <c r="N77" i="34"/>
  <c r="K77" i="34"/>
  <c r="L77" i="34" s="1"/>
  <c r="H77" i="34"/>
  <c r="E77" i="34"/>
  <c r="N76" i="34"/>
  <c r="K76" i="34"/>
  <c r="H76" i="34"/>
  <c r="F76" i="34"/>
  <c r="E76" i="34"/>
  <c r="N75" i="34"/>
  <c r="K75" i="34"/>
  <c r="L75" i="34" s="1"/>
  <c r="H75" i="34"/>
  <c r="I75" i="34" s="1"/>
  <c r="E75" i="34"/>
  <c r="N74" i="34"/>
  <c r="O74" i="34" s="1"/>
  <c r="L74" i="34"/>
  <c r="K74" i="34"/>
  <c r="H74" i="34"/>
  <c r="F74" i="34"/>
  <c r="E74" i="34"/>
  <c r="N73" i="34"/>
  <c r="K73" i="34"/>
  <c r="H73" i="34"/>
  <c r="I73" i="34" s="1"/>
  <c r="F73" i="34"/>
  <c r="E73" i="34"/>
  <c r="N72" i="34"/>
  <c r="K72" i="34"/>
  <c r="L72" i="34" s="1"/>
  <c r="H72" i="34"/>
  <c r="I72" i="34" s="1"/>
  <c r="E72" i="34"/>
  <c r="N71" i="34"/>
  <c r="K71" i="34"/>
  <c r="H71" i="34"/>
  <c r="E71" i="34"/>
  <c r="E91" i="34" s="1"/>
  <c r="M69" i="34"/>
  <c r="J69" i="34"/>
  <c r="G69" i="34"/>
  <c r="D69" i="34"/>
  <c r="B69" i="34"/>
  <c r="M68" i="34"/>
  <c r="G68" i="34"/>
  <c r="B64" i="34"/>
  <c r="F56" i="34" s="1"/>
  <c r="N63" i="34"/>
  <c r="K63" i="34"/>
  <c r="H63" i="34"/>
  <c r="F63" i="34"/>
  <c r="E63" i="34"/>
  <c r="N62" i="34"/>
  <c r="K62" i="34"/>
  <c r="H62" i="34"/>
  <c r="I62" i="34" s="1"/>
  <c r="E62" i="34"/>
  <c r="N61" i="34"/>
  <c r="K61" i="34"/>
  <c r="H61" i="34"/>
  <c r="E61" i="34"/>
  <c r="N60" i="34"/>
  <c r="K60" i="34"/>
  <c r="H60" i="34"/>
  <c r="E60" i="34"/>
  <c r="N59" i="34"/>
  <c r="K59" i="34"/>
  <c r="H59" i="34"/>
  <c r="F59" i="34"/>
  <c r="E59" i="34"/>
  <c r="N58" i="34"/>
  <c r="K58" i="34"/>
  <c r="H58" i="34"/>
  <c r="I58" i="34" s="1"/>
  <c r="E58" i="34"/>
  <c r="N57" i="34"/>
  <c r="K57" i="34"/>
  <c r="H57" i="34"/>
  <c r="E57" i="34"/>
  <c r="N56" i="34"/>
  <c r="K56" i="34"/>
  <c r="H56" i="34"/>
  <c r="I56" i="34" s="1"/>
  <c r="E56" i="34"/>
  <c r="N55" i="34"/>
  <c r="K55" i="34"/>
  <c r="L55" i="34" s="1"/>
  <c r="H55" i="34"/>
  <c r="E55" i="34"/>
  <c r="N54" i="34"/>
  <c r="K54" i="34"/>
  <c r="H54" i="34"/>
  <c r="E54" i="34"/>
  <c r="N53" i="34"/>
  <c r="K53" i="34"/>
  <c r="H53" i="34"/>
  <c r="E53" i="34"/>
  <c r="N52" i="34"/>
  <c r="O52" i="34" s="1"/>
  <c r="K52" i="34"/>
  <c r="H52" i="34"/>
  <c r="F52" i="34"/>
  <c r="E52" i="34"/>
  <c r="N51" i="34"/>
  <c r="K51" i="34"/>
  <c r="H51" i="34"/>
  <c r="I51" i="34" s="1"/>
  <c r="E51" i="34"/>
  <c r="N50" i="34"/>
  <c r="L50" i="34"/>
  <c r="K50" i="34"/>
  <c r="H50" i="34"/>
  <c r="E50" i="34"/>
  <c r="N49" i="34"/>
  <c r="O49" i="34" s="1"/>
  <c r="K49" i="34"/>
  <c r="H49" i="34"/>
  <c r="E49" i="34"/>
  <c r="N48" i="34"/>
  <c r="K48" i="34"/>
  <c r="H48" i="34"/>
  <c r="E48" i="34"/>
  <c r="N47" i="34"/>
  <c r="K47" i="34"/>
  <c r="H47" i="34"/>
  <c r="E47" i="34"/>
  <c r="N46" i="34"/>
  <c r="K46" i="34"/>
  <c r="H46" i="34"/>
  <c r="E46" i="34"/>
  <c r="N45" i="34"/>
  <c r="K45" i="34"/>
  <c r="H45" i="34"/>
  <c r="E45" i="34"/>
  <c r="N44" i="34"/>
  <c r="K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L182" i="33" s="1"/>
  <c r="N198" i="33"/>
  <c r="K198" i="33"/>
  <c r="H198" i="33"/>
  <c r="E198" i="33"/>
  <c r="N197" i="33"/>
  <c r="K197" i="33"/>
  <c r="H197" i="33"/>
  <c r="E197" i="33"/>
  <c r="N196" i="33"/>
  <c r="K196" i="33"/>
  <c r="H196" i="33"/>
  <c r="E196" i="33"/>
  <c r="N195" i="33"/>
  <c r="K195" i="33"/>
  <c r="H195" i="33"/>
  <c r="E195" i="33"/>
  <c r="N194" i="33"/>
  <c r="L194" i="33"/>
  <c r="K194" i="33"/>
  <c r="H194" i="33"/>
  <c r="E194" i="33"/>
  <c r="N193" i="33"/>
  <c r="K193" i="33"/>
  <c r="H193" i="33"/>
  <c r="I193" i="33" s="1"/>
  <c r="E193" i="33"/>
  <c r="N192" i="33"/>
  <c r="K192" i="33"/>
  <c r="H192" i="33"/>
  <c r="E192" i="33"/>
  <c r="N191" i="33"/>
  <c r="O191" i="33" s="1"/>
  <c r="K191" i="33"/>
  <c r="H191" i="33"/>
  <c r="E191" i="33"/>
  <c r="N190" i="33"/>
  <c r="K190" i="33"/>
  <c r="I190" i="33"/>
  <c r="H190" i="33"/>
  <c r="E190" i="33"/>
  <c r="N189" i="33"/>
  <c r="K189" i="33"/>
  <c r="H189" i="33"/>
  <c r="E189" i="33"/>
  <c r="N188" i="33"/>
  <c r="K188" i="33"/>
  <c r="H188" i="33"/>
  <c r="E188" i="33"/>
  <c r="N187" i="33"/>
  <c r="K187" i="33"/>
  <c r="H187" i="33"/>
  <c r="E187" i="33"/>
  <c r="N186" i="33"/>
  <c r="K186" i="33"/>
  <c r="H186" i="33"/>
  <c r="E186" i="33"/>
  <c r="N185" i="33"/>
  <c r="K185" i="33"/>
  <c r="H185" i="33"/>
  <c r="I185" i="33" s="1"/>
  <c r="E185" i="33"/>
  <c r="N184" i="33"/>
  <c r="K184" i="33"/>
  <c r="H184" i="33"/>
  <c r="E184" i="33"/>
  <c r="N183" i="33"/>
  <c r="K183" i="33"/>
  <c r="H183" i="33"/>
  <c r="E183" i="33"/>
  <c r="N182" i="33"/>
  <c r="K182" i="33"/>
  <c r="H182" i="33"/>
  <c r="E182" i="33"/>
  <c r="N181" i="33"/>
  <c r="K181" i="33"/>
  <c r="H181" i="33"/>
  <c r="E181" i="33"/>
  <c r="N180" i="33"/>
  <c r="K180" i="33"/>
  <c r="H180" i="33"/>
  <c r="E180" i="33"/>
  <c r="N179" i="33"/>
  <c r="K179" i="33"/>
  <c r="H179" i="33"/>
  <c r="E179" i="33"/>
  <c r="M177" i="33"/>
  <c r="J177" i="33"/>
  <c r="G177" i="33"/>
  <c r="D177" i="33"/>
  <c r="B177" i="33"/>
  <c r="M176" i="33"/>
  <c r="G176" i="33"/>
  <c r="B172" i="33"/>
  <c r="N171" i="33"/>
  <c r="K171" i="33"/>
  <c r="H171" i="33"/>
  <c r="I171" i="33" s="1"/>
  <c r="E171" i="33"/>
  <c r="F171" i="33" s="1"/>
  <c r="N170" i="33"/>
  <c r="L170" i="33"/>
  <c r="K170" i="33"/>
  <c r="H170" i="33"/>
  <c r="E170" i="33"/>
  <c r="O169" i="33"/>
  <c r="N169" i="33"/>
  <c r="K169" i="33"/>
  <c r="I169" i="33"/>
  <c r="H169" i="33"/>
  <c r="E169" i="33"/>
  <c r="N168" i="33"/>
  <c r="K168" i="33"/>
  <c r="L168" i="33" s="1"/>
  <c r="H168" i="33"/>
  <c r="I168" i="33" s="1"/>
  <c r="E168" i="33"/>
  <c r="N167" i="33"/>
  <c r="K167" i="33"/>
  <c r="L167" i="33" s="1"/>
  <c r="H167" i="33"/>
  <c r="I167" i="33" s="1"/>
  <c r="E167" i="33"/>
  <c r="N166" i="33"/>
  <c r="O166" i="33" s="1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F165" i="33" s="1"/>
  <c r="O164" i="33"/>
  <c r="N164" i="33"/>
  <c r="K164" i="33"/>
  <c r="H164" i="33"/>
  <c r="I164" i="33" s="1"/>
  <c r="E164" i="33"/>
  <c r="N163" i="33"/>
  <c r="L163" i="33"/>
  <c r="K163" i="33"/>
  <c r="H163" i="33"/>
  <c r="E163" i="33"/>
  <c r="F163" i="33" s="1"/>
  <c r="O162" i="33"/>
  <c r="N162" i="33"/>
  <c r="K162" i="33"/>
  <c r="H162" i="33"/>
  <c r="I162" i="33" s="1"/>
  <c r="E162" i="33"/>
  <c r="F162" i="33" s="1"/>
  <c r="N161" i="33"/>
  <c r="K161" i="33"/>
  <c r="I161" i="33"/>
  <c r="H161" i="33"/>
  <c r="E161" i="33"/>
  <c r="O160" i="33"/>
  <c r="N160" i="33"/>
  <c r="K160" i="33"/>
  <c r="H160" i="33"/>
  <c r="E160" i="33"/>
  <c r="F160" i="33" s="1"/>
  <c r="N159" i="33"/>
  <c r="O159" i="33" s="1"/>
  <c r="K159" i="33"/>
  <c r="H159" i="33"/>
  <c r="E159" i="33"/>
  <c r="F159" i="33" s="1"/>
  <c r="N158" i="33"/>
  <c r="K158" i="33"/>
  <c r="L158" i="33" s="1"/>
  <c r="H158" i="33"/>
  <c r="E158" i="33"/>
  <c r="F158" i="33" s="1"/>
  <c r="N157" i="33"/>
  <c r="L157" i="33"/>
  <c r="K157" i="33"/>
  <c r="H157" i="33"/>
  <c r="E157" i="33"/>
  <c r="F157" i="33" s="1"/>
  <c r="N156" i="33"/>
  <c r="O156" i="33" s="1"/>
  <c r="K156" i="33"/>
  <c r="H156" i="33"/>
  <c r="I156" i="33" s="1"/>
  <c r="E156" i="33"/>
  <c r="F156" i="33" s="1"/>
  <c r="N155" i="33"/>
  <c r="K155" i="33"/>
  <c r="H155" i="33"/>
  <c r="I155" i="33" s="1"/>
  <c r="E155" i="33"/>
  <c r="F155" i="33" s="1"/>
  <c r="N154" i="33"/>
  <c r="K154" i="33"/>
  <c r="H154" i="33"/>
  <c r="E154" i="33"/>
  <c r="F154" i="33" s="1"/>
  <c r="N153" i="33"/>
  <c r="K153" i="33"/>
  <c r="I153" i="33"/>
  <c r="H153" i="33"/>
  <c r="E153" i="33"/>
  <c r="F153" i="33" s="1"/>
  <c r="N152" i="33"/>
  <c r="L152" i="33"/>
  <c r="K152" i="33"/>
  <c r="H152" i="33"/>
  <c r="E152" i="33"/>
  <c r="M150" i="33"/>
  <c r="J150" i="33"/>
  <c r="G150" i="33"/>
  <c r="D150" i="33"/>
  <c r="B150" i="33"/>
  <c r="M149" i="33"/>
  <c r="G149" i="33"/>
  <c r="B145" i="33"/>
  <c r="N144" i="33"/>
  <c r="K144" i="33"/>
  <c r="H144" i="33"/>
  <c r="I144" i="33" s="1"/>
  <c r="E144" i="33"/>
  <c r="N143" i="33"/>
  <c r="K143" i="33"/>
  <c r="H143" i="33"/>
  <c r="E143" i="33"/>
  <c r="N142" i="33"/>
  <c r="K142" i="33"/>
  <c r="H142" i="33"/>
  <c r="E142" i="33"/>
  <c r="O141" i="33"/>
  <c r="N141" i="33"/>
  <c r="K141" i="33"/>
  <c r="H141" i="33"/>
  <c r="E141" i="33"/>
  <c r="F141" i="33" s="1"/>
  <c r="N140" i="33"/>
  <c r="K140" i="33"/>
  <c r="H140" i="33"/>
  <c r="I140" i="33" s="1"/>
  <c r="E140" i="33"/>
  <c r="N139" i="33"/>
  <c r="K139" i="33"/>
  <c r="H139" i="33"/>
  <c r="I139" i="33" s="1"/>
  <c r="E139" i="33"/>
  <c r="N138" i="33"/>
  <c r="L138" i="33"/>
  <c r="K138" i="33"/>
  <c r="H138" i="33"/>
  <c r="E138" i="33"/>
  <c r="N137" i="33"/>
  <c r="K137" i="33"/>
  <c r="H137" i="33"/>
  <c r="E137" i="33"/>
  <c r="N136" i="33"/>
  <c r="K136" i="33"/>
  <c r="H136" i="33"/>
  <c r="I136" i="33" s="1"/>
  <c r="E136" i="33"/>
  <c r="N135" i="33"/>
  <c r="K135" i="33"/>
  <c r="L135" i="33" s="1"/>
  <c r="H135" i="33"/>
  <c r="E135" i="33"/>
  <c r="N134" i="33"/>
  <c r="K134" i="33"/>
  <c r="L134" i="33" s="1"/>
  <c r="H134" i="33"/>
  <c r="E134" i="33"/>
  <c r="O133" i="33"/>
  <c r="N133" i="33"/>
  <c r="K133" i="33"/>
  <c r="H133" i="33"/>
  <c r="E133" i="33"/>
  <c r="N132" i="33"/>
  <c r="K132" i="33"/>
  <c r="H132" i="33"/>
  <c r="E132" i="33"/>
  <c r="N131" i="33"/>
  <c r="K131" i="33"/>
  <c r="H131" i="33"/>
  <c r="E131" i="33"/>
  <c r="N130" i="33"/>
  <c r="K130" i="33"/>
  <c r="L130" i="33" s="1"/>
  <c r="H130" i="33"/>
  <c r="E130" i="33"/>
  <c r="N129" i="33"/>
  <c r="O129" i="33" s="1"/>
  <c r="K129" i="33"/>
  <c r="H129" i="33"/>
  <c r="E129" i="33"/>
  <c r="O128" i="33"/>
  <c r="N128" i="33"/>
  <c r="K128" i="33"/>
  <c r="H128" i="33"/>
  <c r="E128" i="33"/>
  <c r="F128" i="33" s="1"/>
  <c r="N127" i="33"/>
  <c r="K127" i="33"/>
  <c r="H127" i="33"/>
  <c r="E127" i="33"/>
  <c r="F127" i="33" s="1"/>
  <c r="N126" i="33"/>
  <c r="K126" i="33"/>
  <c r="H126" i="33"/>
  <c r="E126" i="33"/>
  <c r="F126" i="33" s="1"/>
  <c r="N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K117" i="33"/>
  <c r="H117" i="33"/>
  <c r="I117" i="33" s="1"/>
  <c r="E117" i="33"/>
  <c r="N116" i="33"/>
  <c r="K116" i="33"/>
  <c r="L116" i="33" s="1"/>
  <c r="H116" i="33"/>
  <c r="I116" i="33" s="1"/>
  <c r="E116" i="33"/>
  <c r="N115" i="33"/>
  <c r="L115" i="33"/>
  <c r="K115" i="33"/>
  <c r="H115" i="33"/>
  <c r="E115" i="33"/>
  <c r="F115" i="33" s="1"/>
  <c r="N114" i="33"/>
  <c r="K114" i="33"/>
  <c r="H114" i="33"/>
  <c r="I114" i="33" s="1"/>
  <c r="E114" i="33"/>
  <c r="F114" i="33" s="1"/>
  <c r="N113" i="33"/>
  <c r="K113" i="33"/>
  <c r="H113" i="33"/>
  <c r="E113" i="33"/>
  <c r="N112" i="33"/>
  <c r="K112" i="33"/>
  <c r="L112" i="33" s="1"/>
  <c r="H112" i="33"/>
  <c r="E112" i="33"/>
  <c r="N111" i="33"/>
  <c r="K111" i="33"/>
  <c r="L111" i="33" s="1"/>
  <c r="H111" i="33"/>
  <c r="E111" i="33"/>
  <c r="N110" i="33"/>
  <c r="K110" i="33"/>
  <c r="H110" i="33"/>
  <c r="I110" i="33" s="1"/>
  <c r="E110" i="33"/>
  <c r="N109" i="33"/>
  <c r="K109" i="33"/>
  <c r="L109" i="33" s="1"/>
  <c r="H109" i="33"/>
  <c r="I109" i="33" s="1"/>
  <c r="E109" i="33"/>
  <c r="N108" i="33"/>
  <c r="L108" i="33"/>
  <c r="K108" i="33"/>
  <c r="H108" i="33"/>
  <c r="E108" i="33"/>
  <c r="N107" i="33"/>
  <c r="O107" i="33" s="1"/>
  <c r="K107" i="33"/>
  <c r="L107" i="33" s="1"/>
  <c r="H107" i="33"/>
  <c r="E107" i="33"/>
  <c r="O106" i="33"/>
  <c r="N106" i="33"/>
  <c r="K106" i="33"/>
  <c r="H106" i="33"/>
  <c r="E106" i="33"/>
  <c r="F106" i="33" s="1"/>
  <c r="N105" i="33"/>
  <c r="K105" i="33"/>
  <c r="H105" i="33"/>
  <c r="E105" i="33"/>
  <c r="O104" i="33"/>
  <c r="N104" i="33"/>
  <c r="K104" i="33"/>
  <c r="H104" i="33"/>
  <c r="E104" i="33"/>
  <c r="F104" i="33" s="1"/>
  <c r="N103" i="33"/>
  <c r="K103" i="33"/>
  <c r="H103" i="33"/>
  <c r="E103" i="33"/>
  <c r="F103" i="33" s="1"/>
  <c r="N102" i="33"/>
  <c r="K102" i="33"/>
  <c r="H102" i="33"/>
  <c r="I102" i="33" s="1"/>
  <c r="E102" i="33"/>
  <c r="F102" i="33" s="1"/>
  <c r="N101" i="33"/>
  <c r="K101" i="33"/>
  <c r="L101" i="33" s="1"/>
  <c r="H101" i="33"/>
  <c r="E101" i="33"/>
  <c r="N100" i="33"/>
  <c r="O100" i="33" s="1"/>
  <c r="K100" i="33"/>
  <c r="H100" i="33"/>
  <c r="E100" i="33"/>
  <c r="F100" i="33" s="1"/>
  <c r="N99" i="33"/>
  <c r="O99" i="33" s="1"/>
  <c r="K99" i="33"/>
  <c r="I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L89" i="33"/>
  <c r="K89" i="33"/>
  <c r="H89" i="33"/>
  <c r="I89" i="33" s="1"/>
  <c r="E89" i="33"/>
  <c r="F89" i="33" s="1"/>
  <c r="N88" i="33"/>
  <c r="O88" i="33" s="1"/>
  <c r="K88" i="33"/>
  <c r="L88" i="33" s="1"/>
  <c r="H88" i="33"/>
  <c r="I88" i="33" s="1"/>
  <c r="F88" i="33"/>
  <c r="E88" i="33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F86" i="33"/>
  <c r="E86" i="33"/>
  <c r="N85" i="33"/>
  <c r="O85" i="33" s="1"/>
  <c r="L85" i="33"/>
  <c r="K85" i="33"/>
  <c r="H85" i="33"/>
  <c r="I85" i="33" s="1"/>
  <c r="E85" i="33"/>
  <c r="F85" i="33" s="1"/>
  <c r="N84" i="33"/>
  <c r="O84" i="33" s="1"/>
  <c r="K84" i="33"/>
  <c r="L84" i="33" s="1"/>
  <c r="H84" i="33"/>
  <c r="I84" i="33" s="1"/>
  <c r="F84" i="33"/>
  <c r="E84" i="33"/>
  <c r="N83" i="33"/>
  <c r="O83" i="33" s="1"/>
  <c r="K83" i="33"/>
  <c r="L83" i="33" s="1"/>
  <c r="H83" i="33"/>
  <c r="I83" i="33" s="1"/>
  <c r="E83" i="33"/>
  <c r="F83" i="33" s="1"/>
  <c r="O82" i="33"/>
  <c r="N82" i="33"/>
  <c r="K82" i="33"/>
  <c r="L82" i="33" s="1"/>
  <c r="H82" i="33"/>
  <c r="I82" i="33" s="1"/>
  <c r="F82" i="33"/>
  <c r="E82" i="33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F78" i="33"/>
  <c r="E78" i="33"/>
  <c r="O77" i="33"/>
  <c r="N77" i="33"/>
  <c r="L77" i="33"/>
  <c r="K77" i="33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F75" i="33"/>
  <c r="E75" i="33"/>
  <c r="N74" i="33"/>
  <c r="O74" i="33" s="1"/>
  <c r="K74" i="33"/>
  <c r="L74" i="33" s="1"/>
  <c r="H74" i="33"/>
  <c r="I74" i="33" s="1"/>
  <c r="F74" i="33"/>
  <c r="E74" i="33"/>
  <c r="N73" i="33"/>
  <c r="O73" i="33" s="1"/>
  <c r="L73" i="33"/>
  <c r="K73" i="33"/>
  <c r="H73" i="33"/>
  <c r="I73" i="33" s="1"/>
  <c r="E73" i="33"/>
  <c r="F73" i="33" s="1"/>
  <c r="O72" i="33"/>
  <c r="N72" i="33"/>
  <c r="K72" i="33"/>
  <c r="L72" i="33" s="1"/>
  <c r="H72" i="33"/>
  <c r="I72" i="33" s="1"/>
  <c r="F72" i="33"/>
  <c r="E72" i="33"/>
  <c r="N71" i="33"/>
  <c r="O71" i="33" s="1"/>
  <c r="K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K63" i="33"/>
  <c r="H63" i="33"/>
  <c r="E63" i="33"/>
  <c r="N62" i="33"/>
  <c r="K62" i="33"/>
  <c r="H62" i="33"/>
  <c r="E62" i="33"/>
  <c r="N61" i="33"/>
  <c r="K61" i="33"/>
  <c r="H61" i="33"/>
  <c r="E61" i="33"/>
  <c r="N60" i="33"/>
  <c r="K60" i="33"/>
  <c r="H60" i="33"/>
  <c r="E60" i="33"/>
  <c r="N59" i="33"/>
  <c r="K59" i="33"/>
  <c r="H59" i="33"/>
  <c r="E59" i="33"/>
  <c r="N58" i="33"/>
  <c r="K58" i="33"/>
  <c r="H58" i="33"/>
  <c r="E58" i="33"/>
  <c r="N57" i="33"/>
  <c r="K57" i="33"/>
  <c r="H57" i="33"/>
  <c r="E57" i="33"/>
  <c r="N56" i="33"/>
  <c r="K56" i="33"/>
  <c r="H56" i="33"/>
  <c r="E56" i="33"/>
  <c r="N55" i="33"/>
  <c r="K55" i="33"/>
  <c r="H55" i="33"/>
  <c r="E55" i="33"/>
  <c r="O54" i="33"/>
  <c r="N54" i="33"/>
  <c r="K54" i="33"/>
  <c r="H54" i="33"/>
  <c r="E54" i="33"/>
  <c r="F54" i="33" s="1"/>
  <c r="N53" i="33"/>
  <c r="K53" i="33"/>
  <c r="H53" i="33"/>
  <c r="E53" i="33"/>
  <c r="N52" i="33"/>
  <c r="K52" i="33"/>
  <c r="H52" i="33"/>
  <c r="E52" i="33"/>
  <c r="N51" i="33"/>
  <c r="K51" i="33"/>
  <c r="H51" i="33"/>
  <c r="I51" i="33" s="1"/>
  <c r="E51" i="33"/>
  <c r="N50" i="33"/>
  <c r="K50" i="33"/>
  <c r="I50" i="33"/>
  <c r="H50" i="33"/>
  <c r="E50" i="33"/>
  <c r="N49" i="33"/>
  <c r="K49" i="33"/>
  <c r="L49" i="33" s="1"/>
  <c r="H49" i="33"/>
  <c r="E49" i="33"/>
  <c r="N48" i="33"/>
  <c r="K48" i="33"/>
  <c r="H48" i="33"/>
  <c r="E48" i="33"/>
  <c r="N47" i="33"/>
  <c r="K47" i="33"/>
  <c r="H47" i="33"/>
  <c r="E47" i="33"/>
  <c r="N46" i="33"/>
  <c r="K46" i="33"/>
  <c r="H46" i="33"/>
  <c r="E46" i="33"/>
  <c r="N45" i="33"/>
  <c r="K45" i="33"/>
  <c r="L45" i="33" s="1"/>
  <c r="H45" i="33"/>
  <c r="E45" i="33"/>
  <c r="N44" i="33"/>
  <c r="K44" i="33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I195" i="32" s="1"/>
  <c r="N198" i="32"/>
  <c r="L198" i="32"/>
  <c r="K198" i="32"/>
  <c r="H198" i="32"/>
  <c r="I198" i="32" s="1"/>
  <c r="E198" i="32"/>
  <c r="N197" i="32"/>
  <c r="O197" i="32" s="1"/>
  <c r="K197" i="32"/>
  <c r="H197" i="32"/>
  <c r="I197" i="32" s="1"/>
  <c r="E197" i="32"/>
  <c r="O196" i="32"/>
  <c r="N196" i="32"/>
  <c r="L196" i="32"/>
  <c r="K196" i="32"/>
  <c r="H196" i="32"/>
  <c r="I196" i="32" s="1"/>
  <c r="E196" i="32"/>
  <c r="O195" i="32"/>
  <c r="N195" i="32"/>
  <c r="K195" i="32"/>
  <c r="L195" i="32" s="1"/>
  <c r="H195" i="32"/>
  <c r="E195" i="32"/>
  <c r="O194" i="32"/>
  <c r="N194" i="32"/>
  <c r="L194" i="32"/>
  <c r="K194" i="32"/>
  <c r="H194" i="32"/>
  <c r="I194" i="32" s="1"/>
  <c r="E194" i="32"/>
  <c r="O193" i="32"/>
  <c r="N193" i="32"/>
  <c r="L193" i="32"/>
  <c r="K193" i="32"/>
  <c r="H193" i="32"/>
  <c r="I193" i="32" s="1"/>
  <c r="E193" i="32"/>
  <c r="O192" i="32"/>
  <c r="N192" i="32"/>
  <c r="K192" i="32"/>
  <c r="L192" i="32" s="1"/>
  <c r="H192" i="32"/>
  <c r="E192" i="32"/>
  <c r="F192" i="32" s="1"/>
  <c r="N191" i="32"/>
  <c r="L191" i="32"/>
  <c r="K191" i="32"/>
  <c r="I191" i="32"/>
  <c r="H191" i="32"/>
  <c r="E191" i="32"/>
  <c r="F191" i="32" s="1"/>
  <c r="N190" i="32"/>
  <c r="K190" i="32"/>
  <c r="H190" i="32"/>
  <c r="I190" i="32" s="1"/>
  <c r="E190" i="32"/>
  <c r="N189" i="32"/>
  <c r="O189" i="32" s="1"/>
  <c r="K189" i="32"/>
  <c r="H189" i="32"/>
  <c r="E189" i="32"/>
  <c r="F189" i="32" s="1"/>
  <c r="N188" i="32"/>
  <c r="K188" i="32"/>
  <c r="L188" i="32" s="1"/>
  <c r="H188" i="32"/>
  <c r="E188" i="32"/>
  <c r="F188" i="32" s="1"/>
  <c r="N187" i="32"/>
  <c r="K187" i="32"/>
  <c r="H187" i="32"/>
  <c r="E187" i="32"/>
  <c r="F187" i="32" s="1"/>
  <c r="N186" i="32"/>
  <c r="O186" i="32" s="1"/>
  <c r="K186" i="32"/>
  <c r="H186" i="32"/>
  <c r="I186" i="32" s="1"/>
  <c r="E186" i="32"/>
  <c r="F186" i="32" s="1"/>
  <c r="N185" i="32"/>
  <c r="L185" i="32"/>
  <c r="K185" i="32"/>
  <c r="H185" i="32"/>
  <c r="I185" i="32" s="1"/>
  <c r="E185" i="32"/>
  <c r="N184" i="32"/>
  <c r="O184" i="32" s="1"/>
  <c r="K184" i="32"/>
  <c r="L184" i="32" s="1"/>
  <c r="H184" i="32"/>
  <c r="E184" i="32"/>
  <c r="F184" i="32" s="1"/>
  <c r="N183" i="32"/>
  <c r="O183" i="32" s="1"/>
  <c r="K183" i="32"/>
  <c r="L183" i="32" s="1"/>
  <c r="H183" i="32"/>
  <c r="E183" i="32"/>
  <c r="F183" i="32" s="1"/>
  <c r="N182" i="32"/>
  <c r="O182" i="32" s="1"/>
  <c r="K182" i="32"/>
  <c r="H182" i="32"/>
  <c r="I182" i="32" s="1"/>
  <c r="E182" i="32"/>
  <c r="F182" i="32" s="1"/>
  <c r="N181" i="32"/>
  <c r="K181" i="32"/>
  <c r="L181" i="32" s="1"/>
  <c r="H181" i="32"/>
  <c r="I181" i="32" s="1"/>
  <c r="E181" i="32"/>
  <c r="F181" i="32" s="1"/>
  <c r="N180" i="32"/>
  <c r="K180" i="32"/>
  <c r="L180" i="32" s="1"/>
  <c r="H180" i="32"/>
  <c r="E180" i="32"/>
  <c r="F180" i="32" s="1"/>
  <c r="N179" i="32"/>
  <c r="O179" i="32" s="1"/>
  <c r="K179" i="32"/>
  <c r="I179" i="32"/>
  <c r="H179" i="32"/>
  <c r="E179" i="32"/>
  <c r="E199" i="32" s="1"/>
  <c r="M177" i="32"/>
  <c r="J177" i="32"/>
  <c r="G177" i="32"/>
  <c r="D177" i="32"/>
  <c r="B177" i="32"/>
  <c r="M176" i="32"/>
  <c r="G176" i="32"/>
  <c r="B172" i="32"/>
  <c r="O171" i="32" s="1"/>
  <c r="N171" i="32"/>
  <c r="K171" i="32"/>
  <c r="H171" i="32"/>
  <c r="I171" i="32" s="1"/>
  <c r="E171" i="32"/>
  <c r="N170" i="32"/>
  <c r="L170" i="32"/>
  <c r="K170" i="32"/>
  <c r="H170" i="32"/>
  <c r="E170" i="32"/>
  <c r="N169" i="32"/>
  <c r="O169" i="32" s="1"/>
  <c r="K169" i="32"/>
  <c r="H169" i="32"/>
  <c r="E169" i="32"/>
  <c r="O168" i="32"/>
  <c r="N168" i="32"/>
  <c r="K168" i="32"/>
  <c r="I168" i="32"/>
  <c r="H168" i="32"/>
  <c r="E168" i="32"/>
  <c r="N167" i="32"/>
  <c r="K167" i="32"/>
  <c r="L167" i="32" s="1"/>
  <c r="H167" i="32"/>
  <c r="E167" i="32"/>
  <c r="N166" i="32"/>
  <c r="K166" i="32"/>
  <c r="H166" i="32"/>
  <c r="E166" i="32"/>
  <c r="O165" i="32"/>
  <c r="N165" i="32"/>
  <c r="K165" i="32"/>
  <c r="H165" i="32"/>
  <c r="E165" i="32"/>
  <c r="N164" i="32"/>
  <c r="K164" i="32"/>
  <c r="I164" i="32"/>
  <c r="H164" i="32"/>
  <c r="E164" i="32"/>
  <c r="N163" i="32"/>
  <c r="K163" i="32"/>
  <c r="H163" i="32"/>
  <c r="E163" i="32"/>
  <c r="N162" i="32"/>
  <c r="O162" i="32" s="1"/>
  <c r="K162" i="32"/>
  <c r="H162" i="32"/>
  <c r="E162" i="32"/>
  <c r="N161" i="32"/>
  <c r="O161" i="32" s="1"/>
  <c r="K161" i="32"/>
  <c r="H161" i="32"/>
  <c r="E161" i="32"/>
  <c r="F161" i="32" s="1"/>
  <c r="N160" i="32"/>
  <c r="K160" i="32"/>
  <c r="I160" i="32"/>
  <c r="H160" i="32"/>
  <c r="E160" i="32"/>
  <c r="N159" i="32"/>
  <c r="K159" i="32"/>
  <c r="H159" i="32"/>
  <c r="E159" i="32"/>
  <c r="O158" i="32"/>
  <c r="N158" i="32"/>
  <c r="K158" i="32"/>
  <c r="H158" i="32"/>
  <c r="E158" i="32"/>
  <c r="F158" i="32" s="1"/>
  <c r="N157" i="32"/>
  <c r="K157" i="32"/>
  <c r="I157" i="32"/>
  <c r="H157" i="32"/>
  <c r="E157" i="32"/>
  <c r="N156" i="32"/>
  <c r="K156" i="32"/>
  <c r="H156" i="32"/>
  <c r="E156" i="32"/>
  <c r="F156" i="32" s="1"/>
  <c r="N155" i="32"/>
  <c r="K155" i="32"/>
  <c r="H155" i="32"/>
  <c r="E155" i="32"/>
  <c r="F155" i="32" s="1"/>
  <c r="N154" i="32"/>
  <c r="K154" i="32"/>
  <c r="H154" i="32"/>
  <c r="E154" i="32"/>
  <c r="F154" i="32" s="1"/>
  <c r="N153" i="32"/>
  <c r="K153" i="32"/>
  <c r="I153" i="32"/>
  <c r="H153" i="32"/>
  <c r="E153" i="32"/>
  <c r="N152" i="32"/>
  <c r="L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1" i="32" s="1"/>
  <c r="N144" i="32"/>
  <c r="K144" i="32"/>
  <c r="I144" i="32"/>
  <c r="H144" i="32"/>
  <c r="E144" i="32"/>
  <c r="N143" i="32"/>
  <c r="K143" i="32"/>
  <c r="H143" i="32"/>
  <c r="E143" i="32"/>
  <c r="O142" i="32"/>
  <c r="N142" i="32"/>
  <c r="K142" i="32"/>
  <c r="H142" i="32"/>
  <c r="E142" i="32"/>
  <c r="F142" i="32" s="1"/>
  <c r="N141" i="32"/>
  <c r="K141" i="32"/>
  <c r="H141" i="32"/>
  <c r="I141" i="32" s="1"/>
  <c r="E141" i="32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I138" i="32" s="1"/>
  <c r="E138" i="32"/>
  <c r="N137" i="32"/>
  <c r="L137" i="32"/>
  <c r="K137" i="32"/>
  <c r="H137" i="32"/>
  <c r="E137" i="32"/>
  <c r="N136" i="32"/>
  <c r="O136" i="32" s="1"/>
  <c r="K136" i="32"/>
  <c r="H136" i="32"/>
  <c r="E136" i="32"/>
  <c r="F136" i="32" s="1"/>
  <c r="N135" i="32"/>
  <c r="K135" i="32"/>
  <c r="H135" i="32"/>
  <c r="I135" i="32" s="1"/>
  <c r="E135" i="32"/>
  <c r="N134" i="32"/>
  <c r="K134" i="32"/>
  <c r="H134" i="32"/>
  <c r="I134" i="32" s="1"/>
  <c r="E134" i="32"/>
  <c r="N133" i="32"/>
  <c r="K133" i="32"/>
  <c r="H133" i="32"/>
  <c r="I133" i="32" s="1"/>
  <c r="E133" i="32"/>
  <c r="N132" i="32"/>
  <c r="K132" i="32"/>
  <c r="L132" i="32" s="1"/>
  <c r="H132" i="32"/>
  <c r="E132" i="32"/>
  <c r="N131" i="32"/>
  <c r="O131" i="32" s="1"/>
  <c r="K131" i="32"/>
  <c r="H131" i="32"/>
  <c r="E131" i="32"/>
  <c r="N130" i="32"/>
  <c r="O130" i="32" s="1"/>
  <c r="K130" i="32"/>
  <c r="H130" i="32"/>
  <c r="E130" i="32"/>
  <c r="F130" i="32" s="1"/>
  <c r="N129" i="32"/>
  <c r="K129" i="32"/>
  <c r="H129" i="32"/>
  <c r="E129" i="32"/>
  <c r="F129" i="32" s="1"/>
  <c r="N128" i="32"/>
  <c r="K128" i="32"/>
  <c r="I128" i="32"/>
  <c r="H128" i="32"/>
  <c r="E128" i="32"/>
  <c r="N127" i="32"/>
  <c r="K127" i="32"/>
  <c r="L127" i="32" s="1"/>
  <c r="H127" i="32"/>
  <c r="E127" i="32"/>
  <c r="N126" i="32"/>
  <c r="K126" i="32"/>
  <c r="H126" i="32"/>
  <c r="E126" i="32"/>
  <c r="N125" i="32"/>
  <c r="N145" i="32" s="1"/>
  <c r="K125" i="32"/>
  <c r="H125" i="32"/>
  <c r="E125" i="32"/>
  <c r="M123" i="32"/>
  <c r="J123" i="32"/>
  <c r="G123" i="32"/>
  <c r="D123" i="32"/>
  <c r="B123" i="32"/>
  <c r="M122" i="32"/>
  <c r="G122" i="32"/>
  <c r="B118" i="32"/>
  <c r="F116" i="32" s="1"/>
  <c r="O117" i="32"/>
  <c r="N117" i="32"/>
  <c r="K117" i="32"/>
  <c r="H117" i="32"/>
  <c r="I117" i="32" s="1"/>
  <c r="F117" i="32"/>
  <c r="E117" i="32"/>
  <c r="N116" i="32"/>
  <c r="K116" i="32"/>
  <c r="L116" i="32" s="1"/>
  <c r="H116" i="32"/>
  <c r="I116" i="32" s="1"/>
  <c r="E116" i="32"/>
  <c r="N115" i="32"/>
  <c r="O115" i="32" s="1"/>
  <c r="K115" i="32"/>
  <c r="H115" i="32"/>
  <c r="I115" i="32" s="1"/>
  <c r="F115" i="32"/>
  <c r="E115" i="32"/>
  <c r="N114" i="32"/>
  <c r="K114" i="32"/>
  <c r="L114" i="32" s="1"/>
  <c r="H114" i="32"/>
  <c r="I114" i="32" s="1"/>
  <c r="E114" i="32"/>
  <c r="N113" i="32"/>
  <c r="O113" i="32" s="1"/>
  <c r="K113" i="32"/>
  <c r="H113" i="32"/>
  <c r="E113" i="32"/>
  <c r="F113" i="32" s="1"/>
  <c r="N112" i="32"/>
  <c r="K112" i="32"/>
  <c r="H112" i="32"/>
  <c r="I112" i="32" s="1"/>
  <c r="F112" i="32"/>
  <c r="E112" i="32"/>
  <c r="N111" i="32"/>
  <c r="O111" i="32" s="1"/>
  <c r="K111" i="32"/>
  <c r="L111" i="32" s="1"/>
  <c r="H111" i="32"/>
  <c r="E111" i="32"/>
  <c r="F111" i="32" s="1"/>
  <c r="O110" i="32"/>
  <c r="N110" i="32"/>
  <c r="K110" i="32"/>
  <c r="L110" i="32" s="1"/>
  <c r="H110" i="32"/>
  <c r="I110" i="32" s="1"/>
  <c r="F110" i="32"/>
  <c r="E110" i="32"/>
  <c r="N109" i="32"/>
  <c r="O109" i="32" s="1"/>
  <c r="K109" i="32"/>
  <c r="L109" i="32" s="1"/>
  <c r="H109" i="32"/>
  <c r="E109" i="32"/>
  <c r="F109" i="32" s="1"/>
  <c r="O108" i="32"/>
  <c r="N108" i="32"/>
  <c r="K108" i="32"/>
  <c r="L108" i="32" s="1"/>
  <c r="H108" i="32"/>
  <c r="I108" i="32" s="1"/>
  <c r="F108" i="32"/>
  <c r="E108" i="32"/>
  <c r="N107" i="32"/>
  <c r="O107" i="32" s="1"/>
  <c r="K107" i="32"/>
  <c r="L107" i="32" s="1"/>
  <c r="H107" i="32"/>
  <c r="E107" i="32"/>
  <c r="F107" i="32" s="1"/>
  <c r="N106" i="32"/>
  <c r="O106" i="32" s="1"/>
  <c r="K106" i="32"/>
  <c r="H106" i="32"/>
  <c r="I106" i="32" s="1"/>
  <c r="E106" i="32"/>
  <c r="F106" i="32" s="1"/>
  <c r="N105" i="32"/>
  <c r="K105" i="32"/>
  <c r="L105" i="32" s="1"/>
  <c r="H105" i="32"/>
  <c r="I105" i="32" s="1"/>
  <c r="F105" i="32"/>
  <c r="E105" i="32"/>
  <c r="N104" i="32"/>
  <c r="O104" i="32" s="1"/>
  <c r="K104" i="32"/>
  <c r="L104" i="32" s="1"/>
  <c r="H104" i="32"/>
  <c r="I104" i="32" s="1"/>
  <c r="E104" i="32"/>
  <c r="N103" i="32"/>
  <c r="O103" i="32" s="1"/>
  <c r="L103" i="32"/>
  <c r="K103" i="32"/>
  <c r="H103" i="32"/>
  <c r="I103" i="32" s="1"/>
  <c r="E103" i="32"/>
  <c r="F103" i="32" s="1"/>
  <c r="N102" i="32"/>
  <c r="K102" i="32"/>
  <c r="L102" i="32" s="1"/>
  <c r="H102" i="32"/>
  <c r="I102" i="32" s="1"/>
  <c r="F102" i="32"/>
  <c r="E102" i="32"/>
  <c r="N101" i="32"/>
  <c r="O101" i="32" s="1"/>
  <c r="K101" i="32"/>
  <c r="L101" i="32" s="1"/>
  <c r="H101" i="32"/>
  <c r="E101" i="32"/>
  <c r="F101" i="32" s="1"/>
  <c r="N100" i="32"/>
  <c r="O100" i="32" s="1"/>
  <c r="K100" i="32"/>
  <c r="H100" i="32"/>
  <c r="I100" i="32" s="1"/>
  <c r="E100" i="32"/>
  <c r="F100" i="32" s="1"/>
  <c r="N99" i="32"/>
  <c r="K99" i="32"/>
  <c r="L99" i="32" s="1"/>
  <c r="H99" i="32"/>
  <c r="E99" i="32"/>
  <c r="F99" i="32" s="1"/>
  <c r="N98" i="32"/>
  <c r="N118" i="32" s="1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F89" i="32" s="1"/>
  <c r="N90" i="32"/>
  <c r="K90" i="32"/>
  <c r="H90" i="32"/>
  <c r="F90" i="32"/>
  <c r="E90" i="32"/>
  <c r="N89" i="32"/>
  <c r="K89" i="32"/>
  <c r="H89" i="32"/>
  <c r="I89" i="32" s="1"/>
  <c r="E89" i="32"/>
  <c r="N88" i="32"/>
  <c r="L88" i="32"/>
  <c r="K88" i="32"/>
  <c r="H88" i="32"/>
  <c r="E88" i="32"/>
  <c r="N87" i="32"/>
  <c r="K87" i="32"/>
  <c r="H87" i="32"/>
  <c r="I87" i="32" s="1"/>
  <c r="E87" i="32"/>
  <c r="N86" i="32"/>
  <c r="K86" i="32"/>
  <c r="L86" i="32" s="1"/>
  <c r="H86" i="32"/>
  <c r="E86" i="32"/>
  <c r="O85" i="32"/>
  <c r="N85" i="32"/>
  <c r="K85" i="32"/>
  <c r="H85" i="32"/>
  <c r="F85" i="32"/>
  <c r="E85" i="32"/>
  <c r="N84" i="32"/>
  <c r="K84" i="32"/>
  <c r="H84" i="32"/>
  <c r="E84" i="32"/>
  <c r="N83" i="32"/>
  <c r="O83" i="32" s="1"/>
  <c r="K83" i="32"/>
  <c r="H83" i="32"/>
  <c r="E83" i="32"/>
  <c r="N82" i="32"/>
  <c r="K82" i="32"/>
  <c r="H82" i="32"/>
  <c r="F82" i="32"/>
  <c r="E82" i="32"/>
  <c r="N81" i="32"/>
  <c r="K81" i="32"/>
  <c r="H81" i="32"/>
  <c r="I81" i="32" s="1"/>
  <c r="E81" i="32"/>
  <c r="N80" i="32"/>
  <c r="L80" i="32"/>
  <c r="K80" i="32"/>
  <c r="H80" i="32"/>
  <c r="E80" i="32"/>
  <c r="N79" i="32"/>
  <c r="K79" i="32"/>
  <c r="H79" i="32"/>
  <c r="F79" i="32"/>
  <c r="E79" i="32"/>
  <c r="N78" i="32"/>
  <c r="K78" i="32"/>
  <c r="L78" i="32" s="1"/>
  <c r="H78" i="32"/>
  <c r="E78" i="32"/>
  <c r="N77" i="32"/>
  <c r="O77" i="32" s="1"/>
  <c r="K77" i="32"/>
  <c r="H77" i="32"/>
  <c r="E77" i="32"/>
  <c r="N76" i="32"/>
  <c r="K76" i="32"/>
  <c r="H76" i="32"/>
  <c r="E76" i="32"/>
  <c r="N75" i="32"/>
  <c r="O75" i="32" s="1"/>
  <c r="K75" i="32"/>
  <c r="H75" i="32"/>
  <c r="E75" i="32"/>
  <c r="N74" i="32"/>
  <c r="K74" i="32"/>
  <c r="H74" i="32"/>
  <c r="I74" i="32" s="1"/>
  <c r="E74" i="32"/>
  <c r="N73" i="32"/>
  <c r="K73" i="32"/>
  <c r="L73" i="32" s="1"/>
  <c r="H73" i="32"/>
  <c r="E73" i="32"/>
  <c r="O72" i="32"/>
  <c r="N72" i="32"/>
  <c r="K72" i="32"/>
  <c r="H72" i="32"/>
  <c r="I72" i="32" s="1"/>
  <c r="E72" i="32"/>
  <c r="N71" i="32"/>
  <c r="K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 s="1"/>
  <c r="N63" i="32"/>
  <c r="K63" i="32"/>
  <c r="H63" i="32"/>
  <c r="I63" i="32" s="1"/>
  <c r="E63" i="32"/>
  <c r="N62" i="32"/>
  <c r="K62" i="32"/>
  <c r="H62" i="32"/>
  <c r="I62" i="32" s="1"/>
  <c r="E62" i="32"/>
  <c r="N61" i="32"/>
  <c r="K61" i="32"/>
  <c r="L61" i="32" s="1"/>
  <c r="H61" i="32"/>
  <c r="E61" i="32"/>
  <c r="O60" i="32"/>
  <c r="N60" i="32"/>
  <c r="K60" i="32"/>
  <c r="H60" i="32"/>
  <c r="I60" i="32" s="1"/>
  <c r="E60" i="32"/>
  <c r="N59" i="32"/>
  <c r="L59" i="32"/>
  <c r="K59" i="32"/>
  <c r="H59" i="32"/>
  <c r="E59" i="32"/>
  <c r="O58" i="32"/>
  <c r="N58" i="32"/>
  <c r="K58" i="32"/>
  <c r="H58" i="32"/>
  <c r="I58" i="32" s="1"/>
  <c r="E58" i="32"/>
  <c r="N57" i="32"/>
  <c r="L57" i="32"/>
  <c r="K57" i="32"/>
  <c r="H57" i="32"/>
  <c r="E57" i="32"/>
  <c r="F57" i="32" s="1"/>
  <c r="N56" i="32"/>
  <c r="K56" i="32"/>
  <c r="H56" i="32"/>
  <c r="E56" i="32"/>
  <c r="F56" i="32" s="1"/>
  <c r="N55" i="32"/>
  <c r="K55" i="32"/>
  <c r="H55" i="32"/>
  <c r="I55" i="32" s="1"/>
  <c r="E55" i="32"/>
  <c r="N54" i="32"/>
  <c r="K54" i="32"/>
  <c r="H54" i="32"/>
  <c r="I54" i="32" s="1"/>
  <c r="E54" i="32"/>
  <c r="N53" i="32"/>
  <c r="K53" i="32"/>
  <c r="L53" i="32" s="1"/>
  <c r="H53" i="32"/>
  <c r="E53" i="32"/>
  <c r="O52" i="32"/>
  <c r="N52" i="32"/>
  <c r="K52" i="32"/>
  <c r="H52" i="32"/>
  <c r="I52" i="32" s="1"/>
  <c r="E52" i="32"/>
  <c r="N51" i="32"/>
  <c r="L51" i="32"/>
  <c r="K51" i="32"/>
  <c r="H51" i="32"/>
  <c r="E51" i="32"/>
  <c r="O50" i="32"/>
  <c r="N50" i="32"/>
  <c r="K50" i="32"/>
  <c r="H50" i="32"/>
  <c r="I50" i="32" s="1"/>
  <c r="E50" i="32"/>
  <c r="N49" i="32"/>
  <c r="L49" i="32"/>
  <c r="K49" i="32"/>
  <c r="H49" i="32"/>
  <c r="E49" i="32"/>
  <c r="F49" i="32" s="1"/>
  <c r="N48" i="32"/>
  <c r="K48" i="32"/>
  <c r="H48" i="32"/>
  <c r="E48" i="32"/>
  <c r="F48" i="32" s="1"/>
  <c r="N47" i="32"/>
  <c r="K47" i="32"/>
  <c r="H47" i="32"/>
  <c r="I47" i="32" s="1"/>
  <c r="E47" i="32"/>
  <c r="N46" i="32"/>
  <c r="K46" i="32"/>
  <c r="H46" i="32"/>
  <c r="I46" i="32" s="1"/>
  <c r="E46" i="32"/>
  <c r="N45" i="32"/>
  <c r="K45" i="32"/>
  <c r="L45" i="32" s="1"/>
  <c r="H45" i="32"/>
  <c r="E45" i="32"/>
  <c r="O44" i="32"/>
  <c r="N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I171" i="31"/>
  <c r="H171" i="31"/>
  <c r="F171" i="31"/>
  <c r="E171" i="31"/>
  <c r="O170" i="31"/>
  <c r="N170" i="31"/>
  <c r="L170" i="31"/>
  <c r="K170" i="31"/>
  <c r="I170" i="31"/>
  <c r="H170" i="31"/>
  <c r="F170" i="31"/>
  <c r="E170" i="31"/>
  <c r="O169" i="31"/>
  <c r="N169" i="31"/>
  <c r="L169" i="31"/>
  <c r="K169" i="31"/>
  <c r="I169" i="31"/>
  <c r="H169" i="31"/>
  <c r="F169" i="31"/>
  <c r="E169" i="31"/>
  <c r="O168" i="31"/>
  <c r="N168" i="31"/>
  <c r="L168" i="31"/>
  <c r="K168" i="31"/>
  <c r="I168" i="31"/>
  <c r="H168" i="31"/>
  <c r="F168" i="31"/>
  <c r="E168" i="31"/>
  <c r="O167" i="31"/>
  <c r="N167" i="31"/>
  <c r="L167" i="31"/>
  <c r="K167" i="31"/>
  <c r="I167" i="31"/>
  <c r="H167" i="31"/>
  <c r="F167" i="31"/>
  <c r="E167" i="31"/>
  <c r="O166" i="31"/>
  <c r="N166" i="31"/>
  <c r="L166" i="31"/>
  <c r="K166" i="31"/>
  <c r="I166" i="31"/>
  <c r="H166" i="31"/>
  <c r="F166" i="31"/>
  <c r="E166" i="31"/>
  <c r="O165" i="31"/>
  <c r="N165" i="31"/>
  <c r="L165" i="31"/>
  <c r="K165" i="31"/>
  <c r="I165" i="31"/>
  <c r="H165" i="31"/>
  <c r="F165" i="31"/>
  <c r="E165" i="31"/>
  <c r="O164" i="31"/>
  <c r="N164" i="31"/>
  <c r="L164" i="31"/>
  <c r="K164" i="31"/>
  <c r="I164" i="31"/>
  <c r="H164" i="31"/>
  <c r="F164" i="31"/>
  <c r="E164" i="31"/>
  <c r="O163" i="31"/>
  <c r="N163" i="31"/>
  <c r="L163" i="31"/>
  <c r="K163" i="31"/>
  <c r="I163" i="31"/>
  <c r="H163" i="31"/>
  <c r="F163" i="31"/>
  <c r="E163" i="31"/>
  <c r="O162" i="31"/>
  <c r="N162" i="31"/>
  <c r="L162" i="31"/>
  <c r="K162" i="31"/>
  <c r="I162" i="31"/>
  <c r="H162" i="31"/>
  <c r="F162" i="31"/>
  <c r="E162" i="31"/>
  <c r="O161" i="31"/>
  <c r="N161" i="31"/>
  <c r="L161" i="31"/>
  <c r="K161" i="31"/>
  <c r="I161" i="31"/>
  <c r="H161" i="31"/>
  <c r="F161" i="31"/>
  <c r="E161" i="31"/>
  <c r="O160" i="31"/>
  <c r="N160" i="31"/>
  <c r="L160" i="31"/>
  <c r="K160" i="31"/>
  <c r="I160" i="31"/>
  <c r="H160" i="31"/>
  <c r="F160" i="31"/>
  <c r="E160" i="31"/>
  <c r="O159" i="31"/>
  <c r="N159" i="31"/>
  <c r="L159" i="31"/>
  <c r="K159" i="31"/>
  <c r="I159" i="31"/>
  <c r="H159" i="31"/>
  <c r="F159" i="31"/>
  <c r="E159" i="31"/>
  <c r="O158" i="31"/>
  <c r="N158" i="31"/>
  <c r="L158" i="31"/>
  <c r="K158" i="31"/>
  <c r="I158" i="31"/>
  <c r="H158" i="31"/>
  <c r="F158" i="31"/>
  <c r="E158" i="31"/>
  <c r="O157" i="31"/>
  <c r="N157" i="31"/>
  <c r="L157" i="31"/>
  <c r="K157" i="31"/>
  <c r="I157" i="31"/>
  <c r="H157" i="31"/>
  <c r="F157" i="31"/>
  <c r="E157" i="31"/>
  <c r="O156" i="31"/>
  <c r="N156" i="31"/>
  <c r="L156" i="31"/>
  <c r="K156" i="31"/>
  <c r="I156" i="31"/>
  <c r="H156" i="31"/>
  <c r="F156" i="31"/>
  <c r="E156" i="31"/>
  <c r="O155" i="31"/>
  <c r="N155" i="31"/>
  <c r="L155" i="31"/>
  <c r="K155" i="31"/>
  <c r="I155" i="31"/>
  <c r="H155" i="31"/>
  <c r="F155" i="31"/>
  <c r="E155" i="31"/>
  <c r="O154" i="31"/>
  <c r="N154" i="31"/>
  <c r="L154" i="31"/>
  <c r="K154" i="31"/>
  <c r="I154" i="31"/>
  <c r="H154" i="31"/>
  <c r="F154" i="31"/>
  <c r="E154" i="31"/>
  <c r="O153" i="31"/>
  <c r="N153" i="31"/>
  <c r="L153" i="31"/>
  <c r="K153" i="31"/>
  <c r="I153" i="31"/>
  <c r="H153" i="31"/>
  <c r="F153" i="31"/>
  <c r="E153" i="31"/>
  <c r="O152" i="31"/>
  <c r="O172" i="31" s="1"/>
  <c r="N152" i="31"/>
  <c r="N172" i="31" s="1"/>
  <c r="L152" i="31"/>
  <c r="L172" i="31" s="1"/>
  <c r="K152" i="31"/>
  <c r="K172" i="31" s="1"/>
  <c r="I152" i="31"/>
  <c r="I172" i="31" s="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K145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I139" i="31"/>
  <c r="H139" i="31"/>
  <c r="F139" i="31"/>
  <c r="E139" i="31"/>
  <c r="O138" i="31"/>
  <c r="N138" i="31"/>
  <c r="L138" i="31"/>
  <c r="K138" i="31"/>
  <c r="I138" i="31"/>
  <c r="H138" i="31"/>
  <c r="F138" i="31"/>
  <c r="E138" i="31"/>
  <c r="O137" i="31"/>
  <c r="N137" i="31"/>
  <c r="L137" i="31"/>
  <c r="K137" i="31"/>
  <c r="I137" i="31"/>
  <c r="H137" i="31"/>
  <c r="F137" i="31"/>
  <c r="E137" i="31"/>
  <c r="O136" i="31"/>
  <c r="N136" i="31"/>
  <c r="L136" i="31"/>
  <c r="K136" i="31"/>
  <c r="I136" i="31"/>
  <c r="H136" i="31"/>
  <c r="F136" i="31"/>
  <c r="E136" i="31"/>
  <c r="O135" i="31"/>
  <c r="N135" i="31"/>
  <c r="L135" i="31"/>
  <c r="K135" i="31"/>
  <c r="I135" i="31"/>
  <c r="H135" i="31"/>
  <c r="F135" i="31"/>
  <c r="E135" i="31"/>
  <c r="O134" i="31"/>
  <c r="N134" i="31"/>
  <c r="L134" i="31"/>
  <c r="K134" i="31"/>
  <c r="I134" i="31"/>
  <c r="H134" i="31"/>
  <c r="F134" i="31"/>
  <c r="E134" i="31"/>
  <c r="O133" i="31"/>
  <c r="N133" i="31"/>
  <c r="L133" i="31"/>
  <c r="K133" i="31"/>
  <c r="I133" i="31"/>
  <c r="H133" i="31"/>
  <c r="F133" i="31"/>
  <c r="E133" i="31"/>
  <c r="O132" i="31"/>
  <c r="N132" i="31"/>
  <c r="L132" i="31"/>
  <c r="K132" i="31"/>
  <c r="I132" i="31"/>
  <c r="H132" i="31"/>
  <c r="F132" i="31"/>
  <c r="E132" i="31"/>
  <c r="O131" i="31"/>
  <c r="N131" i="31"/>
  <c r="L131" i="31"/>
  <c r="K131" i="31"/>
  <c r="I131" i="31"/>
  <c r="H131" i="31"/>
  <c r="F131" i="31"/>
  <c r="E131" i="31"/>
  <c r="O130" i="31"/>
  <c r="N130" i="31"/>
  <c r="L130" i="31"/>
  <c r="K130" i="31"/>
  <c r="I130" i="31"/>
  <c r="H130" i="31"/>
  <c r="F130" i="31"/>
  <c r="E130" i="31"/>
  <c r="O129" i="31"/>
  <c r="N129" i="31"/>
  <c r="L129" i="31"/>
  <c r="K129" i="31"/>
  <c r="I129" i="31"/>
  <c r="H129" i="31"/>
  <c r="F129" i="31"/>
  <c r="E129" i="31"/>
  <c r="O128" i="31"/>
  <c r="N128" i="31"/>
  <c r="L128" i="31"/>
  <c r="K128" i="31"/>
  <c r="I128" i="31"/>
  <c r="H128" i="31"/>
  <c r="F128" i="31"/>
  <c r="E128" i="31"/>
  <c r="O127" i="31"/>
  <c r="N127" i="31"/>
  <c r="L127" i="31"/>
  <c r="K127" i="31"/>
  <c r="I127" i="31"/>
  <c r="H127" i="31"/>
  <c r="F127" i="31"/>
  <c r="E127" i="31"/>
  <c r="O126" i="31"/>
  <c r="N126" i="31"/>
  <c r="L126" i="31"/>
  <c r="K126" i="31"/>
  <c r="I126" i="31"/>
  <c r="H126" i="31"/>
  <c r="F126" i="31"/>
  <c r="E126" i="31"/>
  <c r="O125" i="31"/>
  <c r="O145" i="31" s="1"/>
  <c r="N125" i="31"/>
  <c r="N145" i="31" s="1"/>
  <c r="L125" i="31"/>
  <c r="L145" i="31" s="1"/>
  <c r="K125" i="3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I117" i="31"/>
  <c r="H117" i="31"/>
  <c r="F117" i="31"/>
  <c r="E117" i="31"/>
  <c r="O116" i="31"/>
  <c r="N116" i="31"/>
  <c r="L116" i="31"/>
  <c r="K116" i="31"/>
  <c r="I116" i="31"/>
  <c r="H116" i="31"/>
  <c r="F116" i="31"/>
  <c r="E116" i="31"/>
  <c r="O115" i="31"/>
  <c r="N115" i="31"/>
  <c r="L115" i="31"/>
  <c r="K115" i="31"/>
  <c r="I115" i="31"/>
  <c r="H115" i="31"/>
  <c r="F115" i="31"/>
  <c r="E115" i="31"/>
  <c r="O114" i="31"/>
  <c r="N114" i="31"/>
  <c r="L114" i="31"/>
  <c r="K114" i="31"/>
  <c r="I114" i="31"/>
  <c r="H114" i="31"/>
  <c r="F114" i="31"/>
  <c r="E114" i="31"/>
  <c r="O113" i="31"/>
  <c r="N113" i="31"/>
  <c r="L113" i="31"/>
  <c r="K113" i="31"/>
  <c r="I113" i="31"/>
  <c r="H113" i="31"/>
  <c r="F113" i="31"/>
  <c r="E113" i="31"/>
  <c r="O112" i="31"/>
  <c r="N112" i="31"/>
  <c r="L112" i="31"/>
  <c r="K112" i="31"/>
  <c r="I112" i="31"/>
  <c r="H112" i="31"/>
  <c r="F112" i="31"/>
  <c r="E112" i="31"/>
  <c r="O111" i="31"/>
  <c r="N111" i="31"/>
  <c r="L111" i="31"/>
  <c r="K111" i="31"/>
  <c r="I111" i="31"/>
  <c r="H111" i="31"/>
  <c r="F111" i="31"/>
  <c r="E111" i="31"/>
  <c r="O110" i="31"/>
  <c r="N110" i="31"/>
  <c r="L110" i="31"/>
  <c r="K110" i="31"/>
  <c r="I110" i="31"/>
  <c r="H110" i="31"/>
  <c r="F110" i="31"/>
  <c r="E110" i="31"/>
  <c r="O109" i="31"/>
  <c r="N109" i="31"/>
  <c r="L109" i="31"/>
  <c r="K109" i="31"/>
  <c r="I109" i="31"/>
  <c r="H109" i="31"/>
  <c r="F109" i="31"/>
  <c r="E109" i="31"/>
  <c r="O108" i="31"/>
  <c r="N108" i="31"/>
  <c r="L108" i="31"/>
  <c r="K108" i="31"/>
  <c r="I108" i="31"/>
  <c r="H108" i="31"/>
  <c r="F108" i="31"/>
  <c r="E108" i="31"/>
  <c r="O107" i="31"/>
  <c r="N107" i="31"/>
  <c r="L107" i="31"/>
  <c r="K107" i="31"/>
  <c r="I107" i="31"/>
  <c r="H107" i="31"/>
  <c r="F107" i="31"/>
  <c r="E107" i="31"/>
  <c r="O106" i="31"/>
  <c r="N106" i="31"/>
  <c r="L106" i="31"/>
  <c r="K106" i="31"/>
  <c r="I106" i="31"/>
  <c r="H106" i="31"/>
  <c r="F106" i="31"/>
  <c r="E106" i="31"/>
  <c r="O105" i="31"/>
  <c r="N105" i="31"/>
  <c r="L105" i="31"/>
  <c r="K105" i="31"/>
  <c r="I105" i="31"/>
  <c r="H105" i="31"/>
  <c r="F105" i="31"/>
  <c r="E105" i="31"/>
  <c r="O104" i="31"/>
  <c r="N104" i="31"/>
  <c r="L104" i="31"/>
  <c r="K104" i="31"/>
  <c r="I104" i="31"/>
  <c r="H104" i="31"/>
  <c r="F104" i="31"/>
  <c r="E104" i="31"/>
  <c r="O103" i="31"/>
  <c r="N103" i="31"/>
  <c r="L103" i="31"/>
  <c r="K103" i="31"/>
  <c r="I103" i="31"/>
  <c r="H103" i="31"/>
  <c r="F103" i="31"/>
  <c r="E103" i="31"/>
  <c r="O102" i="31"/>
  <c r="N102" i="31"/>
  <c r="L102" i="31"/>
  <c r="K102" i="31"/>
  <c r="I102" i="31"/>
  <c r="H102" i="31"/>
  <c r="F102" i="31"/>
  <c r="E102" i="31"/>
  <c r="O101" i="31"/>
  <c r="N101" i="31"/>
  <c r="L101" i="31"/>
  <c r="K101" i="31"/>
  <c r="I101" i="31"/>
  <c r="H101" i="31"/>
  <c r="F101" i="31"/>
  <c r="E101" i="31"/>
  <c r="O100" i="31"/>
  <c r="N100" i="31"/>
  <c r="L100" i="31"/>
  <c r="K100" i="31"/>
  <c r="I100" i="31"/>
  <c r="H100" i="31"/>
  <c r="F100" i="31"/>
  <c r="E100" i="31"/>
  <c r="O99" i="31"/>
  <c r="N99" i="31"/>
  <c r="L99" i="31"/>
  <c r="K99" i="31"/>
  <c r="I99" i="31"/>
  <c r="H99" i="31"/>
  <c r="F99" i="31"/>
  <c r="E99" i="31"/>
  <c r="O98" i="31"/>
  <c r="O118" i="31" s="1"/>
  <c r="N98" i="31"/>
  <c r="N118" i="31" s="1"/>
  <c r="L98" i="31"/>
  <c r="L118" i="31" s="1"/>
  <c r="K98" i="31"/>
  <c r="K118" i="31" s="1"/>
  <c r="I98" i="31"/>
  <c r="I118" i="31" s="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E91" i="31"/>
  <c r="B91" i="31"/>
  <c r="O90" i="31"/>
  <c r="N90" i="31"/>
  <c r="L90" i="31"/>
  <c r="K90" i="31"/>
  <c r="I90" i="31"/>
  <c r="H90" i="31"/>
  <c r="F90" i="31"/>
  <c r="E90" i="31"/>
  <c r="O89" i="31"/>
  <c r="N89" i="31"/>
  <c r="L89" i="31"/>
  <c r="K89" i="31"/>
  <c r="I89" i="31"/>
  <c r="H89" i="31"/>
  <c r="F89" i="31"/>
  <c r="E89" i="31"/>
  <c r="O88" i="31"/>
  <c r="N88" i="31"/>
  <c r="L88" i="31"/>
  <c r="K88" i="31"/>
  <c r="I88" i="31"/>
  <c r="H88" i="31"/>
  <c r="F88" i="31"/>
  <c r="E88" i="31"/>
  <c r="O87" i="31"/>
  <c r="N87" i="31"/>
  <c r="L87" i="31"/>
  <c r="K87" i="31"/>
  <c r="I87" i="31"/>
  <c r="H87" i="31"/>
  <c r="F87" i="31"/>
  <c r="E87" i="31"/>
  <c r="O86" i="31"/>
  <c r="N86" i="31"/>
  <c r="L86" i="31"/>
  <c r="K86" i="31"/>
  <c r="I86" i="31"/>
  <c r="H86" i="31"/>
  <c r="F86" i="31"/>
  <c r="E86" i="31"/>
  <c r="O85" i="31"/>
  <c r="N85" i="31"/>
  <c r="L85" i="31"/>
  <c r="K85" i="31"/>
  <c r="I85" i="31"/>
  <c r="H85" i="31"/>
  <c r="F85" i="31"/>
  <c r="E85" i="31"/>
  <c r="O84" i="31"/>
  <c r="N84" i="31"/>
  <c r="L84" i="31"/>
  <c r="K84" i="31"/>
  <c r="I84" i="31"/>
  <c r="H84" i="31"/>
  <c r="F84" i="31"/>
  <c r="E84" i="31"/>
  <c r="O83" i="31"/>
  <c r="N83" i="31"/>
  <c r="L83" i="31"/>
  <c r="K83" i="31"/>
  <c r="I83" i="31"/>
  <c r="H83" i="31"/>
  <c r="F83" i="31"/>
  <c r="E83" i="31"/>
  <c r="O82" i="31"/>
  <c r="N82" i="31"/>
  <c r="L82" i="31"/>
  <c r="K82" i="31"/>
  <c r="I82" i="31"/>
  <c r="H82" i="31"/>
  <c r="F82" i="31"/>
  <c r="E82" i="31"/>
  <c r="O81" i="31"/>
  <c r="N81" i="31"/>
  <c r="L81" i="31"/>
  <c r="K81" i="31"/>
  <c r="I81" i="31"/>
  <c r="H81" i="31"/>
  <c r="F81" i="31"/>
  <c r="E81" i="31"/>
  <c r="O80" i="31"/>
  <c r="N80" i="31"/>
  <c r="L80" i="31"/>
  <c r="K80" i="31"/>
  <c r="I80" i="31"/>
  <c r="H80" i="31"/>
  <c r="F80" i="31"/>
  <c r="E80" i="31"/>
  <c r="O79" i="31"/>
  <c r="N79" i="31"/>
  <c r="L79" i="31"/>
  <c r="K79" i="31"/>
  <c r="I79" i="31"/>
  <c r="H79" i="31"/>
  <c r="F79" i="31"/>
  <c r="E79" i="31"/>
  <c r="O78" i="31"/>
  <c r="N78" i="31"/>
  <c r="L78" i="31"/>
  <c r="K78" i="31"/>
  <c r="I78" i="31"/>
  <c r="H78" i="31"/>
  <c r="F78" i="31"/>
  <c r="E78" i="31"/>
  <c r="O77" i="31"/>
  <c r="N77" i="31"/>
  <c r="L77" i="31"/>
  <c r="K77" i="31"/>
  <c r="I77" i="31"/>
  <c r="H77" i="31"/>
  <c r="F77" i="31"/>
  <c r="E77" i="31"/>
  <c r="O76" i="31"/>
  <c r="N76" i="31"/>
  <c r="L76" i="31"/>
  <c r="K76" i="31"/>
  <c r="I76" i="31"/>
  <c r="H76" i="31"/>
  <c r="F76" i="31"/>
  <c r="E76" i="31"/>
  <c r="O75" i="31"/>
  <c r="N75" i="31"/>
  <c r="L75" i="31"/>
  <c r="K75" i="31"/>
  <c r="I75" i="31"/>
  <c r="H75" i="31"/>
  <c r="F75" i="31"/>
  <c r="E75" i="31"/>
  <c r="O74" i="31"/>
  <c r="N74" i="31"/>
  <c r="L74" i="31"/>
  <c r="K74" i="31"/>
  <c r="I74" i="31"/>
  <c r="H74" i="31"/>
  <c r="F74" i="31"/>
  <c r="E74" i="31"/>
  <c r="O73" i="31"/>
  <c r="N73" i="31"/>
  <c r="L73" i="31"/>
  <c r="K73" i="31"/>
  <c r="I73" i="31"/>
  <c r="H73" i="31"/>
  <c r="F73" i="31"/>
  <c r="E73" i="31"/>
  <c r="O72" i="31"/>
  <c r="N72" i="31"/>
  <c r="L72" i="31"/>
  <c r="K72" i="31"/>
  <c r="I72" i="31"/>
  <c r="H72" i="31"/>
  <c r="F72" i="31"/>
  <c r="E72" i="31"/>
  <c r="O71" i="31"/>
  <c r="O91" i="31" s="1"/>
  <c r="N71" i="31"/>
  <c r="N91" i="31" s="1"/>
  <c r="L71" i="31"/>
  <c r="L91" i="31" s="1"/>
  <c r="K71" i="31"/>
  <c r="K91" i="31" s="1"/>
  <c r="I71" i="31"/>
  <c r="I91" i="31" s="1"/>
  <c r="H71" i="31"/>
  <c r="H91" i="31" s="1"/>
  <c r="F71" i="31"/>
  <c r="F91" i="31" s="1"/>
  <c r="E71" i="3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O59" i="31"/>
  <c r="N59" i="31"/>
  <c r="L59" i="31"/>
  <c r="K59" i="31"/>
  <c r="I59" i="31"/>
  <c r="H59" i="31"/>
  <c r="F59" i="31"/>
  <c r="E59" i="31"/>
  <c r="O58" i="31"/>
  <c r="N58" i="31"/>
  <c r="L58" i="31"/>
  <c r="K58" i="31"/>
  <c r="I58" i="31"/>
  <c r="H58" i="31"/>
  <c r="F58" i="31"/>
  <c r="E58" i="31"/>
  <c r="O57" i="31"/>
  <c r="N57" i="31"/>
  <c r="L57" i="31"/>
  <c r="K57" i="31"/>
  <c r="I57" i="31"/>
  <c r="H57" i="31"/>
  <c r="F57" i="31"/>
  <c r="E57" i="31"/>
  <c r="O56" i="31"/>
  <c r="N56" i="31"/>
  <c r="L56" i="31"/>
  <c r="K56" i="31"/>
  <c r="I56" i="31"/>
  <c r="H56" i="31"/>
  <c r="F56" i="31"/>
  <c r="E56" i="31"/>
  <c r="O55" i="31"/>
  <c r="N55" i="31"/>
  <c r="L55" i="31"/>
  <c r="K55" i="31"/>
  <c r="I55" i="31"/>
  <c r="H55" i="31"/>
  <c r="F55" i="31"/>
  <c r="E55" i="31"/>
  <c r="O54" i="31"/>
  <c r="N54" i="31"/>
  <c r="L54" i="31"/>
  <c r="K54" i="31"/>
  <c r="I54" i="31"/>
  <c r="H54" i="31"/>
  <c r="F54" i="31"/>
  <c r="E54" i="31"/>
  <c r="O53" i="31"/>
  <c r="N53" i="31"/>
  <c r="L53" i="31"/>
  <c r="K53" i="31"/>
  <c r="I53" i="31"/>
  <c r="H53" i="31"/>
  <c r="F53" i="31"/>
  <c r="E53" i="31"/>
  <c r="O52" i="31"/>
  <c r="N52" i="31"/>
  <c r="L52" i="31"/>
  <c r="K52" i="31"/>
  <c r="I52" i="31"/>
  <c r="H52" i="31"/>
  <c r="F52" i="31"/>
  <c r="E52" i="31"/>
  <c r="O51" i="31"/>
  <c r="N51" i="31"/>
  <c r="L51" i="31"/>
  <c r="K51" i="31"/>
  <c r="I51" i="31"/>
  <c r="H51" i="31"/>
  <c r="F51" i="31"/>
  <c r="E51" i="31"/>
  <c r="O50" i="31"/>
  <c r="N50" i="31"/>
  <c r="L50" i="31"/>
  <c r="K50" i="31"/>
  <c r="I50" i="31"/>
  <c r="H50" i="31"/>
  <c r="F50" i="31"/>
  <c r="E50" i="31"/>
  <c r="O49" i="31"/>
  <c r="N49" i="31"/>
  <c r="L49" i="31"/>
  <c r="K49" i="31"/>
  <c r="I49" i="31"/>
  <c r="H49" i="31"/>
  <c r="F49" i="31"/>
  <c r="E49" i="31"/>
  <c r="O48" i="31"/>
  <c r="N48" i="31"/>
  <c r="L48" i="31"/>
  <c r="K48" i="31"/>
  <c r="I48" i="31"/>
  <c r="H48" i="31"/>
  <c r="F48" i="31"/>
  <c r="E48" i="31"/>
  <c r="O47" i="31"/>
  <c r="N47" i="31"/>
  <c r="L47" i="31"/>
  <c r="K47" i="31"/>
  <c r="I47" i="31"/>
  <c r="H47" i="31"/>
  <c r="F47" i="31"/>
  <c r="E47" i="31"/>
  <c r="O46" i="31"/>
  <c r="N46" i="31"/>
  <c r="L46" i="31"/>
  <c r="K46" i="31"/>
  <c r="I46" i="31"/>
  <c r="H46" i="31"/>
  <c r="F46" i="31"/>
  <c r="E46" i="31"/>
  <c r="O45" i="31"/>
  <c r="N45" i="31"/>
  <c r="L45" i="31"/>
  <c r="K45" i="31"/>
  <c r="I45" i="31"/>
  <c r="H45" i="31"/>
  <c r="F45" i="31"/>
  <c r="E45" i="31"/>
  <c r="O44" i="31"/>
  <c r="O64" i="31" s="1"/>
  <c r="N44" i="31"/>
  <c r="N64" i="31" s="1"/>
  <c r="L44" i="31"/>
  <c r="L64" i="31" s="1"/>
  <c r="K44" i="31"/>
  <c r="K64" i="31" s="1"/>
  <c r="I44" i="31"/>
  <c r="I64" i="31" s="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I194" i="30" s="1"/>
  <c r="N198" i="30"/>
  <c r="K198" i="30"/>
  <c r="L198" i="30" s="1"/>
  <c r="I198" i="30"/>
  <c r="H198" i="30"/>
  <c r="E198" i="30"/>
  <c r="F198" i="30" s="1"/>
  <c r="N197" i="30"/>
  <c r="O197" i="30" s="1"/>
  <c r="K197" i="30"/>
  <c r="L197" i="30" s="1"/>
  <c r="H197" i="30"/>
  <c r="E197" i="30"/>
  <c r="F197" i="30" s="1"/>
  <c r="N196" i="30"/>
  <c r="O196" i="30" s="1"/>
  <c r="L196" i="30"/>
  <c r="K196" i="30"/>
  <c r="H196" i="30"/>
  <c r="I196" i="30" s="1"/>
  <c r="E196" i="30"/>
  <c r="F196" i="30" s="1"/>
  <c r="N195" i="30"/>
  <c r="K195" i="30"/>
  <c r="L195" i="30" s="1"/>
  <c r="H195" i="30"/>
  <c r="I195" i="30" s="1"/>
  <c r="E195" i="30"/>
  <c r="N194" i="30"/>
  <c r="O194" i="30" s="1"/>
  <c r="K194" i="30"/>
  <c r="L194" i="30" s="1"/>
  <c r="H194" i="30"/>
  <c r="E194" i="30"/>
  <c r="F194" i="30" s="1"/>
  <c r="N193" i="30"/>
  <c r="O193" i="30" s="1"/>
  <c r="K193" i="30"/>
  <c r="H193" i="30"/>
  <c r="I193" i="30" s="1"/>
  <c r="E193" i="30"/>
  <c r="F193" i="30" s="1"/>
  <c r="N192" i="30"/>
  <c r="O192" i="30" s="1"/>
  <c r="K192" i="30"/>
  <c r="H192" i="30"/>
  <c r="I192" i="30" s="1"/>
  <c r="E192" i="30"/>
  <c r="F192" i="30" s="1"/>
  <c r="N191" i="30"/>
  <c r="K191" i="30"/>
  <c r="L191" i="30" s="1"/>
  <c r="H191" i="30"/>
  <c r="I191" i="30" s="1"/>
  <c r="E191" i="30"/>
  <c r="F191" i="30" s="1"/>
  <c r="N190" i="30"/>
  <c r="K190" i="30"/>
  <c r="L190" i="30" s="1"/>
  <c r="I190" i="30"/>
  <c r="H190" i="30"/>
  <c r="E190" i="30"/>
  <c r="F190" i="30" s="1"/>
  <c r="N189" i="30"/>
  <c r="O189" i="30" s="1"/>
  <c r="K189" i="30"/>
  <c r="L189" i="30" s="1"/>
  <c r="H189" i="30"/>
  <c r="E189" i="30"/>
  <c r="F189" i="30" s="1"/>
  <c r="N188" i="30"/>
  <c r="O188" i="30" s="1"/>
  <c r="K188" i="30"/>
  <c r="L188" i="30" s="1"/>
  <c r="H188" i="30"/>
  <c r="E188" i="30"/>
  <c r="F188" i="30" s="1"/>
  <c r="O187" i="30"/>
  <c r="N187" i="30"/>
  <c r="K187" i="30"/>
  <c r="L187" i="30" s="1"/>
  <c r="H187" i="30"/>
  <c r="I187" i="30" s="1"/>
  <c r="E187" i="30"/>
  <c r="N186" i="30"/>
  <c r="O186" i="30" s="1"/>
  <c r="K186" i="30"/>
  <c r="L186" i="30" s="1"/>
  <c r="I186" i="30"/>
  <c r="H186" i="30"/>
  <c r="E186" i="30"/>
  <c r="F186" i="30" s="1"/>
  <c r="O185" i="30"/>
  <c r="N185" i="30"/>
  <c r="K185" i="30"/>
  <c r="H185" i="30"/>
  <c r="I185" i="30" s="1"/>
  <c r="E185" i="30"/>
  <c r="F185" i="30" s="1"/>
  <c r="N184" i="30"/>
  <c r="O184" i="30" s="1"/>
  <c r="K184" i="30"/>
  <c r="H184" i="30"/>
  <c r="I184" i="30" s="1"/>
  <c r="E184" i="30"/>
  <c r="F184" i="30" s="1"/>
  <c r="N183" i="30"/>
  <c r="K183" i="30"/>
  <c r="L183" i="30" s="1"/>
  <c r="H183" i="30"/>
  <c r="I183" i="30" s="1"/>
  <c r="E183" i="30"/>
  <c r="F183" i="30" s="1"/>
  <c r="N182" i="30"/>
  <c r="L182" i="30"/>
  <c r="K182" i="30"/>
  <c r="H182" i="30"/>
  <c r="E182" i="30"/>
  <c r="F182" i="30" s="1"/>
  <c r="N181" i="30"/>
  <c r="O181" i="30" s="1"/>
  <c r="K181" i="30"/>
  <c r="L181" i="30" s="1"/>
  <c r="H181" i="30"/>
  <c r="I181" i="30" s="1"/>
  <c r="E181" i="30"/>
  <c r="F181" i="30" s="1"/>
  <c r="O180" i="30"/>
  <c r="N180" i="30"/>
  <c r="K180" i="30"/>
  <c r="L180" i="30" s="1"/>
  <c r="I180" i="30"/>
  <c r="H180" i="30"/>
  <c r="E180" i="30"/>
  <c r="F180" i="30" s="1"/>
  <c r="N179" i="30"/>
  <c r="N199" i="30" s="1"/>
  <c r="L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I169" i="30" s="1"/>
  <c r="N171" i="30"/>
  <c r="K171" i="30"/>
  <c r="H171" i="30"/>
  <c r="E171" i="30"/>
  <c r="F171" i="30" s="1"/>
  <c r="N170" i="30"/>
  <c r="K170" i="30"/>
  <c r="H170" i="30"/>
  <c r="I170" i="30" s="1"/>
  <c r="E170" i="30"/>
  <c r="N169" i="30"/>
  <c r="K169" i="30"/>
  <c r="L169" i="30" s="1"/>
  <c r="H169" i="30"/>
  <c r="E169" i="30"/>
  <c r="N168" i="30"/>
  <c r="O168" i="30" s="1"/>
  <c r="K168" i="30"/>
  <c r="H168" i="30"/>
  <c r="E168" i="30"/>
  <c r="N167" i="30"/>
  <c r="O167" i="30" s="1"/>
  <c r="K167" i="30"/>
  <c r="H167" i="30"/>
  <c r="E167" i="30"/>
  <c r="O166" i="30"/>
  <c r="N166" i="30"/>
  <c r="K166" i="30"/>
  <c r="H166" i="30"/>
  <c r="E166" i="30"/>
  <c r="F166" i="30" s="1"/>
  <c r="N165" i="30"/>
  <c r="K165" i="30"/>
  <c r="I165" i="30"/>
  <c r="H165" i="30"/>
  <c r="E165" i="30"/>
  <c r="N164" i="30"/>
  <c r="K164" i="30"/>
  <c r="L164" i="30" s="1"/>
  <c r="H164" i="30"/>
  <c r="E164" i="30"/>
  <c r="N163" i="30"/>
  <c r="K163" i="30"/>
  <c r="H163" i="30"/>
  <c r="E163" i="30"/>
  <c r="F163" i="30" s="1"/>
  <c r="N162" i="30"/>
  <c r="K162" i="30"/>
  <c r="H162" i="30"/>
  <c r="E162" i="30"/>
  <c r="F162" i="30" s="1"/>
  <c r="N161" i="30"/>
  <c r="K161" i="30"/>
  <c r="I161" i="30"/>
  <c r="H161" i="30"/>
  <c r="E161" i="30"/>
  <c r="N160" i="30"/>
  <c r="K160" i="30"/>
  <c r="L160" i="30" s="1"/>
  <c r="H160" i="30"/>
  <c r="E160" i="30"/>
  <c r="N159" i="30"/>
  <c r="K159" i="30"/>
  <c r="L159" i="30" s="1"/>
  <c r="H159" i="30"/>
  <c r="E159" i="30"/>
  <c r="N158" i="30"/>
  <c r="K158" i="30"/>
  <c r="H158" i="30"/>
  <c r="E158" i="30"/>
  <c r="N157" i="30"/>
  <c r="O157" i="30" s="1"/>
  <c r="K157" i="30"/>
  <c r="H157" i="30"/>
  <c r="E157" i="30"/>
  <c r="F157" i="30" s="1"/>
  <c r="N156" i="30"/>
  <c r="K156" i="30"/>
  <c r="H156" i="30"/>
  <c r="I156" i="30" s="1"/>
  <c r="E156" i="30"/>
  <c r="N155" i="30"/>
  <c r="K155" i="30"/>
  <c r="H155" i="30"/>
  <c r="I155" i="30" s="1"/>
  <c r="E155" i="30"/>
  <c r="N154" i="30"/>
  <c r="K154" i="30"/>
  <c r="H154" i="30"/>
  <c r="E154" i="30"/>
  <c r="N153" i="30"/>
  <c r="K153" i="30"/>
  <c r="H153" i="30"/>
  <c r="E153" i="30"/>
  <c r="F153" i="30" s="1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O143" i="30" s="1"/>
  <c r="N144" i="30"/>
  <c r="K144" i="30"/>
  <c r="H144" i="30"/>
  <c r="E144" i="30"/>
  <c r="F144" i="30" s="1"/>
  <c r="N143" i="30"/>
  <c r="K143" i="30"/>
  <c r="H143" i="30"/>
  <c r="I143" i="30" s="1"/>
  <c r="E143" i="30"/>
  <c r="N142" i="30"/>
  <c r="K142" i="30"/>
  <c r="L142" i="30" s="1"/>
  <c r="H142" i="30"/>
  <c r="E142" i="30"/>
  <c r="N141" i="30"/>
  <c r="O141" i="30" s="1"/>
  <c r="K141" i="30"/>
  <c r="H141" i="30"/>
  <c r="E141" i="30"/>
  <c r="O140" i="30"/>
  <c r="N140" i="30"/>
  <c r="K140" i="30"/>
  <c r="H140" i="30"/>
  <c r="I140" i="30" s="1"/>
  <c r="E140" i="30"/>
  <c r="N139" i="30"/>
  <c r="K139" i="30"/>
  <c r="H139" i="30"/>
  <c r="I139" i="30" s="1"/>
  <c r="E139" i="30"/>
  <c r="N138" i="30"/>
  <c r="K138" i="30"/>
  <c r="H138" i="30"/>
  <c r="E138" i="30"/>
  <c r="N137" i="30"/>
  <c r="O137" i="30" s="1"/>
  <c r="K137" i="30"/>
  <c r="H137" i="30"/>
  <c r="E137" i="30"/>
  <c r="N136" i="30"/>
  <c r="O136" i="30" s="1"/>
  <c r="K136" i="30"/>
  <c r="H136" i="30"/>
  <c r="E136" i="30"/>
  <c r="O135" i="30"/>
  <c r="N135" i="30"/>
  <c r="K135" i="30"/>
  <c r="H135" i="30"/>
  <c r="E135" i="30"/>
  <c r="F135" i="30" s="1"/>
  <c r="N134" i="30"/>
  <c r="K134" i="30"/>
  <c r="H134" i="30"/>
  <c r="E134" i="30"/>
  <c r="N133" i="30"/>
  <c r="K133" i="30"/>
  <c r="H133" i="30"/>
  <c r="E133" i="30"/>
  <c r="N132" i="30"/>
  <c r="K132" i="30"/>
  <c r="L132" i="30" s="1"/>
  <c r="H132" i="30"/>
  <c r="E132" i="30"/>
  <c r="N131" i="30"/>
  <c r="L131" i="30"/>
  <c r="K131" i="30"/>
  <c r="H131" i="30"/>
  <c r="E131" i="30"/>
  <c r="O130" i="30"/>
  <c r="N130" i="30"/>
  <c r="K130" i="30"/>
  <c r="H130" i="30"/>
  <c r="E130" i="30"/>
  <c r="N129" i="30"/>
  <c r="K129" i="30"/>
  <c r="H129" i="30"/>
  <c r="I129" i="30" s="1"/>
  <c r="E129" i="30"/>
  <c r="N128" i="30"/>
  <c r="K128" i="30"/>
  <c r="H128" i="30"/>
  <c r="I128" i="30" s="1"/>
  <c r="E128" i="30"/>
  <c r="N127" i="30"/>
  <c r="K127" i="30"/>
  <c r="L127" i="30" s="1"/>
  <c r="H127" i="30"/>
  <c r="E127" i="30"/>
  <c r="N126" i="30"/>
  <c r="K126" i="30"/>
  <c r="H126" i="30"/>
  <c r="E126" i="30"/>
  <c r="F126" i="30" s="1"/>
  <c r="N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 s="1"/>
  <c r="N117" i="30"/>
  <c r="K117" i="30"/>
  <c r="H117" i="30"/>
  <c r="E117" i="30"/>
  <c r="N116" i="30"/>
  <c r="K116" i="30"/>
  <c r="L116" i="30" s="1"/>
  <c r="H116" i="30"/>
  <c r="E116" i="30"/>
  <c r="N115" i="30"/>
  <c r="L115" i="30"/>
  <c r="K115" i="30"/>
  <c r="H115" i="30"/>
  <c r="E115" i="30"/>
  <c r="F115" i="30" s="1"/>
  <c r="N114" i="30"/>
  <c r="K114" i="30"/>
  <c r="H114" i="30"/>
  <c r="E114" i="30"/>
  <c r="F114" i="30" s="1"/>
  <c r="N113" i="30"/>
  <c r="K113" i="30"/>
  <c r="H113" i="30"/>
  <c r="I113" i="30" s="1"/>
  <c r="E113" i="30"/>
  <c r="N112" i="30"/>
  <c r="K112" i="30"/>
  <c r="H112" i="30"/>
  <c r="I112" i="30" s="1"/>
  <c r="E112" i="30"/>
  <c r="N111" i="30"/>
  <c r="K111" i="30"/>
  <c r="H111" i="30"/>
  <c r="E111" i="30"/>
  <c r="N110" i="30"/>
  <c r="O110" i="30" s="1"/>
  <c r="K110" i="30"/>
  <c r="H110" i="30"/>
  <c r="E110" i="30"/>
  <c r="F110" i="30" s="1"/>
  <c r="N109" i="30"/>
  <c r="K109" i="30"/>
  <c r="H109" i="30"/>
  <c r="E109" i="30"/>
  <c r="F109" i="30" s="1"/>
  <c r="N108" i="30"/>
  <c r="K108" i="30"/>
  <c r="H108" i="30"/>
  <c r="E108" i="30"/>
  <c r="N107" i="30"/>
  <c r="K107" i="30"/>
  <c r="L107" i="30" s="1"/>
  <c r="H107" i="30"/>
  <c r="E107" i="30"/>
  <c r="O106" i="30"/>
  <c r="N106" i="30"/>
  <c r="K106" i="30"/>
  <c r="H106" i="30"/>
  <c r="E106" i="30"/>
  <c r="F106" i="30" s="1"/>
  <c r="N105" i="30"/>
  <c r="K105" i="30"/>
  <c r="H105" i="30"/>
  <c r="I105" i="30" s="1"/>
  <c r="E105" i="30"/>
  <c r="N104" i="30"/>
  <c r="K104" i="30"/>
  <c r="H104" i="30"/>
  <c r="E104" i="30"/>
  <c r="N103" i="30"/>
  <c r="K103" i="30"/>
  <c r="H103" i="30"/>
  <c r="E103" i="30"/>
  <c r="F103" i="30" s="1"/>
  <c r="N102" i="30"/>
  <c r="K102" i="30"/>
  <c r="H102" i="30"/>
  <c r="E102" i="30"/>
  <c r="F102" i="30" s="1"/>
  <c r="N101" i="30"/>
  <c r="K101" i="30"/>
  <c r="H101" i="30"/>
  <c r="I101" i="30" s="1"/>
  <c r="E101" i="30"/>
  <c r="N100" i="30"/>
  <c r="K100" i="30"/>
  <c r="I100" i="30"/>
  <c r="H100" i="30"/>
  <c r="E100" i="30"/>
  <c r="N99" i="30"/>
  <c r="K99" i="30"/>
  <c r="L99" i="30" s="1"/>
  <c r="H99" i="30"/>
  <c r="E99" i="30"/>
  <c r="N98" i="30"/>
  <c r="K98" i="30"/>
  <c r="H98" i="30"/>
  <c r="E98" i="30"/>
  <c r="E118" i="30" s="1"/>
  <c r="M96" i="30"/>
  <c r="J96" i="30"/>
  <c r="G96" i="30"/>
  <c r="D96" i="30"/>
  <c r="B96" i="30"/>
  <c r="M95" i="30"/>
  <c r="G95" i="30"/>
  <c r="B91" i="30"/>
  <c r="O89" i="30" s="1"/>
  <c r="N90" i="30"/>
  <c r="K90" i="30"/>
  <c r="H90" i="30"/>
  <c r="E90" i="30"/>
  <c r="F90" i="30" s="1"/>
  <c r="N89" i="30"/>
  <c r="K89" i="30"/>
  <c r="H89" i="30"/>
  <c r="E89" i="30"/>
  <c r="N88" i="30"/>
  <c r="K88" i="30"/>
  <c r="L88" i="30" s="1"/>
  <c r="H88" i="30"/>
  <c r="E88" i="30"/>
  <c r="O87" i="30"/>
  <c r="N87" i="30"/>
  <c r="K87" i="30"/>
  <c r="H87" i="30"/>
  <c r="E87" i="30"/>
  <c r="F87" i="30" s="1"/>
  <c r="N86" i="30"/>
  <c r="K86" i="30"/>
  <c r="H86" i="30"/>
  <c r="I86" i="30" s="1"/>
  <c r="E86" i="30"/>
  <c r="N85" i="30"/>
  <c r="K85" i="30"/>
  <c r="H85" i="30"/>
  <c r="I85" i="30" s="1"/>
  <c r="E85" i="30"/>
  <c r="N84" i="30"/>
  <c r="K84" i="30"/>
  <c r="I84" i="30"/>
  <c r="H84" i="30"/>
  <c r="E84" i="30"/>
  <c r="N83" i="30"/>
  <c r="K83" i="30"/>
  <c r="L83" i="30" s="1"/>
  <c r="H83" i="30"/>
  <c r="E83" i="30"/>
  <c r="N82" i="30"/>
  <c r="K82" i="30"/>
  <c r="H82" i="30"/>
  <c r="E82" i="30"/>
  <c r="F82" i="30" s="1"/>
  <c r="N81" i="30"/>
  <c r="K81" i="30"/>
  <c r="H81" i="30"/>
  <c r="I81" i="30" s="1"/>
  <c r="E81" i="30"/>
  <c r="N80" i="30"/>
  <c r="L80" i="30"/>
  <c r="K80" i="30"/>
  <c r="H80" i="30"/>
  <c r="E80" i="30"/>
  <c r="F80" i="30" s="1"/>
  <c r="N79" i="30"/>
  <c r="K79" i="30"/>
  <c r="H79" i="30"/>
  <c r="I79" i="30" s="1"/>
  <c r="E79" i="30"/>
  <c r="N78" i="30"/>
  <c r="K78" i="30"/>
  <c r="H78" i="30"/>
  <c r="E78" i="30"/>
  <c r="N77" i="30"/>
  <c r="K77" i="30"/>
  <c r="H77" i="30"/>
  <c r="I77" i="30" s="1"/>
  <c r="E77" i="30"/>
  <c r="N76" i="30"/>
  <c r="K76" i="30"/>
  <c r="H76" i="30"/>
  <c r="F76" i="30"/>
  <c r="E76" i="30"/>
  <c r="N75" i="30"/>
  <c r="K75" i="30"/>
  <c r="L75" i="30" s="1"/>
  <c r="H75" i="30"/>
  <c r="E75" i="30"/>
  <c r="N74" i="30"/>
  <c r="O74" i="30" s="1"/>
  <c r="K74" i="30"/>
  <c r="H74" i="30"/>
  <c r="E74" i="30"/>
  <c r="N73" i="30"/>
  <c r="K73" i="30"/>
  <c r="H73" i="30"/>
  <c r="I73" i="30" s="1"/>
  <c r="E73" i="30"/>
  <c r="N72" i="30"/>
  <c r="L72" i="30"/>
  <c r="K72" i="30"/>
  <c r="H72" i="30"/>
  <c r="E72" i="30"/>
  <c r="N71" i="30"/>
  <c r="K71" i="30"/>
  <c r="H71" i="30"/>
  <c r="F71" i="30"/>
  <c r="E71" i="30"/>
  <c r="M69" i="30"/>
  <c r="J69" i="30"/>
  <c r="G69" i="30"/>
  <c r="D69" i="30"/>
  <c r="B69" i="30"/>
  <c r="M68" i="30"/>
  <c r="G68" i="30"/>
  <c r="B64" i="30"/>
  <c r="O63" i="30" s="1"/>
  <c r="N63" i="30"/>
  <c r="K63" i="30"/>
  <c r="L63" i="30" s="1"/>
  <c r="H63" i="30"/>
  <c r="I63" i="30" s="1"/>
  <c r="E63" i="30"/>
  <c r="N62" i="30"/>
  <c r="L62" i="30"/>
  <c r="K62" i="30"/>
  <c r="H62" i="30"/>
  <c r="E62" i="30"/>
  <c r="F62" i="30" s="1"/>
  <c r="N61" i="30"/>
  <c r="O61" i="30" s="1"/>
  <c r="K61" i="30"/>
  <c r="H61" i="30"/>
  <c r="E61" i="30"/>
  <c r="F61" i="30" s="1"/>
  <c r="O60" i="30"/>
  <c r="N60" i="30"/>
  <c r="K60" i="30"/>
  <c r="I60" i="30"/>
  <c r="H60" i="30"/>
  <c r="E60" i="30"/>
  <c r="N59" i="30"/>
  <c r="O59" i="30" s="1"/>
  <c r="K59" i="30"/>
  <c r="L59" i="30" s="1"/>
  <c r="H59" i="30"/>
  <c r="E59" i="30"/>
  <c r="O58" i="30"/>
  <c r="N58" i="30"/>
  <c r="K58" i="30"/>
  <c r="H58" i="30"/>
  <c r="E58" i="30"/>
  <c r="F58" i="30" s="1"/>
  <c r="O57" i="30"/>
  <c r="N57" i="30"/>
  <c r="K57" i="30"/>
  <c r="H57" i="30"/>
  <c r="I57" i="30" s="1"/>
  <c r="E57" i="30"/>
  <c r="F57" i="30" s="1"/>
  <c r="N56" i="30"/>
  <c r="K56" i="30"/>
  <c r="I56" i="30"/>
  <c r="H56" i="30"/>
  <c r="E56" i="30"/>
  <c r="N55" i="30"/>
  <c r="O55" i="30" s="1"/>
  <c r="L55" i="30"/>
  <c r="K55" i="30"/>
  <c r="H55" i="30"/>
  <c r="E55" i="30"/>
  <c r="F55" i="30" s="1"/>
  <c r="N54" i="30"/>
  <c r="O54" i="30" s="1"/>
  <c r="K54" i="30"/>
  <c r="H54" i="30"/>
  <c r="E54" i="30"/>
  <c r="F54" i="30" s="1"/>
  <c r="O53" i="30"/>
  <c r="N53" i="30"/>
  <c r="K53" i="30"/>
  <c r="H53" i="30"/>
  <c r="I53" i="30" s="1"/>
  <c r="E53" i="30"/>
  <c r="N52" i="30"/>
  <c r="K52" i="30"/>
  <c r="L52" i="30" s="1"/>
  <c r="I52" i="30"/>
  <c r="H52" i="30"/>
  <c r="E52" i="30"/>
  <c r="O51" i="30"/>
  <c r="N51" i="30"/>
  <c r="K51" i="30"/>
  <c r="H51" i="30"/>
  <c r="E51" i="30"/>
  <c r="F51" i="30" s="1"/>
  <c r="O50" i="30"/>
  <c r="N50" i="30"/>
  <c r="K50" i="30"/>
  <c r="H50" i="30"/>
  <c r="I50" i="30" s="1"/>
  <c r="E50" i="30"/>
  <c r="F50" i="30" s="1"/>
  <c r="N49" i="30"/>
  <c r="K49" i="30"/>
  <c r="H49" i="30"/>
  <c r="I49" i="30" s="1"/>
  <c r="E49" i="30"/>
  <c r="F49" i="30" s="1"/>
  <c r="N48" i="30"/>
  <c r="K48" i="30"/>
  <c r="I48" i="30"/>
  <c r="H48" i="30"/>
  <c r="E48" i="30"/>
  <c r="N47" i="30"/>
  <c r="K47" i="30"/>
  <c r="L47" i="30" s="1"/>
  <c r="H47" i="30"/>
  <c r="I47" i="30" s="1"/>
  <c r="E47" i="30"/>
  <c r="N46" i="30"/>
  <c r="L46" i="30"/>
  <c r="K46" i="30"/>
  <c r="H46" i="30"/>
  <c r="E46" i="30"/>
  <c r="O45" i="30"/>
  <c r="N45" i="30"/>
  <c r="K45" i="30"/>
  <c r="H45" i="30"/>
  <c r="E45" i="30"/>
  <c r="F45" i="30" s="1"/>
  <c r="N44" i="30"/>
  <c r="K44" i="30"/>
  <c r="I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 s="1"/>
  <c r="N198" i="29"/>
  <c r="L198" i="29"/>
  <c r="K198" i="29"/>
  <c r="H198" i="29"/>
  <c r="E198" i="29"/>
  <c r="N197" i="29"/>
  <c r="O197" i="29" s="1"/>
  <c r="K197" i="29"/>
  <c r="H197" i="29"/>
  <c r="F197" i="29"/>
  <c r="E197" i="29"/>
  <c r="N196" i="29"/>
  <c r="K196" i="29"/>
  <c r="H196" i="29"/>
  <c r="I196" i="29" s="1"/>
  <c r="F196" i="29"/>
  <c r="E196" i="29"/>
  <c r="N195" i="29"/>
  <c r="K195" i="29"/>
  <c r="L195" i="29" s="1"/>
  <c r="H195" i="29"/>
  <c r="I195" i="29" s="1"/>
  <c r="E195" i="29"/>
  <c r="N194" i="29"/>
  <c r="O194" i="29" s="1"/>
  <c r="L194" i="29"/>
  <c r="K194" i="29"/>
  <c r="H194" i="29"/>
  <c r="F194" i="29"/>
  <c r="E194" i="29"/>
  <c r="N193" i="29"/>
  <c r="K193" i="29"/>
  <c r="H193" i="29"/>
  <c r="I193" i="29" s="1"/>
  <c r="F193" i="29"/>
  <c r="E193" i="29"/>
  <c r="N192" i="29"/>
  <c r="K192" i="29"/>
  <c r="L192" i="29" s="1"/>
  <c r="H192" i="29"/>
  <c r="E192" i="29"/>
  <c r="O191" i="29"/>
  <c r="N191" i="29"/>
  <c r="K191" i="29"/>
  <c r="H191" i="29"/>
  <c r="I191" i="29" s="1"/>
  <c r="F191" i="29"/>
  <c r="E191" i="29"/>
  <c r="N190" i="29"/>
  <c r="L190" i="29"/>
  <c r="K190" i="29"/>
  <c r="H190" i="29"/>
  <c r="F190" i="29"/>
  <c r="E190" i="29"/>
  <c r="N189" i="29"/>
  <c r="K189" i="29"/>
  <c r="H189" i="29"/>
  <c r="I189" i="29" s="1"/>
  <c r="F189" i="29"/>
  <c r="E189" i="29"/>
  <c r="N188" i="29"/>
  <c r="K188" i="29"/>
  <c r="L188" i="29" s="1"/>
  <c r="H188" i="29"/>
  <c r="I188" i="29" s="1"/>
  <c r="E188" i="29"/>
  <c r="N187" i="29"/>
  <c r="O187" i="29" s="1"/>
  <c r="K187" i="29"/>
  <c r="L187" i="29" s="1"/>
  <c r="H187" i="29"/>
  <c r="E187" i="29"/>
  <c r="N186" i="29"/>
  <c r="O186" i="29" s="1"/>
  <c r="K186" i="29"/>
  <c r="H186" i="29"/>
  <c r="I186" i="29" s="1"/>
  <c r="F186" i="29"/>
  <c r="E186" i="29"/>
  <c r="N185" i="29"/>
  <c r="K185" i="29"/>
  <c r="L185" i="29" s="1"/>
  <c r="H185" i="29"/>
  <c r="E185" i="29"/>
  <c r="N184" i="29"/>
  <c r="O184" i="29" s="1"/>
  <c r="K184" i="29"/>
  <c r="H184" i="29"/>
  <c r="F184" i="29"/>
  <c r="E184" i="29"/>
  <c r="N183" i="29"/>
  <c r="K183" i="29"/>
  <c r="L183" i="29" s="1"/>
  <c r="H183" i="29"/>
  <c r="I183" i="29" s="1"/>
  <c r="E183" i="29"/>
  <c r="N182" i="29"/>
  <c r="O182" i="29" s="1"/>
  <c r="L182" i="29"/>
  <c r="K182" i="29"/>
  <c r="H182" i="29"/>
  <c r="F182" i="29"/>
  <c r="E182" i="29"/>
  <c r="N181" i="29"/>
  <c r="K181" i="29"/>
  <c r="H181" i="29"/>
  <c r="I181" i="29" s="1"/>
  <c r="F181" i="29"/>
  <c r="E181" i="29"/>
  <c r="N180" i="29"/>
  <c r="K180" i="29"/>
  <c r="L180" i="29" s="1"/>
  <c r="H180" i="29"/>
  <c r="I180" i="29" s="1"/>
  <c r="E180" i="29"/>
  <c r="N179" i="29"/>
  <c r="K179" i="29"/>
  <c r="H179" i="29"/>
  <c r="E179" i="29"/>
  <c r="E199" i="29" s="1"/>
  <c r="M177" i="29"/>
  <c r="J177" i="29"/>
  <c r="G177" i="29"/>
  <c r="D177" i="29"/>
  <c r="B177" i="29"/>
  <c r="M176" i="29"/>
  <c r="G176" i="29"/>
  <c r="B172" i="29"/>
  <c r="F171" i="29" s="1"/>
  <c r="N171" i="29"/>
  <c r="K171" i="29"/>
  <c r="H171" i="29"/>
  <c r="I171" i="29" s="1"/>
  <c r="E171" i="29"/>
  <c r="N170" i="29"/>
  <c r="K170" i="29"/>
  <c r="L170" i="29" s="1"/>
  <c r="H170" i="29"/>
  <c r="E170" i="29"/>
  <c r="O169" i="29"/>
  <c r="N169" i="29"/>
  <c r="K169" i="29"/>
  <c r="H169" i="29"/>
  <c r="F169" i="29"/>
  <c r="E169" i="29"/>
  <c r="N168" i="29"/>
  <c r="K168" i="29"/>
  <c r="H168" i="29"/>
  <c r="I168" i="29" s="1"/>
  <c r="E168" i="29"/>
  <c r="N167" i="29"/>
  <c r="K167" i="29"/>
  <c r="H167" i="29"/>
  <c r="F167" i="29"/>
  <c r="E167" i="29"/>
  <c r="N166" i="29"/>
  <c r="K166" i="29"/>
  <c r="H166" i="29"/>
  <c r="I166" i="29" s="1"/>
  <c r="E166" i="29"/>
  <c r="N165" i="29"/>
  <c r="K165" i="29"/>
  <c r="H165" i="29"/>
  <c r="E165" i="29"/>
  <c r="N164" i="29"/>
  <c r="K164" i="29"/>
  <c r="H164" i="29"/>
  <c r="F164" i="29"/>
  <c r="E164" i="29"/>
  <c r="N163" i="29"/>
  <c r="L163" i="29"/>
  <c r="K163" i="29"/>
  <c r="H163" i="29"/>
  <c r="E163" i="29"/>
  <c r="N162" i="29"/>
  <c r="K162" i="29"/>
  <c r="H162" i="29"/>
  <c r="I162" i="29" s="1"/>
  <c r="E162" i="29"/>
  <c r="N161" i="29"/>
  <c r="K161" i="29"/>
  <c r="L161" i="29" s="1"/>
  <c r="H161" i="29"/>
  <c r="E161" i="29"/>
  <c r="O160" i="29"/>
  <c r="N160" i="29"/>
  <c r="K160" i="29"/>
  <c r="H160" i="29"/>
  <c r="F160" i="29"/>
  <c r="E160" i="29"/>
  <c r="N159" i="29"/>
  <c r="K159" i="29"/>
  <c r="H159" i="29"/>
  <c r="E159" i="29"/>
  <c r="N158" i="29"/>
  <c r="O158" i="29" s="1"/>
  <c r="K158" i="29"/>
  <c r="H158" i="29"/>
  <c r="E158" i="29"/>
  <c r="N157" i="29"/>
  <c r="K157" i="29"/>
  <c r="H157" i="29"/>
  <c r="F157" i="29"/>
  <c r="E157" i="29"/>
  <c r="N156" i="29"/>
  <c r="K156" i="29"/>
  <c r="L156" i="29" s="1"/>
  <c r="H156" i="29"/>
  <c r="E156" i="29"/>
  <c r="N155" i="29"/>
  <c r="O155" i="29" s="1"/>
  <c r="K155" i="29"/>
  <c r="H155" i="29"/>
  <c r="F155" i="29"/>
  <c r="E155" i="29"/>
  <c r="N154" i="29"/>
  <c r="K154" i="29"/>
  <c r="H154" i="29"/>
  <c r="I154" i="29" s="1"/>
  <c r="E154" i="29"/>
  <c r="N153" i="29"/>
  <c r="K153" i="29"/>
  <c r="H153" i="29"/>
  <c r="E153" i="29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O144" i="29" s="1"/>
  <c r="N144" i="29"/>
  <c r="L144" i="29"/>
  <c r="K144" i="29"/>
  <c r="H144" i="29"/>
  <c r="E144" i="29"/>
  <c r="N143" i="29"/>
  <c r="O143" i="29" s="1"/>
  <c r="K143" i="29"/>
  <c r="H143" i="29"/>
  <c r="F143" i="29"/>
  <c r="E143" i="29"/>
  <c r="N142" i="29"/>
  <c r="K142" i="29"/>
  <c r="L142" i="29" s="1"/>
  <c r="H142" i="29"/>
  <c r="I142" i="29" s="1"/>
  <c r="E142" i="29"/>
  <c r="N141" i="29"/>
  <c r="O141" i="29" s="1"/>
  <c r="K141" i="29"/>
  <c r="L141" i="29" s="1"/>
  <c r="H141" i="29"/>
  <c r="E141" i="29"/>
  <c r="O140" i="29"/>
  <c r="N140" i="29"/>
  <c r="K140" i="29"/>
  <c r="H140" i="29"/>
  <c r="I140" i="29" s="1"/>
  <c r="E140" i="29"/>
  <c r="O139" i="29"/>
  <c r="N139" i="29"/>
  <c r="K139" i="29"/>
  <c r="H139" i="29"/>
  <c r="F139" i="29"/>
  <c r="E139" i="29"/>
  <c r="N138" i="29"/>
  <c r="K138" i="29"/>
  <c r="L138" i="29" s="1"/>
  <c r="H138" i="29"/>
  <c r="I138" i="29" s="1"/>
  <c r="E138" i="29"/>
  <c r="O137" i="29"/>
  <c r="N137" i="29"/>
  <c r="K137" i="29"/>
  <c r="H137" i="29"/>
  <c r="F137" i="29"/>
  <c r="E137" i="29"/>
  <c r="N136" i="29"/>
  <c r="K136" i="29"/>
  <c r="H136" i="29"/>
  <c r="I136" i="29" s="1"/>
  <c r="E136" i="29"/>
  <c r="N135" i="29"/>
  <c r="O135" i="29" s="1"/>
  <c r="K135" i="29"/>
  <c r="L135" i="29" s="1"/>
  <c r="H135" i="29"/>
  <c r="E135" i="29"/>
  <c r="N134" i="29"/>
  <c r="O134" i="29" s="1"/>
  <c r="K134" i="29"/>
  <c r="H134" i="29"/>
  <c r="F134" i="29"/>
  <c r="E134" i="29"/>
  <c r="N133" i="29"/>
  <c r="K133" i="29"/>
  <c r="L133" i="29" s="1"/>
  <c r="H133" i="29"/>
  <c r="I133" i="29" s="1"/>
  <c r="E133" i="29"/>
  <c r="N132" i="29"/>
  <c r="O132" i="29" s="1"/>
  <c r="L132" i="29"/>
  <c r="K132" i="29"/>
  <c r="H132" i="29"/>
  <c r="F132" i="29"/>
  <c r="E132" i="29"/>
  <c r="N131" i="29"/>
  <c r="K131" i="29"/>
  <c r="L131" i="29" s="1"/>
  <c r="H131" i="29"/>
  <c r="I131" i="29" s="1"/>
  <c r="E131" i="29"/>
  <c r="O130" i="29"/>
  <c r="N130" i="29"/>
  <c r="K130" i="29"/>
  <c r="H130" i="29"/>
  <c r="F130" i="29"/>
  <c r="E130" i="29"/>
  <c r="N129" i="29"/>
  <c r="K129" i="29"/>
  <c r="L129" i="29" s="1"/>
  <c r="H129" i="29"/>
  <c r="I129" i="29" s="1"/>
  <c r="E129" i="29"/>
  <c r="O128" i="29"/>
  <c r="N128" i="29"/>
  <c r="K128" i="29"/>
  <c r="H128" i="29"/>
  <c r="I128" i="29" s="1"/>
  <c r="F128" i="29"/>
  <c r="E128" i="29"/>
  <c r="N127" i="29"/>
  <c r="K127" i="29"/>
  <c r="L127" i="29" s="1"/>
  <c r="H127" i="29"/>
  <c r="I127" i="29" s="1"/>
  <c r="E127" i="29"/>
  <c r="O126" i="29"/>
  <c r="N126" i="29"/>
  <c r="K126" i="29"/>
  <c r="H126" i="29"/>
  <c r="F126" i="29"/>
  <c r="E126" i="29"/>
  <c r="N125" i="29"/>
  <c r="K125" i="29"/>
  <c r="H125" i="29"/>
  <c r="H145" i="29" s="1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O116" i="29"/>
  <c r="N116" i="29"/>
  <c r="K116" i="29"/>
  <c r="L116" i="29" s="1"/>
  <c r="H116" i="29"/>
  <c r="I116" i="29" s="1"/>
  <c r="F116" i="29"/>
  <c r="E116" i="29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H114" i="29"/>
  <c r="I114" i="29" s="1"/>
  <c r="E114" i="29"/>
  <c r="F114" i="29" s="1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K111" i="29"/>
  <c r="L111" i="29" s="1"/>
  <c r="H111" i="29"/>
  <c r="I111" i="29" s="1"/>
  <c r="E111" i="29"/>
  <c r="F111" i="29" s="1"/>
  <c r="O110" i="29"/>
  <c r="N110" i="29"/>
  <c r="K110" i="29"/>
  <c r="L110" i="29" s="1"/>
  <c r="H110" i="29"/>
  <c r="I110" i="29" s="1"/>
  <c r="F110" i="29"/>
  <c r="E110" i="29"/>
  <c r="N109" i="29"/>
  <c r="O109" i="29" s="1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K107" i="29"/>
  <c r="L107" i="29" s="1"/>
  <c r="H107" i="29"/>
  <c r="I107" i="29" s="1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K105" i="29"/>
  <c r="L105" i="29" s="1"/>
  <c r="H105" i="29"/>
  <c r="I105" i="29" s="1"/>
  <c r="F105" i="29"/>
  <c r="E105" i="29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H103" i="29"/>
  <c r="I103" i="29" s="1"/>
  <c r="F103" i="29"/>
  <c r="E103" i="29"/>
  <c r="N102" i="29"/>
  <c r="O102" i="29" s="1"/>
  <c r="K102" i="29"/>
  <c r="L102" i="29" s="1"/>
  <c r="H102" i="29"/>
  <c r="I102" i="29" s="1"/>
  <c r="E102" i="29"/>
  <c r="F102" i="29" s="1"/>
  <c r="N101" i="29"/>
  <c r="O101" i="29" s="1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K99" i="29"/>
  <c r="L99" i="29" s="1"/>
  <c r="H99" i="29"/>
  <c r="I99" i="29" s="1"/>
  <c r="E99" i="29"/>
  <c r="F99" i="29" s="1"/>
  <c r="N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F90" i="29" s="1"/>
  <c r="N90" i="29"/>
  <c r="K90" i="29"/>
  <c r="H90" i="29"/>
  <c r="I90" i="29" s="1"/>
  <c r="E90" i="29"/>
  <c r="N89" i="29"/>
  <c r="K89" i="29"/>
  <c r="L89" i="29" s="1"/>
  <c r="H89" i="29"/>
  <c r="E89" i="29"/>
  <c r="O88" i="29"/>
  <c r="N88" i="29"/>
  <c r="K88" i="29"/>
  <c r="H88" i="29"/>
  <c r="F88" i="29"/>
  <c r="E88" i="29"/>
  <c r="N87" i="29"/>
  <c r="K87" i="29"/>
  <c r="H87" i="29"/>
  <c r="E87" i="29"/>
  <c r="N86" i="29"/>
  <c r="O86" i="29" s="1"/>
  <c r="K86" i="29"/>
  <c r="H86" i="29"/>
  <c r="F86" i="29"/>
  <c r="E86" i="29"/>
  <c r="N85" i="29"/>
  <c r="K85" i="29"/>
  <c r="L85" i="29" s="1"/>
  <c r="H85" i="29"/>
  <c r="E85" i="29"/>
  <c r="N84" i="29"/>
  <c r="O84" i="29" s="1"/>
  <c r="K84" i="29"/>
  <c r="H84" i="29"/>
  <c r="E84" i="29"/>
  <c r="N83" i="29"/>
  <c r="K83" i="29"/>
  <c r="H83" i="29"/>
  <c r="E83" i="29"/>
  <c r="N82" i="29"/>
  <c r="O82" i="29" s="1"/>
  <c r="K82" i="29"/>
  <c r="H82" i="29"/>
  <c r="F82" i="29"/>
  <c r="E82" i="29"/>
  <c r="N81" i="29"/>
  <c r="K81" i="29"/>
  <c r="H81" i="29"/>
  <c r="I81" i="29" s="1"/>
  <c r="E81" i="29"/>
  <c r="N80" i="29"/>
  <c r="K80" i="29"/>
  <c r="H80" i="29"/>
  <c r="E80" i="29"/>
  <c r="N79" i="29"/>
  <c r="K79" i="29"/>
  <c r="H79" i="29"/>
  <c r="I79" i="29" s="1"/>
  <c r="E79" i="29"/>
  <c r="N78" i="29"/>
  <c r="L78" i="29"/>
  <c r="K78" i="29"/>
  <c r="H78" i="29"/>
  <c r="E78" i="29"/>
  <c r="N77" i="29"/>
  <c r="K77" i="29"/>
  <c r="H77" i="29"/>
  <c r="I77" i="29" s="1"/>
  <c r="E77" i="29"/>
  <c r="N76" i="29"/>
  <c r="K76" i="29"/>
  <c r="H76" i="29"/>
  <c r="E76" i="29"/>
  <c r="N75" i="29"/>
  <c r="K75" i="29"/>
  <c r="H75" i="29"/>
  <c r="E75" i="29"/>
  <c r="N74" i="29"/>
  <c r="O74" i="29" s="1"/>
  <c r="K74" i="29"/>
  <c r="H74" i="29"/>
  <c r="F74" i="29"/>
  <c r="E74" i="29"/>
  <c r="N73" i="29"/>
  <c r="K73" i="29"/>
  <c r="H73" i="29"/>
  <c r="I73" i="29" s="1"/>
  <c r="E73" i="29"/>
  <c r="N72" i="29"/>
  <c r="K72" i="29"/>
  <c r="H72" i="29"/>
  <c r="E72" i="29"/>
  <c r="N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O62" i="29"/>
  <c r="N62" i="29"/>
  <c r="K62" i="29"/>
  <c r="L62" i="29" s="1"/>
  <c r="H62" i="29"/>
  <c r="I62" i="29" s="1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F60" i="29"/>
  <c r="E60" i="29"/>
  <c r="N59" i="29"/>
  <c r="O59" i="29" s="1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E55" i="29"/>
  <c r="F55" i="29" s="1"/>
  <c r="N54" i="29"/>
  <c r="O54" i="29" s="1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E53" i="29"/>
  <c r="F53" i="29" s="1"/>
  <c r="N52" i="29"/>
  <c r="O52" i="29" s="1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E47" i="29"/>
  <c r="F47" i="29" s="1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E45" i="29"/>
  <c r="F45" i="29" s="1"/>
  <c r="N44" i="29"/>
  <c r="K44" i="29"/>
  <c r="H44" i="29"/>
  <c r="F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L196" i="28" s="1"/>
  <c r="N198" i="28"/>
  <c r="K198" i="28"/>
  <c r="H198" i="28"/>
  <c r="E198" i="28"/>
  <c r="N197" i="28"/>
  <c r="O197" i="28" s="1"/>
  <c r="K197" i="28"/>
  <c r="H197" i="28"/>
  <c r="F197" i="28"/>
  <c r="E197" i="28"/>
  <c r="N196" i="28"/>
  <c r="K196" i="28"/>
  <c r="H196" i="28"/>
  <c r="F196" i="28"/>
  <c r="E196" i="28"/>
  <c r="N195" i="28"/>
  <c r="K195" i="28"/>
  <c r="I195" i="28"/>
  <c r="H195" i="28"/>
  <c r="E195" i="28"/>
  <c r="N194" i="28"/>
  <c r="K194" i="28"/>
  <c r="H194" i="28"/>
  <c r="E194" i="28"/>
  <c r="N193" i="28"/>
  <c r="O193" i="28" s="1"/>
  <c r="K193" i="28"/>
  <c r="H193" i="28"/>
  <c r="F193" i="28"/>
  <c r="E193" i="28"/>
  <c r="N192" i="28"/>
  <c r="K192" i="28"/>
  <c r="H192" i="28"/>
  <c r="F192" i="28"/>
  <c r="E192" i="28"/>
  <c r="N191" i="28"/>
  <c r="K191" i="28"/>
  <c r="I191" i="28"/>
  <c r="H191" i="28"/>
  <c r="E191" i="28"/>
  <c r="N190" i="28"/>
  <c r="K190" i="28"/>
  <c r="H190" i="28"/>
  <c r="E190" i="28"/>
  <c r="N189" i="28"/>
  <c r="O189" i="28" s="1"/>
  <c r="K189" i="28"/>
  <c r="H189" i="28"/>
  <c r="F189" i="28"/>
  <c r="E189" i="28"/>
  <c r="N188" i="28"/>
  <c r="K188" i="28"/>
  <c r="H188" i="28"/>
  <c r="F188" i="28"/>
  <c r="E188" i="28"/>
  <c r="N187" i="28"/>
  <c r="K187" i="28"/>
  <c r="H187" i="28"/>
  <c r="E187" i="28"/>
  <c r="N186" i="28"/>
  <c r="K186" i="28"/>
  <c r="H186" i="28"/>
  <c r="E186" i="28"/>
  <c r="N185" i="28"/>
  <c r="O185" i="28" s="1"/>
  <c r="K185" i="28"/>
  <c r="H185" i="28"/>
  <c r="E185" i="28"/>
  <c r="N184" i="28"/>
  <c r="L184" i="28"/>
  <c r="K184" i="28"/>
  <c r="H184" i="28"/>
  <c r="E184" i="28"/>
  <c r="N183" i="28"/>
  <c r="L183" i="28"/>
  <c r="K183" i="28"/>
  <c r="I183" i="28"/>
  <c r="H183" i="28"/>
  <c r="F183" i="28"/>
  <c r="E183" i="28"/>
  <c r="N182" i="28"/>
  <c r="O182" i="28" s="1"/>
  <c r="K182" i="28"/>
  <c r="I182" i="28"/>
  <c r="H182" i="28"/>
  <c r="E182" i="28"/>
  <c r="N181" i="28"/>
  <c r="L181" i="28"/>
  <c r="K181" i="28"/>
  <c r="I181" i="28"/>
  <c r="H181" i="28"/>
  <c r="F181" i="28"/>
  <c r="E181" i="28"/>
  <c r="N180" i="28"/>
  <c r="O180" i="28" s="1"/>
  <c r="K180" i="28"/>
  <c r="H180" i="28"/>
  <c r="F180" i="28"/>
  <c r="E180" i="28"/>
  <c r="N179" i="28"/>
  <c r="K179" i="28"/>
  <c r="K199" i="28" s="1"/>
  <c r="H179" i="28"/>
  <c r="E179" i="28"/>
  <c r="E199" i="28" s="1"/>
  <c r="M177" i="28"/>
  <c r="J177" i="28"/>
  <c r="G177" i="28"/>
  <c r="D177" i="28"/>
  <c r="B177" i="28"/>
  <c r="M176" i="28"/>
  <c r="G176" i="28"/>
  <c r="B172" i="28"/>
  <c r="N171" i="28"/>
  <c r="K171" i="28"/>
  <c r="H171" i="28"/>
  <c r="F171" i="28"/>
  <c r="E171" i="28"/>
  <c r="N170" i="28"/>
  <c r="K170" i="28"/>
  <c r="L170" i="28" s="1"/>
  <c r="H170" i="28"/>
  <c r="E170" i="28"/>
  <c r="O169" i="28"/>
  <c r="N169" i="28"/>
  <c r="K169" i="28"/>
  <c r="H169" i="28"/>
  <c r="F169" i="28"/>
  <c r="E169" i="28"/>
  <c r="N168" i="28"/>
  <c r="K168" i="28"/>
  <c r="L168" i="28" s="1"/>
  <c r="H168" i="28"/>
  <c r="E168" i="28"/>
  <c r="O167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E164" i="28"/>
  <c r="N163" i="28"/>
  <c r="K163" i="28"/>
  <c r="H163" i="28"/>
  <c r="E163" i="28"/>
  <c r="N162" i="28"/>
  <c r="K162" i="28"/>
  <c r="H162" i="28"/>
  <c r="E162" i="28"/>
  <c r="N161" i="28"/>
  <c r="K161" i="28"/>
  <c r="H161" i="28"/>
  <c r="I161" i="28" s="1"/>
  <c r="E161" i="28"/>
  <c r="N160" i="28"/>
  <c r="K160" i="28"/>
  <c r="H160" i="28"/>
  <c r="E160" i="28"/>
  <c r="N159" i="28"/>
  <c r="K159" i="28"/>
  <c r="H159" i="28"/>
  <c r="E159" i="28"/>
  <c r="N158" i="28"/>
  <c r="O158" i="28" s="1"/>
  <c r="K158" i="28"/>
  <c r="H158" i="28"/>
  <c r="E158" i="28"/>
  <c r="N157" i="28"/>
  <c r="K157" i="28"/>
  <c r="H157" i="28"/>
  <c r="F157" i="28"/>
  <c r="E157" i="28"/>
  <c r="N156" i="28"/>
  <c r="K156" i="28"/>
  <c r="H156" i="28"/>
  <c r="I156" i="28" s="1"/>
  <c r="E156" i="28"/>
  <c r="N155" i="28"/>
  <c r="L155" i="28"/>
  <c r="K155" i="28"/>
  <c r="H155" i="28"/>
  <c r="E155" i="28"/>
  <c r="N154" i="28"/>
  <c r="K154" i="28"/>
  <c r="H154" i="28"/>
  <c r="I154" i="28" s="1"/>
  <c r="E154" i="28"/>
  <c r="N153" i="28"/>
  <c r="K153" i="28"/>
  <c r="H153" i="28"/>
  <c r="E153" i="28"/>
  <c r="N152" i="28"/>
  <c r="K152" i="28"/>
  <c r="H152" i="28"/>
  <c r="H172" i="28" s="1"/>
  <c r="E152" i="28"/>
  <c r="M150" i="28"/>
  <c r="J150" i="28"/>
  <c r="G150" i="28"/>
  <c r="D150" i="28"/>
  <c r="B150" i="28"/>
  <c r="M149" i="28"/>
  <c r="G149" i="28"/>
  <c r="B145" i="28"/>
  <c r="F142" i="28" s="1"/>
  <c r="N144" i="28"/>
  <c r="L144" i="28"/>
  <c r="K144" i="28"/>
  <c r="H144" i="28"/>
  <c r="I144" i="28" s="1"/>
  <c r="E144" i="28"/>
  <c r="N143" i="28"/>
  <c r="K143" i="28"/>
  <c r="L143" i="28" s="1"/>
  <c r="H143" i="28"/>
  <c r="F143" i="28"/>
  <c r="E143" i="28"/>
  <c r="N142" i="28"/>
  <c r="O142" i="28" s="1"/>
  <c r="K142" i="28"/>
  <c r="H142" i="28"/>
  <c r="I142" i="28" s="1"/>
  <c r="E142" i="28"/>
  <c r="N141" i="28"/>
  <c r="K141" i="28"/>
  <c r="L141" i="28" s="1"/>
  <c r="H141" i="28"/>
  <c r="F141" i="28"/>
  <c r="E141" i="28"/>
  <c r="N140" i="28"/>
  <c r="O140" i="28" s="1"/>
  <c r="K140" i="28"/>
  <c r="H140" i="28"/>
  <c r="F140" i="28"/>
  <c r="E140" i="28"/>
  <c r="N139" i="28"/>
  <c r="O139" i="28" s="1"/>
  <c r="K139" i="28"/>
  <c r="H139" i="28"/>
  <c r="I139" i="28" s="1"/>
  <c r="E139" i="28"/>
  <c r="N138" i="28"/>
  <c r="K138" i="28"/>
  <c r="H138" i="28"/>
  <c r="I138" i="28" s="1"/>
  <c r="E138" i="28"/>
  <c r="N137" i="28"/>
  <c r="K137" i="28"/>
  <c r="L137" i="28" s="1"/>
  <c r="H137" i="28"/>
  <c r="F137" i="28"/>
  <c r="E137" i="28"/>
  <c r="O136" i="28"/>
  <c r="N136" i="28"/>
  <c r="L136" i="28"/>
  <c r="K136" i="28"/>
  <c r="H136" i="28"/>
  <c r="I136" i="28" s="1"/>
  <c r="E136" i="28"/>
  <c r="N135" i="28"/>
  <c r="K135" i="28"/>
  <c r="L135" i="28" s="1"/>
  <c r="H135" i="28"/>
  <c r="F135" i="28"/>
  <c r="E135" i="28"/>
  <c r="N134" i="28"/>
  <c r="O134" i="28" s="1"/>
  <c r="K134" i="28"/>
  <c r="H134" i="28"/>
  <c r="I134" i="28" s="1"/>
  <c r="E134" i="28"/>
  <c r="N133" i="28"/>
  <c r="K133" i="28"/>
  <c r="L133" i="28" s="1"/>
  <c r="H133" i="28"/>
  <c r="F133" i="28"/>
  <c r="E133" i="28"/>
  <c r="N132" i="28"/>
  <c r="O132" i="28" s="1"/>
  <c r="K132" i="28"/>
  <c r="H132" i="28"/>
  <c r="F132" i="28"/>
  <c r="E132" i="28"/>
  <c r="O131" i="28"/>
  <c r="N131" i="28"/>
  <c r="K131" i="28"/>
  <c r="L131" i="28" s="1"/>
  <c r="H131" i="28"/>
  <c r="F131" i="28"/>
  <c r="E131" i="28"/>
  <c r="N130" i="28"/>
  <c r="O130" i="28" s="1"/>
  <c r="K130" i="28"/>
  <c r="H130" i="28"/>
  <c r="I130" i="28" s="1"/>
  <c r="E130" i="28"/>
  <c r="N129" i="28"/>
  <c r="K129" i="28"/>
  <c r="H129" i="28"/>
  <c r="I129" i="28" s="1"/>
  <c r="E129" i="28"/>
  <c r="N128" i="28"/>
  <c r="L128" i="28"/>
  <c r="K128" i="28"/>
  <c r="H128" i="28"/>
  <c r="I128" i="28" s="1"/>
  <c r="E128" i="28"/>
  <c r="N127" i="28"/>
  <c r="K127" i="28"/>
  <c r="L127" i="28" s="1"/>
  <c r="H127" i="28"/>
  <c r="F127" i="28"/>
  <c r="E127" i="28"/>
  <c r="N126" i="28"/>
  <c r="O126" i="28" s="1"/>
  <c r="K126" i="28"/>
  <c r="H126" i="28"/>
  <c r="I126" i="28" s="1"/>
  <c r="E126" i="28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L117" i="28" s="1"/>
  <c r="N117" i="28"/>
  <c r="O117" i="28" s="1"/>
  <c r="K117" i="28"/>
  <c r="H117" i="28"/>
  <c r="I117" i="28" s="1"/>
  <c r="F117" i="28"/>
  <c r="E117" i="28"/>
  <c r="O116" i="28"/>
  <c r="N116" i="28"/>
  <c r="K116" i="28"/>
  <c r="L116" i="28" s="1"/>
  <c r="H116" i="28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L114" i="28"/>
  <c r="K114" i="28"/>
  <c r="H114" i="28"/>
  <c r="I114" i="28" s="1"/>
  <c r="E114" i="28"/>
  <c r="F114" i="28" s="1"/>
  <c r="N113" i="28"/>
  <c r="L113" i="28"/>
  <c r="K113" i="28"/>
  <c r="H113" i="28"/>
  <c r="I113" i="28" s="1"/>
  <c r="E113" i="28"/>
  <c r="N112" i="28"/>
  <c r="O112" i="28" s="1"/>
  <c r="K112" i="28"/>
  <c r="H112" i="28"/>
  <c r="I112" i="28" s="1"/>
  <c r="E112" i="28"/>
  <c r="F112" i="28" s="1"/>
  <c r="N111" i="28"/>
  <c r="K111" i="28"/>
  <c r="L111" i="28" s="1"/>
  <c r="H111" i="28"/>
  <c r="I111" i="28" s="1"/>
  <c r="E111" i="28"/>
  <c r="N110" i="28"/>
  <c r="O110" i="28" s="1"/>
  <c r="K110" i="28"/>
  <c r="H110" i="28"/>
  <c r="I110" i="28" s="1"/>
  <c r="E110" i="28"/>
  <c r="F110" i="28" s="1"/>
  <c r="N109" i="28"/>
  <c r="K109" i="28"/>
  <c r="L109" i="28" s="1"/>
  <c r="H109" i="28"/>
  <c r="F109" i="28"/>
  <c r="E109" i="28"/>
  <c r="N108" i="28"/>
  <c r="O108" i="28" s="1"/>
  <c r="K108" i="28"/>
  <c r="H108" i="28"/>
  <c r="I108" i="28" s="1"/>
  <c r="E108" i="28"/>
  <c r="F108" i="28" s="1"/>
  <c r="N107" i="28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E106" i="28"/>
  <c r="N105" i="28"/>
  <c r="O105" i="28" s="1"/>
  <c r="L105" i="28"/>
  <c r="K105" i="28"/>
  <c r="H105" i="28"/>
  <c r="I105" i="28" s="1"/>
  <c r="E105" i="28"/>
  <c r="F105" i="28" s="1"/>
  <c r="N104" i="28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E102" i="28"/>
  <c r="N101" i="28"/>
  <c r="O101" i="28" s="1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E100" i="28"/>
  <c r="N99" i="28"/>
  <c r="O99" i="28" s="1"/>
  <c r="K99" i="28"/>
  <c r="L99" i="28" s="1"/>
  <c r="H99" i="28"/>
  <c r="F99" i="28"/>
  <c r="E99" i="28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F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E87" i="28"/>
  <c r="N86" i="28"/>
  <c r="K86" i="28"/>
  <c r="H86" i="28"/>
  <c r="E86" i="28"/>
  <c r="N85" i="28"/>
  <c r="O85" i="28" s="1"/>
  <c r="K85" i="28"/>
  <c r="H85" i="28"/>
  <c r="E85" i="28"/>
  <c r="N84" i="28"/>
  <c r="K84" i="28"/>
  <c r="H84" i="28"/>
  <c r="F84" i="28"/>
  <c r="E84" i="28"/>
  <c r="N83" i="28"/>
  <c r="K83" i="28"/>
  <c r="H83" i="28"/>
  <c r="E83" i="28"/>
  <c r="O82" i="28"/>
  <c r="N82" i="28"/>
  <c r="K82" i="28"/>
  <c r="H82" i="28"/>
  <c r="I82" i="28" s="1"/>
  <c r="E82" i="28"/>
  <c r="N81" i="28"/>
  <c r="K81" i="28"/>
  <c r="L81" i="28" s="1"/>
  <c r="H81" i="28"/>
  <c r="E81" i="28"/>
  <c r="N80" i="28"/>
  <c r="O80" i="28" s="1"/>
  <c r="K80" i="28"/>
  <c r="H80" i="28"/>
  <c r="E80" i="28"/>
  <c r="N79" i="28"/>
  <c r="K79" i="28"/>
  <c r="H79" i="28"/>
  <c r="I79" i="28" s="1"/>
  <c r="E79" i="28"/>
  <c r="N78" i="28"/>
  <c r="K78" i="28"/>
  <c r="H78" i="28"/>
  <c r="F78" i="28"/>
  <c r="E78" i="28"/>
  <c r="N77" i="28"/>
  <c r="K77" i="28"/>
  <c r="H77" i="28"/>
  <c r="I77" i="28" s="1"/>
  <c r="E77" i="28"/>
  <c r="N76" i="28"/>
  <c r="K76" i="28"/>
  <c r="L76" i="28" s="1"/>
  <c r="H76" i="28"/>
  <c r="E76" i="28"/>
  <c r="N75" i="28"/>
  <c r="O75" i="28" s="1"/>
  <c r="K75" i="28"/>
  <c r="H75" i="28"/>
  <c r="E75" i="28"/>
  <c r="N74" i="28"/>
  <c r="K74" i="28"/>
  <c r="H74" i="28"/>
  <c r="I74" i="28" s="1"/>
  <c r="E74" i="28"/>
  <c r="N73" i="28"/>
  <c r="K73" i="28"/>
  <c r="H73" i="28"/>
  <c r="E73" i="28"/>
  <c r="N72" i="28"/>
  <c r="K72" i="28"/>
  <c r="H72" i="28"/>
  <c r="I72" i="28" s="1"/>
  <c r="E72" i="28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O63" i="28" s="1"/>
  <c r="N63" i="28"/>
  <c r="K63" i="28"/>
  <c r="H63" i="28"/>
  <c r="E63" i="28"/>
  <c r="N62" i="28"/>
  <c r="O62" i="28" s="1"/>
  <c r="K62" i="28"/>
  <c r="H62" i="28"/>
  <c r="E62" i="28"/>
  <c r="N61" i="28"/>
  <c r="K61" i="28"/>
  <c r="H61" i="28"/>
  <c r="I61" i="28" s="1"/>
  <c r="E61" i="28"/>
  <c r="N60" i="28"/>
  <c r="K60" i="28"/>
  <c r="L60" i="28" s="1"/>
  <c r="H60" i="28"/>
  <c r="E60" i="28"/>
  <c r="O59" i="28"/>
  <c r="N59" i="28"/>
  <c r="K59" i="28"/>
  <c r="H59" i="28"/>
  <c r="I59" i="28" s="1"/>
  <c r="E59" i="28"/>
  <c r="N58" i="28"/>
  <c r="K58" i="28"/>
  <c r="H58" i="28"/>
  <c r="E58" i="28"/>
  <c r="N57" i="28"/>
  <c r="K57" i="28"/>
  <c r="H57" i="28"/>
  <c r="F57" i="28"/>
  <c r="E57" i="28"/>
  <c r="N56" i="28"/>
  <c r="K56" i="28"/>
  <c r="L56" i="28" s="1"/>
  <c r="H56" i="28"/>
  <c r="E56" i="28"/>
  <c r="N55" i="28"/>
  <c r="O55" i="28" s="1"/>
  <c r="K55" i="28"/>
  <c r="H55" i="28"/>
  <c r="F55" i="28"/>
  <c r="E55" i="28"/>
  <c r="N54" i="28"/>
  <c r="K54" i="28"/>
  <c r="H54" i="28"/>
  <c r="I54" i="28" s="1"/>
  <c r="E54" i="28"/>
  <c r="N53" i="28"/>
  <c r="K53" i="28"/>
  <c r="L53" i="28" s="1"/>
  <c r="H53" i="28"/>
  <c r="E53" i="28"/>
  <c r="N52" i="28"/>
  <c r="O52" i="28" s="1"/>
  <c r="K52" i="28"/>
  <c r="H52" i="28"/>
  <c r="E52" i="28"/>
  <c r="N51" i="28"/>
  <c r="K51" i="28"/>
  <c r="H51" i="28"/>
  <c r="I51" i="28" s="1"/>
  <c r="E51" i="28"/>
  <c r="N50" i="28"/>
  <c r="K50" i="28"/>
  <c r="L50" i="28" s="1"/>
  <c r="H50" i="28"/>
  <c r="E50" i="28"/>
  <c r="O49" i="28"/>
  <c r="N49" i="28"/>
  <c r="K49" i="28"/>
  <c r="H49" i="28"/>
  <c r="F49" i="28"/>
  <c r="E49" i="28"/>
  <c r="N48" i="28"/>
  <c r="K48" i="28"/>
  <c r="H48" i="28"/>
  <c r="I48" i="28" s="1"/>
  <c r="E48" i="28"/>
  <c r="N47" i="28"/>
  <c r="K47" i="28"/>
  <c r="H47" i="28"/>
  <c r="F47" i="28"/>
  <c r="E47" i="28"/>
  <c r="N46" i="28"/>
  <c r="K46" i="28"/>
  <c r="H46" i="28"/>
  <c r="I46" i="28" s="1"/>
  <c r="E46" i="28"/>
  <c r="N45" i="28"/>
  <c r="K45" i="28"/>
  <c r="L45" i="28" s="1"/>
  <c r="H45" i="28"/>
  <c r="E45" i="28"/>
  <c r="N44" i="28"/>
  <c r="N64" i="28" s="1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E195" i="27"/>
  <c r="F195" i="27" s="1"/>
  <c r="N194" i="27"/>
  <c r="O194" i="27" s="1"/>
  <c r="L194" i="27"/>
  <c r="K194" i="27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F190" i="27"/>
  <c r="E190" i="27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F185" i="27" s="1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F180" i="27"/>
  <c r="E180" i="27"/>
  <c r="N179" i="27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F171" i="27" s="1"/>
  <c r="N171" i="27"/>
  <c r="K171" i="27"/>
  <c r="H171" i="27"/>
  <c r="I171" i="27" s="1"/>
  <c r="E171" i="27"/>
  <c r="N170" i="27"/>
  <c r="K170" i="27"/>
  <c r="L170" i="27" s="1"/>
  <c r="H170" i="27"/>
  <c r="E170" i="27"/>
  <c r="O169" i="27"/>
  <c r="N169" i="27"/>
  <c r="K169" i="27"/>
  <c r="H169" i="27"/>
  <c r="F169" i="27"/>
  <c r="E169" i="27"/>
  <c r="N168" i="27"/>
  <c r="K168" i="27"/>
  <c r="H168" i="27"/>
  <c r="I168" i="27" s="1"/>
  <c r="E168" i="27"/>
  <c r="N167" i="27"/>
  <c r="K167" i="27"/>
  <c r="H167" i="27"/>
  <c r="F167" i="27"/>
  <c r="E167" i="27"/>
  <c r="N166" i="27"/>
  <c r="K166" i="27"/>
  <c r="H166" i="27"/>
  <c r="I166" i="27" s="1"/>
  <c r="E166" i="27"/>
  <c r="N165" i="27"/>
  <c r="K165" i="27"/>
  <c r="H165" i="27"/>
  <c r="E165" i="27"/>
  <c r="N164" i="27"/>
  <c r="K164" i="27"/>
  <c r="H164" i="27"/>
  <c r="I164" i="27" s="1"/>
  <c r="E164" i="27"/>
  <c r="N163" i="27"/>
  <c r="L163" i="27"/>
  <c r="K163" i="27"/>
  <c r="H163" i="27"/>
  <c r="E163" i="27"/>
  <c r="N162" i="27"/>
  <c r="K162" i="27"/>
  <c r="H162" i="27"/>
  <c r="F162" i="27"/>
  <c r="E162" i="27"/>
  <c r="N161" i="27"/>
  <c r="K161" i="27"/>
  <c r="H161" i="27"/>
  <c r="I161" i="27" s="1"/>
  <c r="E161" i="27"/>
  <c r="N160" i="27"/>
  <c r="K160" i="27"/>
  <c r="L160" i="27" s="1"/>
  <c r="H160" i="27"/>
  <c r="E160" i="27"/>
  <c r="N159" i="27"/>
  <c r="O159" i="27" s="1"/>
  <c r="K159" i="27"/>
  <c r="H159" i="27"/>
  <c r="F159" i="27"/>
  <c r="E159" i="27"/>
  <c r="N158" i="27"/>
  <c r="K158" i="27"/>
  <c r="H158" i="27"/>
  <c r="I158" i="27" s="1"/>
  <c r="E158" i="27"/>
  <c r="N157" i="27"/>
  <c r="K157" i="27"/>
  <c r="H157" i="27"/>
  <c r="E157" i="27"/>
  <c r="N156" i="27"/>
  <c r="K156" i="27"/>
  <c r="H156" i="27"/>
  <c r="F156" i="27"/>
  <c r="E156" i="27"/>
  <c r="N155" i="27"/>
  <c r="L155" i="27"/>
  <c r="K155" i="27"/>
  <c r="H155" i="27"/>
  <c r="E155" i="27"/>
  <c r="N154" i="27"/>
  <c r="K154" i="27"/>
  <c r="H154" i="27"/>
  <c r="F154" i="27"/>
  <c r="E154" i="27"/>
  <c r="N153" i="27"/>
  <c r="K153" i="27"/>
  <c r="H153" i="27"/>
  <c r="I153" i="27" s="1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K143" i="27"/>
  <c r="L143" i="27" s="1"/>
  <c r="H143" i="27"/>
  <c r="I143" i="27" s="1"/>
  <c r="E143" i="27"/>
  <c r="F143" i="27" s="1"/>
  <c r="N142" i="27"/>
  <c r="O142" i="27" s="1"/>
  <c r="K142" i="27"/>
  <c r="L142" i="27" s="1"/>
  <c r="H142" i="27"/>
  <c r="I142" i="27" s="1"/>
  <c r="E142" i="27"/>
  <c r="F142" i="27" s="1"/>
  <c r="N141" i="27"/>
  <c r="O141" i="27" s="1"/>
  <c r="K141" i="27"/>
  <c r="L141" i="27" s="1"/>
  <c r="I141" i="27"/>
  <c r="H141" i="27"/>
  <c r="E141" i="27"/>
  <c r="F141" i="27" s="1"/>
  <c r="N140" i="27"/>
  <c r="O140" i="27" s="1"/>
  <c r="L140" i="27"/>
  <c r="K140" i="27"/>
  <c r="H140" i="27"/>
  <c r="I140" i="27" s="1"/>
  <c r="E140" i="27"/>
  <c r="F140" i="27" s="1"/>
  <c r="O139" i="27"/>
  <c r="N139" i="27"/>
  <c r="L139" i="27"/>
  <c r="K139" i="27"/>
  <c r="H139" i="27"/>
  <c r="I139" i="27" s="1"/>
  <c r="E139" i="27"/>
  <c r="F139" i="27" s="1"/>
  <c r="N138" i="27"/>
  <c r="O138" i="27" s="1"/>
  <c r="K138" i="27"/>
  <c r="L138" i="27" s="1"/>
  <c r="H138" i="27"/>
  <c r="I138" i="27" s="1"/>
  <c r="E138" i="27"/>
  <c r="F138" i="27" s="1"/>
  <c r="N137" i="27"/>
  <c r="O137" i="27" s="1"/>
  <c r="K137" i="27"/>
  <c r="L137" i="27" s="1"/>
  <c r="H137" i="27"/>
  <c r="I137" i="27" s="1"/>
  <c r="E137" i="27"/>
  <c r="F137" i="27" s="1"/>
  <c r="N136" i="27"/>
  <c r="O136" i="27" s="1"/>
  <c r="K136" i="27"/>
  <c r="L136" i="27" s="1"/>
  <c r="H136" i="27"/>
  <c r="I136" i="27" s="1"/>
  <c r="E136" i="27"/>
  <c r="F136" i="27" s="1"/>
  <c r="O135" i="27"/>
  <c r="N135" i="27"/>
  <c r="K135" i="27"/>
  <c r="L135" i="27" s="1"/>
  <c r="H135" i="27"/>
  <c r="I135" i="27" s="1"/>
  <c r="E135" i="27"/>
  <c r="F135" i="27" s="1"/>
  <c r="N134" i="27"/>
  <c r="O134" i="27" s="1"/>
  <c r="K134" i="27"/>
  <c r="L134" i="27" s="1"/>
  <c r="H134" i="27"/>
  <c r="I134" i="27" s="1"/>
  <c r="E134" i="27"/>
  <c r="F134" i="27" s="1"/>
  <c r="N133" i="27"/>
  <c r="O133" i="27" s="1"/>
  <c r="K133" i="27"/>
  <c r="L133" i="27" s="1"/>
  <c r="I133" i="27"/>
  <c r="H133" i="27"/>
  <c r="E133" i="27"/>
  <c r="F133" i="27" s="1"/>
  <c r="N132" i="27"/>
  <c r="O132" i="27" s="1"/>
  <c r="K132" i="27"/>
  <c r="L132" i="27" s="1"/>
  <c r="H132" i="27"/>
  <c r="I132" i="27" s="1"/>
  <c r="E132" i="27"/>
  <c r="F132" i="27" s="1"/>
  <c r="N131" i="27"/>
  <c r="O131" i="27" s="1"/>
  <c r="L131" i="27"/>
  <c r="K131" i="27"/>
  <c r="H131" i="27"/>
  <c r="I131" i="27" s="1"/>
  <c r="E131" i="27"/>
  <c r="F131" i="27" s="1"/>
  <c r="O130" i="27"/>
  <c r="N130" i="27"/>
  <c r="L130" i="27"/>
  <c r="K130" i="27"/>
  <c r="H130" i="27"/>
  <c r="I130" i="27" s="1"/>
  <c r="E130" i="27"/>
  <c r="F130" i="27" s="1"/>
  <c r="N129" i="27"/>
  <c r="O129" i="27" s="1"/>
  <c r="K129" i="27"/>
  <c r="L129" i="27" s="1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F127" i="27" s="1"/>
  <c r="N126" i="27"/>
  <c r="O126" i="27" s="1"/>
  <c r="K126" i="27"/>
  <c r="L126" i="27" s="1"/>
  <c r="H126" i="27"/>
  <c r="I126" i="27" s="1"/>
  <c r="E126" i="27"/>
  <c r="F126" i="27" s="1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L114" i="27" s="1"/>
  <c r="N117" i="27"/>
  <c r="K117" i="27"/>
  <c r="L117" i="27" s="1"/>
  <c r="H117" i="27"/>
  <c r="E117" i="27"/>
  <c r="F117" i="27" s="1"/>
  <c r="N116" i="27"/>
  <c r="L116" i="27"/>
  <c r="K116" i="27"/>
  <c r="H116" i="27"/>
  <c r="I116" i="27" s="1"/>
  <c r="E116" i="27"/>
  <c r="N115" i="27"/>
  <c r="O115" i="27" s="1"/>
  <c r="K115" i="27"/>
  <c r="H115" i="27"/>
  <c r="I115" i="27" s="1"/>
  <c r="E115" i="27"/>
  <c r="N114" i="27"/>
  <c r="O114" i="27" s="1"/>
  <c r="K114" i="27"/>
  <c r="H114" i="27"/>
  <c r="E114" i="27"/>
  <c r="N113" i="27"/>
  <c r="O113" i="27" s="1"/>
  <c r="K113" i="27"/>
  <c r="H113" i="27"/>
  <c r="I113" i="27" s="1"/>
  <c r="E113" i="27"/>
  <c r="N112" i="27"/>
  <c r="O112" i="27" s="1"/>
  <c r="K112" i="27"/>
  <c r="H112" i="27"/>
  <c r="E112" i="27"/>
  <c r="F112" i="27" s="1"/>
  <c r="N111" i="27"/>
  <c r="K111" i="27"/>
  <c r="H111" i="27"/>
  <c r="I111" i="27" s="1"/>
  <c r="E111" i="27"/>
  <c r="N110" i="27"/>
  <c r="O110" i="27" s="1"/>
  <c r="K110" i="27"/>
  <c r="H110" i="27"/>
  <c r="E110" i="27"/>
  <c r="O109" i="27"/>
  <c r="N109" i="27"/>
  <c r="L109" i="27"/>
  <c r="K109" i="27"/>
  <c r="H109" i="27"/>
  <c r="I109" i="27" s="1"/>
  <c r="E109" i="27"/>
  <c r="O108" i="27"/>
  <c r="N108" i="27"/>
  <c r="K108" i="27"/>
  <c r="L108" i="27" s="1"/>
  <c r="H108" i="27"/>
  <c r="E108" i="27"/>
  <c r="F108" i="27" s="1"/>
  <c r="N107" i="27"/>
  <c r="L107" i="27"/>
  <c r="K107" i="27"/>
  <c r="H107" i="27"/>
  <c r="I107" i="27" s="1"/>
  <c r="E107" i="27"/>
  <c r="N106" i="27"/>
  <c r="O106" i="27" s="1"/>
  <c r="K106" i="27"/>
  <c r="I106" i="27"/>
  <c r="H106" i="27"/>
  <c r="E106" i="27"/>
  <c r="F106" i="27" s="1"/>
  <c r="N105" i="27"/>
  <c r="L105" i="27"/>
  <c r="K105" i="27"/>
  <c r="H105" i="27"/>
  <c r="I105" i="27" s="1"/>
  <c r="E105" i="27"/>
  <c r="N104" i="27"/>
  <c r="O104" i="27" s="1"/>
  <c r="K104" i="27"/>
  <c r="H104" i="27"/>
  <c r="I104" i="27" s="1"/>
  <c r="E104" i="27"/>
  <c r="O103" i="27"/>
  <c r="N103" i="27"/>
  <c r="L103" i="27"/>
  <c r="K103" i="27"/>
  <c r="H103" i="27"/>
  <c r="I103" i="27" s="1"/>
  <c r="E103" i="27"/>
  <c r="O102" i="27"/>
  <c r="N102" i="27"/>
  <c r="K102" i="27"/>
  <c r="L102" i="27" s="1"/>
  <c r="H102" i="27"/>
  <c r="E102" i="27"/>
  <c r="N101" i="27"/>
  <c r="O101" i="27" s="1"/>
  <c r="K101" i="27"/>
  <c r="H101" i="27"/>
  <c r="I101" i="27" s="1"/>
  <c r="E101" i="27"/>
  <c r="N100" i="27"/>
  <c r="O100" i="27" s="1"/>
  <c r="K100" i="27"/>
  <c r="H100" i="27"/>
  <c r="E100" i="27"/>
  <c r="F100" i="27" s="1"/>
  <c r="N99" i="27"/>
  <c r="K99" i="27"/>
  <c r="L99" i="27" s="1"/>
  <c r="H99" i="27"/>
  <c r="E99" i="27"/>
  <c r="F99" i="27" s="1"/>
  <c r="N98" i="27"/>
  <c r="L98" i="27"/>
  <c r="K98" i="27"/>
  <c r="I98" i="27"/>
  <c r="H98" i="27"/>
  <c r="E98" i="27"/>
  <c r="M96" i="27"/>
  <c r="J96" i="27"/>
  <c r="G96" i="27"/>
  <c r="D96" i="27"/>
  <c r="B96" i="27"/>
  <c r="M95" i="27"/>
  <c r="G95" i="27"/>
  <c r="B91" i="27"/>
  <c r="O89" i="27" s="1"/>
  <c r="N90" i="27"/>
  <c r="L90" i="27"/>
  <c r="K90" i="27"/>
  <c r="I90" i="27"/>
  <c r="H90" i="27"/>
  <c r="E90" i="27"/>
  <c r="F90" i="27" s="1"/>
  <c r="N89" i="27"/>
  <c r="K89" i="27"/>
  <c r="H89" i="27"/>
  <c r="I89" i="27" s="1"/>
  <c r="E89" i="27"/>
  <c r="N88" i="27"/>
  <c r="O88" i="27" s="1"/>
  <c r="K88" i="27"/>
  <c r="H88" i="27"/>
  <c r="E88" i="27"/>
  <c r="F88" i="27" s="1"/>
  <c r="N87" i="27"/>
  <c r="K87" i="27"/>
  <c r="L87" i="27" s="1"/>
  <c r="H87" i="27"/>
  <c r="E87" i="27"/>
  <c r="F87" i="27" s="1"/>
  <c r="N86" i="27"/>
  <c r="K86" i="27"/>
  <c r="H86" i="27"/>
  <c r="E86" i="27"/>
  <c r="N85" i="27"/>
  <c r="O85" i="27" s="1"/>
  <c r="K85" i="27"/>
  <c r="H85" i="27"/>
  <c r="E85" i="27"/>
  <c r="F85" i="27" s="1"/>
  <c r="N84" i="27"/>
  <c r="K84" i="27"/>
  <c r="L84" i="27" s="1"/>
  <c r="H84" i="27"/>
  <c r="E84" i="27"/>
  <c r="F84" i="27" s="1"/>
  <c r="N83" i="27"/>
  <c r="K83" i="27"/>
  <c r="H83" i="27"/>
  <c r="E83" i="27"/>
  <c r="F83" i="27" s="1"/>
  <c r="N82" i="27"/>
  <c r="K82" i="27"/>
  <c r="I82" i="27"/>
  <c r="H82" i="27"/>
  <c r="E82" i="27"/>
  <c r="F82" i="27" s="1"/>
  <c r="N81" i="27"/>
  <c r="K81" i="27"/>
  <c r="H81" i="27"/>
  <c r="I81" i="27" s="1"/>
  <c r="E81" i="27"/>
  <c r="N80" i="27"/>
  <c r="O80" i="27" s="1"/>
  <c r="K80" i="27"/>
  <c r="H80" i="27"/>
  <c r="I80" i="27" s="1"/>
  <c r="E80" i="27"/>
  <c r="O79" i="27"/>
  <c r="N79" i="27"/>
  <c r="L79" i="27"/>
  <c r="K79" i="27"/>
  <c r="H79" i="27"/>
  <c r="I79" i="27" s="1"/>
  <c r="E79" i="27"/>
  <c r="O78" i="27"/>
  <c r="N78" i="27"/>
  <c r="K78" i="27"/>
  <c r="L78" i="27" s="1"/>
  <c r="H78" i="27"/>
  <c r="E78" i="27"/>
  <c r="O77" i="27"/>
  <c r="N77" i="27"/>
  <c r="L77" i="27"/>
  <c r="K77" i="27"/>
  <c r="H77" i="27"/>
  <c r="I77" i="27" s="1"/>
  <c r="E77" i="27"/>
  <c r="O76" i="27"/>
  <c r="N76" i="27"/>
  <c r="L76" i="27"/>
  <c r="K76" i="27"/>
  <c r="H76" i="27"/>
  <c r="I76" i="27" s="1"/>
  <c r="E76" i="27"/>
  <c r="O75" i="27"/>
  <c r="N75" i="27"/>
  <c r="L75" i="27"/>
  <c r="K75" i="27"/>
  <c r="H75" i="27"/>
  <c r="I75" i="27" s="1"/>
  <c r="E75" i="27"/>
  <c r="O74" i="27"/>
  <c r="N74" i="27"/>
  <c r="L74" i="27"/>
  <c r="K74" i="27"/>
  <c r="I74" i="27"/>
  <c r="H74" i="27"/>
  <c r="E74" i="27"/>
  <c r="F74" i="27" s="1"/>
  <c r="N73" i="27"/>
  <c r="K73" i="27"/>
  <c r="L73" i="27" s="1"/>
  <c r="H73" i="27"/>
  <c r="E73" i="27"/>
  <c r="F73" i="27" s="1"/>
  <c r="N72" i="27"/>
  <c r="K72" i="27"/>
  <c r="H72" i="27"/>
  <c r="E72" i="27"/>
  <c r="F72" i="27" s="1"/>
  <c r="N71" i="27"/>
  <c r="K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H63" i="27"/>
  <c r="I63" i="27" s="1"/>
  <c r="E63" i="27"/>
  <c r="F63" i="27" s="1"/>
  <c r="N62" i="27"/>
  <c r="O62" i="27" s="1"/>
  <c r="L62" i="27"/>
  <c r="K62" i="27"/>
  <c r="I62" i="27"/>
  <c r="H62" i="27"/>
  <c r="E62" i="27"/>
  <c r="F62" i="27" s="1"/>
  <c r="N61" i="27"/>
  <c r="O61" i="27" s="1"/>
  <c r="K61" i="27"/>
  <c r="L61" i="27" s="1"/>
  <c r="H61" i="27"/>
  <c r="I61" i="27" s="1"/>
  <c r="E61" i="27"/>
  <c r="F61" i="27" s="1"/>
  <c r="N60" i="27"/>
  <c r="O60" i="27" s="1"/>
  <c r="K60" i="27"/>
  <c r="L60" i="27" s="1"/>
  <c r="H60" i="27"/>
  <c r="I60" i="27" s="1"/>
  <c r="E60" i="27"/>
  <c r="F60" i="27" s="1"/>
  <c r="N59" i="27"/>
  <c r="O59" i="27" s="1"/>
  <c r="K59" i="27"/>
  <c r="L59" i="27" s="1"/>
  <c r="H59" i="27"/>
  <c r="I59" i="27" s="1"/>
  <c r="E59" i="27"/>
  <c r="F59" i="27" s="1"/>
  <c r="N58" i="27"/>
  <c r="O58" i="27" s="1"/>
  <c r="K58" i="27"/>
  <c r="L58" i="27" s="1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K56" i="27"/>
  <c r="L56" i="27" s="1"/>
  <c r="H56" i="27"/>
  <c r="I56" i="27" s="1"/>
  <c r="E56" i="27"/>
  <c r="F56" i="27" s="1"/>
  <c r="N55" i="27"/>
  <c r="O55" i="27" s="1"/>
  <c r="L55" i="27"/>
  <c r="K55" i="27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F54" i="27" s="1"/>
  <c r="N53" i="27"/>
  <c r="O53" i="27" s="1"/>
  <c r="K53" i="27"/>
  <c r="L53" i="27" s="1"/>
  <c r="H53" i="27"/>
  <c r="I53" i="27" s="1"/>
  <c r="E53" i="27"/>
  <c r="F53" i="27" s="1"/>
  <c r="N52" i="27"/>
  <c r="O52" i="27" s="1"/>
  <c r="K52" i="27"/>
  <c r="L52" i="27" s="1"/>
  <c r="H52" i="27"/>
  <c r="I52" i="27" s="1"/>
  <c r="E52" i="27"/>
  <c r="F52" i="27" s="1"/>
  <c r="O51" i="27"/>
  <c r="N51" i="27"/>
  <c r="K51" i="27"/>
  <c r="L51" i="27" s="1"/>
  <c r="H51" i="27"/>
  <c r="I51" i="27" s="1"/>
  <c r="E51" i="27"/>
  <c r="F51" i="27" s="1"/>
  <c r="N50" i="27"/>
  <c r="O50" i="27" s="1"/>
  <c r="K50" i="27"/>
  <c r="L50" i="27" s="1"/>
  <c r="H50" i="27"/>
  <c r="I50" i="27" s="1"/>
  <c r="E50" i="27"/>
  <c r="F50" i="27" s="1"/>
  <c r="N49" i="27"/>
  <c r="O49" i="27" s="1"/>
  <c r="K49" i="27"/>
  <c r="L49" i="27" s="1"/>
  <c r="H49" i="27"/>
  <c r="I49" i="27" s="1"/>
  <c r="E49" i="27"/>
  <c r="F49" i="27" s="1"/>
  <c r="N48" i="27"/>
  <c r="O48" i="27" s="1"/>
  <c r="L48" i="27"/>
  <c r="K48" i="27"/>
  <c r="H48" i="27"/>
  <c r="I48" i="27" s="1"/>
  <c r="E48" i="27"/>
  <c r="F48" i="27" s="1"/>
  <c r="N47" i="27"/>
  <c r="O47" i="27" s="1"/>
  <c r="K47" i="27"/>
  <c r="L47" i="27" s="1"/>
  <c r="H47" i="27"/>
  <c r="I47" i="27" s="1"/>
  <c r="E47" i="27"/>
  <c r="F47" i="27" s="1"/>
  <c r="N46" i="27"/>
  <c r="O46" i="27" s="1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N44" i="27"/>
  <c r="K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 s="1"/>
  <c r="N198" i="26"/>
  <c r="K198" i="26"/>
  <c r="H198" i="26"/>
  <c r="E198" i="26"/>
  <c r="N197" i="26"/>
  <c r="O197" i="26" s="1"/>
  <c r="K197" i="26"/>
  <c r="H197" i="26"/>
  <c r="E197" i="26"/>
  <c r="N196" i="26"/>
  <c r="K196" i="26"/>
  <c r="H196" i="26"/>
  <c r="I196" i="26" s="1"/>
  <c r="E196" i="26"/>
  <c r="N195" i="26"/>
  <c r="L195" i="26"/>
  <c r="K195" i="26"/>
  <c r="H195" i="26"/>
  <c r="E195" i="26"/>
  <c r="N194" i="26"/>
  <c r="K194" i="26"/>
  <c r="H194" i="26"/>
  <c r="I194" i="26" s="1"/>
  <c r="E194" i="26"/>
  <c r="N193" i="26"/>
  <c r="K193" i="26"/>
  <c r="L193" i="26" s="1"/>
  <c r="H193" i="26"/>
  <c r="E193" i="26"/>
  <c r="N192" i="26"/>
  <c r="O192" i="26" s="1"/>
  <c r="K192" i="26"/>
  <c r="H192" i="26"/>
  <c r="E192" i="26"/>
  <c r="N191" i="26"/>
  <c r="K191" i="26"/>
  <c r="H191" i="26"/>
  <c r="F191" i="26"/>
  <c r="E191" i="26"/>
  <c r="N190" i="26"/>
  <c r="K190" i="26"/>
  <c r="H190" i="26"/>
  <c r="E190" i="26"/>
  <c r="N189" i="26"/>
  <c r="O189" i="26" s="1"/>
  <c r="K189" i="26"/>
  <c r="H189" i="26"/>
  <c r="E189" i="26"/>
  <c r="N188" i="26"/>
  <c r="K188" i="26"/>
  <c r="H188" i="26"/>
  <c r="I188" i="26" s="1"/>
  <c r="E188" i="26"/>
  <c r="N187" i="26"/>
  <c r="K187" i="26"/>
  <c r="L187" i="26" s="1"/>
  <c r="H187" i="26"/>
  <c r="E187" i="26"/>
  <c r="O186" i="26"/>
  <c r="N186" i="26"/>
  <c r="K186" i="26"/>
  <c r="H186" i="26"/>
  <c r="I186" i="26" s="1"/>
  <c r="E186" i="26"/>
  <c r="N185" i="26"/>
  <c r="K185" i="26"/>
  <c r="L185" i="26" s="1"/>
  <c r="H185" i="26"/>
  <c r="E185" i="26"/>
  <c r="N184" i="26"/>
  <c r="O184" i="26" s="1"/>
  <c r="K184" i="26"/>
  <c r="H184" i="26"/>
  <c r="E184" i="26"/>
  <c r="N183" i="26"/>
  <c r="K183" i="26"/>
  <c r="H183" i="26"/>
  <c r="F183" i="26"/>
  <c r="E183" i="26"/>
  <c r="N182" i="26"/>
  <c r="K182" i="26"/>
  <c r="H182" i="26"/>
  <c r="E182" i="26"/>
  <c r="O181" i="26"/>
  <c r="N181" i="26"/>
  <c r="K181" i="26"/>
  <c r="H181" i="26"/>
  <c r="F181" i="26"/>
  <c r="E181" i="26"/>
  <c r="N180" i="26"/>
  <c r="K180" i="26"/>
  <c r="H180" i="26"/>
  <c r="I180" i="26" s="1"/>
  <c r="E180" i="26"/>
  <c r="N179" i="26"/>
  <c r="K179" i="26"/>
  <c r="H179" i="26"/>
  <c r="E179" i="26"/>
  <c r="E199" i="26" s="1"/>
  <c r="M177" i="26"/>
  <c r="J177" i="26"/>
  <c r="G177" i="26"/>
  <c r="D177" i="26"/>
  <c r="B177" i="26"/>
  <c r="M176" i="26"/>
  <c r="G176" i="26"/>
  <c r="B172" i="26"/>
  <c r="F171" i="26" s="1"/>
  <c r="N171" i="26"/>
  <c r="K171" i="26"/>
  <c r="H171" i="26"/>
  <c r="I171" i="26" s="1"/>
  <c r="E171" i="26"/>
  <c r="N170" i="26"/>
  <c r="K170" i="26"/>
  <c r="L170" i="26" s="1"/>
  <c r="H170" i="26"/>
  <c r="E170" i="26"/>
  <c r="N169" i="26"/>
  <c r="O169" i="26" s="1"/>
  <c r="K169" i="26"/>
  <c r="H169" i="26"/>
  <c r="E169" i="26"/>
  <c r="N168" i="26"/>
  <c r="K168" i="26"/>
  <c r="H168" i="26"/>
  <c r="F168" i="26"/>
  <c r="E168" i="26"/>
  <c r="N167" i="26"/>
  <c r="K167" i="26"/>
  <c r="H167" i="26"/>
  <c r="E167" i="26"/>
  <c r="N166" i="26"/>
  <c r="O166" i="26" s="1"/>
  <c r="K166" i="26"/>
  <c r="H166" i="26"/>
  <c r="E166" i="26"/>
  <c r="N165" i="26"/>
  <c r="K165" i="26"/>
  <c r="H165" i="26"/>
  <c r="I165" i="26" s="1"/>
  <c r="E165" i="26"/>
  <c r="N164" i="26"/>
  <c r="K164" i="26"/>
  <c r="L164" i="26" s="1"/>
  <c r="H164" i="26"/>
  <c r="E164" i="26"/>
  <c r="O163" i="26"/>
  <c r="N163" i="26"/>
  <c r="K163" i="26"/>
  <c r="H163" i="26"/>
  <c r="I163" i="26" s="1"/>
  <c r="E163" i="26"/>
  <c r="N162" i="26"/>
  <c r="K162" i="26"/>
  <c r="L162" i="26" s="1"/>
  <c r="H162" i="26"/>
  <c r="E162" i="26"/>
  <c r="N161" i="26"/>
  <c r="O161" i="26" s="1"/>
  <c r="K161" i="26"/>
  <c r="H161" i="26"/>
  <c r="E161" i="26"/>
  <c r="N160" i="26"/>
  <c r="K160" i="26"/>
  <c r="H160" i="26"/>
  <c r="F160" i="26"/>
  <c r="E160" i="26"/>
  <c r="N159" i="26"/>
  <c r="K159" i="26"/>
  <c r="H159" i="26"/>
  <c r="E159" i="26"/>
  <c r="O158" i="26"/>
  <c r="N158" i="26"/>
  <c r="K158" i="26"/>
  <c r="H158" i="26"/>
  <c r="F158" i="26"/>
  <c r="E158" i="26"/>
  <c r="N157" i="26"/>
  <c r="K157" i="26"/>
  <c r="H157" i="26"/>
  <c r="I157" i="26" s="1"/>
  <c r="E157" i="26"/>
  <c r="N156" i="26"/>
  <c r="K156" i="26"/>
  <c r="H156" i="26"/>
  <c r="E156" i="26"/>
  <c r="N155" i="26"/>
  <c r="K155" i="26"/>
  <c r="H155" i="26"/>
  <c r="I155" i="26" s="1"/>
  <c r="E155" i="26"/>
  <c r="N154" i="26"/>
  <c r="K154" i="26"/>
  <c r="L154" i="26" s="1"/>
  <c r="H154" i="26"/>
  <c r="E154" i="26"/>
  <c r="N153" i="26"/>
  <c r="O153" i="26" s="1"/>
  <c r="K153" i="26"/>
  <c r="H153" i="26"/>
  <c r="E153" i="26"/>
  <c r="N152" i="26"/>
  <c r="K152" i="26"/>
  <c r="H152" i="26"/>
  <c r="F152" i="26"/>
  <c r="E152" i="26"/>
  <c r="M150" i="26"/>
  <c r="J150" i="26"/>
  <c r="G150" i="26"/>
  <c r="D150" i="26"/>
  <c r="B150" i="26"/>
  <c r="M149" i="26"/>
  <c r="G149" i="26"/>
  <c r="B145" i="26"/>
  <c r="L144" i="26" s="1"/>
  <c r="N144" i="26"/>
  <c r="O144" i="26" s="1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E143" i="26"/>
  <c r="N142" i="26"/>
  <c r="O142" i="26" s="1"/>
  <c r="K142" i="26"/>
  <c r="H142" i="26"/>
  <c r="I142" i="26" s="1"/>
  <c r="E142" i="26"/>
  <c r="F142" i="26" s="1"/>
  <c r="N141" i="26"/>
  <c r="K141" i="26"/>
  <c r="L141" i="26" s="1"/>
  <c r="H141" i="26"/>
  <c r="I141" i="26" s="1"/>
  <c r="F141" i="26"/>
  <c r="E141" i="26"/>
  <c r="O140" i="26"/>
  <c r="N140" i="26"/>
  <c r="L140" i="26"/>
  <c r="K140" i="26"/>
  <c r="H140" i="26"/>
  <c r="I140" i="26" s="1"/>
  <c r="E140" i="26"/>
  <c r="F140" i="26" s="1"/>
  <c r="N139" i="26"/>
  <c r="K139" i="26"/>
  <c r="L139" i="26" s="1"/>
  <c r="H139" i="26"/>
  <c r="I139" i="26" s="1"/>
  <c r="F139" i="26"/>
  <c r="E139" i="26"/>
  <c r="O138" i="26"/>
  <c r="N138" i="26"/>
  <c r="K138" i="26"/>
  <c r="L138" i="26" s="1"/>
  <c r="H138" i="26"/>
  <c r="F138" i="26"/>
  <c r="E138" i="26"/>
  <c r="N137" i="26"/>
  <c r="O137" i="26" s="1"/>
  <c r="K137" i="26"/>
  <c r="H137" i="26"/>
  <c r="I137" i="26" s="1"/>
  <c r="E137" i="26"/>
  <c r="F137" i="26" s="1"/>
  <c r="N136" i="26"/>
  <c r="K136" i="26"/>
  <c r="L136" i="26" s="1"/>
  <c r="H136" i="26"/>
  <c r="F136" i="26"/>
  <c r="E136" i="26"/>
  <c r="O135" i="26"/>
  <c r="N135" i="26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E134" i="26"/>
  <c r="N133" i="26"/>
  <c r="O133" i="26" s="1"/>
  <c r="K133" i="26"/>
  <c r="H133" i="26"/>
  <c r="I133" i="26" s="1"/>
  <c r="E133" i="26"/>
  <c r="F133" i="26" s="1"/>
  <c r="N132" i="26"/>
  <c r="L132" i="26"/>
  <c r="K132" i="26"/>
  <c r="H132" i="26"/>
  <c r="I132" i="26" s="1"/>
  <c r="E132" i="26"/>
  <c r="N131" i="26"/>
  <c r="O131" i="26" s="1"/>
  <c r="K131" i="26"/>
  <c r="H131" i="26"/>
  <c r="I131" i="26" s="1"/>
  <c r="E131" i="26"/>
  <c r="F131" i="26" s="1"/>
  <c r="N130" i="26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F129" i="26"/>
  <c r="E129" i="26"/>
  <c r="N128" i="26"/>
  <c r="O128" i="26" s="1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E127" i="26"/>
  <c r="N126" i="26"/>
  <c r="O126" i="26" s="1"/>
  <c r="K126" i="26"/>
  <c r="H126" i="26"/>
  <c r="I126" i="26" s="1"/>
  <c r="E126" i="26"/>
  <c r="F126" i="26" s="1"/>
  <c r="N125" i="26"/>
  <c r="K125" i="26"/>
  <c r="H125" i="26"/>
  <c r="F125" i="26"/>
  <c r="E125" i="26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E117" i="26"/>
  <c r="F117" i="26" s="1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F111" i="26"/>
  <c r="E111" i="26"/>
  <c r="N110" i="26"/>
  <c r="O110" i="26" s="1"/>
  <c r="K110" i="26"/>
  <c r="L110" i="26" s="1"/>
  <c r="H110" i="26"/>
  <c r="I110" i="26" s="1"/>
  <c r="F110" i="26"/>
  <c r="E110" i="26"/>
  <c r="O109" i="26"/>
  <c r="N109" i="26"/>
  <c r="L109" i="26"/>
  <c r="K109" i="26"/>
  <c r="H109" i="26"/>
  <c r="I109" i="26" s="1"/>
  <c r="E109" i="26"/>
  <c r="F109" i="26" s="1"/>
  <c r="N108" i="26"/>
  <c r="O108" i="26" s="1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E107" i="26"/>
  <c r="F107" i="26" s="1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O104" i="26"/>
  <c r="N104" i="26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O102" i="26"/>
  <c r="N102" i="26"/>
  <c r="L102" i="26"/>
  <c r="K102" i="26"/>
  <c r="H102" i="26"/>
  <c r="I102" i="26" s="1"/>
  <c r="E102" i="26"/>
  <c r="F102" i="26" s="1"/>
  <c r="N101" i="26"/>
  <c r="O101" i="26" s="1"/>
  <c r="L101" i="26"/>
  <c r="K101" i="26"/>
  <c r="H101" i="26"/>
  <c r="I101" i="26" s="1"/>
  <c r="E101" i="26"/>
  <c r="F101" i="26" s="1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E98" i="26"/>
  <c r="M96" i="26"/>
  <c r="J96" i="26"/>
  <c r="G96" i="26"/>
  <c r="D96" i="26"/>
  <c r="B96" i="26"/>
  <c r="M95" i="26"/>
  <c r="G95" i="26"/>
  <c r="B91" i="26"/>
  <c r="L90" i="26" s="1"/>
  <c r="N90" i="26"/>
  <c r="K90" i="26"/>
  <c r="H90" i="26"/>
  <c r="F90" i="26"/>
  <c r="E90" i="26"/>
  <c r="N89" i="26"/>
  <c r="O89" i="26" s="1"/>
  <c r="K89" i="26"/>
  <c r="H89" i="26"/>
  <c r="I89" i="26" s="1"/>
  <c r="E89" i="26"/>
  <c r="N88" i="26"/>
  <c r="K88" i="26"/>
  <c r="H88" i="26"/>
  <c r="I88" i="26" s="1"/>
  <c r="E88" i="26"/>
  <c r="N87" i="26"/>
  <c r="L87" i="26"/>
  <c r="K87" i="26"/>
  <c r="H87" i="26"/>
  <c r="I87" i="26" s="1"/>
  <c r="E87" i="26"/>
  <c r="N86" i="26"/>
  <c r="L86" i="26"/>
  <c r="K86" i="26"/>
  <c r="H86" i="26"/>
  <c r="I86" i="26" s="1"/>
  <c r="E86" i="26"/>
  <c r="N85" i="26"/>
  <c r="K85" i="26"/>
  <c r="L85" i="26" s="1"/>
  <c r="H85" i="26"/>
  <c r="F85" i="26"/>
  <c r="E85" i="26"/>
  <c r="N84" i="26"/>
  <c r="O84" i="26" s="1"/>
  <c r="K84" i="26"/>
  <c r="H84" i="26"/>
  <c r="I84" i="26" s="1"/>
  <c r="E84" i="26"/>
  <c r="N83" i="26"/>
  <c r="L83" i="26"/>
  <c r="K83" i="26"/>
  <c r="H83" i="26"/>
  <c r="I83" i="26" s="1"/>
  <c r="E83" i="26"/>
  <c r="N82" i="26"/>
  <c r="K82" i="26"/>
  <c r="H82" i="26"/>
  <c r="F82" i="26"/>
  <c r="E82" i="26"/>
  <c r="N81" i="26"/>
  <c r="O81" i="26" s="1"/>
  <c r="K81" i="26"/>
  <c r="H81" i="26"/>
  <c r="I81" i="26" s="1"/>
  <c r="E81" i="26"/>
  <c r="N80" i="26"/>
  <c r="K80" i="26"/>
  <c r="H80" i="26"/>
  <c r="I80" i="26" s="1"/>
  <c r="E80" i="26"/>
  <c r="N79" i="26"/>
  <c r="K79" i="26"/>
  <c r="L79" i="26" s="1"/>
  <c r="H79" i="26"/>
  <c r="F79" i="26"/>
  <c r="E79" i="26"/>
  <c r="O78" i="26"/>
  <c r="N78" i="26"/>
  <c r="L78" i="26"/>
  <c r="K78" i="26"/>
  <c r="H78" i="26"/>
  <c r="I78" i="26" s="1"/>
  <c r="E78" i="26"/>
  <c r="N77" i="26"/>
  <c r="K77" i="26"/>
  <c r="H77" i="26"/>
  <c r="I77" i="26" s="1"/>
  <c r="E77" i="26"/>
  <c r="N76" i="26"/>
  <c r="K76" i="26"/>
  <c r="L76" i="26" s="1"/>
  <c r="H76" i="26"/>
  <c r="F76" i="26"/>
  <c r="E76" i="26"/>
  <c r="O75" i="26"/>
  <c r="N75" i="26"/>
  <c r="L75" i="26"/>
  <c r="K75" i="26"/>
  <c r="H75" i="26"/>
  <c r="I75" i="26" s="1"/>
  <c r="E75" i="26"/>
  <c r="N74" i="26"/>
  <c r="L74" i="26"/>
  <c r="K74" i="26"/>
  <c r="H74" i="26"/>
  <c r="I74" i="26" s="1"/>
  <c r="E74" i="26"/>
  <c r="N73" i="26"/>
  <c r="K73" i="26"/>
  <c r="L73" i="26" s="1"/>
  <c r="H73" i="26"/>
  <c r="F73" i="26"/>
  <c r="E73" i="26"/>
  <c r="O72" i="26"/>
  <c r="N72" i="26"/>
  <c r="K72" i="26"/>
  <c r="L72" i="26" s="1"/>
  <c r="H72" i="26"/>
  <c r="F72" i="26"/>
  <c r="E72" i="26"/>
  <c r="N71" i="26"/>
  <c r="K71" i="26"/>
  <c r="H71" i="26"/>
  <c r="F71" i="26"/>
  <c r="E71" i="26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O54" i="26"/>
  <c r="N54" i="26"/>
  <c r="K54" i="26"/>
  <c r="L54" i="26" s="1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E49" i="26"/>
  <c r="F49" i="26" s="1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O46" i="26"/>
  <c r="N46" i="26"/>
  <c r="K46" i="26"/>
  <c r="L46" i="26" s="1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H44" i="26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7" i="25" s="1"/>
  <c r="N198" i="25"/>
  <c r="L198" i="25"/>
  <c r="K198" i="25"/>
  <c r="H198" i="25"/>
  <c r="I198" i="25" s="1"/>
  <c r="E198" i="25"/>
  <c r="N197" i="25"/>
  <c r="K197" i="25"/>
  <c r="H197" i="25"/>
  <c r="I197" i="25" s="1"/>
  <c r="E197" i="25"/>
  <c r="N196" i="25"/>
  <c r="K196" i="25"/>
  <c r="H196" i="25"/>
  <c r="I196" i="25" s="1"/>
  <c r="E196" i="25"/>
  <c r="N195" i="25"/>
  <c r="K195" i="25"/>
  <c r="H195" i="25"/>
  <c r="I195" i="25" s="1"/>
  <c r="E195" i="25"/>
  <c r="N194" i="25"/>
  <c r="K194" i="25"/>
  <c r="H194" i="25"/>
  <c r="F194" i="25"/>
  <c r="E194" i="25"/>
  <c r="N193" i="25"/>
  <c r="O193" i="25" s="1"/>
  <c r="K193" i="25"/>
  <c r="H193" i="25"/>
  <c r="I193" i="25" s="1"/>
  <c r="E193" i="25"/>
  <c r="N192" i="25"/>
  <c r="K192" i="25"/>
  <c r="L192" i="25" s="1"/>
  <c r="H192" i="25"/>
  <c r="F192" i="25"/>
  <c r="E192" i="25"/>
  <c r="N191" i="25"/>
  <c r="O191" i="25" s="1"/>
  <c r="K191" i="25"/>
  <c r="H191" i="25"/>
  <c r="I191" i="25" s="1"/>
  <c r="E191" i="25"/>
  <c r="N190" i="25"/>
  <c r="L190" i="25"/>
  <c r="K190" i="25"/>
  <c r="H190" i="25"/>
  <c r="I190" i="25" s="1"/>
  <c r="E190" i="25"/>
  <c r="N189" i="25"/>
  <c r="K189" i="25"/>
  <c r="L189" i="25" s="1"/>
  <c r="H189" i="25"/>
  <c r="F189" i="25"/>
  <c r="E189" i="25"/>
  <c r="O188" i="25"/>
  <c r="N188" i="25"/>
  <c r="K188" i="25"/>
  <c r="L188" i="25" s="1"/>
  <c r="H188" i="25"/>
  <c r="F188" i="25"/>
  <c r="E188" i="25"/>
  <c r="N187" i="25"/>
  <c r="O187" i="25" s="1"/>
  <c r="K187" i="25"/>
  <c r="H187" i="25"/>
  <c r="I187" i="25" s="1"/>
  <c r="E187" i="25"/>
  <c r="N186" i="25"/>
  <c r="K186" i="25"/>
  <c r="H186" i="25"/>
  <c r="F186" i="25"/>
  <c r="E186" i="25"/>
  <c r="N185" i="25"/>
  <c r="O185" i="25" s="1"/>
  <c r="K185" i="25"/>
  <c r="H185" i="25"/>
  <c r="I185" i="25" s="1"/>
  <c r="E185" i="25"/>
  <c r="N184" i="25"/>
  <c r="K184" i="25"/>
  <c r="L184" i="25" s="1"/>
  <c r="H184" i="25"/>
  <c r="F184" i="25"/>
  <c r="E184" i="25"/>
  <c r="N183" i="25"/>
  <c r="O183" i="25" s="1"/>
  <c r="K183" i="25"/>
  <c r="H183" i="25"/>
  <c r="I183" i="25" s="1"/>
  <c r="E183" i="25"/>
  <c r="N182" i="25"/>
  <c r="L182" i="25"/>
  <c r="K182" i="25"/>
  <c r="H182" i="25"/>
  <c r="I182" i="25" s="1"/>
  <c r="E182" i="25"/>
  <c r="N181" i="25"/>
  <c r="K181" i="25"/>
  <c r="H181" i="25"/>
  <c r="I181" i="25" s="1"/>
  <c r="E181" i="25"/>
  <c r="N180" i="25"/>
  <c r="K180" i="25"/>
  <c r="H180" i="25"/>
  <c r="I180" i="25" s="1"/>
  <c r="E180" i="25"/>
  <c r="N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O171" i="25" s="1"/>
  <c r="N171" i="25"/>
  <c r="K171" i="25"/>
  <c r="H171" i="25"/>
  <c r="E171" i="25"/>
  <c r="N170" i="25"/>
  <c r="O170" i="25" s="1"/>
  <c r="K170" i="25"/>
  <c r="H170" i="25"/>
  <c r="E170" i="25"/>
  <c r="N169" i="25"/>
  <c r="K169" i="25"/>
  <c r="H169" i="25"/>
  <c r="F169" i="25"/>
  <c r="E169" i="25"/>
  <c r="N168" i="25"/>
  <c r="K168" i="25"/>
  <c r="H168" i="25"/>
  <c r="I168" i="25" s="1"/>
  <c r="E168" i="25"/>
  <c r="N167" i="25"/>
  <c r="L167" i="25"/>
  <c r="K167" i="25"/>
  <c r="H167" i="25"/>
  <c r="E167" i="25"/>
  <c r="N166" i="25"/>
  <c r="K166" i="25"/>
  <c r="H166" i="25"/>
  <c r="I166" i="25" s="1"/>
  <c r="E166" i="25"/>
  <c r="N165" i="25"/>
  <c r="K165" i="25"/>
  <c r="H165" i="25"/>
  <c r="E165" i="25"/>
  <c r="N164" i="25"/>
  <c r="K164" i="25"/>
  <c r="H164" i="25"/>
  <c r="I164" i="25" s="1"/>
  <c r="E164" i="25"/>
  <c r="N163" i="25"/>
  <c r="K163" i="25"/>
  <c r="H163" i="25"/>
  <c r="F163" i="25"/>
  <c r="E163" i="25"/>
  <c r="N162" i="25"/>
  <c r="K162" i="25"/>
  <c r="H162" i="25"/>
  <c r="I162" i="25" s="1"/>
  <c r="E162" i="25"/>
  <c r="N161" i="25"/>
  <c r="K161" i="25"/>
  <c r="L161" i="25" s="1"/>
  <c r="H161" i="25"/>
  <c r="E161" i="25"/>
  <c r="N160" i="25"/>
  <c r="O160" i="25" s="1"/>
  <c r="K160" i="25"/>
  <c r="H160" i="25"/>
  <c r="E160" i="25"/>
  <c r="N159" i="25"/>
  <c r="K159" i="25"/>
  <c r="H159" i="25"/>
  <c r="I159" i="25" s="1"/>
  <c r="E159" i="25"/>
  <c r="N158" i="25"/>
  <c r="K158" i="25"/>
  <c r="H158" i="25"/>
  <c r="E158" i="25"/>
  <c r="N157" i="25"/>
  <c r="K157" i="25"/>
  <c r="H157" i="25"/>
  <c r="I157" i="25" s="1"/>
  <c r="E157" i="25"/>
  <c r="N156" i="25"/>
  <c r="K156" i="25"/>
  <c r="H156" i="25"/>
  <c r="E156" i="25"/>
  <c r="N155" i="25"/>
  <c r="K155" i="25"/>
  <c r="H155" i="25"/>
  <c r="E155" i="25"/>
  <c r="N154" i="25"/>
  <c r="O154" i="25" s="1"/>
  <c r="K154" i="25"/>
  <c r="H154" i="25"/>
  <c r="E154" i="25"/>
  <c r="N153" i="25"/>
  <c r="K153" i="25"/>
  <c r="H153" i="25"/>
  <c r="F153" i="25"/>
  <c r="E153" i="25"/>
  <c r="N152" i="25"/>
  <c r="K152" i="25"/>
  <c r="H152" i="25"/>
  <c r="H172" i="25" s="1"/>
  <c r="E152" i="25"/>
  <c r="M150" i="25"/>
  <c r="J150" i="25"/>
  <c r="G150" i="25"/>
  <c r="D150" i="25"/>
  <c r="B150" i="25"/>
  <c r="M149" i="25"/>
  <c r="G149" i="25"/>
  <c r="B145" i="25"/>
  <c r="L142" i="25" s="1"/>
  <c r="N144" i="25"/>
  <c r="L144" i="25"/>
  <c r="K144" i="25"/>
  <c r="H144" i="25"/>
  <c r="I144" i="25" s="1"/>
  <c r="E144" i="25"/>
  <c r="N143" i="25"/>
  <c r="O143" i="25" s="1"/>
  <c r="K143" i="25"/>
  <c r="H143" i="25"/>
  <c r="I143" i="25" s="1"/>
  <c r="E143" i="25"/>
  <c r="N142" i="25"/>
  <c r="O142" i="25" s="1"/>
  <c r="K142" i="25"/>
  <c r="H142" i="25"/>
  <c r="E142" i="25"/>
  <c r="N141" i="25"/>
  <c r="O141" i="25" s="1"/>
  <c r="K141" i="25"/>
  <c r="H141" i="25"/>
  <c r="I141" i="25" s="1"/>
  <c r="E141" i="25"/>
  <c r="N140" i="25"/>
  <c r="O140" i="25" s="1"/>
  <c r="K140" i="25"/>
  <c r="H140" i="25"/>
  <c r="E140" i="25"/>
  <c r="F140" i="25" s="1"/>
  <c r="N139" i="25"/>
  <c r="K139" i="25"/>
  <c r="H139" i="25"/>
  <c r="I139" i="25" s="1"/>
  <c r="E139" i="25"/>
  <c r="N138" i="25"/>
  <c r="O138" i="25" s="1"/>
  <c r="K138" i="25"/>
  <c r="H138" i="25"/>
  <c r="E138" i="25"/>
  <c r="O137" i="25"/>
  <c r="N137" i="25"/>
  <c r="L137" i="25"/>
  <c r="K137" i="25"/>
  <c r="H137" i="25"/>
  <c r="I137" i="25" s="1"/>
  <c r="E137" i="25"/>
  <c r="N136" i="25"/>
  <c r="O136" i="25" s="1"/>
  <c r="K136" i="25"/>
  <c r="H136" i="25"/>
  <c r="I136" i="25" s="1"/>
  <c r="E136" i="25"/>
  <c r="N135" i="25"/>
  <c r="O135" i="25" s="1"/>
  <c r="K135" i="25"/>
  <c r="H135" i="25"/>
  <c r="E135" i="25"/>
  <c r="F135" i="25" s="1"/>
  <c r="N134" i="25"/>
  <c r="K134" i="25"/>
  <c r="L134" i="25" s="1"/>
  <c r="H134" i="25"/>
  <c r="E134" i="25"/>
  <c r="N133" i="25"/>
  <c r="O133" i="25" s="1"/>
  <c r="K133" i="25"/>
  <c r="H133" i="25"/>
  <c r="E133" i="25"/>
  <c r="F133" i="25" s="1"/>
  <c r="N132" i="25"/>
  <c r="K132" i="25"/>
  <c r="L132" i="25" s="1"/>
  <c r="H132" i="25"/>
  <c r="E132" i="25"/>
  <c r="F132" i="25" s="1"/>
  <c r="N131" i="25"/>
  <c r="L131" i="25"/>
  <c r="K131" i="25"/>
  <c r="H131" i="25"/>
  <c r="I131" i="25" s="1"/>
  <c r="E131" i="25"/>
  <c r="O130" i="25"/>
  <c r="N130" i="25"/>
  <c r="K130" i="25"/>
  <c r="L130" i="25" s="1"/>
  <c r="H130" i="25"/>
  <c r="E130" i="25"/>
  <c r="N129" i="25"/>
  <c r="O129" i="25" s="1"/>
  <c r="K129" i="25"/>
  <c r="H129" i="25"/>
  <c r="I129" i="25" s="1"/>
  <c r="E129" i="25"/>
  <c r="N128" i="25"/>
  <c r="O128" i="25" s="1"/>
  <c r="K128" i="25"/>
  <c r="H128" i="25"/>
  <c r="E128" i="25"/>
  <c r="F128" i="25" s="1"/>
  <c r="N127" i="25"/>
  <c r="K127" i="25"/>
  <c r="L127" i="25" s="1"/>
  <c r="H127" i="25"/>
  <c r="F127" i="25"/>
  <c r="E127" i="25"/>
  <c r="N126" i="25"/>
  <c r="O126" i="25" s="1"/>
  <c r="K126" i="25"/>
  <c r="H126" i="25"/>
  <c r="I126" i="25" s="1"/>
  <c r="E126" i="25"/>
  <c r="N125" i="25"/>
  <c r="L125" i="25"/>
  <c r="K125" i="25"/>
  <c r="H125" i="25"/>
  <c r="E125" i="25"/>
  <c r="M123" i="25"/>
  <c r="J123" i="25"/>
  <c r="G123" i="25"/>
  <c r="D123" i="25"/>
  <c r="B123" i="25"/>
  <c r="M122" i="25"/>
  <c r="G122" i="25"/>
  <c r="B118" i="25"/>
  <c r="I112" i="25" s="1"/>
  <c r="N117" i="25"/>
  <c r="K117" i="25"/>
  <c r="H117" i="25"/>
  <c r="I117" i="25" s="1"/>
  <c r="E117" i="25"/>
  <c r="O116" i="25"/>
  <c r="N116" i="25"/>
  <c r="K116" i="25"/>
  <c r="L116" i="25" s="1"/>
  <c r="H116" i="25"/>
  <c r="E116" i="25"/>
  <c r="N115" i="25"/>
  <c r="O115" i="25" s="1"/>
  <c r="K115" i="25"/>
  <c r="H115" i="25"/>
  <c r="E115" i="25"/>
  <c r="F115" i="25" s="1"/>
  <c r="N114" i="25"/>
  <c r="K114" i="25"/>
  <c r="H114" i="25"/>
  <c r="I114" i="25" s="1"/>
  <c r="E114" i="25"/>
  <c r="O113" i="25"/>
  <c r="N113" i="25"/>
  <c r="L113" i="25"/>
  <c r="K113" i="25"/>
  <c r="H113" i="25"/>
  <c r="I113" i="25" s="1"/>
  <c r="E113" i="25"/>
  <c r="O112" i="25"/>
  <c r="N112" i="25"/>
  <c r="K112" i="25"/>
  <c r="L112" i="25" s="1"/>
  <c r="H112" i="25"/>
  <c r="E112" i="25"/>
  <c r="O111" i="25"/>
  <c r="N111" i="25"/>
  <c r="K111" i="25"/>
  <c r="L111" i="25" s="1"/>
  <c r="H111" i="25"/>
  <c r="E111" i="25"/>
  <c r="F111" i="25" s="1"/>
  <c r="N110" i="25"/>
  <c r="K110" i="25"/>
  <c r="L110" i="25" s="1"/>
  <c r="H110" i="25"/>
  <c r="E110" i="25"/>
  <c r="F110" i="25" s="1"/>
  <c r="N109" i="25"/>
  <c r="K109" i="25"/>
  <c r="H109" i="25"/>
  <c r="I109" i="25" s="1"/>
  <c r="E109" i="25"/>
  <c r="N108" i="25"/>
  <c r="O108" i="25" s="1"/>
  <c r="K108" i="25"/>
  <c r="I108" i="25"/>
  <c r="H108" i="25"/>
  <c r="E108" i="25"/>
  <c r="F108" i="25" s="1"/>
  <c r="N107" i="25"/>
  <c r="K107" i="25"/>
  <c r="L107" i="25" s="1"/>
  <c r="H107" i="25"/>
  <c r="E107" i="25"/>
  <c r="F107" i="25" s="1"/>
  <c r="N106" i="25"/>
  <c r="K106" i="25"/>
  <c r="H106" i="25"/>
  <c r="E106" i="25"/>
  <c r="F106" i="25" s="1"/>
  <c r="N105" i="25"/>
  <c r="K105" i="25"/>
  <c r="L105" i="25" s="1"/>
  <c r="H105" i="25"/>
  <c r="E105" i="25"/>
  <c r="F105" i="25" s="1"/>
  <c r="N104" i="25"/>
  <c r="L104" i="25"/>
  <c r="K104" i="25"/>
  <c r="I104" i="25"/>
  <c r="H104" i="25"/>
  <c r="E104" i="25"/>
  <c r="F104" i="25" s="1"/>
  <c r="N103" i="25"/>
  <c r="K103" i="25"/>
  <c r="L103" i="25" s="1"/>
  <c r="H103" i="25"/>
  <c r="E103" i="25"/>
  <c r="F103" i="25" s="1"/>
  <c r="N102" i="25"/>
  <c r="K102" i="25"/>
  <c r="L102" i="25" s="1"/>
  <c r="H102" i="25"/>
  <c r="E102" i="25"/>
  <c r="F102" i="25" s="1"/>
  <c r="N101" i="25"/>
  <c r="K101" i="25"/>
  <c r="H101" i="25"/>
  <c r="I101" i="25" s="1"/>
  <c r="E101" i="25"/>
  <c r="N100" i="25"/>
  <c r="O100" i="25" s="1"/>
  <c r="K100" i="25"/>
  <c r="I100" i="25"/>
  <c r="H100" i="25"/>
  <c r="E100" i="25"/>
  <c r="F100" i="25" s="1"/>
  <c r="N99" i="25"/>
  <c r="L99" i="25"/>
  <c r="K99" i="25"/>
  <c r="H99" i="25"/>
  <c r="I99" i="25" s="1"/>
  <c r="E99" i="25"/>
  <c r="N98" i="25"/>
  <c r="K98" i="25"/>
  <c r="H98" i="25"/>
  <c r="E98" i="25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H87" i="25"/>
  <c r="I87" i="25" s="1"/>
  <c r="E87" i="25"/>
  <c r="F87" i="25" s="1"/>
  <c r="N86" i="25"/>
  <c r="O86" i="25" s="1"/>
  <c r="K86" i="25"/>
  <c r="L86" i="25" s="1"/>
  <c r="H86" i="25"/>
  <c r="I86" i="25" s="1"/>
  <c r="E86" i="25"/>
  <c r="F86" i="25" s="1"/>
  <c r="N85" i="25"/>
  <c r="O85" i="25" s="1"/>
  <c r="K85" i="25"/>
  <c r="L85" i="25" s="1"/>
  <c r="H85" i="25"/>
  <c r="I85" i="25" s="1"/>
  <c r="E85" i="25"/>
  <c r="F85" i="25" s="1"/>
  <c r="N84" i="25"/>
  <c r="O84" i="25" s="1"/>
  <c r="K84" i="25"/>
  <c r="L84" i="25" s="1"/>
  <c r="H84" i="25"/>
  <c r="I84" i="25" s="1"/>
  <c r="E84" i="25"/>
  <c r="F84" i="25" s="1"/>
  <c r="N83" i="25"/>
  <c r="O83" i="25" s="1"/>
  <c r="K83" i="25"/>
  <c r="L83" i="25" s="1"/>
  <c r="H83" i="25"/>
  <c r="I83" i="25" s="1"/>
  <c r="E83" i="25"/>
  <c r="F83" i="25" s="1"/>
  <c r="N82" i="25"/>
  <c r="O82" i="25" s="1"/>
  <c r="K82" i="25"/>
  <c r="L82" i="25" s="1"/>
  <c r="H82" i="25"/>
  <c r="I82" i="25" s="1"/>
  <c r="E82" i="25"/>
  <c r="F82" i="25" s="1"/>
  <c r="O81" i="25"/>
  <c r="N81" i="25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H79" i="25"/>
  <c r="I79" i="25" s="1"/>
  <c r="E79" i="25"/>
  <c r="F79" i="25" s="1"/>
  <c r="N78" i="25"/>
  <c r="O78" i="25" s="1"/>
  <c r="K78" i="25"/>
  <c r="L78" i="25" s="1"/>
  <c r="H78" i="25"/>
  <c r="I78" i="25" s="1"/>
  <c r="E78" i="25"/>
  <c r="F78" i="25" s="1"/>
  <c r="N77" i="25"/>
  <c r="O77" i="25" s="1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O75" i="25"/>
  <c r="N75" i="25"/>
  <c r="L75" i="25"/>
  <c r="K75" i="25"/>
  <c r="I75" i="25"/>
  <c r="H75" i="25"/>
  <c r="E75" i="25"/>
  <c r="F75" i="25" s="1"/>
  <c r="N74" i="25"/>
  <c r="O74" i="25" s="1"/>
  <c r="L74" i="25"/>
  <c r="K74" i="25"/>
  <c r="H74" i="25"/>
  <c r="I74" i="25" s="1"/>
  <c r="E74" i="25"/>
  <c r="F74" i="25" s="1"/>
  <c r="N73" i="25"/>
  <c r="O73" i="25" s="1"/>
  <c r="K73" i="25"/>
  <c r="L73" i="25" s="1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O71" i="25" s="1"/>
  <c r="K71" i="25"/>
  <c r="I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 s="1"/>
  <c r="N63" i="25"/>
  <c r="K63" i="25"/>
  <c r="I63" i="25"/>
  <c r="H63" i="25"/>
  <c r="E63" i="25"/>
  <c r="N62" i="25"/>
  <c r="O62" i="25" s="1"/>
  <c r="K62" i="25"/>
  <c r="H62" i="25"/>
  <c r="F62" i="25"/>
  <c r="E62" i="25"/>
  <c r="N61" i="25"/>
  <c r="K61" i="25"/>
  <c r="I61" i="25"/>
  <c r="H61" i="25"/>
  <c r="E61" i="25"/>
  <c r="O60" i="25"/>
  <c r="N60" i="25"/>
  <c r="K60" i="25"/>
  <c r="H60" i="25"/>
  <c r="E60" i="25"/>
  <c r="N59" i="25"/>
  <c r="K59" i="25"/>
  <c r="H59" i="25"/>
  <c r="F59" i="25"/>
  <c r="E59" i="25"/>
  <c r="N58" i="25"/>
  <c r="K58" i="25"/>
  <c r="I58" i="25"/>
  <c r="H58" i="25"/>
  <c r="E58" i="25"/>
  <c r="N57" i="25"/>
  <c r="O57" i="25" s="1"/>
  <c r="K57" i="25"/>
  <c r="H57" i="25"/>
  <c r="F57" i="25"/>
  <c r="E57" i="25"/>
  <c r="N56" i="25"/>
  <c r="K56" i="25"/>
  <c r="L56" i="25" s="1"/>
  <c r="H56" i="25"/>
  <c r="E56" i="25"/>
  <c r="N55" i="25"/>
  <c r="K55" i="25"/>
  <c r="I55" i="25"/>
  <c r="H55" i="25"/>
  <c r="E55" i="25"/>
  <c r="N54" i="25"/>
  <c r="O54" i="25" s="1"/>
  <c r="K54" i="25"/>
  <c r="H54" i="25"/>
  <c r="F54" i="25"/>
  <c r="E54" i="25"/>
  <c r="N53" i="25"/>
  <c r="K53" i="25"/>
  <c r="I53" i="25"/>
  <c r="H53" i="25"/>
  <c r="E53" i="25"/>
  <c r="N52" i="25"/>
  <c r="O52" i="25" s="1"/>
  <c r="K52" i="25"/>
  <c r="H52" i="25"/>
  <c r="F52" i="25"/>
  <c r="E52" i="25"/>
  <c r="N51" i="25"/>
  <c r="K51" i="25"/>
  <c r="L51" i="25" s="1"/>
  <c r="H51" i="25"/>
  <c r="E51" i="25"/>
  <c r="N50" i="25"/>
  <c r="K50" i="25"/>
  <c r="H50" i="25"/>
  <c r="E50" i="25"/>
  <c r="N49" i="25"/>
  <c r="K49" i="25"/>
  <c r="L49" i="25" s="1"/>
  <c r="H49" i="25"/>
  <c r="E49" i="25"/>
  <c r="N48" i="25"/>
  <c r="K48" i="25"/>
  <c r="H48" i="25"/>
  <c r="E48" i="25"/>
  <c r="N47" i="25"/>
  <c r="K47" i="25"/>
  <c r="H47" i="25"/>
  <c r="F47" i="25"/>
  <c r="E47" i="25"/>
  <c r="N46" i="25"/>
  <c r="K46" i="25"/>
  <c r="I46" i="25"/>
  <c r="H46" i="25"/>
  <c r="E46" i="25"/>
  <c r="N45" i="25"/>
  <c r="O45" i="25" s="1"/>
  <c r="K45" i="25"/>
  <c r="H45" i="25"/>
  <c r="F45" i="25"/>
  <c r="E45" i="25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L195" i="24" s="1"/>
  <c r="N198" i="24"/>
  <c r="L198" i="24"/>
  <c r="K198" i="24"/>
  <c r="H198" i="24"/>
  <c r="I198" i="24" s="1"/>
  <c r="E198" i="24"/>
  <c r="O197" i="24"/>
  <c r="N197" i="24"/>
  <c r="K197" i="24"/>
  <c r="L197" i="24" s="1"/>
  <c r="H197" i="24"/>
  <c r="E197" i="24"/>
  <c r="N196" i="24"/>
  <c r="O196" i="24" s="1"/>
  <c r="K196" i="24"/>
  <c r="I196" i="24"/>
  <c r="H196" i="24"/>
  <c r="E196" i="24"/>
  <c r="F196" i="24" s="1"/>
  <c r="N195" i="24"/>
  <c r="K195" i="24"/>
  <c r="H195" i="24"/>
  <c r="E195" i="24"/>
  <c r="F195" i="24" s="1"/>
  <c r="N194" i="24"/>
  <c r="K194" i="24"/>
  <c r="L194" i="24" s="1"/>
  <c r="H194" i="24"/>
  <c r="E194" i="24"/>
  <c r="F194" i="24" s="1"/>
  <c r="N193" i="24"/>
  <c r="L193" i="24"/>
  <c r="K193" i="24"/>
  <c r="I193" i="24"/>
  <c r="H193" i="24"/>
  <c r="E193" i="24"/>
  <c r="F193" i="24" s="1"/>
  <c r="N192" i="24"/>
  <c r="K192" i="24"/>
  <c r="L192" i="24" s="1"/>
  <c r="H192" i="24"/>
  <c r="E192" i="24"/>
  <c r="O191" i="24"/>
  <c r="N191" i="24"/>
  <c r="K191" i="24"/>
  <c r="L191" i="24" s="1"/>
  <c r="H191" i="24"/>
  <c r="E191" i="24"/>
  <c r="F191" i="24" s="1"/>
  <c r="N190" i="24"/>
  <c r="L190" i="24"/>
  <c r="K190" i="24"/>
  <c r="H190" i="24"/>
  <c r="I190" i="24" s="1"/>
  <c r="E190" i="24"/>
  <c r="N189" i="24"/>
  <c r="O189" i="24" s="1"/>
  <c r="K189" i="24"/>
  <c r="I189" i="24"/>
  <c r="H189" i="24"/>
  <c r="E189" i="24"/>
  <c r="F189" i="24" s="1"/>
  <c r="N188" i="24"/>
  <c r="K188" i="24"/>
  <c r="L188" i="24" s="1"/>
  <c r="H188" i="24"/>
  <c r="E188" i="24"/>
  <c r="N187" i="24"/>
  <c r="O187" i="24" s="1"/>
  <c r="K187" i="24"/>
  <c r="H187" i="24"/>
  <c r="E187" i="24"/>
  <c r="F187" i="24" s="1"/>
  <c r="N186" i="24"/>
  <c r="K186" i="24"/>
  <c r="L186" i="24" s="1"/>
  <c r="H186" i="24"/>
  <c r="E186" i="24"/>
  <c r="F186" i="24" s="1"/>
  <c r="N185" i="24"/>
  <c r="L185" i="24"/>
  <c r="K185" i="24"/>
  <c r="I185" i="24"/>
  <c r="H185" i="24"/>
  <c r="E185" i="24"/>
  <c r="F185" i="24" s="1"/>
  <c r="N184" i="24"/>
  <c r="K184" i="24"/>
  <c r="L184" i="24" s="1"/>
  <c r="H184" i="24"/>
  <c r="E184" i="24"/>
  <c r="N183" i="24"/>
  <c r="O183" i="24" s="1"/>
  <c r="K183" i="24"/>
  <c r="H183" i="24"/>
  <c r="I183" i="24" s="1"/>
  <c r="E183" i="24"/>
  <c r="O182" i="24"/>
  <c r="N182" i="24"/>
  <c r="L182" i="24"/>
  <c r="K182" i="24"/>
  <c r="H182" i="24"/>
  <c r="I182" i="24" s="1"/>
  <c r="E182" i="24"/>
  <c r="N181" i="24"/>
  <c r="O181" i="24" s="1"/>
  <c r="K181" i="24"/>
  <c r="I181" i="24"/>
  <c r="H181" i="24"/>
  <c r="E181" i="24"/>
  <c r="F181" i="24" s="1"/>
  <c r="N180" i="24"/>
  <c r="K180" i="24"/>
  <c r="I180" i="24"/>
  <c r="H180" i="24"/>
  <c r="E180" i="24"/>
  <c r="F180" i="24" s="1"/>
  <c r="N179" i="24"/>
  <c r="L179" i="24"/>
  <c r="K179" i="24"/>
  <c r="H179" i="24"/>
  <c r="H199" i="24" s="1"/>
  <c r="E179" i="24"/>
  <c r="M177" i="24"/>
  <c r="J177" i="24"/>
  <c r="G177" i="24"/>
  <c r="D177" i="24"/>
  <c r="B177" i="24"/>
  <c r="M176" i="24"/>
  <c r="G176" i="24"/>
  <c r="B172" i="24"/>
  <c r="O171" i="24"/>
  <c r="N171" i="24"/>
  <c r="K171" i="24"/>
  <c r="L171" i="24" s="1"/>
  <c r="H171" i="24"/>
  <c r="I171" i="24" s="1"/>
  <c r="E171" i="24"/>
  <c r="O170" i="24"/>
  <c r="N170" i="24"/>
  <c r="K170" i="24"/>
  <c r="L170" i="24" s="1"/>
  <c r="H170" i="24"/>
  <c r="I170" i="24" s="1"/>
  <c r="E170" i="24"/>
  <c r="N169" i="24"/>
  <c r="O169" i="24" s="1"/>
  <c r="K169" i="24"/>
  <c r="L169" i="24" s="1"/>
  <c r="H169" i="24"/>
  <c r="I169" i="24" s="1"/>
  <c r="E169" i="24"/>
  <c r="N168" i="24"/>
  <c r="O168" i="24" s="1"/>
  <c r="K168" i="24"/>
  <c r="L168" i="24" s="1"/>
  <c r="H168" i="24"/>
  <c r="I168" i="24" s="1"/>
  <c r="E168" i="24"/>
  <c r="O167" i="24"/>
  <c r="N167" i="24"/>
  <c r="L167" i="24"/>
  <c r="K167" i="24"/>
  <c r="I167" i="24"/>
  <c r="H167" i="24"/>
  <c r="E167" i="24"/>
  <c r="N166" i="24"/>
  <c r="O166" i="24" s="1"/>
  <c r="K166" i="24"/>
  <c r="L166" i="24" s="1"/>
  <c r="H166" i="24"/>
  <c r="I166" i="24" s="1"/>
  <c r="E166" i="24"/>
  <c r="N165" i="24"/>
  <c r="O165" i="24" s="1"/>
  <c r="K165" i="24"/>
  <c r="L165" i="24" s="1"/>
  <c r="I165" i="24"/>
  <c r="H165" i="24"/>
  <c r="E165" i="24"/>
  <c r="N164" i="24"/>
  <c r="O164" i="24" s="1"/>
  <c r="K164" i="24"/>
  <c r="L164" i="24" s="1"/>
  <c r="H164" i="24"/>
  <c r="I164" i="24" s="1"/>
  <c r="E164" i="24"/>
  <c r="N163" i="24"/>
  <c r="O163" i="24" s="1"/>
  <c r="K163" i="24"/>
  <c r="L163" i="24" s="1"/>
  <c r="I163" i="24"/>
  <c r="H163" i="24"/>
  <c r="E163" i="24"/>
  <c r="N162" i="24"/>
  <c r="O162" i="24" s="1"/>
  <c r="K162" i="24"/>
  <c r="L162" i="24" s="1"/>
  <c r="H162" i="24"/>
  <c r="I162" i="24" s="1"/>
  <c r="E162" i="24"/>
  <c r="N161" i="24"/>
  <c r="O161" i="24" s="1"/>
  <c r="K161" i="24"/>
  <c r="L161" i="24" s="1"/>
  <c r="I161" i="24"/>
  <c r="H161" i="24"/>
  <c r="E161" i="24"/>
  <c r="N160" i="24"/>
  <c r="O160" i="24" s="1"/>
  <c r="K160" i="24"/>
  <c r="L160" i="24" s="1"/>
  <c r="H160" i="24"/>
  <c r="I160" i="24" s="1"/>
  <c r="E160" i="24"/>
  <c r="N159" i="24"/>
  <c r="O159" i="24" s="1"/>
  <c r="K159" i="24"/>
  <c r="L159" i="24" s="1"/>
  <c r="H159" i="24"/>
  <c r="I159" i="24" s="1"/>
  <c r="E159" i="24"/>
  <c r="N158" i="24"/>
  <c r="O158" i="24" s="1"/>
  <c r="K158" i="24"/>
  <c r="L158" i="24" s="1"/>
  <c r="H158" i="24"/>
  <c r="I158" i="24" s="1"/>
  <c r="E158" i="24"/>
  <c r="O157" i="24"/>
  <c r="N157" i="24"/>
  <c r="K157" i="24"/>
  <c r="L157" i="24" s="1"/>
  <c r="H157" i="24"/>
  <c r="I157" i="24" s="1"/>
  <c r="E157" i="24"/>
  <c r="O156" i="24"/>
  <c r="N156" i="24"/>
  <c r="L156" i="24"/>
  <c r="K156" i="24"/>
  <c r="H156" i="24"/>
  <c r="I156" i="24" s="1"/>
  <c r="E156" i="24"/>
  <c r="O155" i="24"/>
  <c r="N155" i="24"/>
  <c r="K155" i="24"/>
  <c r="L155" i="24" s="1"/>
  <c r="H155" i="24"/>
  <c r="I155" i="24" s="1"/>
  <c r="E155" i="24"/>
  <c r="O154" i="24"/>
  <c r="N154" i="24"/>
  <c r="K154" i="24"/>
  <c r="L154" i="24" s="1"/>
  <c r="H154" i="24"/>
  <c r="I154" i="24" s="1"/>
  <c r="E154" i="24"/>
  <c r="N153" i="24"/>
  <c r="O153" i="24" s="1"/>
  <c r="K153" i="24"/>
  <c r="L153" i="24" s="1"/>
  <c r="H153" i="24"/>
  <c r="I153" i="24" s="1"/>
  <c r="E153" i="24"/>
  <c r="N152" i="24"/>
  <c r="K152" i="24"/>
  <c r="H152" i="24"/>
  <c r="E152" i="24"/>
  <c r="M150" i="24"/>
  <c r="J150" i="24"/>
  <c r="G150" i="24"/>
  <c r="D150" i="24"/>
  <c r="B150" i="24"/>
  <c r="M149" i="24"/>
  <c r="G149" i="24"/>
  <c r="B145" i="24"/>
  <c r="L144" i="24" s="1"/>
  <c r="N144" i="24"/>
  <c r="O144" i="24" s="1"/>
  <c r="K144" i="24"/>
  <c r="H144" i="24"/>
  <c r="I144" i="24" s="1"/>
  <c r="E144" i="24"/>
  <c r="N143" i="24"/>
  <c r="O143" i="24" s="1"/>
  <c r="K143" i="24"/>
  <c r="L143" i="24" s="1"/>
  <c r="H143" i="24"/>
  <c r="I143" i="24" s="1"/>
  <c r="E143" i="24"/>
  <c r="N142" i="24"/>
  <c r="O142" i="24" s="1"/>
  <c r="K142" i="24"/>
  <c r="L142" i="24" s="1"/>
  <c r="H142" i="24"/>
  <c r="E142" i="24"/>
  <c r="F142" i="24" s="1"/>
  <c r="N141" i="24"/>
  <c r="O141" i="24" s="1"/>
  <c r="K141" i="24"/>
  <c r="H141" i="24"/>
  <c r="I141" i="24" s="1"/>
  <c r="E141" i="24"/>
  <c r="F141" i="24" s="1"/>
  <c r="N140" i="24"/>
  <c r="K140" i="24"/>
  <c r="L140" i="24" s="1"/>
  <c r="H140" i="24"/>
  <c r="I140" i="24" s="1"/>
  <c r="E140" i="24"/>
  <c r="N139" i="24"/>
  <c r="O139" i="24" s="1"/>
  <c r="K139" i="24"/>
  <c r="L139" i="24" s="1"/>
  <c r="H139" i="24"/>
  <c r="I139" i="24" s="1"/>
  <c r="E139" i="24"/>
  <c r="N138" i="24"/>
  <c r="O138" i="24" s="1"/>
  <c r="K138" i="24"/>
  <c r="L138" i="24" s="1"/>
  <c r="I138" i="24"/>
  <c r="H138" i="24"/>
  <c r="E138" i="24"/>
  <c r="F138" i="24" s="1"/>
  <c r="N137" i="24"/>
  <c r="O137" i="24" s="1"/>
  <c r="K137" i="24"/>
  <c r="H137" i="24"/>
  <c r="I137" i="24" s="1"/>
  <c r="E137" i="24"/>
  <c r="F137" i="24" s="1"/>
  <c r="N136" i="24"/>
  <c r="L136" i="24"/>
  <c r="K136" i="24"/>
  <c r="I136" i="24"/>
  <c r="H136" i="24"/>
  <c r="E136" i="24"/>
  <c r="F136" i="24" s="1"/>
  <c r="N135" i="24"/>
  <c r="O135" i="24" s="1"/>
  <c r="K135" i="24"/>
  <c r="L135" i="24" s="1"/>
  <c r="H135" i="24"/>
  <c r="E135" i="24"/>
  <c r="N134" i="24"/>
  <c r="O134" i="24" s="1"/>
  <c r="K134" i="24"/>
  <c r="L134" i="24" s="1"/>
  <c r="H134" i="24"/>
  <c r="E134" i="24"/>
  <c r="F134" i="24" s="1"/>
  <c r="O133" i="24"/>
  <c r="N133" i="24"/>
  <c r="L133" i="24"/>
  <c r="K133" i="24"/>
  <c r="H133" i="24"/>
  <c r="I133" i="24" s="1"/>
  <c r="E133" i="24"/>
  <c r="N132" i="24"/>
  <c r="O132" i="24" s="1"/>
  <c r="K132" i="24"/>
  <c r="L132" i="24" s="1"/>
  <c r="I132" i="24"/>
  <c r="H132" i="24"/>
  <c r="E132" i="24"/>
  <c r="F132" i="24" s="1"/>
  <c r="N131" i="24"/>
  <c r="O131" i="24" s="1"/>
  <c r="K131" i="24"/>
  <c r="H131" i="24"/>
  <c r="I131" i="24" s="1"/>
  <c r="E131" i="24"/>
  <c r="N130" i="24"/>
  <c r="O130" i="24" s="1"/>
  <c r="K130" i="24"/>
  <c r="I130" i="24"/>
  <c r="H130" i="24"/>
  <c r="E130" i="24"/>
  <c r="F130" i="24" s="1"/>
  <c r="N129" i="24"/>
  <c r="K129" i="24"/>
  <c r="L129" i="24" s="1"/>
  <c r="H129" i="24"/>
  <c r="I129" i="24" s="1"/>
  <c r="E129" i="24"/>
  <c r="F129" i="24" s="1"/>
  <c r="N128" i="24"/>
  <c r="K128" i="24"/>
  <c r="L128" i="24" s="1"/>
  <c r="H128" i="24"/>
  <c r="E128" i="24"/>
  <c r="F128" i="24" s="1"/>
  <c r="N127" i="24"/>
  <c r="O127" i="24" s="1"/>
  <c r="K127" i="24"/>
  <c r="H127" i="24"/>
  <c r="I127" i="24" s="1"/>
  <c r="E127" i="24"/>
  <c r="O126" i="24"/>
  <c r="N126" i="24"/>
  <c r="L126" i="24"/>
  <c r="K126" i="24"/>
  <c r="I126" i="24"/>
  <c r="H126" i="24"/>
  <c r="E126" i="24"/>
  <c r="F126" i="24" s="1"/>
  <c r="N125" i="24"/>
  <c r="L125" i="24"/>
  <c r="K125" i="24"/>
  <c r="H125" i="24"/>
  <c r="E125" i="24"/>
  <c r="M123" i="24"/>
  <c r="J123" i="24"/>
  <c r="G123" i="24"/>
  <c r="D123" i="24"/>
  <c r="B123" i="24"/>
  <c r="M122" i="24"/>
  <c r="G122" i="24"/>
  <c r="B118" i="24"/>
  <c r="I115" i="24" s="1"/>
  <c r="N117" i="24"/>
  <c r="O117" i="24" s="1"/>
  <c r="K117" i="24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O115" i="24"/>
  <c r="N115" i="24"/>
  <c r="K115" i="24"/>
  <c r="L115" i="24" s="1"/>
  <c r="H115" i="24"/>
  <c r="E115" i="24"/>
  <c r="F115" i="24" s="1"/>
  <c r="O114" i="24"/>
  <c r="N114" i="24"/>
  <c r="K114" i="24"/>
  <c r="L114" i="24" s="1"/>
  <c r="H114" i="24"/>
  <c r="I114" i="24" s="1"/>
  <c r="E114" i="24"/>
  <c r="F114" i="24" s="1"/>
  <c r="N113" i="24"/>
  <c r="K113" i="24"/>
  <c r="L113" i="24" s="1"/>
  <c r="H113" i="24"/>
  <c r="I113" i="24" s="1"/>
  <c r="E113" i="24"/>
  <c r="F113" i="24" s="1"/>
  <c r="N112" i="24"/>
  <c r="K112" i="24"/>
  <c r="L112" i="24" s="1"/>
  <c r="H112" i="24"/>
  <c r="I112" i="24" s="1"/>
  <c r="E112" i="24"/>
  <c r="N111" i="24"/>
  <c r="O111" i="24" s="1"/>
  <c r="K111" i="24"/>
  <c r="L111" i="24" s="1"/>
  <c r="I111" i="24"/>
  <c r="H111" i="24"/>
  <c r="E111" i="24"/>
  <c r="F111" i="24" s="1"/>
  <c r="N110" i="24"/>
  <c r="O110" i="24" s="1"/>
  <c r="K110" i="24"/>
  <c r="L110" i="24" s="1"/>
  <c r="H110" i="24"/>
  <c r="E110" i="24"/>
  <c r="F110" i="24" s="1"/>
  <c r="N109" i="24"/>
  <c r="O109" i="24" s="1"/>
  <c r="K109" i="24"/>
  <c r="H109" i="24"/>
  <c r="I109" i="24" s="1"/>
  <c r="E109" i="24"/>
  <c r="F109" i="24" s="1"/>
  <c r="N108" i="24"/>
  <c r="K108" i="24"/>
  <c r="L108" i="24" s="1"/>
  <c r="H108" i="24"/>
  <c r="I108" i="24" s="1"/>
  <c r="E108" i="24"/>
  <c r="N107" i="24"/>
  <c r="O107" i="24" s="1"/>
  <c r="K107" i="24"/>
  <c r="L107" i="24" s="1"/>
  <c r="H107" i="24"/>
  <c r="E107" i="24"/>
  <c r="F107" i="24" s="1"/>
  <c r="O106" i="24"/>
  <c r="N106" i="24"/>
  <c r="K106" i="24"/>
  <c r="L106" i="24" s="1"/>
  <c r="H106" i="24"/>
  <c r="I106" i="24" s="1"/>
  <c r="E106" i="24"/>
  <c r="F106" i="24" s="1"/>
  <c r="N105" i="24"/>
  <c r="L105" i="24"/>
  <c r="K105" i="24"/>
  <c r="H105" i="24"/>
  <c r="I105" i="24" s="1"/>
  <c r="E105" i="24"/>
  <c r="N104" i="24"/>
  <c r="O104" i="24" s="1"/>
  <c r="K104" i="24"/>
  <c r="L104" i="24" s="1"/>
  <c r="I104" i="24"/>
  <c r="H104" i="24"/>
  <c r="E104" i="24"/>
  <c r="N103" i="24"/>
  <c r="O103" i="24" s="1"/>
  <c r="K103" i="24"/>
  <c r="L103" i="24" s="1"/>
  <c r="H103" i="24"/>
  <c r="E103" i="24"/>
  <c r="F103" i="24" s="1"/>
  <c r="N102" i="24"/>
  <c r="O102" i="24" s="1"/>
  <c r="K102" i="24"/>
  <c r="H102" i="24"/>
  <c r="I102" i="24" s="1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K100" i="24"/>
  <c r="L100" i="24" s="1"/>
  <c r="H100" i="24"/>
  <c r="I100" i="24" s="1"/>
  <c r="E100" i="24"/>
  <c r="N99" i="24"/>
  <c r="O99" i="24" s="1"/>
  <c r="K99" i="24"/>
  <c r="L99" i="24" s="1"/>
  <c r="H99" i="24"/>
  <c r="E99" i="24"/>
  <c r="F99" i="24" s="1"/>
  <c r="O98" i="24"/>
  <c r="N98" i="24"/>
  <c r="K98" i="24"/>
  <c r="L98" i="24" s="1"/>
  <c r="H98" i="24"/>
  <c r="E98" i="24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N89" i="24"/>
  <c r="K89" i="24"/>
  <c r="I89" i="24"/>
  <c r="H89" i="24"/>
  <c r="E89" i="24"/>
  <c r="N88" i="24"/>
  <c r="K88" i="24"/>
  <c r="H88" i="24"/>
  <c r="E88" i="24"/>
  <c r="N87" i="24"/>
  <c r="K87" i="24"/>
  <c r="H87" i="24"/>
  <c r="I87" i="24" s="1"/>
  <c r="E87" i="24"/>
  <c r="N86" i="24"/>
  <c r="K86" i="24"/>
  <c r="L86" i="24" s="1"/>
  <c r="H86" i="24"/>
  <c r="E86" i="24"/>
  <c r="N85" i="24"/>
  <c r="K85" i="24"/>
  <c r="L85" i="24" s="1"/>
  <c r="H85" i="24"/>
  <c r="E85" i="24"/>
  <c r="N84" i="24"/>
  <c r="O84" i="24" s="1"/>
  <c r="K84" i="24"/>
  <c r="H84" i="24"/>
  <c r="E84" i="24"/>
  <c r="N83" i="24"/>
  <c r="K83" i="24"/>
  <c r="H83" i="24"/>
  <c r="I83" i="24" s="1"/>
  <c r="E83" i="24"/>
  <c r="N82" i="24"/>
  <c r="K82" i="24"/>
  <c r="H82" i="24"/>
  <c r="I82" i="24" s="1"/>
  <c r="E82" i="24"/>
  <c r="N81" i="24"/>
  <c r="K81" i="24"/>
  <c r="L81" i="24" s="1"/>
  <c r="H81" i="24"/>
  <c r="E81" i="24"/>
  <c r="N80" i="24"/>
  <c r="O80" i="24" s="1"/>
  <c r="K80" i="24"/>
  <c r="H80" i="24"/>
  <c r="E80" i="24"/>
  <c r="N79" i="24"/>
  <c r="K79" i="24"/>
  <c r="H79" i="24"/>
  <c r="I79" i="24" s="1"/>
  <c r="E79" i="24"/>
  <c r="N78" i="24"/>
  <c r="K78" i="24"/>
  <c r="L78" i="24" s="1"/>
  <c r="H78" i="24"/>
  <c r="E78" i="24"/>
  <c r="N77" i="24"/>
  <c r="K77" i="24"/>
  <c r="L77" i="24" s="1"/>
  <c r="H77" i="24"/>
  <c r="E77" i="24"/>
  <c r="N76" i="24"/>
  <c r="O76" i="24" s="1"/>
  <c r="K76" i="24"/>
  <c r="H76" i="24"/>
  <c r="E76" i="24"/>
  <c r="N75" i="24"/>
  <c r="K75" i="24"/>
  <c r="L75" i="24" s="1"/>
  <c r="H75" i="24"/>
  <c r="E75" i="24"/>
  <c r="N74" i="24"/>
  <c r="K74" i="24"/>
  <c r="L74" i="24" s="1"/>
  <c r="H74" i="24"/>
  <c r="E74" i="24"/>
  <c r="N73" i="24"/>
  <c r="K73" i="24"/>
  <c r="H73" i="24"/>
  <c r="E73" i="24"/>
  <c r="F73" i="24" s="1"/>
  <c r="N72" i="24"/>
  <c r="K72" i="24"/>
  <c r="H72" i="24"/>
  <c r="E72" i="24"/>
  <c r="N71" i="24"/>
  <c r="O71" i="24" s="1"/>
  <c r="K71" i="24"/>
  <c r="H71" i="24"/>
  <c r="E71" i="24"/>
  <c r="M69" i="24"/>
  <c r="J69" i="24"/>
  <c r="G69" i="24"/>
  <c r="D69" i="24"/>
  <c r="B69" i="24"/>
  <c r="M68" i="24"/>
  <c r="G68" i="24"/>
  <c r="B64" i="24"/>
  <c r="L63" i="24" s="1"/>
  <c r="N63" i="24"/>
  <c r="O63" i="24" s="1"/>
  <c r="K63" i="24"/>
  <c r="H63" i="24"/>
  <c r="I63" i="24" s="1"/>
  <c r="F63" i="24"/>
  <c r="E63" i="24"/>
  <c r="O62" i="24"/>
  <c r="N62" i="24"/>
  <c r="K62" i="24"/>
  <c r="L62" i="24" s="1"/>
  <c r="H62" i="24"/>
  <c r="F62" i="24"/>
  <c r="E62" i="24"/>
  <c r="N61" i="24"/>
  <c r="O61" i="24" s="1"/>
  <c r="K61" i="24"/>
  <c r="H61" i="24"/>
  <c r="I61" i="24" s="1"/>
  <c r="E61" i="24"/>
  <c r="F61" i="24" s="1"/>
  <c r="N60" i="24"/>
  <c r="K60" i="24"/>
  <c r="L60" i="24" s="1"/>
  <c r="H60" i="24"/>
  <c r="F60" i="24"/>
  <c r="E60" i="24"/>
  <c r="N59" i="24"/>
  <c r="O59" i="24" s="1"/>
  <c r="K59" i="24"/>
  <c r="H59" i="24"/>
  <c r="I59" i="24" s="1"/>
  <c r="F59" i="24"/>
  <c r="E59" i="24"/>
  <c r="N58" i="24"/>
  <c r="O58" i="24" s="1"/>
  <c r="K58" i="24"/>
  <c r="L58" i="24" s="1"/>
  <c r="H58" i="24"/>
  <c r="I58" i="24" s="1"/>
  <c r="E58" i="24"/>
  <c r="N57" i="24"/>
  <c r="O57" i="24" s="1"/>
  <c r="K57" i="24"/>
  <c r="H57" i="24"/>
  <c r="I57" i="24" s="1"/>
  <c r="E57" i="24"/>
  <c r="F57" i="24" s="1"/>
  <c r="N56" i="24"/>
  <c r="L56" i="24"/>
  <c r="K56" i="24"/>
  <c r="H56" i="24"/>
  <c r="I56" i="24" s="1"/>
  <c r="E56" i="24"/>
  <c r="N55" i="24"/>
  <c r="O55" i="24" s="1"/>
  <c r="L55" i="24"/>
  <c r="K55" i="24"/>
  <c r="H55" i="24"/>
  <c r="I55" i="24" s="1"/>
  <c r="E55" i="24"/>
  <c r="F55" i="24" s="1"/>
  <c r="N54" i="24"/>
  <c r="K54" i="24"/>
  <c r="L54" i="24" s="1"/>
  <c r="H54" i="24"/>
  <c r="I54" i="24" s="1"/>
  <c r="E54" i="24"/>
  <c r="N53" i="24"/>
  <c r="O53" i="24" s="1"/>
  <c r="K53" i="24"/>
  <c r="L53" i="24" s="1"/>
  <c r="H53" i="24"/>
  <c r="F53" i="24"/>
  <c r="E53" i="24"/>
  <c r="O52" i="24"/>
  <c r="N52" i="24"/>
  <c r="L52" i="24"/>
  <c r="K52" i="24"/>
  <c r="H52" i="24"/>
  <c r="I52" i="24" s="1"/>
  <c r="E52" i="24"/>
  <c r="N51" i="24"/>
  <c r="O51" i="24" s="1"/>
  <c r="L51" i="24"/>
  <c r="K51" i="24"/>
  <c r="H51" i="24"/>
  <c r="I51" i="24" s="1"/>
  <c r="E51" i="24"/>
  <c r="F51" i="24" s="1"/>
  <c r="N50" i="24"/>
  <c r="K50" i="24"/>
  <c r="L50" i="24" s="1"/>
  <c r="H50" i="24"/>
  <c r="I50" i="24" s="1"/>
  <c r="F50" i="24"/>
  <c r="E50" i="24"/>
  <c r="O49" i="24"/>
  <c r="N49" i="24"/>
  <c r="K49" i="24"/>
  <c r="L49" i="24" s="1"/>
  <c r="H49" i="24"/>
  <c r="F49" i="24"/>
  <c r="E49" i="24"/>
  <c r="N48" i="24"/>
  <c r="O48" i="24" s="1"/>
  <c r="K48" i="24"/>
  <c r="H48" i="24"/>
  <c r="I48" i="24" s="1"/>
  <c r="F48" i="24"/>
  <c r="E48" i="24"/>
  <c r="N47" i="24"/>
  <c r="O47" i="24" s="1"/>
  <c r="K47" i="24"/>
  <c r="L47" i="24" s="1"/>
  <c r="H47" i="24"/>
  <c r="F47" i="24"/>
  <c r="E47" i="24"/>
  <c r="O46" i="24"/>
  <c r="N46" i="24"/>
  <c r="K46" i="24"/>
  <c r="L46" i="24" s="1"/>
  <c r="H46" i="24"/>
  <c r="I46" i="24" s="1"/>
  <c r="F46" i="24"/>
  <c r="E46" i="24"/>
  <c r="N45" i="24"/>
  <c r="O45" i="24" s="1"/>
  <c r="K45" i="24"/>
  <c r="L45" i="24" s="1"/>
  <c r="H45" i="24"/>
  <c r="I45" i="24" s="1"/>
  <c r="E45" i="24"/>
  <c r="N44" i="24"/>
  <c r="N64" i="24" s="1"/>
  <c r="K44" i="24"/>
  <c r="H44" i="24"/>
  <c r="F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N199" i="49" l="1"/>
  <c r="O199" i="49"/>
  <c r="O152" i="49"/>
  <c r="O172" i="49" s="1"/>
  <c r="O125" i="49"/>
  <c r="O145" i="49" s="1"/>
  <c r="O98" i="49"/>
  <c r="O118" i="49" s="1"/>
  <c r="N91" i="49"/>
  <c r="O71" i="49"/>
  <c r="O91" i="49" s="1"/>
  <c r="O44" i="49"/>
  <c r="O64" i="49" s="1"/>
  <c r="K199" i="49"/>
  <c r="L179" i="49"/>
  <c r="L199" i="49" s="1"/>
  <c r="K172" i="49"/>
  <c r="L152" i="49"/>
  <c r="L172" i="49" s="1"/>
  <c r="K118" i="49"/>
  <c r="K91" i="49"/>
  <c r="L71" i="49"/>
  <c r="K64" i="49"/>
  <c r="L44" i="49"/>
  <c r="I179" i="49"/>
  <c r="I199" i="49" s="1"/>
  <c r="I152" i="49"/>
  <c r="I172" i="49" s="1"/>
  <c r="I98" i="49"/>
  <c r="I118" i="49" s="1"/>
  <c r="I71" i="49"/>
  <c r="I91" i="49" s="1"/>
  <c r="I44" i="49"/>
  <c r="I64" i="49" s="1"/>
  <c r="F179" i="49"/>
  <c r="F199" i="49" s="1"/>
  <c r="E91" i="49"/>
  <c r="E64" i="49"/>
  <c r="E118" i="49"/>
  <c r="F118" i="49"/>
  <c r="F71" i="49"/>
  <c r="F91" i="49" s="1"/>
  <c r="F44" i="49"/>
  <c r="F64" i="49" s="1"/>
  <c r="L98" i="49"/>
  <c r="L118" i="49" s="1"/>
  <c r="G3" i="49" s="1"/>
  <c r="L91" i="49"/>
  <c r="L64" i="49"/>
  <c r="E37" i="49"/>
  <c r="I37" i="49"/>
  <c r="H37" i="49"/>
  <c r="L37" i="49"/>
  <c r="F37" i="49"/>
  <c r="N37" i="49"/>
  <c r="K37" i="49"/>
  <c r="O37" i="49"/>
  <c r="G5" i="49"/>
  <c r="G7" i="49"/>
  <c r="G9" i="49"/>
  <c r="N199" i="48"/>
  <c r="O179" i="48"/>
  <c r="O199" i="48" s="1"/>
  <c r="N172" i="48"/>
  <c r="O152" i="48"/>
  <c r="O172" i="48" s="1"/>
  <c r="N145" i="48"/>
  <c r="O145" i="48"/>
  <c r="O118" i="48"/>
  <c r="N118" i="48"/>
  <c r="N64" i="48"/>
  <c r="O44" i="48"/>
  <c r="O64" i="48" s="1"/>
  <c r="K199" i="48"/>
  <c r="L179" i="48"/>
  <c r="L199" i="48" s="1"/>
  <c r="K172" i="48"/>
  <c r="L152" i="48"/>
  <c r="L172" i="48" s="1"/>
  <c r="K145" i="48"/>
  <c r="L125" i="48"/>
  <c r="L145" i="48" s="1"/>
  <c r="K118" i="48"/>
  <c r="L98" i="48"/>
  <c r="L118" i="48" s="1"/>
  <c r="K91" i="48"/>
  <c r="K64" i="48"/>
  <c r="L44" i="48"/>
  <c r="L64" i="48" s="1"/>
  <c r="I199" i="48"/>
  <c r="I152" i="48"/>
  <c r="I172" i="48" s="1"/>
  <c r="I125" i="48"/>
  <c r="I145" i="48" s="1"/>
  <c r="I98" i="48"/>
  <c r="I118" i="48" s="1"/>
  <c r="I64" i="48"/>
  <c r="L171" i="28"/>
  <c r="F167" i="28"/>
  <c r="H64" i="24"/>
  <c r="O44" i="24"/>
  <c r="L72" i="24"/>
  <c r="O73" i="24"/>
  <c r="O74" i="24"/>
  <c r="I76" i="24"/>
  <c r="F77" i="24"/>
  <c r="O77" i="24"/>
  <c r="L79" i="24"/>
  <c r="I80" i="24"/>
  <c r="F81" i="24"/>
  <c r="L82" i="24"/>
  <c r="L83" i="24"/>
  <c r="I84" i="24"/>
  <c r="F85" i="24"/>
  <c r="O85" i="24"/>
  <c r="L87" i="24"/>
  <c r="I88" i="24"/>
  <c r="O88" i="24"/>
  <c r="L89" i="24"/>
  <c r="I90" i="24"/>
  <c r="H118" i="24"/>
  <c r="N145" i="24"/>
  <c r="E172" i="24"/>
  <c r="O180" i="24"/>
  <c r="L181" i="24"/>
  <c r="F183" i="24"/>
  <c r="F184" i="24"/>
  <c r="O184" i="24"/>
  <c r="I186" i="24"/>
  <c r="I187" i="24"/>
  <c r="F188" i="24"/>
  <c r="O188" i="24"/>
  <c r="L189" i="24"/>
  <c r="I191" i="24"/>
  <c r="F192" i="24"/>
  <c r="O192" i="24"/>
  <c r="I194" i="24"/>
  <c r="I195" i="24"/>
  <c r="O195" i="24"/>
  <c r="L196" i="24"/>
  <c r="I197" i="24"/>
  <c r="F198" i="24"/>
  <c r="O198" i="24"/>
  <c r="E64" i="25"/>
  <c r="K64" i="25"/>
  <c r="L46" i="25"/>
  <c r="O47" i="25"/>
  <c r="I48" i="25"/>
  <c r="F49" i="25"/>
  <c r="O49" i="25"/>
  <c r="I50" i="25"/>
  <c r="F51" i="25"/>
  <c r="L53" i="25"/>
  <c r="L55" i="25"/>
  <c r="F56" i="25"/>
  <c r="L58" i="25"/>
  <c r="O59" i="25"/>
  <c r="I60" i="25"/>
  <c r="L61" i="25"/>
  <c r="L63" i="25"/>
  <c r="F101" i="25"/>
  <c r="O101" i="25"/>
  <c r="O102" i="25"/>
  <c r="O103" i="25"/>
  <c r="I105" i="25"/>
  <c r="I106" i="25"/>
  <c r="O106" i="25"/>
  <c r="O107" i="25"/>
  <c r="L108" i="25"/>
  <c r="L109" i="25"/>
  <c r="I110" i="25"/>
  <c r="I111" i="25"/>
  <c r="F112" i="25"/>
  <c r="F114" i="25"/>
  <c r="O114" i="25"/>
  <c r="L115" i="25"/>
  <c r="I116" i="25"/>
  <c r="F117" i="25"/>
  <c r="O117" i="25"/>
  <c r="F126" i="25"/>
  <c r="O127" i="25"/>
  <c r="L128" i="25"/>
  <c r="L129" i="25"/>
  <c r="I130" i="25"/>
  <c r="F131" i="25"/>
  <c r="O131" i="25"/>
  <c r="O132" i="25"/>
  <c r="L133" i="25"/>
  <c r="I134" i="25"/>
  <c r="I135" i="25"/>
  <c r="F136" i="25"/>
  <c r="F137" i="25"/>
  <c r="I138" i="25"/>
  <c r="F139" i="25"/>
  <c r="O139" i="25"/>
  <c r="L140" i="25"/>
  <c r="L141" i="25"/>
  <c r="I142" i="25"/>
  <c r="F143" i="25"/>
  <c r="F144" i="25"/>
  <c r="O144" i="25"/>
  <c r="I153" i="25"/>
  <c r="F154" i="25"/>
  <c r="L155" i="25"/>
  <c r="F156" i="25"/>
  <c r="O156" i="25"/>
  <c r="L157" i="25"/>
  <c r="F158" i="25"/>
  <c r="O158" i="25"/>
  <c r="F160" i="25"/>
  <c r="O161" i="25"/>
  <c r="L162" i="25"/>
  <c r="I163" i="25"/>
  <c r="O163" i="25"/>
  <c r="L164" i="25"/>
  <c r="F165" i="25"/>
  <c r="O165" i="25"/>
  <c r="L166" i="25"/>
  <c r="F167" i="25"/>
  <c r="O167" i="25"/>
  <c r="L168" i="25"/>
  <c r="I169" i="25"/>
  <c r="F170" i="25"/>
  <c r="L171" i="25"/>
  <c r="F179" i="25"/>
  <c r="O179" i="25"/>
  <c r="L180" i="25"/>
  <c r="F181" i="25"/>
  <c r="O181" i="25"/>
  <c r="F183" i="25"/>
  <c r="O184" i="25"/>
  <c r="L185" i="25"/>
  <c r="I186" i="25"/>
  <c r="O186" i="25"/>
  <c r="L187" i="25"/>
  <c r="I188" i="25"/>
  <c r="O189" i="25"/>
  <c r="F191" i="25"/>
  <c r="O192" i="25"/>
  <c r="L193" i="25"/>
  <c r="I194" i="25"/>
  <c r="O194" i="25"/>
  <c r="L195" i="25"/>
  <c r="F196" i="25"/>
  <c r="O196" i="25"/>
  <c r="L197" i="25"/>
  <c r="F198" i="25"/>
  <c r="O198" i="25"/>
  <c r="E64" i="26"/>
  <c r="E91" i="26"/>
  <c r="L71" i="26"/>
  <c r="I72" i="26"/>
  <c r="O73" i="26"/>
  <c r="F75" i="26"/>
  <c r="I76" i="26"/>
  <c r="F77" i="26"/>
  <c r="O77" i="26"/>
  <c r="O79" i="26"/>
  <c r="L80" i="26"/>
  <c r="F81" i="26"/>
  <c r="L82" i="26"/>
  <c r="F83" i="26"/>
  <c r="O83" i="26"/>
  <c r="L84" i="26"/>
  <c r="I85" i="26"/>
  <c r="F86" i="26"/>
  <c r="O86" i="26"/>
  <c r="F88" i="26"/>
  <c r="O88" i="26"/>
  <c r="L89" i="26"/>
  <c r="I90" i="26"/>
  <c r="O90" i="26"/>
  <c r="E145" i="26"/>
  <c r="L126" i="26"/>
  <c r="F127" i="26"/>
  <c r="L128" i="26"/>
  <c r="I129" i="26"/>
  <c r="O130" i="26"/>
  <c r="L131" i="26"/>
  <c r="F132" i="26"/>
  <c r="O132" i="26"/>
  <c r="L133" i="26"/>
  <c r="F134" i="26"/>
  <c r="I136" i="26"/>
  <c r="O136" i="26"/>
  <c r="L137" i="26"/>
  <c r="I138" i="26"/>
  <c r="O139" i="26"/>
  <c r="O141" i="26"/>
  <c r="L142" i="26"/>
  <c r="F143" i="26"/>
  <c r="H172" i="26"/>
  <c r="F153" i="26"/>
  <c r="F172" i="26" s="1"/>
  <c r="O154" i="26"/>
  <c r="F156" i="26"/>
  <c r="O156" i="26"/>
  <c r="L157" i="26"/>
  <c r="I158" i="26"/>
  <c r="L159" i="26"/>
  <c r="I160" i="26"/>
  <c r="F161" i="26"/>
  <c r="O162" i="26"/>
  <c r="O164" i="26"/>
  <c r="L165" i="26"/>
  <c r="F166" i="26"/>
  <c r="L167" i="26"/>
  <c r="I168" i="26"/>
  <c r="F169" i="26"/>
  <c r="O170" i="26"/>
  <c r="F179" i="26"/>
  <c r="O179" i="26"/>
  <c r="L180" i="26"/>
  <c r="I181" i="26"/>
  <c r="L182" i="26"/>
  <c r="I183" i="26"/>
  <c r="F184" i="26"/>
  <c r="O185" i="26"/>
  <c r="O187" i="26"/>
  <c r="L188" i="26"/>
  <c r="F189" i="26"/>
  <c r="L190" i="26"/>
  <c r="I191" i="26"/>
  <c r="F192" i="26"/>
  <c r="O193" i="26"/>
  <c r="F195" i="26"/>
  <c r="O195" i="26"/>
  <c r="L196" i="26"/>
  <c r="F197" i="26"/>
  <c r="L198" i="26"/>
  <c r="E91" i="27"/>
  <c r="O71" i="27"/>
  <c r="L72" i="27"/>
  <c r="I73" i="27"/>
  <c r="F76" i="27"/>
  <c r="F78" i="27"/>
  <c r="F80" i="27"/>
  <c r="F81" i="27"/>
  <c r="O81" i="27"/>
  <c r="L82" i="27"/>
  <c r="I83" i="27"/>
  <c r="O83" i="27"/>
  <c r="O84" i="27"/>
  <c r="L85" i="27"/>
  <c r="I86" i="27"/>
  <c r="O86" i="27"/>
  <c r="O87" i="27"/>
  <c r="L88" i="27"/>
  <c r="L89" i="27"/>
  <c r="O90" i="27"/>
  <c r="I99" i="27"/>
  <c r="I100" i="27"/>
  <c r="F101" i="27"/>
  <c r="F102" i="27"/>
  <c r="F104" i="27"/>
  <c r="F105" i="27"/>
  <c r="O105" i="27"/>
  <c r="L106" i="27"/>
  <c r="I108" i="27"/>
  <c r="F109" i="27"/>
  <c r="I110" i="27"/>
  <c r="F111" i="27"/>
  <c r="O111" i="27"/>
  <c r="L112" i="27"/>
  <c r="L113" i="27"/>
  <c r="I114" i="27"/>
  <c r="F115" i="27"/>
  <c r="F116" i="27"/>
  <c r="O116" i="27"/>
  <c r="O117" i="27"/>
  <c r="K145" i="27"/>
  <c r="E172" i="27"/>
  <c r="N172" i="27"/>
  <c r="L153" i="27"/>
  <c r="I154" i="27"/>
  <c r="F155" i="27"/>
  <c r="I156" i="27"/>
  <c r="F157" i="27"/>
  <c r="O157" i="27"/>
  <c r="L158" i="27"/>
  <c r="I159" i="27"/>
  <c r="O160" i="27"/>
  <c r="L161" i="27"/>
  <c r="I162" i="27"/>
  <c r="F163" i="27"/>
  <c r="O163" i="27"/>
  <c r="F165" i="27"/>
  <c r="O165" i="27"/>
  <c r="L166" i="27"/>
  <c r="I167" i="27"/>
  <c r="O167" i="27"/>
  <c r="L168" i="27"/>
  <c r="I169" i="27"/>
  <c r="O170" i="27"/>
  <c r="F179" i="27"/>
  <c r="F199" i="27" s="1"/>
  <c r="F44" i="28"/>
  <c r="O45" i="28"/>
  <c r="L46" i="28"/>
  <c r="I47" i="28"/>
  <c r="O47" i="28"/>
  <c r="L48" i="28"/>
  <c r="I49" i="28"/>
  <c r="O50" i="28"/>
  <c r="F52" i="28"/>
  <c r="O53" i="28"/>
  <c r="L54" i="28"/>
  <c r="I55" i="28"/>
  <c r="I57" i="28"/>
  <c r="F58" i="28"/>
  <c r="O58" i="28"/>
  <c r="O60" i="28"/>
  <c r="L61" i="28"/>
  <c r="F62" i="28"/>
  <c r="L63" i="28"/>
  <c r="F71" i="28"/>
  <c r="O71" i="28"/>
  <c r="L72" i="28"/>
  <c r="F73" i="28"/>
  <c r="O73" i="28"/>
  <c r="F75" i="28"/>
  <c r="O76" i="28"/>
  <c r="L77" i="28"/>
  <c r="I78" i="28"/>
  <c r="O78" i="28"/>
  <c r="F80" i="28"/>
  <c r="O81" i="28"/>
  <c r="L83" i="28"/>
  <c r="I84" i="28"/>
  <c r="F85" i="28"/>
  <c r="L86" i="28"/>
  <c r="F87" i="28"/>
  <c r="O87" i="28"/>
  <c r="L88" i="28"/>
  <c r="F89" i="28"/>
  <c r="O89" i="28"/>
  <c r="F98" i="28"/>
  <c r="E145" i="28"/>
  <c r="L126" i="28"/>
  <c r="I127" i="28"/>
  <c r="F128" i="28"/>
  <c r="O128" i="28"/>
  <c r="L129" i="28"/>
  <c r="F130" i="28"/>
  <c r="I132" i="28"/>
  <c r="O133" i="28"/>
  <c r="L134" i="28"/>
  <c r="I135" i="28"/>
  <c r="F136" i="28"/>
  <c r="I137" i="28"/>
  <c r="F138" i="28"/>
  <c r="O138" i="28"/>
  <c r="L139" i="28"/>
  <c r="I140" i="28"/>
  <c r="O141" i="28"/>
  <c r="L142" i="28"/>
  <c r="I143" i="28"/>
  <c r="F144" i="28"/>
  <c r="O144" i="28"/>
  <c r="F153" i="28"/>
  <c r="O153" i="28"/>
  <c r="L154" i="28"/>
  <c r="F155" i="28"/>
  <c r="O155" i="28"/>
  <c r="L156" i="28"/>
  <c r="I157" i="28"/>
  <c r="F158" i="28"/>
  <c r="L159" i="28"/>
  <c r="F160" i="28"/>
  <c r="O160" i="28"/>
  <c r="L161" i="28"/>
  <c r="F162" i="28"/>
  <c r="O162" i="28"/>
  <c r="F164" i="28"/>
  <c r="O165" i="28"/>
  <c r="L166" i="28"/>
  <c r="I169" i="28"/>
  <c r="I171" i="28"/>
  <c r="F179" i="28"/>
  <c r="L179" i="28"/>
  <c r="F184" i="28"/>
  <c r="O184" i="28"/>
  <c r="I185" i="28"/>
  <c r="O186" i="28"/>
  <c r="I187" i="28"/>
  <c r="L188" i="28"/>
  <c r="O190" i="28"/>
  <c r="L193" i="28"/>
  <c r="I194" i="28"/>
  <c r="O198" i="28"/>
  <c r="I71" i="24"/>
  <c r="I73" i="24"/>
  <c r="F75" i="24"/>
  <c r="O75" i="24"/>
  <c r="O78" i="24"/>
  <c r="O79" i="24"/>
  <c r="O81" i="24"/>
  <c r="O82" i="24"/>
  <c r="O83" i="24"/>
  <c r="O86" i="24"/>
  <c r="O87" i="24"/>
  <c r="F89" i="24"/>
  <c r="L90" i="24"/>
  <c r="H145" i="24"/>
  <c r="H172" i="24"/>
  <c r="F44" i="25"/>
  <c r="I45" i="25"/>
  <c r="I64" i="25" s="1"/>
  <c r="F46" i="25"/>
  <c r="O46" i="25"/>
  <c r="I47" i="25"/>
  <c r="L48" i="25"/>
  <c r="L50" i="25"/>
  <c r="O51" i="25"/>
  <c r="I52" i="25"/>
  <c r="F53" i="25"/>
  <c r="O53" i="25"/>
  <c r="I54" i="25"/>
  <c r="F55" i="25"/>
  <c r="O56" i="25"/>
  <c r="I57" i="25"/>
  <c r="F58" i="25"/>
  <c r="O58" i="25"/>
  <c r="I59" i="25"/>
  <c r="L60" i="25"/>
  <c r="F61" i="25"/>
  <c r="O61" i="25"/>
  <c r="I62" i="25"/>
  <c r="F63" i="25"/>
  <c r="E145" i="25"/>
  <c r="E172" i="25"/>
  <c r="L153" i="25"/>
  <c r="I154" i="25"/>
  <c r="F155" i="25"/>
  <c r="I156" i="25"/>
  <c r="I158" i="25"/>
  <c r="L159" i="25"/>
  <c r="I160" i="25"/>
  <c r="F161" i="25"/>
  <c r="O162" i="25"/>
  <c r="I165" i="25"/>
  <c r="I167" i="25"/>
  <c r="O168" i="25"/>
  <c r="L169" i="25"/>
  <c r="I170" i="25"/>
  <c r="F171" i="25"/>
  <c r="H199" i="25"/>
  <c r="F64" i="26"/>
  <c r="E118" i="26"/>
  <c r="F145" i="26"/>
  <c r="I153" i="26"/>
  <c r="F154" i="26"/>
  <c r="L155" i="26"/>
  <c r="I156" i="26"/>
  <c r="O157" i="26"/>
  <c r="L158" i="26"/>
  <c r="F159" i="26"/>
  <c r="O159" i="26"/>
  <c r="L160" i="26"/>
  <c r="I161" i="26"/>
  <c r="F162" i="26"/>
  <c r="L163" i="26"/>
  <c r="F164" i="26"/>
  <c r="I166" i="26"/>
  <c r="F167" i="26"/>
  <c r="O167" i="26"/>
  <c r="L168" i="26"/>
  <c r="I169" i="26"/>
  <c r="F170" i="26"/>
  <c r="L171" i="26"/>
  <c r="H199" i="26"/>
  <c r="O180" i="26"/>
  <c r="L181" i="26"/>
  <c r="F182" i="26"/>
  <c r="O182" i="26"/>
  <c r="L183" i="26"/>
  <c r="I184" i="26"/>
  <c r="F185" i="26"/>
  <c r="L186" i="26"/>
  <c r="F187" i="26"/>
  <c r="I189" i="26"/>
  <c r="F190" i="26"/>
  <c r="O190" i="26"/>
  <c r="L191" i="26"/>
  <c r="I192" i="26"/>
  <c r="F193" i="26"/>
  <c r="L194" i="26"/>
  <c r="I195" i="26"/>
  <c r="I197" i="26"/>
  <c r="F198" i="26"/>
  <c r="E118" i="27"/>
  <c r="E145" i="27"/>
  <c r="F152" i="27"/>
  <c r="O153" i="27"/>
  <c r="L154" i="27"/>
  <c r="I155" i="27"/>
  <c r="O155" i="27"/>
  <c r="L156" i="27"/>
  <c r="I157" i="27"/>
  <c r="O158" i="27"/>
  <c r="F160" i="27"/>
  <c r="O161" i="27"/>
  <c r="L162" i="27"/>
  <c r="I163" i="27"/>
  <c r="L164" i="27"/>
  <c r="I165" i="27"/>
  <c r="O166" i="27"/>
  <c r="O168" i="27"/>
  <c r="L169" i="27"/>
  <c r="F170" i="27"/>
  <c r="L171" i="27"/>
  <c r="H199" i="27"/>
  <c r="H64" i="28"/>
  <c r="F45" i="28"/>
  <c r="O46" i="28"/>
  <c r="O48" i="28"/>
  <c r="L49" i="28"/>
  <c r="F50" i="28"/>
  <c r="L51" i="28"/>
  <c r="I52" i="28"/>
  <c r="F53" i="28"/>
  <c r="O54" i="28"/>
  <c r="F56" i="28"/>
  <c r="O56" i="28"/>
  <c r="L57" i="28"/>
  <c r="I58" i="28"/>
  <c r="L59" i="28"/>
  <c r="F60" i="28"/>
  <c r="I62" i="28"/>
  <c r="F63" i="28"/>
  <c r="H91" i="28"/>
  <c r="I73" i="28"/>
  <c r="L74" i="28"/>
  <c r="I75" i="28"/>
  <c r="F76" i="28"/>
  <c r="O77" i="28"/>
  <c r="L79" i="28"/>
  <c r="I80" i="28"/>
  <c r="F81" i="28"/>
  <c r="L82" i="28"/>
  <c r="F83" i="28"/>
  <c r="O83" i="28"/>
  <c r="L84" i="28"/>
  <c r="I85" i="28"/>
  <c r="F86" i="28"/>
  <c r="I87" i="28"/>
  <c r="I89" i="28"/>
  <c r="L90" i="28"/>
  <c r="H118" i="28"/>
  <c r="E172" i="28"/>
  <c r="I153" i="28"/>
  <c r="I155" i="28"/>
  <c r="O156" i="28"/>
  <c r="L157" i="28"/>
  <c r="I158" i="28"/>
  <c r="F159" i="28"/>
  <c r="I160" i="28"/>
  <c r="I162" i="28"/>
  <c r="L163" i="28"/>
  <c r="I164" i="28"/>
  <c r="F165" i="28"/>
  <c r="O166" i="28"/>
  <c r="L167" i="28"/>
  <c r="F168" i="28"/>
  <c r="O168" i="28"/>
  <c r="L169" i="28"/>
  <c r="F170" i="28"/>
  <c r="O170" i="28"/>
  <c r="L198" i="28"/>
  <c r="F198" i="28"/>
  <c r="I196" i="28"/>
  <c r="L194" i="28"/>
  <c r="F194" i="28"/>
  <c r="I192" i="28"/>
  <c r="L190" i="28"/>
  <c r="F190" i="28"/>
  <c r="I188" i="28"/>
  <c r="L186" i="28"/>
  <c r="F186" i="28"/>
  <c r="I184" i="28"/>
  <c r="L182" i="28"/>
  <c r="F182" i="28"/>
  <c r="I180" i="28"/>
  <c r="I197" i="28"/>
  <c r="L195" i="28"/>
  <c r="F195" i="28"/>
  <c r="I193" i="28"/>
  <c r="L191" i="28"/>
  <c r="F191" i="28"/>
  <c r="I189" i="28"/>
  <c r="E64" i="24"/>
  <c r="L44" i="24"/>
  <c r="F45" i="24"/>
  <c r="F64" i="24" s="1"/>
  <c r="I47" i="24"/>
  <c r="L48" i="24"/>
  <c r="I49" i="24"/>
  <c r="O50" i="24"/>
  <c r="F52" i="24"/>
  <c r="I53" i="24"/>
  <c r="F54" i="24"/>
  <c r="O54" i="24"/>
  <c r="F56" i="24"/>
  <c r="O56" i="24"/>
  <c r="L57" i="24"/>
  <c r="F58" i="24"/>
  <c r="L59" i="24"/>
  <c r="I60" i="24"/>
  <c r="O60" i="24"/>
  <c r="L61" i="24"/>
  <c r="I62" i="24"/>
  <c r="L71" i="24"/>
  <c r="I72" i="24"/>
  <c r="O72" i="24"/>
  <c r="O91" i="24" s="1"/>
  <c r="L73" i="24"/>
  <c r="I74" i="24"/>
  <c r="I75" i="24"/>
  <c r="L76" i="24"/>
  <c r="I77" i="24"/>
  <c r="I78" i="24"/>
  <c r="F79" i="24"/>
  <c r="L80" i="24"/>
  <c r="I81" i="24"/>
  <c r="F83" i="24"/>
  <c r="L84" i="24"/>
  <c r="I85" i="24"/>
  <c r="I86" i="24"/>
  <c r="F87" i="24"/>
  <c r="L88" i="24"/>
  <c r="O90" i="24"/>
  <c r="I99" i="24"/>
  <c r="O100" i="24"/>
  <c r="L102" i="24"/>
  <c r="I103" i="24"/>
  <c r="F105" i="24"/>
  <c r="O105" i="24"/>
  <c r="I107" i="24"/>
  <c r="O108" i="24"/>
  <c r="L109" i="24"/>
  <c r="I110" i="24"/>
  <c r="O112" i="24"/>
  <c r="O113" i="24"/>
  <c r="L117" i="24"/>
  <c r="L127" i="24"/>
  <c r="I128" i="24"/>
  <c r="O128" i="24"/>
  <c r="O129" i="24"/>
  <c r="L130" i="24"/>
  <c r="L131" i="24"/>
  <c r="F133" i="24"/>
  <c r="I134" i="24"/>
  <c r="I135" i="24"/>
  <c r="O136" i="24"/>
  <c r="L137" i="24"/>
  <c r="F140" i="24"/>
  <c r="O140" i="24"/>
  <c r="L141" i="24"/>
  <c r="I142" i="24"/>
  <c r="F144" i="24"/>
  <c r="F155" i="24"/>
  <c r="O179" i="24"/>
  <c r="L180" i="24"/>
  <c r="F182" i="24"/>
  <c r="L183" i="24"/>
  <c r="I184" i="24"/>
  <c r="O185" i="24"/>
  <c r="O186" i="24"/>
  <c r="L187" i="24"/>
  <c r="I188" i="24"/>
  <c r="F190" i="24"/>
  <c r="O190" i="24"/>
  <c r="I192" i="24"/>
  <c r="O193" i="24"/>
  <c r="O194" i="24"/>
  <c r="F197" i="24"/>
  <c r="H64" i="25"/>
  <c r="L45" i="25"/>
  <c r="L47" i="25"/>
  <c r="F48" i="25"/>
  <c r="O48" i="25"/>
  <c r="I49" i="25"/>
  <c r="F50" i="25"/>
  <c r="O50" i="25"/>
  <c r="I51" i="25"/>
  <c r="L52" i="25"/>
  <c r="L54" i="25"/>
  <c r="O55" i="25"/>
  <c r="I56" i="25"/>
  <c r="L57" i="25"/>
  <c r="L59" i="25"/>
  <c r="F60" i="25"/>
  <c r="L62" i="25"/>
  <c r="K91" i="25"/>
  <c r="E118" i="25"/>
  <c r="F99" i="25"/>
  <c r="O99" i="25"/>
  <c r="L100" i="25"/>
  <c r="L101" i="25"/>
  <c r="I102" i="25"/>
  <c r="I103" i="25"/>
  <c r="O104" i="25"/>
  <c r="O105" i="25"/>
  <c r="L106" i="25"/>
  <c r="I107" i="25"/>
  <c r="F109" i="25"/>
  <c r="O109" i="25"/>
  <c r="O110" i="25"/>
  <c r="F113" i="25"/>
  <c r="L114" i="25"/>
  <c r="I115" i="25"/>
  <c r="F116" i="25"/>
  <c r="L117" i="25"/>
  <c r="F125" i="25"/>
  <c r="L126" i="25"/>
  <c r="I127" i="25"/>
  <c r="I128" i="25"/>
  <c r="F129" i="25"/>
  <c r="F130" i="25"/>
  <c r="I132" i="25"/>
  <c r="I133" i="25"/>
  <c r="F134" i="25"/>
  <c r="O134" i="25"/>
  <c r="L135" i="25"/>
  <c r="L136" i="25"/>
  <c r="F138" i="25"/>
  <c r="L138" i="25"/>
  <c r="L139" i="25"/>
  <c r="I140" i="25"/>
  <c r="F141" i="25"/>
  <c r="F142" i="25"/>
  <c r="L143" i="25"/>
  <c r="F152" i="25"/>
  <c r="O153" i="25"/>
  <c r="L154" i="25"/>
  <c r="I155" i="25"/>
  <c r="O155" i="25"/>
  <c r="L156" i="25"/>
  <c r="F157" i="25"/>
  <c r="O157" i="25"/>
  <c r="L158" i="25"/>
  <c r="F159" i="25"/>
  <c r="O159" i="25"/>
  <c r="L160" i="25"/>
  <c r="I161" i="25"/>
  <c r="F162" i="25"/>
  <c r="L163" i="25"/>
  <c r="F164" i="25"/>
  <c r="O164" i="25"/>
  <c r="L165" i="25"/>
  <c r="F166" i="25"/>
  <c r="O166" i="25"/>
  <c r="F168" i="25"/>
  <c r="O169" i="25"/>
  <c r="L170" i="25"/>
  <c r="I171" i="25"/>
  <c r="F180" i="25"/>
  <c r="O180" i="25"/>
  <c r="L181" i="25"/>
  <c r="F182" i="25"/>
  <c r="O182" i="25"/>
  <c r="L183" i="25"/>
  <c r="I184" i="25"/>
  <c r="F185" i="25"/>
  <c r="L186" i="25"/>
  <c r="F187" i="25"/>
  <c r="I189" i="25"/>
  <c r="F190" i="25"/>
  <c r="O190" i="25"/>
  <c r="L191" i="25"/>
  <c r="I192" i="25"/>
  <c r="F193" i="25"/>
  <c r="L194" i="25"/>
  <c r="F195" i="25"/>
  <c r="O195" i="25"/>
  <c r="L196" i="25"/>
  <c r="F197" i="25"/>
  <c r="H64" i="26"/>
  <c r="H91" i="26"/>
  <c r="I73" i="26"/>
  <c r="F74" i="26"/>
  <c r="F91" i="26" s="1"/>
  <c r="O74" i="26"/>
  <c r="O76" i="26"/>
  <c r="L77" i="26"/>
  <c r="F78" i="26"/>
  <c r="I79" i="26"/>
  <c r="F80" i="26"/>
  <c r="O80" i="26"/>
  <c r="L81" i="26"/>
  <c r="I82" i="26"/>
  <c r="O82" i="26"/>
  <c r="F84" i="26"/>
  <c r="O85" i="26"/>
  <c r="F87" i="26"/>
  <c r="O87" i="26"/>
  <c r="L88" i="26"/>
  <c r="F89" i="26"/>
  <c r="F98" i="26"/>
  <c r="F118" i="26" s="1"/>
  <c r="H145" i="26"/>
  <c r="E172" i="26"/>
  <c r="L153" i="26"/>
  <c r="I154" i="26"/>
  <c r="F155" i="26"/>
  <c r="O155" i="26"/>
  <c r="L156" i="26"/>
  <c r="F157" i="26"/>
  <c r="I159" i="26"/>
  <c r="O160" i="26"/>
  <c r="L161" i="26"/>
  <c r="I162" i="26"/>
  <c r="F163" i="26"/>
  <c r="I164" i="26"/>
  <c r="F165" i="26"/>
  <c r="O165" i="26"/>
  <c r="L166" i="26"/>
  <c r="I167" i="26"/>
  <c r="O168" i="26"/>
  <c r="L169" i="26"/>
  <c r="I170" i="26"/>
  <c r="O171" i="26"/>
  <c r="F180" i="26"/>
  <c r="I182" i="26"/>
  <c r="O183" i="26"/>
  <c r="L184" i="26"/>
  <c r="I185" i="26"/>
  <c r="F186" i="26"/>
  <c r="I187" i="26"/>
  <c r="F188" i="26"/>
  <c r="O188" i="26"/>
  <c r="L189" i="26"/>
  <c r="I190" i="26"/>
  <c r="O191" i="26"/>
  <c r="L192" i="26"/>
  <c r="I193" i="26"/>
  <c r="F194" i="26"/>
  <c r="O194" i="26"/>
  <c r="F196" i="26"/>
  <c r="O196" i="26"/>
  <c r="L197" i="26"/>
  <c r="I198" i="26"/>
  <c r="E64" i="27"/>
  <c r="K91" i="27"/>
  <c r="I72" i="27"/>
  <c r="O72" i="27"/>
  <c r="O73" i="27"/>
  <c r="F75" i="27"/>
  <c r="F77" i="27"/>
  <c r="I78" i="27"/>
  <c r="F79" i="27"/>
  <c r="L80" i="27"/>
  <c r="L81" i="27"/>
  <c r="O82" i="27"/>
  <c r="L83" i="27"/>
  <c r="I84" i="27"/>
  <c r="I85" i="27"/>
  <c r="F86" i="27"/>
  <c r="L86" i="27"/>
  <c r="I87" i="27"/>
  <c r="I88" i="27"/>
  <c r="F89" i="27"/>
  <c r="O99" i="27"/>
  <c r="L100" i="27"/>
  <c r="L101" i="27"/>
  <c r="I102" i="27"/>
  <c r="F103" i="27"/>
  <c r="L104" i="27"/>
  <c r="F107" i="27"/>
  <c r="O107" i="27"/>
  <c r="F110" i="27"/>
  <c r="L110" i="27"/>
  <c r="L111" i="27"/>
  <c r="I112" i="27"/>
  <c r="F113" i="27"/>
  <c r="F114" i="27"/>
  <c r="L115" i="27"/>
  <c r="I117" i="27"/>
  <c r="H172" i="27"/>
  <c r="F153" i="27"/>
  <c r="O154" i="27"/>
  <c r="O156" i="27"/>
  <c r="L157" i="27"/>
  <c r="F158" i="27"/>
  <c r="L159" i="27"/>
  <c r="I160" i="27"/>
  <c r="F161" i="27"/>
  <c r="O162" i="27"/>
  <c r="F164" i="27"/>
  <c r="O164" i="27"/>
  <c r="L165" i="27"/>
  <c r="F166" i="27"/>
  <c r="L167" i="27"/>
  <c r="F168" i="27"/>
  <c r="I170" i="27"/>
  <c r="O171" i="27"/>
  <c r="I45" i="28"/>
  <c r="F46" i="28"/>
  <c r="L47" i="28"/>
  <c r="F48" i="28"/>
  <c r="I50" i="28"/>
  <c r="F51" i="28"/>
  <c r="O51" i="28"/>
  <c r="L52" i="28"/>
  <c r="I53" i="28"/>
  <c r="F54" i="28"/>
  <c r="L55" i="28"/>
  <c r="I56" i="28"/>
  <c r="O57" i="28"/>
  <c r="L58" i="28"/>
  <c r="F59" i="28"/>
  <c r="I60" i="28"/>
  <c r="F61" i="28"/>
  <c r="O61" i="28"/>
  <c r="L62" i="28"/>
  <c r="I63" i="28"/>
  <c r="F72" i="28"/>
  <c r="O72" i="28"/>
  <c r="L73" i="28"/>
  <c r="F74" i="28"/>
  <c r="O74" i="28"/>
  <c r="L75" i="28"/>
  <c r="I76" i="28"/>
  <c r="F77" i="28"/>
  <c r="L78" i="28"/>
  <c r="F79" i="28"/>
  <c r="O79" i="28"/>
  <c r="L80" i="28"/>
  <c r="I81" i="28"/>
  <c r="F82" i="28"/>
  <c r="I83" i="28"/>
  <c r="O84" i="28"/>
  <c r="L85" i="28"/>
  <c r="I86" i="28"/>
  <c r="O86" i="28"/>
  <c r="L87" i="28"/>
  <c r="F88" i="28"/>
  <c r="O88" i="28"/>
  <c r="L89" i="28"/>
  <c r="O90" i="28"/>
  <c r="I99" i="28"/>
  <c r="F100" i="28"/>
  <c r="L101" i="28"/>
  <c r="F102" i="28"/>
  <c r="O102" i="28"/>
  <c r="L103" i="28"/>
  <c r="F104" i="28"/>
  <c r="O104" i="28"/>
  <c r="F106" i="28"/>
  <c r="O107" i="28"/>
  <c r="L108" i="28"/>
  <c r="I109" i="28"/>
  <c r="O109" i="28"/>
  <c r="L110" i="28"/>
  <c r="F111" i="28"/>
  <c r="O111" i="28"/>
  <c r="L112" i="28"/>
  <c r="F113" i="28"/>
  <c r="O113" i="28"/>
  <c r="I116" i="28"/>
  <c r="H145" i="28"/>
  <c r="F126" i="28"/>
  <c r="O127" i="28"/>
  <c r="F129" i="28"/>
  <c r="O129" i="28"/>
  <c r="L130" i="28"/>
  <c r="I131" i="28"/>
  <c r="L132" i="28"/>
  <c r="I133" i="28"/>
  <c r="F134" i="28"/>
  <c r="O135" i="28"/>
  <c r="O137" i="28"/>
  <c r="L138" i="28"/>
  <c r="F139" i="28"/>
  <c r="L140" i="28"/>
  <c r="I141" i="28"/>
  <c r="O143" i="28"/>
  <c r="F152" i="28"/>
  <c r="O152" i="28"/>
  <c r="L153" i="28"/>
  <c r="F154" i="28"/>
  <c r="O154" i="28"/>
  <c r="F156" i="28"/>
  <c r="O157" i="28"/>
  <c r="L158" i="28"/>
  <c r="I159" i="28"/>
  <c r="O159" i="28"/>
  <c r="L160" i="28"/>
  <c r="F161" i="28"/>
  <c r="O161" i="28"/>
  <c r="L162" i="28"/>
  <c r="F163" i="28"/>
  <c r="O163" i="28"/>
  <c r="L164" i="28"/>
  <c r="I165" i="28"/>
  <c r="F166" i="28"/>
  <c r="O171" i="28"/>
  <c r="I179" i="28"/>
  <c r="L180" i="28"/>
  <c r="O181" i="28"/>
  <c r="F185" i="28"/>
  <c r="L185" i="28"/>
  <c r="I186" i="28"/>
  <c r="F187" i="28"/>
  <c r="L187" i="28"/>
  <c r="L189" i="28"/>
  <c r="I190" i="28"/>
  <c r="L192" i="28"/>
  <c r="O194" i="28"/>
  <c r="L197" i="28"/>
  <c r="I198" i="28"/>
  <c r="F64" i="29"/>
  <c r="O62" i="33"/>
  <c r="L60" i="33"/>
  <c r="L51" i="33"/>
  <c r="L46" i="33"/>
  <c r="O45" i="33"/>
  <c r="O55" i="33"/>
  <c r="I53" i="33"/>
  <c r="O51" i="33"/>
  <c r="I49" i="33"/>
  <c r="L48" i="33"/>
  <c r="O63" i="33"/>
  <c r="L58" i="33"/>
  <c r="O188" i="28"/>
  <c r="O192" i="28"/>
  <c r="O196" i="28"/>
  <c r="H64" i="29"/>
  <c r="F72" i="29"/>
  <c r="O72" i="29"/>
  <c r="L73" i="29"/>
  <c r="I74" i="29"/>
  <c r="L75" i="29"/>
  <c r="F76" i="29"/>
  <c r="O76" i="29"/>
  <c r="L77" i="29"/>
  <c r="F78" i="29"/>
  <c r="O78" i="29"/>
  <c r="F80" i="29"/>
  <c r="O80" i="29"/>
  <c r="L81" i="29"/>
  <c r="I82" i="29"/>
  <c r="L83" i="29"/>
  <c r="F84" i="29"/>
  <c r="I86" i="29"/>
  <c r="L87" i="29"/>
  <c r="I88" i="29"/>
  <c r="O89" i="29"/>
  <c r="F98" i="29"/>
  <c r="F118" i="29" s="1"/>
  <c r="I126" i="29"/>
  <c r="O127" i="29"/>
  <c r="I130" i="29"/>
  <c r="I132" i="29"/>
  <c r="I134" i="29"/>
  <c r="F135" i="29"/>
  <c r="L136" i="29"/>
  <c r="I137" i="29"/>
  <c r="I139" i="29"/>
  <c r="L140" i="29"/>
  <c r="F141" i="29"/>
  <c r="I143" i="29"/>
  <c r="F144" i="29"/>
  <c r="H172" i="29"/>
  <c r="F153" i="29"/>
  <c r="F172" i="29" s="1"/>
  <c r="O153" i="29"/>
  <c r="L154" i="29"/>
  <c r="I155" i="29"/>
  <c r="I157" i="29"/>
  <c r="F158" i="29"/>
  <c r="L159" i="29"/>
  <c r="I160" i="29"/>
  <c r="O161" i="29"/>
  <c r="L162" i="29"/>
  <c r="F163" i="29"/>
  <c r="I164" i="29"/>
  <c r="F165" i="29"/>
  <c r="O165" i="29"/>
  <c r="L166" i="29"/>
  <c r="I167" i="29"/>
  <c r="O167" i="29"/>
  <c r="L168" i="29"/>
  <c r="I169" i="29"/>
  <c r="O170" i="29"/>
  <c r="F179" i="29"/>
  <c r="O180" i="29"/>
  <c r="L181" i="29"/>
  <c r="I182" i="29"/>
  <c r="I184" i="29"/>
  <c r="F185" i="29"/>
  <c r="O185" i="29"/>
  <c r="F187" i="29"/>
  <c r="O188" i="29"/>
  <c r="L189" i="29"/>
  <c r="I190" i="29"/>
  <c r="O190" i="29"/>
  <c r="L191" i="29"/>
  <c r="F192" i="29"/>
  <c r="O192" i="29"/>
  <c r="L193" i="29"/>
  <c r="I194" i="29"/>
  <c r="O195" i="29"/>
  <c r="L196" i="29"/>
  <c r="I197" i="29"/>
  <c r="F198" i="29"/>
  <c r="I45" i="30"/>
  <c r="F46" i="30"/>
  <c r="O46" i="30"/>
  <c r="O47" i="30"/>
  <c r="L48" i="30"/>
  <c r="L49" i="30"/>
  <c r="L50" i="30"/>
  <c r="I51" i="30"/>
  <c r="F52" i="30"/>
  <c r="O52" i="30"/>
  <c r="L53" i="30"/>
  <c r="I54" i="30"/>
  <c r="I55" i="30"/>
  <c r="F56" i="30"/>
  <c r="L56" i="30"/>
  <c r="L57" i="30"/>
  <c r="I58" i="30"/>
  <c r="F59" i="30"/>
  <c r="F60" i="30"/>
  <c r="L60" i="30"/>
  <c r="I61" i="30"/>
  <c r="I62" i="30"/>
  <c r="O62" i="30"/>
  <c r="H91" i="30"/>
  <c r="F72" i="30"/>
  <c r="O72" i="30"/>
  <c r="L73" i="30"/>
  <c r="F74" i="30"/>
  <c r="I76" i="30"/>
  <c r="O76" i="30"/>
  <c r="L77" i="30"/>
  <c r="F78" i="30"/>
  <c r="O78" i="30"/>
  <c r="L79" i="30"/>
  <c r="L81" i="30"/>
  <c r="I82" i="30"/>
  <c r="O82" i="30"/>
  <c r="O83" i="30"/>
  <c r="L84" i="30"/>
  <c r="L85" i="30"/>
  <c r="L86" i="30"/>
  <c r="I87" i="30"/>
  <c r="F88" i="30"/>
  <c r="O88" i="30"/>
  <c r="L89" i="30"/>
  <c r="I90" i="30"/>
  <c r="H118" i="30"/>
  <c r="F99" i="30"/>
  <c r="O99" i="30"/>
  <c r="L100" i="30"/>
  <c r="I102" i="30"/>
  <c r="O103" i="30"/>
  <c r="L104" i="30"/>
  <c r="L105" i="30"/>
  <c r="I106" i="30"/>
  <c r="F107" i="30"/>
  <c r="O107" i="30"/>
  <c r="L108" i="30"/>
  <c r="I109" i="30"/>
  <c r="I110" i="30"/>
  <c r="F111" i="30"/>
  <c r="L111" i="30"/>
  <c r="L112" i="30"/>
  <c r="I114" i="30"/>
  <c r="O115" i="30"/>
  <c r="O116" i="30"/>
  <c r="L117" i="30"/>
  <c r="H145" i="30"/>
  <c r="O126" i="30"/>
  <c r="L128" i="30"/>
  <c r="L129" i="30"/>
  <c r="I130" i="30"/>
  <c r="F131" i="30"/>
  <c r="O131" i="30"/>
  <c r="O132" i="30"/>
  <c r="L133" i="30"/>
  <c r="I134" i="30"/>
  <c r="I135" i="30"/>
  <c r="F136" i="30"/>
  <c r="F137" i="30"/>
  <c r="F138" i="30"/>
  <c r="L138" i="30"/>
  <c r="L139" i="30"/>
  <c r="F141" i="30"/>
  <c r="F142" i="30"/>
  <c r="L143" i="30"/>
  <c r="I144" i="30"/>
  <c r="H172" i="30"/>
  <c r="O153" i="30"/>
  <c r="L154" i="30"/>
  <c r="L155" i="30"/>
  <c r="F158" i="30"/>
  <c r="O158" i="30"/>
  <c r="O159" i="30"/>
  <c r="O160" i="30"/>
  <c r="I162" i="30"/>
  <c r="I163" i="30"/>
  <c r="O163" i="30"/>
  <c r="O164" i="30"/>
  <c r="L165" i="30"/>
  <c r="I166" i="30"/>
  <c r="F167" i="30"/>
  <c r="F168" i="30"/>
  <c r="F169" i="30"/>
  <c r="I171" i="30"/>
  <c r="H199" i="30"/>
  <c r="F45" i="32"/>
  <c r="L46" i="32"/>
  <c r="L47" i="32"/>
  <c r="I48" i="32"/>
  <c r="F51" i="32"/>
  <c r="F53" i="32"/>
  <c r="L54" i="32"/>
  <c r="L55" i="32"/>
  <c r="I56" i="32"/>
  <c r="F59" i="32"/>
  <c r="F61" i="32"/>
  <c r="L62" i="32"/>
  <c r="L63" i="32"/>
  <c r="F71" i="32"/>
  <c r="O71" i="32"/>
  <c r="O73" i="32"/>
  <c r="L74" i="32"/>
  <c r="F75" i="32"/>
  <c r="L76" i="32"/>
  <c r="F77" i="32"/>
  <c r="I79" i="32"/>
  <c r="F80" i="32"/>
  <c r="O80" i="32"/>
  <c r="L81" i="32"/>
  <c r="I82" i="32"/>
  <c r="F83" i="32"/>
  <c r="L84" i="32"/>
  <c r="I85" i="32"/>
  <c r="O86" i="32"/>
  <c r="L87" i="32"/>
  <c r="F88" i="32"/>
  <c r="O88" i="32"/>
  <c r="L89" i="32"/>
  <c r="I90" i="32"/>
  <c r="F98" i="32"/>
  <c r="E145" i="32"/>
  <c r="F126" i="32"/>
  <c r="O126" i="32"/>
  <c r="O127" i="32"/>
  <c r="I129" i="32"/>
  <c r="I130" i="32"/>
  <c r="F131" i="32"/>
  <c r="F132" i="32"/>
  <c r="L133" i="32"/>
  <c r="L134" i="32"/>
  <c r="L135" i="32"/>
  <c r="F137" i="32"/>
  <c r="L138" i="32"/>
  <c r="I139" i="32"/>
  <c r="F140" i="32"/>
  <c r="L140" i="32"/>
  <c r="L141" i="32"/>
  <c r="I142" i="32"/>
  <c r="F143" i="32"/>
  <c r="O143" i="32"/>
  <c r="L153" i="32"/>
  <c r="I154" i="32"/>
  <c r="I155" i="32"/>
  <c r="O156" i="32"/>
  <c r="L157" i="32"/>
  <c r="I158" i="32"/>
  <c r="F159" i="32"/>
  <c r="O159" i="32"/>
  <c r="F162" i="32"/>
  <c r="F163" i="32"/>
  <c r="O163" i="32"/>
  <c r="L164" i="32"/>
  <c r="I165" i="32"/>
  <c r="F166" i="32"/>
  <c r="O166" i="32"/>
  <c r="O167" i="32"/>
  <c r="F169" i="32"/>
  <c r="F170" i="32"/>
  <c r="L171" i="32"/>
  <c r="L187" i="32"/>
  <c r="I188" i="32"/>
  <c r="I189" i="32"/>
  <c r="F190" i="32"/>
  <c r="O190" i="32"/>
  <c r="I192" i="32"/>
  <c r="F193" i="32"/>
  <c r="F195" i="32"/>
  <c r="F197" i="32"/>
  <c r="F198" i="32"/>
  <c r="O198" i="32"/>
  <c r="O48" i="33"/>
  <c r="O49" i="33"/>
  <c r="L50" i="33"/>
  <c r="L52" i="33"/>
  <c r="F56" i="33"/>
  <c r="I61" i="33"/>
  <c r="I62" i="33"/>
  <c r="I63" i="33"/>
  <c r="F71" i="33"/>
  <c r="F91" i="33" s="1"/>
  <c r="H118" i="33"/>
  <c r="L131" i="33"/>
  <c r="I126" i="33"/>
  <c r="O143" i="33"/>
  <c r="L140" i="33"/>
  <c r="O138" i="33"/>
  <c r="I138" i="33"/>
  <c r="O135" i="33"/>
  <c r="L133" i="33"/>
  <c r="O144" i="33"/>
  <c r="I142" i="33"/>
  <c r="O136" i="33"/>
  <c r="I134" i="33"/>
  <c r="E172" i="33"/>
  <c r="F181" i="33"/>
  <c r="O181" i="33"/>
  <c r="L184" i="33"/>
  <c r="F191" i="33"/>
  <c r="F194" i="33"/>
  <c r="I163" i="28"/>
  <c r="O164" i="28"/>
  <c r="L165" i="28"/>
  <c r="I166" i="28"/>
  <c r="I168" i="28"/>
  <c r="I170" i="28"/>
  <c r="H199" i="28"/>
  <c r="N199" i="28"/>
  <c r="O183" i="28"/>
  <c r="O187" i="28"/>
  <c r="O191" i="28"/>
  <c r="O195" i="28"/>
  <c r="E91" i="29"/>
  <c r="L71" i="29"/>
  <c r="I72" i="29"/>
  <c r="O73" i="29"/>
  <c r="F75" i="29"/>
  <c r="I76" i="29"/>
  <c r="I78" i="29"/>
  <c r="L79" i="29"/>
  <c r="I80" i="29"/>
  <c r="O81" i="29"/>
  <c r="F83" i="29"/>
  <c r="I84" i="29"/>
  <c r="F85" i="29"/>
  <c r="O85" i="29"/>
  <c r="F87" i="29"/>
  <c r="O87" i="29"/>
  <c r="L88" i="29"/>
  <c r="F89" i="29"/>
  <c r="L90" i="29"/>
  <c r="H118" i="29"/>
  <c r="E145" i="29"/>
  <c r="N145" i="29"/>
  <c r="L126" i="29"/>
  <c r="F127" i="29"/>
  <c r="L128" i="29"/>
  <c r="F129" i="29"/>
  <c r="O129" i="29"/>
  <c r="L130" i="29"/>
  <c r="F131" i="29"/>
  <c r="O131" i="29"/>
  <c r="F133" i="29"/>
  <c r="O133" i="29"/>
  <c r="L134" i="29"/>
  <c r="I135" i="29"/>
  <c r="F136" i="29"/>
  <c r="O136" i="29"/>
  <c r="L137" i="29"/>
  <c r="F138" i="29"/>
  <c r="O138" i="29"/>
  <c r="L139" i="29"/>
  <c r="F140" i="29"/>
  <c r="I141" i="29"/>
  <c r="F142" i="29"/>
  <c r="O142" i="29"/>
  <c r="L143" i="29"/>
  <c r="I144" i="29"/>
  <c r="I153" i="29"/>
  <c r="O154" i="29"/>
  <c r="F156" i="29"/>
  <c r="O156" i="29"/>
  <c r="L157" i="29"/>
  <c r="I158" i="29"/>
  <c r="F159" i="29"/>
  <c r="O159" i="29"/>
  <c r="L160" i="29"/>
  <c r="F161" i="29"/>
  <c r="I163" i="29"/>
  <c r="O163" i="29"/>
  <c r="L164" i="29"/>
  <c r="I165" i="29"/>
  <c r="O166" i="29"/>
  <c r="O168" i="29"/>
  <c r="L169" i="29"/>
  <c r="F170" i="29"/>
  <c r="L171" i="29"/>
  <c r="H199" i="29"/>
  <c r="F180" i="29"/>
  <c r="O181" i="29"/>
  <c r="F183" i="29"/>
  <c r="O183" i="29"/>
  <c r="L184" i="29"/>
  <c r="I185" i="29"/>
  <c r="L186" i="29"/>
  <c r="I187" i="29"/>
  <c r="F188" i="29"/>
  <c r="O189" i="29"/>
  <c r="I192" i="29"/>
  <c r="O193" i="29"/>
  <c r="F195" i="29"/>
  <c r="O196" i="29"/>
  <c r="L197" i="29"/>
  <c r="I198" i="29"/>
  <c r="E64" i="30"/>
  <c r="L44" i="30"/>
  <c r="L45" i="30"/>
  <c r="I46" i="30"/>
  <c r="F47" i="30"/>
  <c r="F48" i="30"/>
  <c r="O48" i="30"/>
  <c r="O49" i="30"/>
  <c r="L51" i="30"/>
  <c r="F53" i="30"/>
  <c r="L54" i="30"/>
  <c r="O56" i="30"/>
  <c r="L58" i="30"/>
  <c r="I59" i="30"/>
  <c r="L61" i="30"/>
  <c r="F63" i="30"/>
  <c r="K91" i="30"/>
  <c r="I72" i="30"/>
  <c r="I74" i="30"/>
  <c r="F75" i="30"/>
  <c r="O75" i="30"/>
  <c r="I78" i="30"/>
  <c r="I80" i="30"/>
  <c r="O80" i="30"/>
  <c r="F83" i="30"/>
  <c r="F84" i="30"/>
  <c r="O84" i="30"/>
  <c r="O85" i="30"/>
  <c r="L87" i="30"/>
  <c r="F89" i="30"/>
  <c r="L90" i="30"/>
  <c r="F100" i="30"/>
  <c r="O100" i="30"/>
  <c r="L101" i="30"/>
  <c r="L102" i="30"/>
  <c r="I103" i="30"/>
  <c r="F104" i="30"/>
  <c r="O104" i="30"/>
  <c r="L106" i="30"/>
  <c r="F108" i="30"/>
  <c r="L109" i="30"/>
  <c r="O111" i="30"/>
  <c r="O112" i="30"/>
  <c r="L113" i="30"/>
  <c r="L114" i="30"/>
  <c r="I115" i="30"/>
  <c r="F116" i="30"/>
  <c r="F117" i="30"/>
  <c r="I126" i="30"/>
  <c r="F127" i="30"/>
  <c r="O127" i="30"/>
  <c r="O128" i="30"/>
  <c r="O129" i="30"/>
  <c r="L130" i="30"/>
  <c r="I131" i="30"/>
  <c r="F132" i="30"/>
  <c r="F133" i="30"/>
  <c r="O133" i="30"/>
  <c r="L134" i="30"/>
  <c r="L135" i="30"/>
  <c r="I136" i="30"/>
  <c r="I137" i="30"/>
  <c r="O138" i="30"/>
  <c r="O139" i="30"/>
  <c r="L140" i="30"/>
  <c r="I141" i="30"/>
  <c r="O142" i="30"/>
  <c r="L144" i="30"/>
  <c r="I153" i="30"/>
  <c r="F154" i="30"/>
  <c r="O154" i="30"/>
  <c r="O155" i="30"/>
  <c r="L156" i="30"/>
  <c r="I157" i="30"/>
  <c r="I158" i="30"/>
  <c r="F159" i="30"/>
  <c r="F160" i="30"/>
  <c r="F161" i="30"/>
  <c r="L161" i="30"/>
  <c r="L162" i="30"/>
  <c r="F164" i="30"/>
  <c r="F165" i="30"/>
  <c r="L166" i="30"/>
  <c r="I167" i="30"/>
  <c r="I168" i="30"/>
  <c r="O169" i="30"/>
  <c r="L170" i="30"/>
  <c r="L171" i="30"/>
  <c r="I182" i="30"/>
  <c r="O182" i="30"/>
  <c r="O183" i="30"/>
  <c r="L184" i="30"/>
  <c r="L185" i="30"/>
  <c r="F187" i="30"/>
  <c r="I188" i="30"/>
  <c r="I189" i="30"/>
  <c r="O190" i="30"/>
  <c r="O191" i="30"/>
  <c r="L192" i="30"/>
  <c r="L193" i="30"/>
  <c r="F195" i="30"/>
  <c r="O195" i="30"/>
  <c r="I197" i="30"/>
  <c r="O198" i="30"/>
  <c r="L44" i="32"/>
  <c r="O45" i="32"/>
  <c r="O46" i="32"/>
  <c r="L48" i="32"/>
  <c r="I49" i="32"/>
  <c r="O49" i="32"/>
  <c r="L50" i="32"/>
  <c r="I51" i="32"/>
  <c r="O51" i="32"/>
  <c r="L52" i="32"/>
  <c r="O53" i="32"/>
  <c r="O54" i="32"/>
  <c r="L56" i="32"/>
  <c r="I57" i="32"/>
  <c r="O57" i="32"/>
  <c r="L58" i="32"/>
  <c r="I59" i="32"/>
  <c r="O59" i="32"/>
  <c r="L60" i="32"/>
  <c r="O61" i="32"/>
  <c r="O62" i="32"/>
  <c r="H91" i="32"/>
  <c r="L72" i="32"/>
  <c r="F73" i="32"/>
  <c r="I75" i="32"/>
  <c r="F76" i="32"/>
  <c r="I77" i="32"/>
  <c r="F78" i="32"/>
  <c r="O78" i="32"/>
  <c r="L79" i="32"/>
  <c r="I80" i="32"/>
  <c r="O81" i="32"/>
  <c r="L82" i="32"/>
  <c r="I83" i="32"/>
  <c r="F84" i="32"/>
  <c r="O84" i="32"/>
  <c r="L85" i="32"/>
  <c r="F86" i="32"/>
  <c r="I88" i="32"/>
  <c r="O89" i="32"/>
  <c r="L90" i="32"/>
  <c r="H118" i="32"/>
  <c r="L112" i="32"/>
  <c r="I113" i="32"/>
  <c r="O114" i="32"/>
  <c r="O116" i="32"/>
  <c r="L117" i="32"/>
  <c r="I126" i="32"/>
  <c r="F127" i="32"/>
  <c r="F128" i="32"/>
  <c r="L128" i="32"/>
  <c r="L129" i="32"/>
  <c r="I131" i="32"/>
  <c r="O132" i="32"/>
  <c r="O133" i="32"/>
  <c r="O134" i="32"/>
  <c r="I136" i="32"/>
  <c r="I137" i="32"/>
  <c r="O137" i="32"/>
  <c r="O140" i="32"/>
  <c r="L142" i="32"/>
  <c r="I143" i="32"/>
  <c r="F144" i="32"/>
  <c r="L144" i="32"/>
  <c r="I152" i="32"/>
  <c r="F153" i="32"/>
  <c r="L154" i="32"/>
  <c r="L155" i="32"/>
  <c r="I156" i="32"/>
  <c r="F157" i="32"/>
  <c r="L158" i="32"/>
  <c r="I159" i="32"/>
  <c r="F160" i="32"/>
  <c r="L160" i="32"/>
  <c r="I161" i="32"/>
  <c r="I162" i="32"/>
  <c r="I163" i="32"/>
  <c r="F164" i="32"/>
  <c r="O164" i="32"/>
  <c r="L165" i="32"/>
  <c r="I166" i="32"/>
  <c r="F167" i="32"/>
  <c r="F168" i="32"/>
  <c r="L168" i="32"/>
  <c r="I169" i="32"/>
  <c r="I170" i="32"/>
  <c r="O170" i="32"/>
  <c r="F46" i="33"/>
  <c r="F47" i="33"/>
  <c r="F48" i="33"/>
  <c r="F49" i="33"/>
  <c r="L53" i="33"/>
  <c r="L54" i="33"/>
  <c r="I55" i="33"/>
  <c r="F59" i="33"/>
  <c r="F60" i="33"/>
  <c r="O60" i="33"/>
  <c r="L61" i="33"/>
  <c r="L62" i="33"/>
  <c r="L63" i="33"/>
  <c r="K118" i="33"/>
  <c r="L198" i="33"/>
  <c r="O197" i="33"/>
  <c r="I196" i="33"/>
  <c r="L195" i="33"/>
  <c r="L190" i="33"/>
  <c r="O185" i="33"/>
  <c r="I184" i="33"/>
  <c r="L183" i="33"/>
  <c r="O182" i="33"/>
  <c r="I182" i="33"/>
  <c r="O180" i="33"/>
  <c r="I198" i="33"/>
  <c r="O189" i="33"/>
  <c r="I188" i="33"/>
  <c r="L187" i="33"/>
  <c r="O186" i="33"/>
  <c r="I186" i="33"/>
  <c r="I180" i="33"/>
  <c r="L179" i="33"/>
  <c r="O193" i="33"/>
  <c r="I192" i="33"/>
  <c r="L191" i="33"/>
  <c r="O190" i="33"/>
  <c r="L186" i="33"/>
  <c r="O196" i="33"/>
  <c r="I194" i="33"/>
  <c r="O192" i="33"/>
  <c r="O184" i="33"/>
  <c r="E64" i="29"/>
  <c r="F71" i="29"/>
  <c r="L72" i="29"/>
  <c r="F73" i="29"/>
  <c r="L74" i="29"/>
  <c r="I75" i="29"/>
  <c r="O75" i="29"/>
  <c r="L76" i="29"/>
  <c r="F77" i="29"/>
  <c r="O77" i="29"/>
  <c r="F79" i="29"/>
  <c r="O79" i="29"/>
  <c r="L80" i="29"/>
  <c r="F81" i="29"/>
  <c r="L82" i="29"/>
  <c r="I83" i="29"/>
  <c r="O83" i="29"/>
  <c r="L84" i="29"/>
  <c r="I85" i="29"/>
  <c r="L86" i="29"/>
  <c r="I87" i="29"/>
  <c r="I89" i="29"/>
  <c r="O90" i="29"/>
  <c r="F145" i="29"/>
  <c r="E172" i="29"/>
  <c r="L153" i="29"/>
  <c r="F154" i="29"/>
  <c r="L155" i="29"/>
  <c r="I156" i="29"/>
  <c r="O157" i="29"/>
  <c r="L158" i="29"/>
  <c r="I159" i="29"/>
  <c r="I161" i="29"/>
  <c r="F162" i="29"/>
  <c r="O162" i="29"/>
  <c r="O164" i="29"/>
  <c r="L165" i="29"/>
  <c r="F166" i="29"/>
  <c r="L167" i="29"/>
  <c r="F168" i="29"/>
  <c r="I170" i="29"/>
  <c r="O171" i="29"/>
  <c r="E91" i="30"/>
  <c r="F73" i="30"/>
  <c r="O73" i="30"/>
  <c r="L74" i="30"/>
  <c r="I75" i="30"/>
  <c r="L76" i="30"/>
  <c r="F77" i="30"/>
  <c r="O77" i="30"/>
  <c r="L78" i="30"/>
  <c r="F79" i="30"/>
  <c r="O79" i="30"/>
  <c r="F81" i="30"/>
  <c r="O81" i="30"/>
  <c r="L82" i="30"/>
  <c r="I83" i="30"/>
  <c r="F85" i="30"/>
  <c r="F86" i="30"/>
  <c r="O86" i="30"/>
  <c r="I88" i="30"/>
  <c r="I89" i="30"/>
  <c r="O90" i="30"/>
  <c r="L98" i="30"/>
  <c r="I99" i="30"/>
  <c r="F101" i="30"/>
  <c r="O101" i="30"/>
  <c r="O102" i="30"/>
  <c r="L103" i="30"/>
  <c r="I104" i="30"/>
  <c r="F105" i="30"/>
  <c r="O105" i="30"/>
  <c r="I107" i="30"/>
  <c r="I108" i="30"/>
  <c r="O108" i="30"/>
  <c r="O109" i="30"/>
  <c r="L110" i="30"/>
  <c r="I111" i="30"/>
  <c r="F112" i="30"/>
  <c r="F113" i="30"/>
  <c r="O113" i="30"/>
  <c r="O114" i="30"/>
  <c r="I116" i="30"/>
  <c r="I117" i="30"/>
  <c r="N145" i="30"/>
  <c r="L126" i="30"/>
  <c r="I127" i="30"/>
  <c r="F128" i="30"/>
  <c r="F129" i="30"/>
  <c r="F130" i="30"/>
  <c r="I132" i="30"/>
  <c r="I133" i="30"/>
  <c r="F134" i="30"/>
  <c r="O134" i="30"/>
  <c r="L136" i="30"/>
  <c r="L137" i="30"/>
  <c r="I138" i="30"/>
  <c r="F139" i="30"/>
  <c r="F140" i="30"/>
  <c r="L141" i="30"/>
  <c r="I142" i="30"/>
  <c r="F143" i="30"/>
  <c r="O144" i="30"/>
  <c r="L153" i="30"/>
  <c r="I154" i="30"/>
  <c r="F155" i="30"/>
  <c r="F156" i="30"/>
  <c r="O156" i="30"/>
  <c r="L157" i="30"/>
  <c r="L158" i="30"/>
  <c r="I159" i="30"/>
  <c r="I160" i="30"/>
  <c r="O161" i="30"/>
  <c r="O162" i="30"/>
  <c r="L163" i="30"/>
  <c r="I164" i="30"/>
  <c r="O165" i="30"/>
  <c r="L167" i="30"/>
  <c r="L168" i="30"/>
  <c r="F170" i="30"/>
  <c r="O170" i="30"/>
  <c r="O171" i="30"/>
  <c r="E64" i="32"/>
  <c r="I45" i="32"/>
  <c r="F46" i="32"/>
  <c r="F47" i="32"/>
  <c r="O47" i="32"/>
  <c r="O48" i="32"/>
  <c r="F50" i="32"/>
  <c r="F52" i="32"/>
  <c r="I53" i="32"/>
  <c r="F54" i="32"/>
  <c r="F55" i="32"/>
  <c r="O55" i="32"/>
  <c r="O56" i="32"/>
  <c r="F58" i="32"/>
  <c r="F60" i="32"/>
  <c r="I61" i="32"/>
  <c r="F62" i="32"/>
  <c r="F63" i="32"/>
  <c r="K91" i="32"/>
  <c r="F72" i="32"/>
  <c r="I73" i="32"/>
  <c r="F74" i="32"/>
  <c r="O74" i="32"/>
  <c r="L75" i="32"/>
  <c r="I76" i="32"/>
  <c r="O76" i="32"/>
  <c r="L77" i="32"/>
  <c r="I78" i="32"/>
  <c r="O79" i="32"/>
  <c r="F81" i="32"/>
  <c r="O82" i="32"/>
  <c r="L83" i="32"/>
  <c r="I84" i="32"/>
  <c r="I86" i="32"/>
  <c r="F87" i="32"/>
  <c r="O87" i="32"/>
  <c r="O90" i="32"/>
  <c r="K118" i="32"/>
  <c r="I99" i="32"/>
  <c r="O99" i="32"/>
  <c r="L100" i="32"/>
  <c r="I101" i="32"/>
  <c r="O102" i="32"/>
  <c r="F104" i="32"/>
  <c r="O105" i="32"/>
  <c r="L106" i="32"/>
  <c r="I107" i="32"/>
  <c r="I109" i="32"/>
  <c r="I111" i="32"/>
  <c r="O112" i="32"/>
  <c r="L113" i="32"/>
  <c r="F114" i="32"/>
  <c r="L115" i="32"/>
  <c r="L125" i="32"/>
  <c r="L126" i="32"/>
  <c r="I127" i="32"/>
  <c r="O128" i="32"/>
  <c r="O129" i="32"/>
  <c r="L130" i="32"/>
  <c r="L131" i="32"/>
  <c r="I132" i="32"/>
  <c r="F133" i="32"/>
  <c r="F134" i="32"/>
  <c r="F135" i="32"/>
  <c r="O135" i="32"/>
  <c r="L136" i="32"/>
  <c r="F138" i="32"/>
  <c r="O138" i="32"/>
  <c r="L139" i="32"/>
  <c r="I140" i="32"/>
  <c r="F141" i="32"/>
  <c r="L143" i="32"/>
  <c r="O144" i="32"/>
  <c r="O153" i="32"/>
  <c r="O154" i="32"/>
  <c r="O155" i="32"/>
  <c r="L156" i="32"/>
  <c r="O157" i="32"/>
  <c r="L159" i="32"/>
  <c r="O160" i="32"/>
  <c r="L161" i="32"/>
  <c r="L162" i="32"/>
  <c r="L163" i="32"/>
  <c r="F165" i="32"/>
  <c r="L166" i="32"/>
  <c r="I167" i="32"/>
  <c r="L169" i="32"/>
  <c r="F171" i="32"/>
  <c r="K199" i="32"/>
  <c r="I180" i="32"/>
  <c r="O180" i="32"/>
  <c r="O181" i="32"/>
  <c r="L182" i="32"/>
  <c r="I183" i="32"/>
  <c r="I184" i="32"/>
  <c r="F185" i="32"/>
  <c r="O185" i="32"/>
  <c r="L186" i="32"/>
  <c r="I187" i="32"/>
  <c r="O187" i="32"/>
  <c r="O188" i="32"/>
  <c r="L189" i="32"/>
  <c r="L190" i="32"/>
  <c r="O191" i="32"/>
  <c r="F194" i="32"/>
  <c r="F196" i="32"/>
  <c r="L197" i="32"/>
  <c r="I45" i="33"/>
  <c r="I46" i="33"/>
  <c r="I47" i="33"/>
  <c r="I48" i="33"/>
  <c r="F52" i="33"/>
  <c r="O52" i="33"/>
  <c r="L56" i="33"/>
  <c r="I57" i="33"/>
  <c r="I58" i="33"/>
  <c r="O113" i="33"/>
  <c r="I111" i="33"/>
  <c r="L110" i="33"/>
  <c r="O108" i="33"/>
  <c r="I107" i="33"/>
  <c r="O105" i="33"/>
  <c r="I103" i="33"/>
  <c r="O98" i="33"/>
  <c r="L117" i="33"/>
  <c r="O115" i="33"/>
  <c r="I115" i="33"/>
  <c r="L113" i="33"/>
  <c r="O101" i="33"/>
  <c r="L99" i="33"/>
  <c r="E145" i="33"/>
  <c r="O125" i="33"/>
  <c r="O126" i="33"/>
  <c r="O127" i="33"/>
  <c r="L129" i="33"/>
  <c r="I130" i="33"/>
  <c r="I131" i="33"/>
  <c r="I132" i="33"/>
  <c r="I133" i="33"/>
  <c r="F137" i="33"/>
  <c r="F138" i="33"/>
  <c r="L142" i="33"/>
  <c r="L143" i="33"/>
  <c r="O188" i="33"/>
  <c r="L192" i="33"/>
  <c r="F57" i="33"/>
  <c r="O57" i="33"/>
  <c r="L59" i="33"/>
  <c r="F63" i="33"/>
  <c r="F99" i="33"/>
  <c r="L100" i="33"/>
  <c r="I101" i="33"/>
  <c r="O102" i="33"/>
  <c r="O103" i="33"/>
  <c r="L105" i="33"/>
  <c r="L106" i="33"/>
  <c r="F109" i="33"/>
  <c r="F110" i="33"/>
  <c r="F111" i="33"/>
  <c r="F112" i="33"/>
  <c r="F113" i="33"/>
  <c r="L126" i="33"/>
  <c r="L127" i="33"/>
  <c r="L128" i="33"/>
  <c r="I129" i="33"/>
  <c r="F131" i="33"/>
  <c r="F132" i="33"/>
  <c r="F133" i="33"/>
  <c r="I135" i="33"/>
  <c r="F136" i="33"/>
  <c r="O137" i="33"/>
  <c r="F139" i="33"/>
  <c r="F140" i="33"/>
  <c r="O140" i="33"/>
  <c r="I143" i="33"/>
  <c r="F144" i="33"/>
  <c r="O167" i="33"/>
  <c r="I165" i="33"/>
  <c r="L159" i="33"/>
  <c r="O157" i="33"/>
  <c r="I157" i="33"/>
  <c r="L156" i="33"/>
  <c r="O154" i="33"/>
  <c r="O152" i="33"/>
  <c r="E199" i="33"/>
  <c r="N199" i="33"/>
  <c r="L180" i="33"/>
  <c r="L181" i="33"/>
  <c r="F183" i="33"/>
  <c r="F184" i="33"/>
  <c r="F196" i="33"/>
  <c r="I45" i="34"/>
  <c r="F46" i="34"/>
  <c r="O47" i="34"/>
  <c r="L48" i="34"/>
  <c r="I53" i="34"/>
  <c r="F54" i="34"/>
  <c r="O56" i="34"/>
  <c r="O57" i="34"/>
  <c r="I60" i="34"/>
  <c r="F61" i="34"/>
  <c r="O61" i="34"/>
  <c r="L127" i="34"/>
  <c r="F133" i="34"/>
  <c r="O134" i="34"/>
  <c r="O135" i="34"/>
  <c r="L137" i="34"/>
  <c r="L138" i="34"/>
  <c r="L143" i="34"/>
  <c r="F156" i="34"/>
  <c r="I160" i="34"/>
  <c r="F161" i="34"/>
  <c r="O162" i="34"/>
  <c r="L163" i="34"/>
  <c r="I164" i="34"/>
  <c r="I166" i="34"/>
  <c r="F167" i="34"/>
  <c r="O167" i="34"/>
  <c r="L170" i="34"/>
  <c r="H199" i="33"/>
  <c r="F180" i="33"/>
  <c r="I183" i="33"/>
  <c r="F186" i="33"/>
  <c r="I187" i="33"/>
  <c r="F188" i="33"/>
  <c r="L189" i="33"/>
  <c r="F193" i="33"/>
  <c r="I195" i="33"/>
  <c r="O198" i="33"/>
  <c r="E64" i="34"/>
  <c r="L44" i="34"/>
  <c r="L45" i="34"/>
  <c r="I46" i="34"/>
  <c r="F47" i="34"/>
  <c r="F51" i="34"/>
  <c r="L52" i="34"/>
  <c r="L53" i="34"/>
  <c r="O59" i="34"/>
  <c r="L60" i="34"/>
  <c r="O63" i="34"/>
  <c r="O76" i="34"/>
  <c r="I79" i="34"/>
  <c r="F80" i="34"/>
  <c r="O80" i="34"/>
  <c r="O81" i="34"/>
  <c r="F84" i="34"/>
  <c r="O85" i="34"/>
  <c r="F125" i="34"/>
  <c r="O126" i="34"/>
  <c r="O127" i="34"/>
  <c r="I130" i="34"/>
  <c r="F131" i="34"/>
  <c r="O131" i="34"/>
  <c r="L132" i="34"/>
  <c r="I133" i="34"/>
  <c r="F134" i="34"/>
  <c r="O136" i="34"/>
  <c r="O137" i="34"/>
  <c r="O142" i="34"/>
  <c r="O143" i="34"/>
  <c r="I153" i="34"/>
  <c r="F154" i="34"/>
  <c r="O154" i="34"/>
  <c r="L155" i="34"/>
  <c r="I156" i="34"/>
  <c r="F158" i="34"/>
  <c r="L159" i="34"/>
  <c r="L160" i="34"/>
  <c r="I161" i="34"/>
  <c r="L165" i="34"/>
  <c r="L166" i="34"/>
  <c r="I167" i="34"/>
  <c r="O169" i="34"/>
  <c r="O170" i="34"/>
  <c r="F198" i="34"/>
  <c r="L63" i="34"/>
  <c r="F62" i="34"/>
  <c r="F58" i="34"/>
  <c r="L56" i="34"/>
  <c r="O53" i="34"/>
  <c r="F53" i="34"/>
  <c r="O48" i="34"/>
  <c r="F45" i="34"/>
  <c r="I61" i="34"/>
  <c r="F60" i="34"/>
  <c r="I59" i="34"/>
  <c r="F57" i="34"/>
  <c r="O55" i="34"/>
  <c r="F55" i="34"/>
  <c r="F50" i="34"/>
  <c r="F48" i="34"/>
  <c r="F144" i="34"/>
  <c r="O138" i="34"/>
  <c r="F138" i="34"/>
  <c r="F136" i="34"/>
  <c r="F130" i="34"/>
  <c r="F128" i="34"/>
  <c r="L144" i="34"/>
  <c r="F143" i="34"/>
  <c r="F140" i="34"/>
  <c r="F137" i="34"/>
  <c r="L136" i="34"/>
  <c r="F135" i="34"/>
  <c r="F132" i="34"/>
  <c r="L128" i="34"/>
  <c r="F127" i="34"/>
  <c r="F171" i="34"/>
  <c r="F168" i="34"/>
  <c r="L167" i="34"/>
  <c r="F166" i="34"/>
  <c r="L164" i="34"/>
  <c r="F160" i="34"/>
  <c r="L156" i="34"/>
  <c r="F153" i="34"/>
  <c r="L171" i="34"/>
  <c r="F170" i="34"/>
  <c r="L168" i="34"/>
  <c r="F165" i="34"/>
  <c r="F163" i="34"/>
  <c r="O157" i="34"/>
  <c r="F157" i="34"/>
  <c r="F155" i="34"/>
  <c r="E64" i="33"/>
  <c r="F45" i="33"/>
  <c r="O46" i="33"/>
  <c r="O47" i="33"/>
  <c r="F51" i="33"/>
  <c r="I54" i="33"/>
  <c r="F55" i="33"/>
  <c r="O56" i="33"/>
  <c r="L57" i="33"/>
  <c r="I59" i="33"/>
  <c r="I60" i="33"/>
  <c r="F61" i="33"/>
  <c r="O61" i="33"/>
  <c r="L103" i="33"/>
  <c r="L104" i="33"/>
  <c r="I105" i="33"/>
  <c r="I106" i="33"/>
  <c r="F107" i="33"/>
  <c r="F108" i="33"/>
  <c r="O110" i="33"/>
  <c r="O111" i="33"/>
  <c r="O112" i="33"/>
  <c r="L114" i="33"/>
  <c r="O116" i="33"/>
  <c r="O131" i="33"/>
  <c r="O132" i="33"/>
  <c r="F135" i="33"/>
  <c r="L137" i="33"/>
  <c r="O139" i="33"/>
  <c r="L141" i="33"/>
  <c r="F143" i="33"/>
  <c r="O153" i="33"/>
  <c r="L154" i="33"/>
  <c r="L155" i="33"/>
  <c r="I158" i="33"/>
  <c r="I159" i="33"/>
  <c r="I160" i="33"/>
  <c r="F161" i="33"/>
  <c r="L161" i="33"/>
  <c r="L162" i="33"/>
  <c r="I163" i="33"/>
  <c r="O163" i="33"/>
  <c r="L164" i="33"/>
  <c r="F168" i="33"/>
  <c r="F169" i="33"/>
  <c r="L169" i="33"/>
  <c r="I170" i="33"/>
  <c r="O170" i="33"/>
  <c r="O171" i="33"/>
  <c r="I181" i="33"/>
  <c r="F182" i="33"/>
  <c r="O183" i="33"/>
  <c r="L185" i="33"/>
  <c r="F189" i="33"/>
  <c r="L197" i="33"/>
  <c r="F49" i="34"/>
  <c r="O54" i="34"/>
  <c r="L57" i="34"/>
  <c r="L58" i="34"/>
  <c r="L62" i="34"/>
  <c r="I63" i="34"/>
  <c r="F90" i="34"/>
  <c r="O88" i="34"/>
  <c r="F88" i="34"/>
  <c r="O86" i="34"/>
  <c r="F82" i="34"/>
  <c r="F79" i="34"/>
  <c r="L78" i="34"/>
  <c r="O75" i="34"/>
  <c r="F75" i="34"/>
  <c r="F72" i="34"/>
  <c r="L90" i="34"/>
  <c r="F86" i="34"/>
  <c r="F83" i="34"/>
  <c r="L82" i="34"/>
  <c r="F81" i="34"/>
  <c r="O77" i="34"/>
  <c r="F77" i="34"/>
  <c r="F71" i="34"/>
  <c r="F91" i="34" s="1"/>
  <c r="E118" i="34"/>
  <c r="N118" i="34"/>
  <c r="I128" i="34"/>
  <c r="F129" i="34"/>
  <c r="O129" i="34"/>
  <c r="L135" i="34"/>
  <c r="I138" i="34"/>
  <c r="F139" i="34"/>
  <c r="I144" i="34"/>
  <c r="F152" i="34"/>
  <c r="O152" i="34"/>
  <c r="O156" i="34"/>
  <c r="F164" i="34"/>
  <c r="I171" i="34"/>
  <c r="F179" i="34"/>
  <c r="H91" i="35"/>
  <c r="I71" i="35"/>
  <c r="F172" i="35"/>
  <c r="F91" i="37"/>
  <c r="O90" i="39"/>
  <c r="O88" i="39"/>
  <c r="F88" i="39"/>
  <c r="F86" i="39"/>
  <c r="F82" i="39"/>
  <c r="F79" i="39"/>
  <c r="L78" i="39"/>
  <c r="F77" i="39"/>
  <c r="F72" i="39"/>
  <c r="F198" i="45"/>
  <c r="L194" i="45"/>
  <c r="F193" i="45"/>
  <c r="F190" i="45"/>
  <c r="F187" i="45"/>
  <c r="L186" i="45"/>
  <c r="F185" i="45"/>
  <c r="F182" i="45"/>
  <c r="L198" i="45"/>
  <c r="O195" i="45"/>
  <c r="F195" i="45"/>
  <c r="F192" i="45"/>
  <c r="L190" i="45"/>
  <c r="F189" i="45"/>
  <c r="F184" i="45"/>
  <c r="L182" i="45"/>
  <c r="O179" i="45"/>
  <c r="F179" i="45"/>
  <c r="O197" i="45"/>
  <c r="F197" i="45"/>
  <c r="F183" i="45"/>
  <c r="F196" i="45"/>
  <c r="O188" i="45"/>
  <c r="F188" i="45"/>
  <c r="F194" i="45"/>
  <c r="O181" i="45"/>
  <c r="F181" i="45"/>
  <c r="O186" i="45"/>
  <c r="F186" i="45"/>
  <c r="F180" i="45"/>
  <c r="E118" i="35"/>
  <c r="I99" i="35"/>
  <c r="F100" i="35"/>
  <c r="O100" i="35"/>
  <c r="F102" i="35"/>
  <c r="O102" i="35"/>
  <c r="L103" i="35"/>
  <c r="I104" i="35"/>
  <c r="L105" i="35"/>
  <c r="F106" i="35"/>
  <c r="I108" i="35"/>
  <c r="F109" i="35"/>
  <c r="I110" i="35"/>
  <c r="F111" i="35"/>
  <c r="O111" i="35"/>
  <c r="L112" i="35"/>
  <c r="I113" i="35"/>
  <c r="I115" i="35"/>
  <c r="F116" i="35"/>
  <c r="O116" i="35"/>
  <c r="F125" i="35"/>
  <c r="H172" i="35"/>
  <c r="K91" i="36"/>
  <c r="E118" i="36"/>
  <c r="H145" i="36"/>
  <c r="E172" i="36"/>
  <c r="N172" i="36"/>
  <c r="H199" i="36"/>
  <c r="I44" i="37"/>
  <c r="H91" i="37"/>
  <c r="L144" i="37"/>
  <c r="F143" i="37"/>
  <c r="O139" i="37"/>
  <c r="F139" i="37"/>
  <c r="F133" i="37"/>
  <c r="O128" i="37"/>
  <c r="E172" i="37"/>
  <c r="E64" i="38"/>
  <c r="N64" i="38"/>
  <c r="I60" i="38"/>
  <c r="O57" i="38"/>
  <c r="L54" i="38"/>
  <c r="O53" i="38"/>
  <c r="I52" i="38"/>
  <c r="I48" i="38"/>
  <c r="N91" i="38"/>
  <c r="H118" i="38"/>
  <c r="F115" i="38"/>
  <c r="L111" i="38"/>
  <c r="F110" i="38"/>
  <c r="F107" i="38"/>
  <c r="F104" i="38"/>
  <c r="L103" i="38"/>
  <c r="F102" i="38"/>
  <c r="F99" i="38"/>
  <c r="F118" i="38" s="1"/>
  <c r="E145" i="38"/>
  <c r="N145" i="38"/>
  <c r="L137" i="38"/>
  <c r="I133" i="38"/>
  <c r="L132" i="38"/>
  <c r="O128" i="38"/>
  <c r="E172" i="38"/>
  <c r="F171" i="38"/>
  <c r="O165" i="38"/>
  <c r="F165" i="38"/>
  <c r="F163" i="38"/>
  <c r="F159" i="38"/>
  <c r="F156" i="38"/>
  <c r="L155" i="38"/>
  <c r="F155" i="38"/>
  <c r="L154" i="38"/>
  <c r="F154" i="38"/>
  <c r="L153" i="38"/>
  <c r="F153" i="38"/>
  <c r="L152" i="38"/>
  <c r="F152" i="38"/>
  <c r="E199" i="38"/>
  <c r="F63" i="39"/>
  <c r="O57" i="39"/>
  <c r="F57" i="39"/>
  <c r="F55" i="39"/>
  <c r="F49" i="39"/>
  <c r="F47" i="39"/>
  <c r="E91" i="39"/>
  <c r="L72" i="39"/>
  <c r="I73" i="39"/>
  <c r="L74" i="39"/>
  <c r="I75" i="39"/>
  <c r="F76" i="39"/>
  <c r="O76" i="39"/>
  <c r="O77" i="39"/>
  <c r="I79" i="39"/>
  <c r="F80" i="39"/>
  <c r="O80" i="39"/>
  <c r="L81" i="39"/>
  <c r="F83" i="39"/>
  <c r="I84" i="39"/>
  <c r="F85" i="39"/>
  <c r="O85" i="39"/>
  <c r="L86" i="39"/>
  <c r="F87" i="39"/>
  <c r="O89" i="39"/>
  <c r="F98" i="39"/>
  <c r="F118" i="39" s="1"/>
  <c r="F171" i="39"/>
  <c r="F165" i="39"/>
  <c r="F163" i="39"/>
  <c r="O157" i="39"/>
  <c r="F157" i="39"/>
  <c r="F155" i="39"/>
  <c r="L171" i="39"/>
  <c r="F170" i="39"/>
  <c r="F167" i="39"/>
  <c r="L163" i="39"/>
  <c r="F162" i="39"/>
  <c r="F159" i="39"/>
  <c r="F156" i="39"/>
  <c r="L155" i="39"/>
  <c r="F154" i="39"/>
  <c r="E199" i="39"/>
  <c r="F179" i="39"/>
  <c r="F199" i="39" s="1"/>
  <c r="O82" i="40"/>
  <c r="I82" i="40"/>
  <c r="O75" i="40"/>
  <c r="I71" i="40"/>
  <c r="L90" i="40"/>
  <c r="I83" i="40"/>
  <c r="L82" i="40"/>
  <c r="O80" i="40"/>
  <c r="I79" i="40"/>
  <c r="I87" i="40"/>
  <c r="O85" i="40"/>
  <c r="I74" i="40"/>
  <c r="L72" i="40"/>
  <c r="O71" i="40"/>
  <c r="I83" i="41"/>
  <c r="I79" i="41"/>
  <c r="L90" i="41"/>
  <c r="O88" i="41"/>
  <c r="O84" i="41"/>
  <c r="L81" i="41"/>
  <c r="I87" i="41"/>
  <c r="L79" i="41"/>
  <c r="I75" i="41"/>
  <c r="L74" i="41"/>
  <c r="I71" i="41"/>
  <c r="L88" i="41"/>
  <c r="O87" i="41"/>
  <c r="L72" i="41"/>
  <c r="O71" i="41"/>
  <c r="O81" i="41"/>
  <c r="E118" i="41"/>
  <c r="F98" i="41"/>
  <c r="H64" i="33"/>
  <c r="L47" i="33"/>
  <c r="F50" i="33"/>
  <c r="O50" i="33"/>
  <c r="I52" i="33"/>
  <c r="F53" i="33"/>
  <c r="O53" i="33"/>
  <c r="L55" i="33"/>
  <c r="I56" i="33"/>
  <c r="F58" i="33"/>
  <c r="O58" i="33"/>
  <c r="O59" i="33"/>
  <c r="F62" i="33"/>
  <c r="H91" i="33"/>
  <c r="E118" i="33"/>
  <c r="I100" i="33"/>
  <c r="F101" i="33"/>
  <c r="L102" i="33"/>
  <c r="I104" i="33"/>
  <c r="F105" i="33"/>
  <c r="I108" i="33"/>
  <c r="O109" i="33"/>
  <c r="I112" i="33"/>
  <c r="I113" i="33"/>
  <c r="O114" i="33"/>
  <c r="F116" i="33"/>
  <c r="F117" i="33"/>
  <c r="O117" i="33"/>
  <c r="I127" i="33"/>
  <c r="I128" i="33"/>
  <c r="F129" i="33"/>
  <c r="F130" i="33"/>
  <c r="O130" i="33"/>
  <c r="L132" i="33"/>
  <c r="F134" i="33"/>
  <c r="O134" i="33"/>
  <c r="L136" i="33"/>
  <c r="I137" i="33"/>
  <c r="L139" i="33"/>
  <c r="I141" i="33"/>
  <c r="F142" i="33"/>
  <c r="O142" i="33"/>
  <c r="L144" i="33"/>
  <c r="H172" i="33"/>
  <c r="L153" i="33"/>
  <c r="I154" i="33"/>
  <c r="O155" i="33"/>
  <c r="O158" i="33"/>
  <c r="L160" i="33"/>
  <c r="O161" i="33"/>
  <c r="F164" i="33"/>
  <c r="F166" i="33"/>
  <c r="F167" i="33"/>
  <c r="O168" i="33"/>
  <c r="F170" i="33"/>
  <c r="L171" i="33"/>
  <c r="F185" i="33"/>
  <c r="F187" i="33"/>
  <c r="O187" i="33"/>
  <c r="L188" i="33"/>
  <c r="I189" i="33"/>
  <c r="F190" i="33"/>
  <c r="I191" i="33"/>
  <c r="F192" i="33"/>
  <c r="L193" i="33"/>
  <c r="O194" i="33"/>
  <c r="F197" i="33"/>
  <c r="H64" i="34"/>
  <c r="O45" i="34"/>
  <c r="L46" i="34"/>
  <c r="I47" i="34"/>
  <c r="I49" i="34"/>
  <c r="O50" i="34"/>
  <c r="L51" i="34"/>
  <c r="I52" i="34"/>
  <c r="I54" i="34"/>
  <c r="O58" i="34"/>
  <c r="O60" i="34"/>
  <c r="O62" i="34"/>
  <c r="O72" i="34"/>
  <c r="L73" i="34"/>
  <c r="I74" i="34"/>
  <c r="I76" i="34"/>
  <c r="O79" i="34"/>
  <c r="L80" i="34"/>
  <c r="O83" i="34"/>
  <c r="L84" i="34"/>
  <c r="I85" i="34"/>
  <c r="I87" i="34"/>
  <c r="I89" i="34"/>
  <c r="H118" i="34"/>
  <c r="F99" i="34"/>
  <c r="F118" i="34" s="1"/>
  <c r="O100" i="34"/>
  <c r="I103" i="34"/>
  <c r="I105" i="34"/>
  <c r="O106" i="34"/>
  <c r="L107" i="34"/>
  <c r="I108" i="34"/>
  <c r="F109" i="34"/>
  <c r="I110" i="34"/>
  <c r="O111" i="34"/>
  <c r="L112" i="34"/>
  <c r="I113" i="34"/>
  <c r="O113" i="34"/>
  <c r="L114" i="34"/>
  <c r="F115" i="34"/>
  <c r="O115" i="34"/>
  <c r="L116" i="34"/>
  <c r="O117" i="34"/>
  <c r="I126" i="34"/>
  <c r="I129" i="34"/>
  <c r="O130" i="34"/>
  <c r="L131" i="34"/>
  <c r="O132" i="34"/>
  <c r="L133" i="34"/>
  <c r="I134" i="34"/>
  <c r="I139" i="34"/>
  <c r="O140" i="34"/>
  <c r="L141" i="34"/>
  <c r="I142" i="34"/>
  <c r="H172" i="34"/>
  <c r="O153" i="34"/>
  <c r="L154" i="34"/>
  <c r="O155" i="34"/>
  <c r="L158" i="34"/>
  <c r="I159" i="34"/>
  <c r="O160" i="34"/>
  <c r="L161" i="34"/>
  <c r="I162" i="34"/>
  <c r="O163" i="34"/>
  <c r="O166" i="34"/>
  <c r="I169" i="34"/>
  <c r="H199" i="34"/>
  <c r="I181" i="34"/>
  <c r="L182" i="34"/>
  <c r="I183" i="34"/>
  <c r="F184" i="34"/>
  <c r="O185" i="34"/>
  <c r="O187" i="34"/>
  <c r="L188" i="34"/>
  <c r="F189" i="34"/>
  <c r="L190" i="34"/>
  <c r="I191" i="34"/>
  <c r="O192" i="34"/>
  <c r="L193" i="34"/>
  <c r="I194" i="34"/>
  <c r="O194" i="34"/>
  <c r="L195" i="34"/>
  <c r="F196" i="34"/>
  <c r="O196" i="34"/>
  <c r="L197" i="34"/>
  <c r="O198" i="34"/>
  <c r="E64" i="35"/>
  <c r="E91" i="35"/>
  <c r="L73" i="35"/>
  <c r="F74" i="35"/>
  <c r="L76" i="35"/>
  <c r="O77" i="35"/>
  <c r="I78" i="35"/>
  <c r="O78" i="35"/>
  <c r="I79" i="35"/>
  <c r="O80" i="35"/>
  <c r="L81" i="35"/>
  <c r="F82" i="35"/>
  <c r="O82" i="35"/>
  <c r="F84" i="35"/>
  <c r="O84" i="35"/>
  <c r="L85" i="35"/>
  <c r="I86" i="35"/>
  <c r="O86" i="35"/>
  <c r="L87" i="35"/>
  <c r="I88" i="35"/>
  <c r="O89" i="35"/>
  <c r="F98" i="35"/>
  <c r="O98" i="35"/>
  <c r="L99" i="35"/>
  <c r="I100" i="35"/>
  <c r="L101" i="35"/>
  <c r="I102" i="35"/>
  <c r="O103" i="35"/>
  <c r="L104" i="35"/>
  <c r="F105" i="35"/>
  <c r="I106" i="35"/>
  <c r="F107" i="35"/>
  <c r="O107" i="35"/>
  <c r="L108" i="35"/>
  <c r="I109" i="35"/>
  <c r="O109" i="35"/>
  <c r="L110" i="35"/>
  <c r="I111" i="35"/>
  <c r="O112" i="35"/>
  <c r="F114" i="35"/>
  <c r="O114" i="35"/>
  <c r="L115" i="35"/>
  <c r="I116" i="35"/>
  <c r="L117" i="35"/>
  <c r="H145" i="35"/>
  <c r="I127" i="35"/>
  <c r="L128" i="35"/>
  <c r="I129" i="35"/>
  <c r="F130" i="35"/>
  <c r="O131" i="35"/>
  <c r="I134" i="35"/>
  <c r="O135" i="35"/>
  <c r="F137" i="35"/>
  <c r="O138" i="35"/>
  <c r="L139" i="35"/>
  <c r="I140" i="35"/>
  <c r="O140" i="35"/>
  <c r="L141" i="35"/>
  <c r="F142" i="35"/>
  <c r="O142" i="35"/>
  <c r="L143" i="35"/>
  <c r="O144" i="35"/>
  <c r="E199" i="35"/>
  <c r="I180" i="35"/>
  <c r="F181" i="35"/>
  <c r="O181" i="35"/>
  <c r="F183" i="35"/>
  <c r="O183" i="35"/>
  <c r="L184" i="35"/>
  <c r="I185" i="35"/>
  <c r="L186" i="35"/>
  <c r="F187" i="35"/>
  <c r="I189" i="35"/>
  <c r="F190" i="35"/>
  <c r="I191" i="35"/>
  <c r="F192" i="35"/>
  <c r="O192" i="35"/>
  <c r="L193" i="35"/>
  <c r="I194" i="35"/>
  <c r="I196" i="35"/>
  <c r="F197" i="35"/>
  <c r="O197" i="35"/>
  <c r="K64" i="36"/>
  <c r="E91" i="36"/>
  <c r="F73" i="36"/>
  <c r="O74" i="36"/>
  <c r="L75" i="36"/>
  <c r="I76" i="36"/>
  <c r="I78" i="36"/>
  <c r="O79" i="36"/>
  <c r="O80" i="36"/>
  <c r="L82" i="36"/>
  <c r="I83" i="36"/>
  <c r="F84" i="36"/>
  <c r="L85" i="36"/>
  <c r="F88" i="36"/>
  <c r="O88" i="36"/>
  <c r="L90" i="36"/>
  <c r="L99" i="36"/>
  <c r="L100" i="36"/>
  <c r="I101" i="36"/>
  <c r="F103" i="36"/>
  <c r="L104" i="36"/>
  <c r="I105" i="36"/>
  <c r="I108" i="36"/>
  <c r="O108" i="36"/>
  <c r="L109" i="36"/>
  <c r="I110" i="36"/>
  <c r="F111" i="36"/>
  <c r="F112" i="36"/>
  <c r="F113" i="36"/>
  <c r="L114" i="36"/>
  <c r="I116" i="36"/>
  <c r="F117" i="36"/>
  <c r="O117" i="36"/>
  <c r="F126" i="36"/>
  <c r="O126" i="36"/>
  <c r="L127" i="36"/>
  <c r="I128" i="36"/>
  <c r="O128" i="36"/>
  <c r="L129" i="36"/>
  <c r="I130" i="36"/>
  <c r="O131" i="36"/>
  <c r="F133" i="36"/>
  <c r="I134" i="36"/>
  <c r="I135" i="36"/>
  <c r="O135" i="36"/>
  <c r="O136" i="36"/>
  <c r="L137" i="36"/>
  <c r="O138" i="36"/>
  <c r="L140" i="36"/>
  <c r="I141" i="36"/>
  <c r="L143" i="36"/>
  <c r="F152" i="36"/>
  <c r="F172" i="36" s="1"/>
  <c r="O153" i="36"/>
  <c r="L154" i="36"/>
  <c r="I155" i="36"/>
  <c r="O155" i="36"/>
  <c r="F157" i="36"/>
  <c r="O158" i="36"/>
  <c r="F160" i="36"/>
  <c r="O160" i="36"/>
  <c r="L161" i="36"/>
  <c r="I162" i="36"/>
  <c r="F163" i="36"/>
  <c r="I164" i="36"/>
  <c r="F165" i="36"/>
  <c r="O165" i="36"/>
  <c r="L166" i="36"/>
  <c r="I167" i="36"/>
  <c r="O168" i="36"/>
  <c r="L169" i="36"/>
  <c r="I170" i="36"/>
  <c r="O171" i="36"/>
  <c r="F180" i="36"/>
  <c r="F199" i="36" s="1"/>
  <c r="O180" i="36"/>
  <c r="L181" i="36"/>
  <c r="F182" i="36"/>
  <c r="O182" i="36"/>
  <c r="L183" i="36"/>
  <c r="I184" i="36"/>
  <c r="F185" i="36"/>
  <c r="L186" i="36"/>
  <c r="F187" i="36"/>
  <c r="O187" i="36"/>
  <c r="L188" i="36"/>
  <c r="F189" i="36"/>
  <c r="O189" i="36"/>
  <c r="F191" i="36"/>
  <c r="O192" i="36"/>
  <c r="L193" i="36"/>
  <c r="I194" i="36"/>
  <c r="O194" i="36"/>
  <c r="L195" i="36"/>
  <c r="F196" i="36"/>
  <c r="O196" i="36"/>
  <c r="L197" i="36"/>
  <c r="O198" i="36"/>
  <c r="E64" i="37"/>
  <c r="K64" i="37"/>
  <c r="F45" i="37"/>
  <c r="O45" i="37"/>
  <c r="I46" i="37"/>
  <c r="F47" i="37"/>
  <c r="O47" i="37"/>
  <c r="I48" i="37"/>
  <c r="L49" i="37"/>
  <c r="L51" i="37"/>
  <c r="O52" i="37"/>
  <c r="I53" i="37"/>
  <c r="F54" i="37"/>
  <c r="O54" i="37"/>
  <c r="I55" i="37"/>
  <c r="F56" i="37"/>
  <c r="F64" i="37" s="1"/>
  <c r="L58" i="37"/>
  <c r="L60" i="37"/>
  <c r="F61" i="37"/>
  <c r="O61" i="37"/>
  <c r="F63" i="37"/>
  <c r="I71" i="37"/>
  <c r="E118" i="37"/>
  <c r="E145" i="37"/>
  <c r="N145" i="37"/>
  <c r="L126" i="37"/>
  <c r="F127" i="37"/>
  <c r="L128" i="37"/>
  <c r="I129" i="37"/>
  <c r="F130" i="37"/>
  <c r="O130" i="37"/>
  <c r="L131" i="37"/>
  <c r="I132" i="37"/>
  <c r="I139" i="37"/>
  <c r="F140" i="37"/>
  <c r="I141" i="37"/>
  <c r="F142" i="37"/>
  <c r="O142" i="37"/>
  <c r="O143" i="37"/>
  <c r="H172" i="37"/>
  <c r="F171" i="37"/>
  <c r="F168" i="37"/>
  <c r="L167" i="37"/>
  <c r="F166" i="37"/>
  <c r="F163" i="37"/>
  <c r="L159" i="37"/>
  <c r="F158" i="37"/>
  <c r="F155" i="37"/>
  <c r="F152" i="37"/>
  <c r="E199" i="37"/>
  <c r="L198" i="37"/>
  <c r="F197" i="37"/>
  <c r="F194" i="37"/>
  <c r="F191" i="37"/>
  <c r="L190" i="37"/>
  <c r="F189" i="37"/>
  <c r="F186" i="37"/>
  <c r="L182" i="37"/>
  <c r="F181" i="37"/>
  <c r="F45" i="38"/>
  <c r="O45" i="38"/>
  <c r="F48" i="38"/>
  <c r="O48" i="38"/>
  <c r="O49" i="38"/>
  <c r="L50" i="38"/>
  <c r="L51" i="38"/>
  <c r="F54" i="38"/>
  <c r="O54" i="38"/>
  <c r="O55" i="38"/>
  <c r="L56" i="38"/>
  <c r="L57" i="38"/>
  <c r="L58" i="38"/>
  <c r="L59" i="38"/>
  <c r="O73" i="38"/>
  <c r="O74" i="38"/>
  <c r="L76" i="38"/>
  <c r="L77" i="38"/>
  <c r="L78" i="38"/>
  <c r="I80" i="38"/>
  <c r="I81" i="38"/>
  <c r="F82" i="38"/>
  <c r="O82" i="38"/>
  <c r="L83" i="38"/>
  <c r="I84" i="38"/>
  <c r="I85" i="38"/>
  <c r="I86" i="38"/>
  <c r="I99" i="38"/>
  <c r="O100" i="38"/>
  <c r="L101" i="38"/>
  <c r="L102" i="38"/>
  <c r="I103" i="38"/>
  <c r="I107" i="38"/>
  <c r="O108" i="38"/>
  <c r="L109" i="38"/>
  <c r="L110" i="38"/>
  <c r="I111" i="38"/>
  <c r="F112" i="38"/>
  <c r="O112" i="38"/>
  <c r="L113" i="38"/>
  <c r="I114" i="38"/>
  <c r="F129" i="38"/>
  <c r="L129" i="38"/>
  <c r="I131" i="38"/>
  <c r="F132" i="38"/>
  <c r="F133" i="38"/>
  <c r="F134" i="38"/>
  <c r="O134" i="38"/>
  <c r="O135" i="38"/>
  <c r="O136" i="38"/>
  <c r="H172" i="38"/>
  <c r="O152" i="38"/>
  <c r="O154" i="38"/>
  <c r="I156" i="38"/>
  <c r="F157" i="38"/>
  <c r="O157" i="38"/>
  <c r="L158" i="38"/>
  <c r="F160" i="38"/>
  <c r="I161" i="38"/>
  <c r="F162" i="38"/>
  <c r="O162" i="38"/>
  <c r="L163" i="38"/>
  <c r="I164" i="38"/>
  <c r="O166" i="38"/>
  <c r="F168" i="38"/>
  <c r="O169" i="38"/>
  <c r="L170" i="38"/>
  <c r="F179" i="38"/>
  <c r="I182" i="38"/>
  <c r="O183" i="38"/>
  <c r="L184" i="38"/>
  <c r="L185" i="38"/>
  <c r="I186" i="38"/>
  <c r="L189" i="38"/>
  <c r="I190" i="38"/>
  <c r="L196" i="38"/>
  <c r="I197" i="38"/>
  <c r="I47" i="39"/>
  <c r="L49" i="39"/>
  <c r="I50" i="39"/>
  <c r="L51" i="39"/>
  <c r="I52" i="39"/>
  <c r="F53" i="39"/>
  <c r="O54" i="39"/>
  <c r="L55" i="39"/>
  <c r="F56" i="39"/>
  <c r="O58" i="39"/>
  <c r="F60" i="39"/>
  <c r="O61" i="39"/>
  <c r="L62" i="39"/>
  <c r="F71" i="39"/>
  <c r="O71" i="39"/>
  <c r="O72" i="39"/>
  <c r="L73" i="39"/>
  <c r="F74" i="39"/>
  <c r="O74" i="39"/>
  <c r="L75" i="39"/>
  <c r="I76" i="39"/>
  <c r="L79" i="39"/>
  <c r="I80" i="39"/>
  <c r="O81" i="39"/>
  <c r="L82" i="39"/>
  <c r="I83" i="39"/>
  <c r="O83" i="39"/>
  <c r="L84" i="39"/>
  <c r="I85" i="39"/>
  <c r="I88" i="39"/>
  <c r="F89" i="39"/>
  <c r="L90" i="39"/>
  <c r="H118" i="39"/>
  <c r="F145" i="39"/>
  <c r="L154" i="39"/>
  <c r="I157" i="39"/>
  <c r="F158" i="39"/>
  <c r="I163" i="39"/>
  <c r="F164" i="39"/>
  <c r="O164" i="39"/>
  <c r="L170" i="39"/>
  <c r="K91" i="40"/>
  <c r="L79" i="40"/>
  <c r="I81" i="40"/>
  <c r="O87" i="40"/>
  <c r="L88" i="40"/>
  <c r="L89" i="40"/>
  <c r="I90" i="40"/>
  <c r="I140" i="40"/>
  <c r="O127" i="40"/>
  <c r="L144" i="40"/>
  <c r="I141" i="40"/>
  <c r="I137" i="40"/>
  <c r="L136" i="40"/>
  <c r="I132" i="40"/>
  <c r="L131" i="40"/>
  <c r="O129" i="40"/>
  <c r="I128" i="40"/>
  <c r="L127" i="40"/>
  <c r="F195" i="33"/>
  <c r="O195" i="33"/>
  <c r="L196" i="33"/>
  <c r="I197" i="33"/>
  <c r="F198" i="33"/>
  <c r="O46" i="34"/>
  <c r="L47" i="34"/>
  <c r="I48" i="34"/>
  <c r="L49" i="34"/>
  <c r="I50" i="34"/>
  <c r="O51" i="34"/>
  <c r="L54" i="34"/>
  <c r="I55" i="34"/>
  <c r="I57" i="34"/>
  <c r="L59" i="34"/>
  <c r="L61" i="34"/>
  <c r="H91" i="34"/>
  <c r="O73" i="34"/>
  <c r="L76" i="34"/>
  <c r="I77" i="34"/>
  <c r="I81" i="34"/>
  <c r="I83" i="34"/>
  <c r="O84" i="34"/>
  <c r="L85" i="34"/>
  <c r="I86" i="34"/>
  <c r="L87" i="34"/>
  <c r="L89" i="34"/>
  <c r="O90" i="34"/>
  <c r="E145" i="34"/>
  <c r="L126" i="34"/>
  <c r="I127" i="34"/>
  <c r="O128" i="34"/>
  <c r="L129" i="34"/>
  <c r="I132" i="34"/>
  <c r="O133" i="34"/>
  <c r="L134" i="34"/>
  <c r="I135" i="34"/>
  <c r="I137" i="34"/>
  <c r="L139" i="34"/>
  <c r="I140" i="34"/>
  <c r="O141" i="34"/>
  <c r="L142" i="34"/>
  <c r="I143" i="34"/>
  <c r="O144" i="34"/>
  <c r="I155" i="34"/>
  <c r="I157" i="34"/>
  <c r="O158" i="34"/>
  <c r="O161" i="34"/>
  <c r="L162" i="34"/>
  <c r="I163" i="34"/>
  <c r="I165" i="34"/>
  <c r="O168" i="34"/>
  <c r="L169" i="34"/>
  <c r="I170" i="34"/>
  <c r="O171" i="34"/>
  <c r="F64" i="35"/>
  <c r="F71" i="35"/>
  <c r="I72" i="35"/>
  <c r="F73" i="35"/>
  <c r="O74" i="35"/>
  <c r="I75" i="35"/>
  <c r="F76" i="35"/>
  <c r="O76" i="35"/>
  <c r="I77" i="35"/>
  <c r="L79" i="35"/>
  <c r="F80" i="35"/>
  <c r="I82" i="35"/>
  <c r="L83" i="35"/>
  <c r="I84" i="35"/>
  <c r="O85" i="35"/>
  <c r="O87" i="35"/>
  <c r="L88" i="35"/>
  <c r="F89" i="35"/>
  <c r="H118" i="35"/>
  <c r="O99" i="35"/>
  <c r="L100" i="35"/>
  <c r="F101" i="35"/>
  <c r="O101" i="35"/>
  <c r="L102" i="35"/>
  <c r="F103" i="35"/>
  <c r="I105" i="35"/>
  <c r="O105" i="35"/>
  <c r="L106" i="35"/>
  <c r="I107" i="35"/>
  <c r="O108" i="35"/>
  <c r="O110" i="35"/>
  <c r="L111" i="35"/>
  <c r="F112" i="35"/>
  <c r="L113" i="35"/>
  <c r="I114" i="35"/>
  <c r="O115" i="35"/>
  <c r="L116" i="35"/>
  <c r="O117" i="35"/>
  <c r="E172" i="35"/>
  <c r="N172" i="35"/>
  <c r="F179" i="35"/>
  <c r="O179" i="35"/>
  <c r="L180" i="35"/>
  <c r="I181" i="35"/>
  <c r="L182" i="35"/>
  <c r="I183" i="35"/>
  <c r="O184" i="35"/>
  <c r="L185" i="35"/>
  <c r="F186" i="35"/>
  <c r="I187" i="35"/>
  <c r="F188" i="35"/>
  <c r="O188" i="35"/>
  <c r="L189" i="35"/>
  <c r="I190" i="35"/>
  <c r="O190" i="35"/>
  <c r="L191" i="35"/>
  <c r="I192" i="35"/>
  <c r="O193" i="35"/>
  <c r="F195" i="35"/>
  <c r="O195" i="35"/>
  <c r="L196" i="35"/>
  <c r="I197" i="35"/>
  <c r="F71" i="36"/>
  <c r="L72" i="36"/>
  <c r="I73" i="36"/>
  <c r="F74" i="36"/>
  <c r="O75" i="36"/>
  <c r="F77" i="36"/>
  <c r="O77" i="36"/>
  <c r="L78" i="36"/>
  <c r="I79" i="36"/>
  <c r="F80" i="36"/>
  <c r="F81" i="36"/>
  <c r="O81" i="36"/>
  <c r="O82" i="36"/>
  <c r="I84" i="36"/>
  <c r="O84" i="36"/>
  <c r="O85" i="36"/>
  <c r="L86" i="36"/>
  <c r="I87" i="36"/>
  <c r="I88" i="36"/>
  <c r="F89" i="36"/>
  <c r="E145" i="36"/>
  <c r="L125" i="36"/>
  <c r="I126" i="36"/>
  <c r="O127" i="36"/>
  <c r="O129" i="36"/>
  <c r="L130" i="36"/>
  <c r="F131" i="36"/>
  <c r="L132" i="36"/>
  <c r="I133" i="36"/>
  <c r="O133" i="36"/>
  <c r="L134" i="36"/>
  <c r="F136" i="36"/>
  <c r="F137" i="36"/>
  <c r="I138" i="36"/>
  <c r="F139" i="36"/>
  <c r="O139" i="36"/>
  <c r="L141" i="36"/>
  <c r="I142" i="36"/>
  <c r="O142" i="36"/>
  <c r="O143" i="36"/>
  <c r="H172" i="36"/>
  <c r="E199" i="36"/>
  <c r="E91" i="37"/>
  <c r="F118" i="37"/>
  <c r="F125" i="37"/>
  <c r="I127" i="37"/>
  <c r="F128" i="37"/>
  <c r="I133" i="37"/>
  <c r="F134" i="37"/>
  <c r="O135" i="37"/>
  <c r="F137" i="37"/>
  <c r="O137" i="37"/>
  <c r="L138" i="37"/>
  <c r="L139" i="37"/>
  <c r="I140" i="37"/>
  <c r="O140" i="37"/>
  <c r="L141" i="37"/>
  <c r="I142" i="37"/>
  <c r="F199" i="37"/>
  <c r="I44" i="38"/>
  <c r="I45" i="38"/>
  <c r="F46" i="38"/>
  <c r="O46" i="38"/>
  <c r="L47" i="38"/>
  <c r="I53" i="38"/>
  <c r="I54" i="38"/>
  <c r="F55" i="38"/>
  <c r="F56" i="38"/>
  <c r="O56" i="38"/>
  <c r="L60" i="38"/>
  <c r="I61" i="38"/>
  <c r="O61" i="38"/>
  <c r="O62" i="38"/>
  <c r="L63" i="38"/>
  <c r="I87" i="38"/>
  <c r="L80" i="38"/>
  <c r="I75" i="38"/>
  <c r="L73" i="38"/>
  <c r="E118" i="38"/>
  <c r="F100" i="38"/>
  <c r="O101" i="38"/>
  <c r="O102" i="38"/>
  <c r="I104" i="38"/>
  <c r="F105" i="38"/>
  <c r="O105" i="38"/>
  <c r="L106" i="38"/>
  <c r="F108" i="38"/>
  <c r="O109" i="38"/>
  <c r="O110" i="38"/>
  <c r="I115" i="38"/>
  <c r="O116" i="38"/>
  <c r="L117" i="38"/>
  <c r="I125" i="38"/>
  <c r="I126" i="38"/>
  <c r="I127" i="38"/>
  <c r="I128" i="38"/>
  <c r="O129" i="38"/>
  <c r="L130" i="38"/>
  <c r="I132" i="38"/>
  <c r="O137" i="38"/>
  <c r="L138" i="38"/>
  <c r="I140" i="38"/>
  <c r="F141" i="38"/>
  <c r="O141" i="38"/>
  <c r="O142" i="38"/>
  <c r="O143" i="38"/>
  <c r="I152" i="38"/>
  <c r="I154" i="38"/>
  <c r="L156" i="38"/>
  <c r="I157" i="38"/>
  <c r="O158" i="38"/>
  <c r="L159" i="38"/>
  <c r="I160" i="38"/>
  <c r="O160" i="38"/>
  <c r="L161" i="38"/>
  <c r="I162" i="38"/>
  <c r="I165" i="38"/>
  <c r="F166" i="38"/>
  <c r="L167" i="38"/>
  <c r="I168" i="38"/>
  <c r="F169" i="38"/>
  <c r="O170" i="38"/>
  <c r="L171" i="38"/>
  <c r="H199" i="38"/>
  <c r="F198" i="38"/>
  <c r="O196" i="38"/>
  <c r="F196" i="38"/>
  <c r="O194" i="38"/>
  <c r="F191" i="38"/>
  <c r="O189" i="38"/>
  <c r="F189" i="38"/>
  <c r="O187" i="38"/>
  <c r="F187" i="38"/>
  <c r="L186" i="38"/>
  <c r="F185" i="38"/>
  <c r="F182" i="38"/>
  <c r="O180" i="38"/>
  <c r="F180" i="38"/>
  <c r="F44" i="39"/>
  <c r="O45" i="39"/>
  <c r="L46" i="39"/>
  <c r="F48" i="39"/>
  <c r="O48" i="39"/>
  <c r="O49" i="39"/>
  <c r="L50" i="39"/>
  <c r="F51" i="39"/>
  <c r="O51" i="39"/>
  <c r="L52" i="39"/>
  <c r="I53" i="39"/>
  <c r="F54" i="39"/>
  <c r="I57" i="39"/>
  <c r="F58" i="39"/>
  <c r="L59" i="39"/>
  <c r="I60" i="39"/>
  <c r="F61" i="39"/>
  <c r="O62" i="39"/>
  <c r="L63" i="39"/>
  <c r="H91" i="39"/>
  <c r="I77" i="39"/>
  <c r="F78" i="39"/>
  <c r="O78" i="39"/>
  <c r="O79" i="39"/>
  <c r="L80" i="39"/>
  <c r="F81" i="39"/>
  <c r="I86" i="39"/>
  <c r="O86" i="39"/>
  <c r="L87" i="39"/>
  <c r="L88" i="39"/>
  <c r="I89" i="39"/>
  <c r="F90" i="39"/>
  <c r="H145" i="39"/>
  <c r="F152" i="39"/>
  <c r="O153" i="39"/>
  <c r="O154" i="39"/>
  <c r="L156" i="39"/>
  <c r="L157" i="39"/>
  <c r="L162" i="39"/>
  <c r="F168" i="39"/>
  <c r="O169" i="39"/>
  <c r="O170" i="39"/>
  <c r="L74" i="40"/>
  <c r="I75" i="40"/>
  <c r="I76" i="40"/>
  <c r="I77" i="40"/>
  <c r="O78" i="40"/>
  <c r="O79" i="40"/>
  <c r="L80" i="40"/>
  <c r="I86" i="40"/>
  <c r="L126" i="40"/>
  <c r="I130" i="40"/>
  <c r="I131" i="40"/>
  <c r="O137" i="40"/>
  <c r="O138" i="40"/>
  <c r="O139" i="40"/>
  <c r="O140" i="40"/>
  <c r="O141" i="40"/>
  <c r="L142" i="40"/>
  <c r="L143" i="40"/>
  <c r="I144" i="40"/>
  <c r="L83" i="41"/>
  <c r="L84" i="41"/>
  <c r="I153" i="39"/>
  <c r="I158" i="39"/>
  <c r="O159" i="39"/>
  <c r="L160" i="39"/>
  <c r="I161" i="39"/>
  <c r="I164" i="39"/>
  <c r="O165" i="39"/>
  <c r="L166" i="39"/>
  <c r="O167" i="39"/>
  <c r="L168" i="39"/>
  <c r="I169" i="39"/>
  <c r="O62" i="40"/>
  <c r="O46" i="40"/>
  <c r="E91" i="40"/>
  <c r="L73" i="40"/>
  <c r="F75" i="40"/>
  <c r="F84" i="40"/>
  <c r="F85" i="40"/>
  <c r="L86" i="40"/>
  <c r="F88" i="40"/>
  <c r="O88" i="40"/>
  <c r="O89" i="40"/>
  <c r="N145" i="40"/>
  <c r="O126" i="40"/>
  <c r="I129" i="40"/>
  <c r="O130" i="40"/>
  <c r="I133" i="40"/>
  <c r="I134" i="40"/>
  <c r="I135" i="40"/>
  <c r="F136" i="40"/>
  <c r="I138" i="40"/>
  <c r="I139" i="40"/>
  <c r="H172" i="40"/>
  <c r="O82" i="41"/>
  <c r="I89" i="41"/>
  <c r="I90" i="41"/>
  <c r="F199" i="41"/>
  <c r="I59" i="42"/>
  <c r="L57" i="42"/>
  <c r="L53" i="42"/>
  <c r="I51" i="42"/>
  <c r="O47" i="42"/>
  <c r="O59" i="42"/>
  <c r="L52" i="42"/>
  <c r="L45" i="42"/>
  <c r="I63" i="42"/>
  <c r="I56" i="42"/>
  <c r="L51" i="42"/>
  <c r="L44" i="42"/>
  <c r="E91" i="42"/>
  <c r="L130" i="42"/>
  <c r="I136" i="42"/>
  <c r="I138" i="42"/>
  <c r="I141" i="42"/>
  <c r="I190" i="42"/>
  <c r="O196" i="42"/>
  <c r="I132" i="43"/>
  <c r="I136" i="43"/>
  <c r="F138" i="43"/>
  <c r="L127" i="37"/>
  <c r="I128" i="37"/>
  <c r="L129" i="37"/>
  <c r="I130" i="37"/>
  <c r="O131" i="37"/>
  <c r="O134" i="37"/>
  <c r="L135" i="37"/>
  <c r="I136" i="37"/>
  <c r="I138" i="37"/>
  <c r="O141" i="37"/>
  <c r="L142" i="37"/>
  <c r="I154" i="37"/>
  <c r="O155" i="37"/>
  <c r="L156" i="37"/>
  <c r="I157" i="37"/>
  <c r="I160" i="37"/>
  <c r="O161" i="37"/>
  <c r="L162" i="37"/>
  <c r="O163" i="37"/>
  <c r="L164" i="37"/>
  <c r="I165" i="37"/>
  <c r="I170" i="37"/>
  <c r="O171" i="37"/>
  <c r="I180" i="37"/>
  <c r="I183" i="37"/>
  <c r="O184" i="37"/>
  <c r="L185" i="37"/>
  <c r="O186" i="37"/>
  <c r="L187" i="37"/>
  <c r="I188" i="37"/>
  <c r="I193" i="37"/>
  <c r="O194" i="37"/>
  <c r="L195" i="37"/>
  <c r="I196" i="37"/>
  <c r="I46" i="38"/>
  <c r="F47" i="38"/>
  <c r="F49" i="38"/>
  <c r="F50" i="38"/>
  <c r="O50" i="38"/>
  <c r="F53" i="38"/>
  <c r="I55" i="38"/>
  <c r="F57" i="38"/>
  <c r="O58" i="38"/>
  <c r="F61" i="38"/>
  <c r="L62" i="38"/>
  <c r="F72" i="38"/>
  <c r="O72" i="38"/>
  <c r="L74" i="38"/>
  <c r="F76" i="38"/>
  <c r="F77" i="38"/>
  <c r="F78" i="38"/>
  <c r="F79" i="38"/>
  <c r="O79" i="38"/>
  <c r="L81" i="38"/>
  <c r="I82" i="38"/>
  <c r="F83" i="38"/>
  <c r="L84" i="38"/>
  <c r="L85" i="38"/>
  <c r="L86" i="38"/>
  <c r="F88" i="38"/>
  <c r="F89" i="38"/>
  <c r="O89" i="38"/>
  <c r="O90" i="38"/>
  <c r="K118" i="38"/>
  <c r="O99" i="38"/>
  <c r="L100" i="38"/>
  <c r="I101" i="38"/>
  <c r="I106" i="38"/>
  <c r="O107" i="38"/>
  <c r="L108" i="38"/>
  <c r="I109" i="38"/>
  <c r="I112" i="38"/>
  <c r="O113" i="38"/>
  <c r="L114" i="38"/>
  <c r="O115" i="38"/>
  <c r="L116" i="38"/>
  <c r="I117" i="38"/>
  <c r="F126" i="38"/>
  <c r="F127" i="38"/>
  <c r="F128" i="38"/>
  <c r="I130" i="38"/>
  <c r="F131" i="38"/>
  <c r="O131" i="38"/>
  <c r="I134" i="38"/>
  <c r="F135" i="38"/>
  <c r="F136" i="38"/>
  <c r="F137" i="38"/>
  <c r="I139" i="38"/>
  <c r="F140" i="38"/>
  <c r="O140" i="38"/>
  <c r="L141" i="38"/>
  <c r="L142" i="38"/>
  <c r="L143" i="38"/>
  <c r="L144" i="38"/>
  <c r="I158" i="38"/>
  <c r="O159" i="38"/>
  <c r="O161" i="38"/>
  <c r="L162" i="38"/>
  <c r="O163" i="38"/>
  <c r="L166" i="38"/>
  <c r="I167" i="38"/>
  <c r="O168" i="38"/>
  <c r="L169" i="38"/>
  <c r="I170" i="38"/>
  <c r="O171" i="38"/>
  <c r="L181" i="38"/>
  <c r="O182" i="38"/>
  <c r="L183" i="38"/>
  <c r="I184" i="38"/>
  <c r="L188" i="38"/>
  <c r="O192" i="38"/>
  <c r="L193" i="38"/>
  <c r="I194" i="38"/>
  <c r="L195" i="38"/>
  <c r="L197" i="38"/>
  <c r="O198" i="38"/>
  <c r="E64" i="39"/>
  <c r="L45" i="39"/>
  <c r="I46" i="39"/>
  <c r="O47" i="39"/>
  <c r="L48" i="39"/>
  <c r="I51" i="39"/>
  <c r="O52" i="39"/>
  <c r="L53" i="39"/>
  <c r="I54" i="39"/>
  <c r="I56" i="39"/>
  <c r="L58" i="39"/>
  <c r="I59" i="39"/>
  <c r="O60" i="39"/>
  <c r="L61" i="39"/>
  <c r="I62" i="39"/>
  <c r="O63" i="39"/>
  <c r="I74" i="39"/>
  <c r="O75" i="39"/>
  <c r="L76" i="39"/>
  <c r="I81" i="39"/>
  <c r="O82" i="39"/>
  <c r="O84" i="39"/>
  <c r="L85" i="39"/>
  <c r="I87" i="39"/>
  <c r="L89" i="39"/>
  <c r="I90" i="39"/>
  <c r="E145" i="39"/>
  <c r="E172" i="39"/>
  <c r="N172" i="39"/>
  <c r="L153" i="39"/>
  <c r="I154" i="39"/>
  <c r="I156" i="39"/>
  <c r="L158" i="39"/>
  <c r="I159" i="39"/>
  <c r="O160" i="39"/>
  <c r="L161" i="39"/>
  <c r="I162" i="39"/>
  <c r="O163" i="39"/>
  <c r="L164" i="39"/>
  <c r="I167" i="39"/>
  <c r="O168" i="39"/>
  <c r="L169" i="39"/>
  <c r="I170" i="39"/>
  <c r="H199" i="39"/>
  <c r="I45" i="40"/>
  <c r="I46" i="40"/>
  <c r="F48" i="40"/>
  <c r="L49" i="40"/>
  <c r="F52" i="40"/>
  <c r="F53" i="40"/>
  <c r="F54" i="40"/>
  <c r="O54" i="40"/>
  <c r="I56" i="40"/>
  <c r="F57" i="40"/>
  <c r="O57" i="40"/>
  <c r="O58" i="40"/>
  <c r="L59" i="40"/>
  <c r="L60" i="40"/>
  <c r="L61" i="40"/>
  <c r="L62" i="40"/>
  <c r="I63" i="40"/>
  <c r="F76" i="40"/>
  <c r="F77" i="40"/>
  <c r="F78" i="40"/>
  <c r="I80" i="40"/>
  <c r="O81" i="40"/>
  <c r="I84" i="40"/>
  <c r="I85" i="40"/>
  <c r="F86" i="40"/>
  <c r="O86" i="40"/>
  <c r="L87" i="40"/>
  <c r="I88" i="40"/>
  <c r="F89" i="40"/>
  <c r="F90" i="40"/>
  <c r="I113" i="40"/>
  <c r="L111" i="40"/>
  <c r="O110" i="40"/>
  <c r="I109" i="40"/>
  <c r="I105" i="40"/>
  <c r="L104" i="40"/>
  <c r="I101" i="40"/>
  <c r="L99" i="40"/>
  <c r="E145" i="40"/>
  <c r="F126" i="40"/>
  <c r="F127" i="40"/>
  <c r="L140" i="40"/>
  <c r="I142" i="40"/>
  <c r="F143" i="40"/>
  <c r="F144" i="40"/>
  <c r="L171" i="40"/>
  <c r="L73" i="41"/>
  <c r="I80" i="41"/>
  <c r="I81" i="41"/>
  <c r="H145" i="42"/>
  <c r="L142" i="42"/>
  <c r="F141" i="42"/>
  <c r="F138" i="42"/>
  <c r="O136" i="42"/>
  <c r="F136" i="42"/>
  <c r="O134" i="42"/>
  <c r="F131" i="42"/>
  <c r="O129" i="42"/>
  <c r="F129" i="42"/>
  <c r="O127" i="42"/>
  <c r="F127" i="42"/>
  <c r="L126" i="42"/>
  <c r="F125" i="42"/>
  <c r="O143" i="42"/>
  <c r="F143" i="42"/>
  <c r="F140" i="42"/>
  <c r="L138" i="42"/>
  <c r="F134" i="42"/>
  <c r="F139" i="42"/>
  <c r="O137" i="42"/>
  <c r="F137" i="42"/>
  <c r="O135" i="42"/>
  <c r="F135" i="42"/>
  <c r="L134" i="42"/>
  <c r="F133" i="42"/>
  <c r="F130" i="42"/>
  <c r="O128" i="42"/>
  <c r="F128" i="42"/>
  <c r="O126" i="42"/>
  <c r="E172" i="42"/>
  <c r="F198" i="42"/>
  <c r="O192" i="42"/>
  <c r="F192" i="42"/>
  <c r="F190" i="42"/>
  <c r="F184" i="42"/>
  <c r="F182" i="42"/>
  <c r="L198" i="42"/>
  <c r="F197" i="42"/>
  <c r="F194" i="42"/>
  <c r="F191" i="42"/>
  <c r="L190" i="42"/>
  <c r="F189" i="42"/>
  <c r="F186" i="42"/>
  <c r="L182" i="42"/>
  <c r="F181" i="42"/>
  <c r="F196" i="42"/>
  <c r="L194" i="42"/>
  <c r="F193" i="42"/>
  <c r="F188" i="42"/>
  <c r="L186" i="42"/>
  <c r="O183" i="42"/>
  <c r="F183" i="42"/>
  <c r="F180" i="42"/>
  <c r="F199" i="42" s="1"/>
  <c r="I85" i="41"/>
  <c r="I86" i="41"/>
  <c r="F172" i="41"/>
  <c r="I127" i="42"/>
  <c r="I129" i="42"/>
  <c r="O133" i="42"/>
  <c r="O139" i="42"/>
  <c r="L143" i="42"/>
  <c r="L181" i="42"/>
  <c r="O188" i="42"/>
  <c r="L191" i="42"/>
  <c r="I198" i="42"/>
  <c r="L144" i="43"/>
  <c r="F140" i="43"/>
  <c r="L136" i="43"/>
  <c r="F135" i="43"/>
  <c r="O133" i="43"/>
  <c r="F133" i="43"/>
  <c r="L132" i="43"/>
  <c r="F131" i="43"/>
  <c r="F128" i="43"/>
  <c r="O126" i="43"/>
  <c r="F126" i="43"/>
  <c r="O143" i="43"/>
  <c r="F143" i="43"/>
  <c r="O141" i="43"/>
  <c r="F141" i="43"/>
  <c r="L140" i="43"/>
  <c r="O137" i="43"/>
  <c r="F137" i="43"/>
  <c r="F130" i="43"/>
  <c r="L128" i="43"/>
  <c r="O139" i="43"/>
  <c r="F139" i="43"/>
  <c r="O134" i="43"/>
  <c r="F134" i="43"/>
  <c r="F136" i="43"/>
  <c r="O132" i="43"/>
  <c r="F132" i="43"/>
  <c r="F129" i="43"/>
  <c r="O125" i="43"/>
  <c r="F125" i="43"/>
  <c r="O142" i="43"/>
  <c r="F142" i="43"/>
  <c r="O127" i="43"/>
  <c r="F127" i="43"/>
  <c r="E172" i="43"/>
  <c r="L141" i="40"/>
  <c r="I143" i="40"/>
  <c r="O144" i="40"/>
  <c r="E199" i="40"/>
  <c r="N199" i="40"/>
  <c r="L64" i="41"/>
  <c r="F72" i="41"/>
  <c r="O72" i="41"/>
  <c r="O73" i="41"/>
  <c r="I76" i="41"/>
  <c r="F77" i="41"/>
  <c r="F78" i="41"/>
  <c r="F79" i="41"/>
  <c r="L80" i="41"/>
  <c r="F82" i="41"/>
  <c r="F83" i="41"/>
  <c r="O83" i="41"/>
  <c r="L85" i="41"/>
  <c r="L86" i="41"/>
  <c r="F88" i="41"/>
  <c r="L89" i="41"/>
  <c r="E145" i="41"/>
  <c r="H172" i="41"/>
  <c r="H199" i="41"/>
  <c r="F46" i="42"/>
  <c r="O46" i="42"/>
  <c r="L47" i="42"/>
  <c r="I48" i="42"/>
  <c r="F49" i="42"/>
  <c r="F50" i="42"/>
  <c r="F51" i="42"/>
  <c r="I53" i="42"/>
  <c r="F54" i="42"/>
  <c r="O54" i="42"/>
  <c r="L55" i="42"/>
  <c r="I57" i="42"/>
  <c r="F58" i="42"/>
  <c r="F59" i="42"/>
  <c r="L60" i="42"/>
  <c r="L61" i="42"/>
  <c r="L62" i="42"/>
  <c r="K118" i="42"/>
  <c r="F100" i="42"/>
  <c r="O100" i="42"/>
  <c r="I102" i="42"/>
  <c r="O103" i="42"/>
  <c r="F105" i="42"/>
  <c r="O106" i="42"/>
  <c r="L107" i="42"/>
  <c r="I108" i="42"/>
  <c r="I110" i="42"/>
  <c r="F111" i="42"/>
  <c r="O111" i="42"/>
  <c r="O112" i="42"/>
  <c r="O113" i="42"/>
  <c r="I115" i="42"/>
  <c r="I116" i="42"/>
  <c r="O116" i="42"/>
  <c r="O117" i="42"/>
  <c r="K145" i="42"/>
  <c r="I126" i="42"/>
  <c r="L127" i="42"/>
  <c r="L129" i="42"/>
  <c r="O130" i="42"/>
  <c r="L131" i="42"/>
  <c r="I132" i="42"/>
  <c r="L136" i="42"/>
  <c r="O140" i="42"/>
  <c r="L141" i="42"/>
  <c r="I142" i="42"/>
  <c r="I144" i="42"/>
  <c r="H199" i="42"/>
  <c r="O181" i="42"/>
  <c r="L184" i="42"/>
  <c r="I185" i="42"/>
  <c r="I187" i="42"/>
  <c r="O189" i="42"/>
  <c r="O191" i="42"/>
  <c r="L192" i="42"/>
  <c r="I195" i="42"/>
  <c r="O197" i="42"/>
  <c r="I126" i="43"/>
  <c r="L130" i="43"/>
  <c r="L131" i="43"/>
  <c r="L133" i="43"/>
  <c r="L135" i="43"/>
  <c r="E64" i="41"/>
  <c r="N64" i="41"/>
  <c r="I72" i="41"/>
  <c r="F73" i="41"/>
  <c r="F74" i="41"/>
  <c r="O74" i="41"/>
  <c r="L75" i="41"/>
  <c r="L76" i="41"/>
  <c r="I77" i="41"/>
  <c r="I78" i="41"/>
  <c r="O79" i="41"/>
  <c r="O80" i="41"/>
  <c r="I82" i="41"/>
  <c r="F84" i="41"/>
  <c r="O85" i="41"/>
  <c r="O86" i="41"/>
  <c r="L87" i="41"/>
  <c r="I88" i="41"/>
  <c r="O89" i="41"/>
  <c r="H118" i="41"/>
  <c r="H145" i="41"/>
  <c r="E64" i="42"/>
  <c r="N64" i="42"/>
  <c r="I46" i="42"/>
  <c r="F47" i="42"/>
  <c r="L48" i="42"/>
  <c r="I49" i="42"/>
  <c r="I50" i="42"/>
  <c r="O51" i="42"/>
  <c r="I54" i="42"/>
  <c r="F55" i="42"/>
  <c r="O55" i="42"/>
  <c r="L56" i="42"/>
  <c r="I58" i="42"/>
  <c r="O60" i="42"/>
  <c r="O61" i="42"/>
  <c r="O62" i="42"/>
  <c r="L63" i="42"/>
  <c r="N118" i="42"/>
  <c r="E145" i="42"/>
  <c r="I128" i="42"/>
  <c r="I130" i="42"/>
  <c r="O131" i="42"/>
  <c r="L132" i="42"/>
  <c r="I133" i="42"/>
  <c r="I135" i="42"/>
  <c r="I137" i="42"/>
  <c r="I139" i="42"/>
  <c r="O141" i="42"/>
  <c r="L144" i="42"/>
  <c r="I180" i="42"/>
  <c r="I183" i="42"/>
  <c r="O184" i="42"/>
  <c r="L185" i="42"/>
  <c r="O186" i="42"/>
  <c r="L187" i="42"/>
  <c r="I188" i="42"/>
  <c r="I193" i="42"/>
  <c r="O194" i="42"/>
  <c r="L195" i="42"/>
  <c r="I196" i="42"/>
  <c r="L63" i="43"/>
  <c r="O136" i="43"/>
  <c r="O171" i="43"/>
  <c r="O169" i="43"/>
  <c r="F169" i="43"/>
  <c r="F167" i="43"/>
  <c r="F164" i="43"/>
  <c r="L163" i="43"/>
  <c r="F162" i="43"/>
  <c r="F160" i="43"/>
  <c r="F157" i="43"/>
  <c r="O155" i="43"/>
  <c r="O153" i="43"/>
  <c r="F153" i="43"/>
  <c r="F171" i="43"/>
  <c r="L167" i="43"/>
  <c r="F166" i="43"/>
  <c r="L164" i="43"/>
  <c r="L160" i="43"/>
  <c r="F155" i="43"/>
  <c r="F152" i="43"/>
  <c r="F170" i="43"/>
  <c r="F156" i="43"/>
  <c r="F168" i="43"/>
  <c r="L159" i="43"/>
  <c r="F158" i="43"/>
  <c r="F154" i="43"/>
  <c r="E199" i="43"/>
  <c r="F179" i="43"/>
  <c r="F199" i="43" s="1"/>
  <c r="K118" i="44"/>
  <c r="E64" i="40"/>
  <c r="F45" i="40"/>
  <c r="F46" i="40"/>
  <c r="L47" i="40"/>
  <c r="F49" i="40"/>
  <c r="F50" i="40"/>
  <c r="O50" i="40"/>
  <c r="L51" i="40"/>
  <c r="L52" i="40"/>
  <c r="L53" i="40"/>
  <c r="L54" i="40"/>
  <c r="O55" i="40"/>
  <c r="I58" i="40"/>
  <c r="F60" i="40"/>
  <c r="F61" i="40"/>
  <c r="F62" i="40"/>
  <c r="L63" i="40"/>
  <c r="F72" i="40"/>
  <c r="O72" i="40"/>
  <c r="O73" i="40"/>
  <c r="O76" i="40"/>
  <c r="O77" i="40"/>
  <c r="L78" i="40"/>
  <c r="F80" i="40"/>
  <c r="L81" i="40"/>
  <c r="L83" i="40"/>
  <c r="L84" i="40"/>
  <c r="L85" i="40"/>
  <c r="F87" i="40"/>
  <c r="I89" i="40"/>
  <c r="O90" i="40"/>
  <c r="L100" i="40"/>
  <c r="F102" i="40"/>
  <c r="O102" i="40"/>
  <c r="O103" i="40"/>
  <c r="I106" i="40"/>
  <c r="F107" i="40"/>
  <c r="F108" i="40"/>
  <c r="F110" i="40"/>
  <c r="L112" i="40"/>
  <c r="F114" i="40"/>
  <c r="F115" i="40"/>
  <c r="O115" i="40"/>
  <c r="O116" i="40"/>
  <c r="L117" i="40"/>
  <c r="I125" i="40"/>
  <c r="I126" i="40"/>
  <c r="I127" i="40"/>
  <c r="L128" i="40"/>
  <c r="F130" i="40"/>
  <c r="F131" i="40"/>
  <c r="O131" i="40"/>
  <c r="L132" i="40"/>
  <c r="L133" i="40"/>
  <c r="L134" i="40"/>
  <c r="L135" i="40"/>
  <c r="O136" i="40"/>
  <c r="L137" i="40"/>
  <c r="L138" i="40"/>
  <c r="L139" i="40"/>
  <c r="F142" i="40"/>
  <c r="O142" i="40"/>
  <c r="O143" i="40"/>
  <c r="F152" i="40"/>
  <c r="O153" i="40"/>
  <c r="L154" i="40"/>
  <c r="I155" i="40"/>
  <c r="I157" i="40"/>
  <c r="I159" i="40"/>
  <c r="L160" i="40"/>
  <c r="F161" i="40"/>
  <c r="O161" i="40"/>
  <c r="L162" i="40"/>
  <c r="I163" i="40"/>
  <c r="O164" i="40"/>
  <c r="L165" i="40"/>
  <c r="I166" i="40"/>
  <c r="F167" i="40"/>
  <c r="I168" i="40"/>
  <c r="I170" i="40"/>
  <c r="H199" i="40"/>
  <c r="O44" i="41"/>
  <c r="E91" i="41"/>
  <c r="I73" i="41"/>
  <c r="I74" i="41"/>
  <c r="F75" i="41"/>
  <c r="O75" i="41"/>
  <c r="L77" i="41"/>
  <c r="L78" i="41"/>
  <c r="F80" i="41"/>
  <c r="F81" i="41"/>
  <c r="L82" i="41"/>
  <c r="I84" i="41"/>
  <c r="F85" i="41"/>
  <c r="F86" i="41"/>
  <c r="F87" i="41"/>
  <c r="F89" i="41"/>
  <c r="F90" i="41"/>
  <c r="O90" i="41"/>
  <c r="F99" i="41"/>
  <c r="I101" i="41"/>
  <c r="I103" i="41"/>
  <c r="F104" i="41"/>
  <c r="O104" i="41"/>
  <c r="O106" i="41"/>
  <c r="L107" i="41"/>
  <c r="I108" i="41"/>
  <c r="F109" i="41"/>
  <c r="I110" i="41"/>
  <c r="F111" i="41"/>
  <c r="O111" i="41"/>
  <c r="L112" i="41"/>
  <c r="I113" i="41"/>
  <c r="I115" i="41"/>
  <c r="I116" i="41"/>
  <c r="E172" i="41"/>
  <c r="E199" i="41"/>
  <c r="K199" i="41"/>
  <c r="F45" i="42"/>
  <c r="L49" i="42"/>
  <c r="L50" i="42"/>
  <c r="F52" i="42"/>
  <c r="O52" i="42"/>
  <c r="F56" i="42"/>
  <c r="O56" i="42"/>
  <c r="L58" i="42"/>
  <c r="F60" i="42"/>
  <c r="F61" i="42"/>
  <c r="F62" i="42"/>
  <c r="F63" i="42"/>
  <c r="O63" i="42"/>
  <c r="E118" i="42"/>
  <c r="F99" i="42"/>
  <c r="L100" i="42"/>
  <c r="O101" i="42"/>
  <c r="I103" i="42"/>
  <c r="F104" i="42"/>
  <c r="O104" i="42"/>
  <c r="L105" i="42"/>
  <c r="I106" i="42"/>
  <c r="F107" i="42"/>
  <c r="L108" i="42"/>
  <c r="I109" i="42"/>
  <c r="O110" i="42"/>
  <c r="L111" i="42"/>
  <c r="I112" i="42"/>
  <c r="I113" i="42"/>
  <c r="O114" i="42"/>
  <c r="O115" i="42"/>
  <c r="I117" i="42"/>
  <c r="L128" i="42"/>
  <c r="O132" i="42"/>
  <c r="L133" i="42"/>
  <c r="I134" i="42"/>
  <c r="L135" i="42"/>
  <c r="L137" i="42"/>
  <c r="O138" i="42"/>
  <c r="L139" i="42"/>
  <c r="I140" i="42"/>
  <c r="I143" i="42"/>
  <c r="O144" i="42"/>
  <c r="K172" i="42"/>
  <c r="E199" i="42"/>
  <c r="L180" i="42"/>
  <c r="I181" i="42"/>
  <c r="O182" i="42"/>
  <c r="L183" i="42"/>
  <c r="I186" i="42"/>
  <c r="O187" i="42"/>
  <c r="L188" i="42"/>
  <c r="I189" i="42"/>
  <c r="I191" i="42"/>
  <c r="L193" i="42"/>
  <c r="I194" i="42"/>
  <c r="O195" i="42"/>
  <c r="L196" i="42"/>
  <c r="I197" i="42"/>
  <c r="I128" i="43"/>
  <c r="O154" i="43"/>
  <c r="L155" i="43"/>
  <c r="I158" i="43"/>
  <c r="F159" i="43"/>
  <c r="L168" i="43"/>
  <c r="L169" i="43"/>
  <c r="O198" i="42"/>
  <c r="E64" i="43"/>
  <c r="N64" i="43"/>
  <c r="O45" i="43"/>
  <c r="L46" i="43"/>
  <c r="I47" i="43"/>
  <c r="I48" i="43"/>
  <c r="F49" i="43"/>
  <c r="L51" i="43"/>
  <c r="F53" i="43"/>
  <c r="O53" i="43"/>
  <c r="O54" i="43"/>
  <c r="O57" i="43"/>
  <c r="L58" i="43"/>
  <c r="F59" i="43"/>
  <c r="L60" i="43"/>
  <c r="I61" i="43"/>
  <c r="O62" i="43"/>
  <c r="H91" i="43"/>
  <c r="F90" i="43"/>
  <c r="O84" i="43"/>
  <c r="F84" i="43"/>
  <c r="F82" i="43"/>
  <c r="F76" i="43"/>
  <c r="F74" i="43"/>
  <c r="F91" i="43" s="1"/>
  <c r="L90" i="43"/>
  <c r="F89" i="43"/>
  <c r="F86" i="43"/>
  <c r="F83" i="43"/>
  <c r="L82" i="43"/>
  <c r="F81" i="43"/>
  <c r="F78" i="43"/>
  <c r="L74" i="43"/>
  <c r="F73" i="43"/>
  <c r="E118" i="43"/>
  <c r="L99" i="43"/>
  <c r="I100" i="43"/>
  <c r="O102" i="43"/>
  <c r="I105" i="43"/>
  <c r="F106" i="43"/>
  <c r="O106" i="43"/>
  <c r="I109" i="43"/>
  <c r="F110" i="43"/>
  <c r="I113" i="43"/>
  <c r="I131" i="43"/>
  <c r="I135" i="43"/>
  <c r="I140" i="43"/>
  <c r="L143" i="43"/>
  <c r="I144" i="43"/>
  <c r="I153" i="43"/>
  <c r="I157" i="43"/>
  <c r="I167" i="43"/>
  <c r="O168" i="43"/>
  <c r="F73" i="44"/>
  <c r="O76" i="44"/>
  <c r="L77" i="44"/>
  <c r="F80" i="44"/>
  <c r="L83" i="44"/>
  <c r="O90" i="44"/>
  <c r="N118" i="44"/>
  <c r="H172" i="44"/>
  <c r="F86" i="44"/>
  <c r="F84" i="44"/>
  <c r="O77" i="44"/>
  <c r="O75" i="44"/>
  <c r="F75" i="44"/>
  <c r="L73" i="44"/>
  <c r="F88" i="44"/>
  <c r="L84" i="44"/>
  <c r="F83" i="44"/>
  <c r="I82" i="44"/>
  <c r="F81" i="44"/>
  <c r="I80" i="44"/>
  <c r="O79" i="44"/>
  <c r="F79" i="44"/>
  <c r="F77" i="44"/>
  <c r="F74" i="44"/>
  <c r="O72" i="44"/>
  <c r="F72" i="44"/>
  <c r="F91" i="44" s="1"/>
  <c r="E118" i="44"/>
  <c r="F98" i="44"/>
  <c r="F118" i="44" s="1"/>
  <c r="F118" i="45"/>
  <c r="I185" i="45"/>
  <c r="F63" i="43"/>
  <c r="L59" i="43"/>
  <c r="O56" i="43"/>
  <c r="L55" i="43"/>
  <c r="F54" i="43"/>
  <c r="F52" i="43"/>
  <c r="O50" i="43"/>
  <c r="F50" i="43"/>
  <c r="F117" i="43"/>
  <c r="O115" i="43"/>
  <c r="F115" i="43"/>
  <c r="F113" i="43"/>
  <c r="F111" i="43"/>
  <c r="I110" i="43"/>
  <c r="O109" i="43"/>
  <c r="F107" i="43"/>
  <c r="F105" i="43"/>
  <c r="L104" i="43"/>
  <c r="O101" i="43"/>
  <c r="L100" i="43"/>
  <c r="F99" i="43"/>
  <c r="F118" i="43" s="1"/>
  <c r="L117" i="43"/>
  <c r="F114" i="43"/>
  <c r="L113" i="43"/>
  <c r="F109" i="43"/>
  <c r="I108" i="43"/>
  <c r="L105" i="43"/>
  <c r="O103" i="43"/>
  <c r="F103" i="43"/>
  <c r="F101" i="43"/>
  <c r="E145" i="43"/>
  <c r="L126" i="43"/>
  <c r="O129" i="43"/>
  <c r="O130" i="43"/>
  <c r="I133" i="43"/>
  <c r="L137" i="43"/>
  <c r="I138" i="43"/>
  <c r="L141" i="43"/>
  <c r="I142" i="43"/>
  <c r="O144" i="43"/>
  <c r="N172" i="43"/>
  <c r="O156" i="43"/>
  <c r="L162" i="43"/>
  <c r="I163" i="43"/>
  <c r="O165" i="43"/>
  <c r="O166" i="43"/>
  <c r="I169" i="43"/>
  <c r="E64" i="44"/>
  <c r="O63" i="44"/>
  <c r="F63" i="44"/>
  <c r="F60" i="44"/>
  <c r="L58" i="44"/>
  <c r="F57" i="44"/>
  <c r="L56" i="44"/>
  <c r="F55" i="44"/>
  <c r="O53" i="44"/>
  <c r="F53" i="44"/>
  <c r="F47" i="44"/>
  <c r="F59" i="44"/>
  <c r="F52" i="44"/>
  <c r="F50" i="44"/>
  <c r="O44" i="44"/>
  <c r="F44" i="44"/>
  <c r="E91" i="44"/>
  <c r="L74" i="44"/>
  <c r="L75" i="44"/>
  <c r="O78" i="44"/>
  <c r="I81" i="44"/>
  <c r="F82" i="44"/>
  <c r="L86" i="44"/>
  <c r="I87" i="44"/>
  <c r="O194" i="45"/>
  <c r="F117" i="46"/>
  <c r="O115" i="46"/>
  <c r="F115" i="46"/>
  <c r="O113" i="46"/>
  <c r="F111" i="46"/>
  <c r="O109" i="46"/>
  <c r="O107" i="46"/>
  <c r="F107" i="46"/>
  <c r="F105" i="46"/>
  <c r="F101" i="46"/>
  <c r="L117" i="46"/>
  <c r="F113" i="46"/>
  <c r="F109" i="46"/>
  <c r="F106" i="46"/>
  <c r="L105" i="46"/>
  <c r="O102" i="46"/>
  <c r="F102" i="46"/>
  <c r="L101" i="46"/>
  <c r="F100" i="46"/>
  <c r="O116" i="46"/>
  <c r="F116" i="46"/>
  <c r="L110" i="46"/>
  <c r="O104" i="46"/>
  <c r="F104" i="46"/>
  <c r="F98" i="46"/>
  <c r="L113" i="46"/>
  <c r="O112" i="46"/>
  <c r="F112" i="46"/>
  <c r="F108" i="46"/>
  <c r="F103" i="46"/>
  <c r="O114" i="46"/>
  <c r="F114" i="46"/>
  <c r="L109" i="46"/>
  <c r="O105" i="46"/>
  <c r="F110" i="46"/>
  <c r="O101" i="46"/>
  <c r="F99" i="46"/>
  <c r="E145" i="46"/>
  <c r="F125" i="46"/>
  <c r="F145" i="46" s="1"/>
  <c r="E64" i="45"/>
  <c r="H118" i="45"/>
  <c r="I180" i="45"/>
  <c r="L184" i="45"/>
  <c r="L185" i="45"/>
  <c r="I186" i="45"/>
  <c r="L189" i="45"/>
  <c r="I193" i="45"/>
  <c r="I198" i="45"/>
  <c r="O110" i="46"/>
  <c r="I117" i="46"/>
  <c r="F45" i="43"/>
  <c r="F46" i="43"/>
  <c r="O46" i="43"/>
  <c r="L47" i="43"/>
  <c r="I49" i="43"/>
  <c r="O52" i="43"/>
  <c r="L53" i="43"/>
  <c r="I56" i="43"/>
  <c r="L57" i="43"/>
  <c r="I58" i="43"/>
  <c r="I60" i="43"/>
  <c r="I62" i="43"/>
  <c r="O63" i="43"/>
  <c r="I72" i="43"/>
  <c r="I75" i="43"/>
  <c r="O76" i="43"/>
  <c r="L77" i="43"/>
  <c r="O78" i="43"/>
  <c r="L79" i="43"/>
  <c r="I80" i="43"/>
  <c r="I85" i="43"/>
  <c r="O86" i="43"/>
  <c r="L87" i="43"/>
  <c r="I88" i="43"/>
  <c r="H118" i="43"/>
  <c r="O99" i="43"/>
  <c r="I102" i="43"/>
  <c r="I106" i="43"/>
  <c r="O107" i="43"/>
  <c r="L111" i="43"/>
  <c r="I112" i="43"/>
  <c r="I116" i="43"/>
  <c r="H145" i="43"/>
  <c r="I127" i="43"/>
  <c r="I129" i="43"/>
  <c r="O131" i="43"/>
  <c r="I134" i="43"/>
  <c r="O135" i="43"/>
  <c r="L138" i="43"/>
  <c r="I139" i="43"/>
  <c r="L142" i="43"/>
  <c r="I154" i="43"/>
  <c r="I156" i="43"/>
  <c r="O157" i="43"/>
  <c r="L158" i="43"/>
  <c r="I159" i="43"/>
  <c r="I161" i="43"/>
  <c r="O162" i="43"/>
  <c r="I165" i="43"/>
  <c r="I168" i="43"/>
  <c r="I170" i="43"/>
  <c r="H199" i="43"/>
  <c r="L45" i="44"/>
  <c r="I46" i="44"/>
  <c r="O47" i="44"/>
  <c r="L48" i="44"/>
  <c r="I49" i="44"/>
  <c r="O50" i="44"/>
  <c r="L51" i="44"/>
  <c r="I54" i="44"/>
  <c r="O55" i="44"/>
  <c r="O57" i="44"/>
  <c r="O60" i="44"/>
  <c r="L61" i="44"/>
  <c r="I62" i="44"/>
  <c r="H91" i="44"/>
  <c r="I76" i="44"/>
  <c r="I78" i="44"/>
  <c r="O81" i="44"/>
  <c r="I85" i="44"/>
  <c r="O86" i="44"/>
  <c r="L87" i="44"/>
  <c r="O88" i="44"/>
  <c r="L89" i="44"/>
  <c r="I90" i="44"/>
  <c r="H145" i="44"/>
  <c r="F144" i="44"/>
  <c r="F141" i="44"/>
  <c r="L140" i="44"/>
  <c r="F139" i="44"/>
  <c r="F136" i="44"/>
  <c r="O134" i="44"/>
  <c r="F134" i="44"/>
  <c r="O132" i="44"/>
  <c r="F129" i="44"/>
  <c r="O127" i="44"/>
  <c r="F127" i="44"/>
  <c r="F145" i="44" s="1"/>
  <c r="E172" i="44"/>
  <c r="F199" i="44"/>
  <c r="H64" i="45"/>
  <c r="F63" i="45"/>
  <c r="F60" i="45"/>
  <c r="L59" i="45"/>
  <c r="F58" i="45"/>
  <c r="F55" i="45"/>
  <c r="L51" i="45"/>
  <c r="F50" i="45"/>
  <c r="F47" i="45"/>
  <c r="F44" i="45"/>
  <c r="O183" i="45"/>
  <c r="O184" i="45"/>
  <c r="I187" i="45"/>
  <c r="O189" i="45"/>
  <c r="L192" i="45"/>
  <c r="L193" i="45"/>
  <c r="I194" i="45"/>
  <c r="H91" i="46"/>
  <c r="H118" i="46"/>
  <c r="L115" i="46"/>
  <c r="E91" i="43"/>
  <c r="L72" i="43"/>
  <c r="I73" i="43"/>
  <c r="O74" i="43"/>
  <c r="L75" i="43"/>
  <c r="I78" i="43"/>
  <c r="O79" i="43"/>
  <c r="L80" i="43"/>
  <c r="I81" i="43"/>
  <c r="I83" i="43"/>
  <c r="L85" i="43"/>
  <c r="I86" i="43"/>
  <c r="O87" i="43"/>
  <c r="L88" i="43"/>
  <c r="I89" i="43"/>
  <c r="O90" i="43"/>
  <c r="I101" i="43"/>
  <c r="L102" i="43"/>
  <c r="I103" i="43"/>
  <c r="O105" i="43"/>
  <c r="L106" i="43"/>
  <c r="L108" i="43"/>
  <c r="O111" i="43"/>
  <c r="I114" i="43"/>
  <c r="O117" i="43"/>
  <c r="L127" i="43"/>
  <c r="O128" i="43"/>
  <c r="L129" i="43"/>
  <c r="I130" i="43"/>
  <c r="L134" i="43"/>
  <c r="I137" i="43"/>
  <c r="O138" i="43"/>
  <c r="L139" i="43"/>
  <c r="I141" i="43"/>
  <c r="I143" i="43"/>
  <c r="H172" i="43"/>
  <c r="L154" i="43"/>
  <c r="I155" i="43"/>
  <c r="O158" i="43"/>
  <c r="O160" i="43"/>
  <c r="L161" i="43"/>
  <c r="O164" i="43"/>
  <c r="L165" i="43"/>
  <c r="I166" i="43"/>
  <c r="O167" i="43"/>
  <c r="L170" i="43"/>
  <c r="I171" i="43"/>
  <c r="H64" i="44"/>
  <c r="O45" i="44"/>
  <c r="O48" i="44"/>
  <c r="L49" i="44"/>
  <c r="I50" i="44"/>
  <c r="I52" i="44"/>
  <c r="I59" i="44"/>
  <c r="O61" i="44"/>
  <c r="I72" i="44"/>
  <c r="I74" i="44"/>
  <c r="L76" i="44"/>
  <c r="I77" i="44"/>
  <c r="L78" i="44"/>
  <c r="I79" i="44"/>
  <c r="L80" i="44"/>
  <c r="L82" i="44"/>
  <c r="I83" i="44"/>
  <c r="O84" i="44"/>
  <c r="L85" i="44"/>
  <c r="I88" i="44"/>
  <c r="O89" i="44"/>
  <c r="L90" i="44"/>
  <c r="H118" i="44"/>
  <c r="F172" i="44"/>
  <c r="H199" i="44"/>
  <c r="F56" i="45"/>
  <c r="O57" i="45"/>
  <c r="O58" i="45"/>
  <c r="I60" i="45"/>
  <c r="F61" i="45"/>
  <c r="O61" i="45"/>
  <c r="L62" i="45"/>
  <c r="F83" i="45"/>
  <c r="H145" i="45"/>
  <c r="O143" i="45"/>
  <c r="F140" i="45"/>
  <c r="L139" i="45"/>
  <c r="O136" i="45"/>
  <c r="F136" i="45"/>
  <c r="F133" i="45"/>
  <c r="L131" i="45"/>
  <c r="F130" i="45"/>
  <c r="F125" i="45"/>
  <c r="F143" i="45"/>
  <c r="O138" i="45"/>
  <c r="F138" i="45"/>
  <c r="F132" i="45"/>
  <c r="O127" i="45"/>
  <c r="E172" i="45"/>
  <c r="L171" i="45"/>
  <c r="F170" i="45"/>
  <c r="F167" i="45"/>
  <c r="F164" i="45"/>
  <c r="L163" i="45"/>
  <c r="F162" i="45"/>
  <c r="I157" i="45"/>
  <c r="F156" i="45"/>
  <c r="I155" i="45"/>
  <c r="F154" i="45"/>
  <c r="F169" i="45"/>
  <c r="L167" i="45"/>
  <c r="F166" i="45"/>
  <c r="F161" i="45"/>
  <c r="I160" i="45"/>
  <c r="F159" i="45"/>
  <c r="I158" i="45"/>
  <c r="O157" i="45"/>
  <c r="I153" i="45"/>
  <c r="F152" i="45"/>
  <c r="F172" i="45" s="1"/>
  <c r="E199" i="45"/>
  <c r="I182" i="45"/>
  <c r="L187" i="45"/>
  <c r="I188" i="45"/>
  <c r="O191" i="45"/>
  <c r="O192" i="45"/>
  <c r="L195" i="45"/>
  <c r="I196" i="45"/>
  <c r="I101" i="46"/>
  <c r="O106" i="46"/>
  <c r="O108" i="46"/>
  <c r="E145" i="44"/>
  <c r="L126" i="44"/>
  <c r="O130" i="44"/>
  <c r="L131" i="44"/>
  <c r="I132" i="44"/>
  <c r="L133" i="44"/>
  <c r="L135" i="44"/>
  <c r="O136" i="44"/>
  <c r="L137" i="44"/>
  <c r="I138" i="44"/>
  <c r="I143" i="44"/>
  <c r="O144" i="44"/>
  <c r="E199" i="44"/>
  <c r="N199" i="44"/>
  <c r="I46" i="45"/>
  <c r="O47" i="45"/>
  <c r="L48" i="45"/>
  <c r="I49" i="45"/>
  <c r="I52" i="45"/>
  <c r="O53" i="45"/>
  <c r="L54" i="45"/>
  <c r="O55" i="45"/>
  <c r="L56" i="45"/>
  <c r="I57" i="45"/>
  <c r="I62" i="45"/>
  <c r="O63" i="45"/>
  <c r="O72" i="45"/>
  <c r="I73" i="45"/>
  <c r="F74" i="45"/>
  <c r="F91" i="45" s="1"/>
  <c r="L76" i="45"/>
  <c r="F77" i="45"/>
  <c r="O77" i="45"/>
  <c r="I78" i="45"/>
  <c r="I80" i="45"/>
  <c r="L81" i="45"/>
  <c r="I82" i="45"/>
  <c r="O84" i="45"/>
  <c r="I87" i="45"/>
  <c r="I89" i="45"/>
  <c r="O90" i="45"/>
  <c r="E145" i="45"/>
  <c r="L126" i="45"/>
  <c r="I127" i="45"/>
  <c r="L128" i="45"/>
  <c r="I129" i="45"/>
  <c r="O130" i="45"/>
  <c r="O133" i="45"/>
  <c r="L134" i="45"/>
  <c r="I135" i="45"/>
  <c r="I137" i="45"/>
  <c r="O140" i="45"/>
  <c r="L141" i="45"/>
  <c r="I142" i="45"/>
  <c r="I144" i="45"/>
  <c r="N172" i="45"/>
  <c r="L154" i="45"/>
  <c r="L156" i="45"/>
  <c r="O159" i="45"/>
  <c r="O162" i="45"/>
  <c r="O164" i="45"/>
  <c r="L165" i="45"/>
  <c r="I168" i="45"/>
  <c r="O170" i="45"/>
  <c r="L180" i="45"/>
  <c r="I181" i="45"/>
  <c r="I183" i="45"/>
  <c r="O185" i="45"/>
  <c r="O187" i="45"/>
  <c r="L188" i="45"/>
  <c r="I191" i="45"/>
  <c r="O193" i="45"/>
  <c r="L196" i="45"/>
  <c r="I197" i="45"/>
  <c r="L100" i="46"/>
  <c r="I107" i="46"/>
  <c r="I111" i="46"/>
  <c r="H172" i="46"/>
  <c r="H199" i="46"/>
  <c r="E91" i="45"/>
  <c r="E118" i="45"/>
  <c r="N118" i="45"/>
  <c r="O126" i="45"/>
  <c r="O128" i="45"/>
  <c r="L129" i="45"/>
  <c r="I132" i="45"/>
  <c r="O134" i="45"/>
  <c r="L137" i="45"/>
  <c r="I138" i="45"/>
  <c r="O141" i="45"/>
  <c r="L142" i="45"/>
  <c r="I143" i="45"/>
  <c r="L144" i="45"/>
  <c r="H172" i="45"/>
  <c r="L153" i="45"/>
  <c r="O154" i="45"/>
  <c r="O156" i="45"/>
  <c r="L158" i="45"/>
  <c r="L160" i="45"/>
  <c r="I161" i="45"/>
  <c r="I166" i="45"/>
  <c r="O167" i="45"/>
  <c r="L168" i="45"/>
  <c r="I169" i="45"/>
  <c r="H199" i="45"/>
  <c r="O180" i="45"/>
  <c r="L181" i="45"/>
  <c r="O182" i="45"/>
  <c r="L183" i="45"/>
  <c r="I184" i="45"/>
  <c r="I189" i="45"/>
  <c r="O190" i="45"/>
  <c r="L191" i="45"/>
  <c r="I192" i="45"/>
  <c r="I195" i="45"/>
  <c r="O196" i="45"/>
  <c r="L197" i="45"/>
  <c r="O198" i="45"/>
  <c r="E64" i="46"/>
  <c r="O99" i="46"/>
  <c r="O100" i="46"/>
  <c r="L102" i="46"/>
  <c r="I103" i="46"/>
  <c r="L106" i="46"/>
  <c r="L107" i="46"/>
  <c r="L111" i="46"/>
  <c r="I112" i="46"/>
  <c r="I115" i="46"/>
  <c r="E64" i="47"/>
  <c r="E91" i="47"/>
  <c r="H64" i="46"/>
  <c r="E91" i="46"/>
  <c r="I99" i="46"/>
  <c r="L103" i="46"/>
  <c r="I104" i="46"/>
  <c r="I108" i="46"/>
  <c r="I110" i="46"/>
  <c r="O111" i="46"/>
  <c r="L112" i="46"/>
  <c r="I114" i="46"/>
  <c r="I116" i="46"/>
  <c r="H145" i="46"/>
  <c r="E199" i="46"/>
  <c r="F44" i="47"/>
  <c r="L44" i="47"/>
  <c r="O45" i="47"/>
  <c r="I46" i="47"/>
  <c r="F48" i="47"/>
  <c r="L49" i="47"/>
  <c r="O50" i="47"/>
  <c r="I51" i="47"/>
  <c r="F53" i="47"/>
  <c r="L53" i="47"/>
  <c r="O54" i="47"/>
  <c r="I55" i="47"/>
  <c r="F57" i="47"/>
  <c r="L57" i="47"/>
  <c r="O58" i="47"/>
  <c r="I59" i="47"/>
  <c r="F61" i="47"/>
  <c r="L61" i="47"/>
  <c r="O62" i="47"/>
  <c r="L63" i="47"/>
  <c r="F71" i="47"/>
  <c r="N145" i="47"/>
  <c r="L143" i="47"/>
  <c r="F45" i="46"/>
  <c r="F64" i="46" s="1"/>
  <c r="O45" i="46"/>
  <c r="L46" i="46"/>
  <c r="I47" i="46"/>
  <c r="L48" i="46"/>
  <c r="F49" i="46"/>
  <c r="I51" i="46"/>
  <c r="L52" i="46"/>
  <c r="I53" i="46"/>
  <c r="O54" i="46"/>
  <c r="F56" i="46"/>
  <c r="I57" i="46"/>
  <c r="F58" i="46"/>
  <c r="O58" i="46"/>
  <c r="O60" i="46"/>
  <c r="L61" i="46"/>
  <c r="F62" i="46"/>
  <c r="F71" i="46"/>
  <c r="F91" i="46" s="1"/>
  <c r="E118" i="46"/>
  <c r="L99" i="46"/>
  <c r="I100" i="46"/>
  <c r="I102" i="46"/>
  <c r="O103" i="46"/>
  <c r="L104" i="46"/>
  <c r="I106" i="46"/>
  <c r="L108" i="46"/>
  <c r="I109" i="46"/>
  <c r="I113" i="46"/>
  <c r="L114" i="46"/>
  <c r="L116" i="46"/>
  <c r="O117" i="46"/>
  <c r="E172" i="46"/>
  <c r="L153" i="46"/>
  <c r="I154" i="46"/>
  <c r="F155" i="46"/>
  <c r="F172" i="46" s="1"/>
  <c r="O155" i="46"/>
  <c r="L156" i="46"/>
  <c r="F157" i="46"/>
  <c r="I159" i="46"/>
  <c r="O160" i="46"/>
  <c r="L161" i="46"/>
  <c r="I162" i="46"/>
  <c r="F163" i="46"/>
  <c r="I164" i="46"/>
  <c r="I166" i="46"/>
  <c r="L167" i="46"/>
  <c r="I168" i="46"/>
  <c r="O170" i="46"/>
  <c r="F179" i="46"/>
  <c r="O179" i="46"/>
  <c r="L180" i="46"/>
  <c r="F181" i="46"/>
  <c r="O181" i="46"/>
  <c r="F183" i="46"/>
  <c r="O184" i="46"/>
  <c r="L185" i="46"/>
  <c r="I186" i="46"/>
  <c r="O186" i="46"/>
  <c r="L187" i="46"/>
  <c r="F188" i="46"/>
  <c r="O188" i="46"/>
  <c r="L189" i="46"/>
  <c r="F190" i="46"/>
  <c r="O190" i="46"/>
  <c r="L191" i="46"/>
  <c r="I192" i="46"/>
  <c r="F193" i="46"/>
  <c r="L194" i="46"/>
  <c r="F195" i="46"/>
  <c r="O195" i="46"/>
  <c r="L196" i="46"/>
  <c r="F197" i="46"/>
  <c r="H64" i="47"/>
  <c r="N64" i="47"/>
  <c r="I45" i="47"/>
  <c r="F47" i="47"/>
  <c r="L47" i="47"/>
  <c r="I48" i="47"/>
  <c r="F49" i="47"/>
  <c r="O49" i="47"/>
  <c r="I50" i="47"/>
  <c r="F52" i="47"/>
  <c r="L52" i="47"/>
  <c r="O53" i="47"/>
  <c r="I54" i="47"/>
  <c r="F56" i="47"/>
  <c r="L56" i="47"/>
  <c r="O57" i="47"/>
  <c r="I58" i="47"/>
  <c r="F60" i="47"/>
  <c r="L60" i="47"/>
  <c r="O61" i="47"/>
  <c r="L89" i="47"/>
  <c r="L85" i="47"/>
  <c r="F84" i="47"/>
  <c r="F81" i="47"/>
  <c r="F78" i="47"/>
  <c r="L77" i="47"/>
  <c r="F76" i="47"/>
  <c r="F89" i="47"/>
  <c r="O87" i="47"/>
  <c r="F87" i="47"/>
  <c r="F85" i="47"/>
  <c r="O79" i="47"/>
  <c r="O91" i="47" s="1"/>
  <c r="G7" i="47" s="1"/>
  <c r="F79" i="47"/>
  <c r="F77" i="47"/>
  <c r="E118" i="47"/>
  <c r="F98" i="47"/>
  <c r="F118" i="47" s="1"/>
  <c r="H145" i="47"/>
  <c r="I125" i="47"/>
  <c r="H91" i="47"/>
  <c r="I73" i="47"/>
  <c r="O74" i="47"/>
  <c r="L75" i="47"/>
  <c r="I76" i="47"/>
  <c r="I78" i="47"/>
  <c r="L80" i="47"/>
  <c r="I81" i="47"/>
  <c r="O82" i="47"/>
  <c r="L83" i="47"/>
  <c r="I84" i="47"/>
  <c r="O85" i="47"/>
  <c r="L86" i="47"/>
  <c r="L88" i="47"/>
  <c r="O89" i="47"/>
  <c r="L90" i="47"/>
  <c r="H118" i="47"/>
  <c r="E145" i="47"/>
  <c r="K145" i="47"/>
  <c r="E172" i="47"/>
  <c r="L153" i="47"/>
  <c r="I154" i="47"/>
  <c r="F155" i="47"/>
  <c r="O155" i="47"/>
  <c r="L156" i="47"/>
  <c r="F157" i="47"/>
  <c r="I159" i="47"/>
  <c r="O160" i="47"/>
  <c r="L161" i="47"/>
  <c r="I162" i="47"/>
  <c r="F163" i="47"/>
  <c r="I164" i="47"/>
  <c r="F165" i="47"/>
  <c r="O165" i="47"/>
  <c r="L166" i="47"/>
  <c r="I167" i="47"/>
  <c r="O168" i="47"/>
  <c r="L169" i="47"/>
  <c r="I170" i="47"/>
  <c r="F171" i="47"/>
  <c r="O171" i="47"/>
  <c r="H91" i="48"/>
  <c r="N91" i="48"/>
  <c r="E199" i="47"/>
  <c r="I91" i="48"/>
  <c r="O91" i="48"/>
  <c r="F199" i="47"/>
  <c r="I75" i="47"/>
  <c r="I80" i="47"/>
  <c r="O81" i="47"/>
  <c r="L82" i="47"/>
  <c r="I83" i="47"/>
  <c r="I86" i="47"/>
  <c r="I88" i="47"/>
  <c r="I90" i="47"/>
  <c r="L139" i="47"/>
  <c r="L145" i="47" s="1"/>
  <c r="O140" i="47"/>
  <c r="I141" i="47"/>
  <c r="F143" i="47"/>
  <c r="F145" i="47" s="1"/>
  <c r="O144" i="47"/>
  <c r="I153" i="47"/>
  <c r="F154" i="47"/>
  <c r="L155" i="47"/>
  <c r="I156" i="47"/>
  <c r="O157" i="47"/>
  <c r="L158" i="47"/>
  <c r="F159" i="47"/>
  <c r="F172" i="47" s="1"/>
  <c r="O159" i="47"/>
  <c r="L160" i="47"/>
  <c r="I161" i="47"/>
  <c r="F162" i="47"/>
  <c r="L163" i="47"/>
  <c r="F164" i="47"/>
  <c r="I166" i="47"/>
  <c r="F167" i="47"/>
  <c r="O167" i="47"/>
  <c r="L168" i="47"/>
  <c r="I169" i="47"/>
  <c r="F170" i="47"/>
  <c r="H199" i="47"/>
  <c r="I181" i="47"/>
  <c r="L182" i="47"/>
  <c r="I183" i="47"/>
  <c r="F184" i="47"/>
  <c r="O185" i="47"/>
  <c r="I188" i="47"/>
  <c r="O189" i="47"/>
  <c r="O199" i="47" s="1"/>
  <c r="G9" i="47" s="1"/>
  <c r="F191" i="47"/>
  <c r="O192" i="47"/>
  <c r="L193" i="47"/>
  <c r="I194" i="47"/>
  <c r="O194" i="47"/>
  <c r="L195" i="47"/>
  <c r="F196" i="47"/>
  <c r="O196" i="47"/>
  <c r="L197" i="47"/>
  <c r="O198" i="47"/>
  <c r="E91" i="48"/>
  <c r="L91" i="48"/>
  <c r="F118" i="48"/>
  <c r="F71" i="48"/>
  <c r="F91" i="48" s="1"/>
  <c r="N199" i="47"/>
  <c r="N172" i="47"/>
  <c r="O152" i="47"/>
  <c r="O125" i="47"/>
  <c r="O145" i="47" s="1"/>
  <c r="N118" i="47"/>
  <c r="O98" i="47"/>
  <c r="O118" i="47" s="1"/>
  <c r="G3" i="47" s="1"/>
  <c r="N91" i="47"/>
  <c r="O44" i="47"/>
  <c r="O64" i="47" s="1"/>
  <c r="F37" i="48"/>
  <c r="N37" i="48"/>
  <c r="K37" i="48"/>
  <c r="O37" i="48"/>
  <c r="H37" i="48"/>
  <c r="L37" i="48"/>
  <c r="E37" i="48"/>
  <c r="I37" i="48"/>
  <c r="G7" i="48"/>
  <c r="G9" i="48"/>
  <c r="G5" i="48"/>
  <c r="G3" i="48"/>
  <c r="K199" i="47"/>
  <c r="L179" i="47"/>
  <c r="L199" i="47" s="1"/>
  <c r="K172" i="47"/>
  <c r="L152" i="47"/>
  <c r="L172" i="47" s="1"/>
  <c r="K118" i="47"/>
  <c r="L98" i="47"/>
  <c r="L118" i="47" s="1"/>
  <c r="K91" i="47"/>
  <c r="L71" i="47"/>
  <c r="L91" i="47" s="1"/>
  <c r="K64" i="47"/>
  <c r="L64" i="47"/>
  <c r="I179" i="47"/>
  <c r="I199" i="47" s="1"/>
  <c r="I152" i="47"/>
  <c r="I172" i="47" s="1"/>
  <c r="I98" i="47"/>
  <c r="I118" i="47" s="1"/>
  <c r="I71" i="47"/>
  <c r="I91" i="47" s="1"/>
  <c r="I64" i="47"/>
  <c r="E37" i="47"/>
  <c r="O199" i="46"/>
  <c r="N199" i="46"/>
  <c r="N172" i="46"/>
  <c r="O152" i="46"/>
  <c r="O172" i="46" s="1"/>
  <c r="N145" i="46"/>
  <c r="O125" i="46"/>
  <c r="O145" i="46" s="1"/>
  <c r="N118" i="46"/>
  <c r="O98" i="46"/>
  <c r="O118" i="46" s="1"/>
  <c r="N91" i="46"/>
  <c r="O71" i="46"/>
  <c r="O91" i="46" s="1"/>
  <c r="N64" i="46"/>
  <c r="O44" i="46"/>
  <c r="O64" i="46" s="1"/>
  <c r="F37" i="47"/>
  <c r="K37" i="47"/>
  <c r="O37" i="47"/>
  <c r="I37" i="47"/>
  <c r="N37" i="47"/>
  <c r="H37" i="47"/>
  <c r="L37" i="47"/>
  <c r="G5" i="47"/>
  <c r="K199" i="46"/>
  <c r="L179" i="46"/>
  <c r="L199" i="46" s="1"/>
  <c r="K172" i="46"/>
  <c r="L152" i="46"/>
  <c r="L172" i="46" s="1"/>
  <c r="K145" i="46"/>
  <c r="L145" i="46"/>
  <c r="K118" i="46"/>
  <c r="L98" i="46"/>
  <c r="L118" i="46" s="1"/>
  <c r="K91" i="46"/>
  <c r="L71" i="46"/>
  <c r="L91" i="46" s="1"/>
  <c r="K64" i="46"/>
  <c r="L64" i="46"/>
  <c r="I179" i="46"/>
  <c r="I199" i="46" s="1"/>
  <c r="I152" i="46"/>
  <c r="I172" i="46" s="1"/>
  <c r="I125" i="46"/>
  <c r="I145" i="46" s="1"/>
  <c r="I98" i="46"/>
  <c r="I118" i="46" s="1"/>
  <c r="I71" i="46"/>
  <c r="I91" i="46" s="1"/>
  <c r="I44" i="46"/>
  <c r="I64" i="46" s="1"/>
  <c r="K37" i="46"/>
  <c r="O37" i="46"/>
  <c r="O199" i="45"/>
  <c r="N199" i="45"/>
  <c r="O152" i="45"/>
  <c r="O172" i="45" s="1"/>
  <c r="N145" i="45"/>
  <c r="O125" i="45"/>
  <c r="O145" i="45" s="1"/>
  <c r="O98" i="45"/>
  <c r="O118" i="45" s="1"/>
  <c r="N91" i="45"/>
  <c r="O71" i="45"/>
  <c r="O91" i="45" s="1"/>
  <c r="N64" i="45"/>
  <c r="O44" i="45"/>
  <c r="O64" i="45" s="1"/>
  <c r="F37" i="46"/>
  <c r="E37" i="46"/>
  <c r="I37" i="46"/>
  <c r="H37" i="46"/>
  <c r="L37" i="46"/>
  <c r="N37" i="46"/>
  <c r="G5" i="46"/>
  <c r="G7" i="46"/>
  <c r="G3" i="46"/>
  <c r="G9" i="46"/>
  <c r="K199" i="45"/>
  <c r="L179" i="45"/>
  <c r="L199" i="45" s="1"/>
  <c r="K172" i="45"/>
  <c r="L152" i="45"/>
  <c r="L172" i="45" s="1"/>
  <c r="K145" i="45"/>
  <c r="L125" i="45"/>
  <c r="L145" i="45" s="1"/>
  <c r="K118" i="45"/>
  <c r="L98" i="45"/>
  <c r="L118" i="45" s="1"/>
  <c r="K91" i="45"/>
  <c r="L71" i="45"/>
  <c r="L91" i="45" s="1"/>
  <c r="K64" i="45"/>
  <c r="L44" i="45"/>
  <c r="L64" i="45" s="1"/>
  <c r="G5" i="45" s="1"/>
  <c r="I179" i="45"/>
  <c r="I199" i="45" s="1"/>
  <c r="I172" i="45"/>
  <c r="I125" i="45"/>
  <c r="I145" i="45" s="1"/>
  <c r="I98" i="45"/>
  <c r="I118" i="45" s="1"/>
  <c r="I71" i="45"/>
  <c r="I91" i="45" s="1"/>
  <c r="I44" i="45"/>
  <c r="I64" i="45" s="1"/>
  <c r="F37" i="45"/>
  <c r="N37" i="45"/>
  <c r="O179" i="44"/>
  <c r="O199" i="44" s="1"/>
  <c r="N172" i="44"/>
  <c r="O172" i="44"/>
  <c r="N145" i="44"/>
  <c r="O125" i="44"/>
  <c r="O145" i="44" s="1"/>
  <c r="O98" i="44"/>
  <c r="O118" i="44" s="1"/>
  <c r="N91" i="44"/>
  <c r="G7" i="44" s="1"/>
  <c r="O71" i="44"/>
  <c r="O91" i="44" s="1"/>
  <c r="O64" i="44"/>
  <c r="N64" i="44"/>
  <c r="G5" i="44" s="1"/>
  <c r="H37" i="45"/>
  <c r="L37" i="45"/>
  <c r="E37" i="45"/>
  <c r="I37" i="45"/>
  <c r="K37" i="45"/>
  <c r="O37" i="45"/>
  <c r="G9" i="45"/>
  <c r="G3" i="45"/>
  <c r="K199" i="44"/>
  <c r="L179" i="44"/>
  <c r="L199" i="44" s="1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K64" i="44"/>
  <c r="L44" i="44"/>
  <c r="L64" i="44" s="1"/>
  <c r="I179" i="44"/>
  <c r="I199" i="44" s="1"/>
  <c r="I152" i="44"/>
  <c r="I172" i="44" s="1"/>
  <c r="I125" i="44"/>
  <c r="I145" i="44" s="1"/>
  <c r="I98" i="44"/>
  <c r="I118" i="44" s="1"/>
  <c r="I71" i="44"/>
  <c r="I91" i="44" s="1"/>
  <c r="I44" i="44"/>
  <c r="I64" i="44" s="1"/>
  <c r="K37" i="44"/>
  <c r="O37" i="44"/>
  <c r="O199" i="43"/>
  <c r="N199" i="43"/>
  <c r="G9" i="43" s="1"/>
  <c r="O152" i="43"/>
  <c r="O172" i="43" s="1"/>
  <c r="O145" i="43"/>
  <c r="N145" i="43"/>
  <c r="O118" i="43"/>
  <c r="G3" i="43" s="1"/>
  <c r="N118" i="43"/>
  <c r="N91" i="43"/>
  <c r="O71" i="43"/>
  <c r="O91" i="43" s="1"/>
  <c r="O44" i="43"/>
  <c r="O64" i="43" s="1"/>
  <c r="E37" i="44"/>
  <c r="N37" i="44"/>
  <c r="F37" i="44"/>
  <c r="H37" i="44"/>
  <c r="L37" i="44"/>
  <c r="I37" i="44"/>
  <c r="G9" i="44"/>
  <c r="G3" i="44"/>
  <c r="L199" i="43"/>
  <c r="K199" i="43"/>
  <c r="K172" i="43"/>
  <c r="L152" i="43"/>
  <c r="L172" i="43" s="1"/>
  <c r="K145" i="43"/>
  <c r="L125" i="43"/>
  <c r="L145" i="43" s="1"/>
  <c r="K118" i="43"/>
  <c r="L98" i="43"/>
  <c r="L118" i="43" s="1"/>
  <c r="K91" i="43"/>
  <c r="L71" i="43"/>
  <c r="L91" i="43" s="1"/>
  <c r="K64" i="43"/>
  <c r="L64" i="43"/>
  <c r="I199" i="43"/>
  <c r="I152" i="43"/>
  <c r="I172" i="43" s="1"/>
  <c r="I125" i="43"/>
  <c r="I145" i="43" s="1"/>
  <c r="I98" i="43"/>
  <c r="I118" i="43" s="1"/>
  <c r="I71" i="43"/>
  <c r="I91" i="43" s="1"/>
  <c r="H64" i="43"/>
  <c r="I44" i="43"/>
  <c r="I64" i="43" s="1"/>
  <c r="F44" i="43"/>
  <c r="F64" i="43" s="1"/>
  <c r="N199" i="42"/>
  <c r="O179" i="42"/>
  <c r="O199" i="42" s="1"/>
  <c r="O172" i="42"/>
  <c r="N172" i="42"/>
  <c r="N145" i="42"/>
  <c r="O125" i="42"/>
  <c r="O145" i="42" s="1"/>
  <c r="O98" i="42"/>
  <c r="O118" i="42" s="1"/>
  <c r="N91" i="42"/>
  <c r="O71" i="42"/>
  <c r="O91" i="42" s="1"/>
  <c r="O44" i="42"/>
  <c r="O64" i="42" s="1"/>
  <c r="G5" i="42" s="1"/>
  <c r="K37" i="43"/>
  <c r="E37" i="43"/>
  <c r="I37" i="43"/>
  <c r="F37" i="43"/>
  <c r="N37" i="43"/>
  <c r="H37" i="43"/>
  <c r="L37" i="43"/>
  <c r="O37" i="43"/>
  <c r="G5" i="43"/>
  <c r="G7" i="43"/>
  <c r="K199" i="42"/>
  <c r="L179" i="42"/>
  <c r="L199" i="42" s="1"/>
  <c r="L152" i="42"/>
  <c r="L172" i="42" s="1"/>
  <c r="L125" i="42"/>
  <c r="L98" i="42"/>
  <c r="L118" i="42" s="1"/>
  <c r="L91" i="42"/>
  <c r="K91" i="42"/>
  <c r="K64" i="42"/>
  <c r="L64" i="42"/>
  <c r="I179" i="42"/>
  <c r="I199" i="42" s="1"/>
  <c r="I172" i="42"/>
  <c r="H172" i="42"/>
  <c r="I125" i="42"/>
  <c r="I145" i="42" s="1"/>
  <c r="H118" i="42"/>
  <c r="I98" i="42"/>
  <c r="I118" i="42" s="1"/>
  <c r="H91" i="42"/>
  <c r="I71" i="42"/>
  <c r="I91" i="42" s="1"/>
  <c r="H64" i="42"/>
  <c r="I44" i="42"/>
  <c r="I64" i="42" s="1"/>
  <c r="F152" i="42"/>
  <c r="F172" i="42" s="1"/>
  <c r="F98" i="42"/>
  <c r="F118" i="42" s="1"/>
  <c r="F71" i="42"/>
  <c r="F91" i="42" s="1"/>
  <c r="F44" i="42"/>
  <c r="F64" i="42" s="1"/>
  <c r="O199" i="41"/>
  <c r="N199" i="41"/>
  <c r="N172" i="41"/>
  <c r="O152" i="41"/>
  <c r="O172" i="41" s="1"/>
  <c r="N145" i="41"/>
  <c r="O125" i="41"/>
  <c r="O145" i="41" s="1"/>
  <c r="N118" i="41"/>
  <c r="O118" i="41"/>
  <c r="O91" i="41"/>
  <c r="N91" i="41"/>
  <c r="O64" i="41"/>
  <c r="G5" i="41" s="1"/>
  <c r="L145" i="42"/>
  <c r="E37" i="42"/>
  <c r="I37" i="42"/>
  <c r="K37" i="42"/>
  <c r="O37" i="42"/>
  <c r="H37" i="42"/>
  <c r="L37" i="42"/>
  <c r="F37" i="42"/>
  <c r="N37" i="42"/>
  <c r="G7" i="42"/>
  <c r="G3" i="42"/>
  <c r="G9" i="42"/>
  <c r="L179" i="41"/>
  <c r="L199" i="41" s="1"/>
  <c r="L172" i="41"/>
  <c r="K172" i="41"/>
  <c r="L145" i="41"/>
  <c r="K145" i="41"/>
  <c r="K118" i="41"/>
  <c r="L98" i="41"/>
  <c r="L118" i="41" s="1"/>
  <c r="K91" i="41"/>
  <c r="L71" i="41"/>
  <c r="L91" i="41" s="1"/>
  <c r="K64" i="41"/>
  <c r="I199" i="41"/>
  <c r="I152" i="41"/>
  <c r="I172" i="41" s="1"/>
  <c r="I125" i="41"/>
  <c r="I145" i="41" s="1"/>
  <c r="I98" i="41"/>
  <c r="I118" i="41" s="1"/>
  <c r="I91" i="41"/>
  <c r="H91" i="41"/>
  <c r="H64" i="41"/>
  <c r="I64" i="41"/>
  <c r="F125" i="41"/>
  <c r="F145" i="41" s="1"/>
  <c r="F118" i="41"/>
  <c r="F71" i="41"/>
  <c r="F91" i="41" s="1"/>
  <c r="F44" i="41"/>
  <c r="F64" i="41" s="1"/>
  <c r="O179" i="40"/>
  <c r="O199" i="40" s="1"/>
  <c r="G9" i="40" s="1"/>
  <c r="N172" i="40"/>
  <c r="O152" i="40"/>
  <c r="O172" i="40" s="1"/>
  <c r="O125" i="40"/>
  <c r="O145" i="40" s="1"/>
  <c r="N118" i="40"/>
  <c r="O98" i="40"/>
  <c r="O118" i="40" s="1"/>
  <c r="O91" i="40"/>
  <c r="N91" i="40"/>
  <c r="N64" i="40"/>
  <c r="G5" i="40" s="1"/>
  <c r="O44" i="40"/>
  <c r="O64" i="40" s="1"/>
  <c r="H37" i="41"/>
  <c r="L37" i="41"/>
  <c r="E37" i="41"/>
  <c r="I37" i="41"/>
  <c r="F37" i="41"/>
  <c r="N37" i="41"/>
  <c r="K37" i="41"/>
  <c r="O37" i="41"/>
  <c r="G7" i="41"/>
  <c r="G3" i="41"/>
  <c r="G9" i="41"/>
  <c r="K199" i="40"/>
  <c r="L179" i="40"/>
  <c r="L199" i="40" s="1"/>
  <c r="K172" i="40"/>
  <c r="L152" i="40"/>
  <c r="L172" i="40" s="1"/>
  <c r="K145" i="40"/>
  <c r="L125" i="40"/>
  <c r="L145" i="40" s="1"/>
  <c r="K118" i="40"/>
  <c r="L98" i="40"/>
  <c r="L118" i="40" s="1"/>
  <c r="L71" i="40"/>
  <c r="L91" i="40" s="1"/>
  <c r="K64" i="40"/>
  <c r="L44" i="40"/>
  <c r="L64" i="40" s="1"/>
  <c r="I179" i="40"/>
  <c r="I199" i="40" s="1"/>
  <c r="I152" i="40"/>
  <c r="I172" i="40" s="1"/>
  <c r="I145" i="40"/>
  <c r="H145" i="40"/>
  <c r="H118" i="40"/>
  <c r="I98" i="40"/>
  <c r="I118" i="40" s="1"/>
  <c r="H91" i="40"/>
  <c r="I91" i="40"/>
  <c r="H64" i="40"/>
  <c r="I44" i="40"/>
  <c r="I64" i="40" s="1"/>
  <c r="F125" i="40"/>
  <c r="F145" i="40" s="1"/>
  <c r="F98" i="40"/>
  <c r="F118" i="40" s="1"/>
  <c r="F71" i="40"/>
  <c r="F91" i="40" s="1"/>
  <c r="F44" i="40"/>
  <c r="F64" i="40" s="1"/>
  <c r="N199" i="39"/>
  <c r="O179" i="39"/>
  <c r="O199" i="39" s="1"/>
  <c r="G9" i="39" s="1"/>
  <c r="O152" i="39"/>
  <c r="O172" i="39" s="1"/>
  <c r="N145" i="39"/>
  <c r="O125" i="39"/>
  <c r="O145" i="39" s="1"/>
  <c r="N118" i="39"/>
  <c r="G3" i="39" s="1"/>
  <c r="O98" i="39"/>
  <c r="O118" i="39" s="1"/>
  <c r="O91" i="39"/>
  <c r="N91" i="39"/>
  <c r="N64" i="39"/>
  <c r="G5" i="39" s="1"/>
  <c r="O44" i="39"/>
  <c r="O64" i="39" s="1"/>
  <c r="K37" i="40"/>
  <c r="E37" i="40"/>
  <c r="I37" i="40"/>
  <c r="F37" i="40"/>
  <c r="N37" i="40"/>
  <c r="H37" i="40"/>
  <c r="L37" i="40"/>
  <c r="O37" i="40"/>
  <c r="G3" i="40"/>
  <c r="G7" i="40"/>
  <c r="K199" i="39"/>
  <c r="L179" i="39"/>
  <c r="L199" i="39" s="1"/>
  <c r="K172" i="39"/>
  <c r="L152" i="39"/>
  <c r="L172" i="39" s="1"/>
  <c r="K145" i="39"/>
  <c r="L125" i="39"/>
  <c r="L145" i="39" s="1"/>
  <c r="K118" i="39"/>
  <c r="L98" i="39"/>
  <c r="L118" i="39" s="1"/>
  <c r="K91" i="39"/>
  <c r="F37" i="39"/>
  <c r="L71" i="39"/>
  <c r="L91" i="39" s="1"/>
  <c r="K64" i="39"/>
  <c r="L44" i="39"/>
  <c r="L64" i="39" s="1"/>
  <c r="I179" i="39"/>
  <c r="I199" i="39" s="1"/>
  <c r="I152" i="39"/>
  <c r="I172" i="39" s="1"/>
  <c r="N37" i="39"/>
  <c r="I125" i="39"/>
  <c r="I145" i="39" s="1"/>
  <c r="I98" i="39"/>
  <c r="I118" i="39" s="1"/>
  <c r="I71" i="39"/>
  <c r="I91" i="39" s="1"/>
  <c r="I44" i="39"/>
  <c r="I64" i="39" s="1"/>
  <c r="K37" i="39"/>
  <c r="O37" i="39"/>
  <c r="O199" i="38"/>
  <c r="G9" i="38" s="1"/>
  <c r="N199" i="38"/>
  <c r="O172" i="38"/>
  <c r="N172" i="38"/>
  <c r="O125" i="38"/>
  <c r="O145" i="38" s="1"/>
  <c r="O118" i="38"/>
  <c r="N118" i="38"/>
  <c r="O71" i="38"/>
  <c r="O91" i="38" s="1"/>
  <c r="O44" i="38"/>
  <c r="O64" i="38" s="1"/>
  <c r="G5" i="38" s="1"/>
  <c r="H37" i="39"/>
  <c r="L37" i="39"/>
  <c r="E37" i="39"/>
  <c r="I37" i="39"/>
  <c r="G7" i="39"/>
  <c r="K199" i="38"/>
  <c r="L179" i="38"/>
  <c r="L199" i="38" s="1"/>
  <c r="L172" i="38"/>
  <c r="K172" i="38"/>
  <c r="L125" i="38"/>
  <c r="L145" i="38" s="1"/>
  <c r="L98" i="38"/>
  <c r="L118" i="38" s="1"/>
  <c r="K91" i="38"/>
  <c r="L71" i="38"/>
  <c r="L91" i="38" s="1"/>
  <c r="K64" i="38"/>
  <c r="L44" i="38"/>
  <c r="L64" i="38" s="1"/>
  <c r="I179" i="38"/>
  <c r="I199" i="38" s="1"/>
  <c r="I172" i="38"/>
  <c r="I145" i="38"/>
  <c r="H145" i="38"/>
  <c r="I98" i="38"/>
  <c r="I118" i="38" s="1"/>
  <c r="I91" i="38"/>
  <c r="H91" i="38"/>
  <c r="I64" i="38"/>
  <c r="H64" i="38"/>
  <c r="F125" i="38"/>
  <c r="F145" i="38" s="1"/>
  <c r="F71" i="38"/>
  <c r="F91" i="38" s="1"/>
  <c r="F44" i="38"/>
  <c r="F64" i="38" s="1"/>
  <c r="H37" i="38"/>
  <c r="L37" i="38"/>
  <c r="N199" i="37"/>
  <c r="O179" i="37"/>
  <c r="O199" i="37" s="1"/>
  <c r="N172" i="37"/>
  <c r="O152" i="37"/>
  <c r="O172" i="37" s="1"/>
  <c r="O125" i="37"/>
  <c r="O145" i="37" s="1"/>
  <c r="O118" i="37"/>
  <c r="N118" i="37"/>
  <c r="N91" i="37"/>
  <c r="G7" i="37" s="1"/>
  <c r="O71" i="37"/>
  <c r="O91" i="37" s="1"/>
  <c r="O64" i="37"/>
  <c r="N64" i="37"/>
  <c r="E37" i="38"/>
  <c r="I37" i="38"/>
  <c r="F37" i="38"/>
  <c r="N37" i="38"/>
  <c r="K37" i="38"/>
  <c r="O37" i="38"/>
  <c r="G7" i="38"/>
  <c r="G3" i="38"/>
  <c r="K199" i="37"/>
  <c r="L179" i="37"/>
  <c r="L199" i="37" s="1"/>
  <c r="K172" i="37"/>
  <c r="L152" i="37"/>
  <c r="L172" i="37" s="1"/>
  <c r="K145" i="37"/>
  <c r="L125" i="37"/>
  <c r="L145" i="37" s="1"/>
  <c r="K118" i="37"/>
  <c r="L98" i="37"/>
  <c r="L118" i="37" s="1"/>
  <c r="K91" i="37"/>
  <c r="L71" i="37"/>
  <c r="L91" i="37" s="1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I64" i="37"/>
  <c r="O199" i="36"/>
  <c r="G9" i="36" s="1"/>
  <c r="N199" i="36"/>
  <c r="O152" i="36"/>
  <c r="O172" i="36" s="1"/>
  <c r="O125" i="36"/>
  <c r="O145" i="36" s="1"/>
  <c r="N118" i="36"/>
  <c r="O98" i="36"/>
  <c r="O118" i="36" s="1"/>
  <c r="N91" i="36"/>
  <c r="O71" i="36"/>
  <c r="O91" i="36" s="1"/>
  <c r="N64" i="36"/>
  <c r="O44" i="36"/>
  <c r="O64" i="36" s="1"/>
  <c r="E37" i="37"/>
  <c r="I37" i="37"/>
  <c r="H37" i="37"/>
  <c r="L37" i="37"/>
  <c r="K37" i="37"/>
  <c r="O37" i="37"/>
  <c r="F37" i="37"/>
  <c r="N37" i="37"/>
  <c r="G9" i="37"/>
  <c r="G3" i="37"/>
  <c r="K199" i="36"/>
  <c r="L179" i="36"/>
  <c r="L199" i="36" s="1"/>
  <c r="K172" i="36"/>
  <c r="L152" i="36"/>
  <c r="L172" i="36" s="1"/>
  <c r="K145" i="36"/>
  <c r="L145" i="36"/>
  <c r="L118" i="36"/>
  <c r="K118" i="36"/>
  <c r="L71" i="36"/>
  <c r="L91" i="36" s="1"/>
  <c r="L44" i="36"/>
  <c r="L64" i="36" s="1"/>
  <c r="I179" i="36"/>
  <c r="I199" i="36" s="1"/>
  <c r="I152" i="36"/>
  <c r="I172" i="36" s="1"/>
  <c r="I125" i="36"/>
  <c r="I145" i="36" s="1"/>
  <c r="I118" i="36"/>
  <c r="H118" i="36"/>
  <c r="I71" i="36"/>
  <c r="I91" i="36" s="1"/>
  <c r="H64" i="36"/>
  <c r="I44" i="36"/>
  <c r="I64" i="36" s="1"/>
  <c r="F145" i="36"/>
  <c r="F98" i="36"/>
  <c r="F118" i="36" s="1"/>
  <c r="F91" i="36"/>
  <c r="F44" i="36"/>
  <c r="F64" i="36" s="1"/>
  <c r="N199" i="35"/>
  <c r="O199" i="35"/>
  <c r="G9" i="35" s="1"/>
  <c r="O152" i="35"/>
  <c r="O172" i="35" s="1"/>
  <c r="O145" i="35"/>
  <c r="N145" i="35"/>
  <c r="N118" i="35"/>
  <c r="O118" i="35"/>
  <c r="G3" i="35" s="1"/>
  <c r="N91" i="35"/>
  <c r="O71" i="35"/>
  <c r="O91" i="35" s="1"/>
  <c r="N64" i="35"/>
  <c r="O44" i="35"/>
  <c r="O64" i="35" s="1"/>
  <c r="F37" i="36"/>
  <c r="N37" i="36"/>
  <c r="E37" i="36"/>
  <c r="I37" i="36"/>
  <c r="K37" i="36"/>
  <c r="O37" i="36"/>
  <c r="H37" i="36"/>
  <c r="L37" i="36"/>
  <c r="G7" i="36"/>
  <c r="G3" i="36"/>
  <c r="K199" i="35"/>
  <c r="L179" i="35"/>
  <c r="L199" i="35" s="1"/>
  <c r="K172" i="35"/>
  <c r="L152" i="35"/>
  <c r="L172" i="35" s="1"/>
  <c r="K145" i="35"/>
  <c r="L125" i="35"/>
  <c r="L145" i="35" s="1"/>
  <c r="K118" i="35"/>
  <c r="L98" i="35"/>
  <c r="L118" i="35" s="1"/>
  <c r="K91" i="35"/>
  <c r="L71" i="35"/>
  <c r="L91" i="35" s="1"/>
  <c r="K64" i="35"/>
  <c r="L44" i="35"/>
  <c r="L64" i="35" s="1"/>
  <c r="I179" i="35"/>
  <c r="I199" i="35" s="1"/>
  <c r="I152" i="35"/>
  <c r="I172" i="35" s="1"/>
  <c r="I125" i="35"/>
  <c r="I145" i="35" s="1"/>
  <c r="I98" i="35"/>
  <c r="I118" i="35" s="1"/>
  <c r="I91" i="35"/>
  <c r="I44" i="35"/>
  <c r="I64" i="35" s="1"/>
  <c r="F118" i="35"/>
  <c r="K37" i="35"/>
  <c r="O37" i="35"/>
  <c r="O199" i="34"/>
  <c r="N199" i="34"/>
  <c r="G9" i="34" s="1"/>
  <c r="O172" i="34"/>
  <c r="N172" i="34"/>
  <c r="N145" i="34"/>
  <c r="O125" i="34"/>
  <c r="O145" i="34" s="1"/>
  <c r="O98" i="34"/>
  <c r="O118" i="34" s="1"/>
  <c r="N91" i="34"/>
  <c r="O71" i="34"/>
  <c r="O91" i="34" s="1"/>
  <c r="N64" i="34"/>
  <c r="O44" i="34"/>
  <c r="O64" i="34" s="1"/>
  <c r="G5" i="34" s="1"/>
  <c r="E37" i="35"/>
  <c r="F37" i="35"/>
  <c r="N37" i="35"/>
  <c r="H37" i="35"/>
  <c r="L37" i="35"/>
  <c r="I37" i="35"/>
  <c r="G5" i="35"/>
  <c r="G7" i="35"/>
  <c r="K199" i="34"/>
  <c r="L179" i="34"/>
  <c r="L199" i="34" s="1"/>
  <c r="K172" i="34"/>
  <c r="L152" i="34"/>
  <c r="L172" i="34" s="1"/>
  <c r="K145" i="34"/>
  <c r="L125" i="34"/>
  <c r="L145" i="34" s="1"/>
  <c r="K118" i="34"/>
  <c r="L98" i="34"/>
  <c r="L118" i="34" s="1"/>
  <c r="K91" i="34"/>
  <c r="L71" i="34"/>
  <c r="L91" i="34" s="1"/>
  <c r="L64" i="34"/>
  <c r="K64" i="34"/>
  <c r="I179" i="34"/>
  <c r="I199" i="34" s="1"/>
  <c r="I152" i="34"/>
  <c r="I172" i="34" s="1"/>
  <c r="I125" i="34"/>
  <c r="I145" i="34" s="1"/>
  <c r="I98" i="34"/>
  <c r="I118" i="34" s="1"/>
  <c r="I71" i="34"/>
  <c r="I91" i="34" s="1"/>
  <c r="I44" i="34"/>
  <c r="I64" i="34" s="1"/>
  <c r="K37" i="34"/>
  <c r="F64" i="34"/>
  <c r="O179" i="33"/>
  <c r="O199" i="33" s="1"/>
  <c r="G9" i="33" s="1"/>
  <c r="N172" i="33"/>
  <c r="O172" i="33"/>
  <c r="O145" i="33"/>
  <c r="N145" i="33"/>
  <c r="O118" i="33"/>
  <c r="N118" i="33"/>
  <c r="N91" i="33"/>
  <c r="O91" i="33"/>
  <c r="N64" i="33"/>
  <c r="O44" i="33"/>
  <c r="O64" i="33" s="1"/>
  <c r="E37" i="34"/>
  <c r="I37" i="34"/>
  <c r="F37" i="34"/>
  <c r="N37" i="34"/>
  <c r="L37" i="34"/>
  <c r="H37" i="34"/>
  <c r="O37" i="34"/>
  <c r="G7" i="34"/>
  <c r="G3" i="34"/>
  <c r="L199" i="33"/>
  <c r="K199" i="33"/>
  <c r="K172" i="33"/>
  <c r="L172" i="33"/>
  <c r="K145" i="33"/>
  <c r="L125" i="33"/>
  <c r="L145" i="33" s="1"/>
  <c r="L98" i="33"/>
  <c r="L118" i="33" s="1"/>
  <c r="K91" i="33"/>
  <c r="L71" i="33"/>
  <c r="L91" i="33" s="1"/>
  <c r="K64" i="33"/>
  <c r="L44" i="33"/>
  <c r="L64" i="33" s="1"/>
  <c r="I179" i="33"/>
  <c r="I199" i="33" s="1"/>
  <c r="I152" i="33"/>
  <c r="I172" i="33" s="1"/>
  <c r="I125" i="33"/>
  <c r="I145" i="33" s="1"/>
  <c r="I98" i="33"/>
  <c r="I118" i="33" s="1"/>
  <c r="I71" i="33"/>
  <c r="I91" i="33" s="1"/>
  <c r="I44" i="33"/>
  <c r="I64" i="33" s="1"/>
  <c r="F179" i="33"/>
  <c r="F199" i="33" s="1"/>
  <c r="F152" i="33"/>
  <c r="F172" i="33" s="1"/>
  <c r="F125" i="33"/>
  <c r="F145" i="33" s="1"/>
  <c r="F98" i="33"/>
  <c r="F118" i="33" s="1"/>
  <c r="F44" i="33"/>
  <c r="F64" i="33" s="1"/>
  <c r="N199" i="32"/>
  <c r="O199" i="32"/>
  <c r="G9" i="32" s="1"/>
  <c r="N172" i="32"/>
  <c r="O152" i="32"/>
  <c r="O172" i="32" s="1"/>
  <c r="O125" i="32"/>
  <c r="O145" i="32" s="1"/>
  <c r="O98" i="32"/>
  <c r="O118" i="32" s="1"/>
  <c r="G3" i="32" s="1"/>
  <c r="O91" i="32"/>
  <c r="N91" i="32"/>
  <c r="N64" i="32"/>
  <c r="O64" i="32"/>
  <c r="G5" i="32" s="1"/>
  <c r="E37" i="33"/>
  <c r="I37" i="33"/>
  <c r="F37" i="33"/>
  <c r="N37" i="33"/>
  <c r="H37" i="33"/>
  <c r="L37" i="33"/>
  <c r="K37" i="33"/>
  <c r="O37" i="33"/>
  <c r="G7" i="33"/>
  <c r="L179" i="32"/>
  <c r="L199" i="32" s="1"/>
  <c r="L172" i="32"/>
  <c r="K172" i="32"/>
  <c r="L145" i="32"/>
  <c r="K145" i="32"/>
  <c r="L98" i="32"/>
  <c r="L118" i="32" s="1"/>
  <c r="L71" i="32"/>
  <c r="L91" i="32" s="1"/>
  <c r="L64" i="32"/>
  <c r="K64" i="32"/>
  <c r="I199" i="32"/>
  <c r="H199" i="32"/>
  <c r="I172" i="32"/>
  <c r="H172" i="32"/>
  <c r="H145" i="32"/>
  <c r="I125" i="32"/>
  <c r="I145" i="32" s="1"/>
  <c r="I98" i="32"/>
  <c r="I118" i="32" s="1"/>
  <c r="I71" i="32"/>
  <c r="I91" i="32" s="1"/>
  <c r="I44" i="32"/>
  <c r="I64" i="32" s="1"/>
  <c r="F179" i="32"/>
  <c r="F199" i="32" s="1"/>
  <c r="F152" i="32"/>
  <c r="F172" i="32" s="1"/>
  <c r="F125" i="32"/>
  <c r="F145" i="32" s="1"/>
  <c r="F44" i="32"/>
  <c r="F64" i="32" s="1"/>
  <c r="E37" i="32"/>
  <c r="I37" i="32"/>
  <c r="L37" i="32"/>
  <c r="F37" i="32"/>
  <c r="N37" i="32"/>
  <c r="K37" i="32"/>
  <c r="O37" i="32"/>
  <c r="H37" i="32"/>
  <c r="O179" i="30"/>
  <c r="O199" i="30" s="1"/>
  <c r="N172" i="30"/>
  <c r="O152" i="30"/>
  <c r="O172" i="30" s="1"/>
  <c r="O125" i="30"/>
  <c r="O145" i="30" s="1"/>
  <c r="N118" i="30"/>
  <c r="O98" i="30"/>
  <c r="O118" i="30" s="1"/>
  <c r="N91" i="30"/>
  <c r="O71" i="30"/>
  <c r="O91" i="30" s="1"/>
  <c r="G7" i="30" s="1"/>
  <c r="N64" i="30"/>
  <c r="G5" i="30" s="1"/>
  <c r="O44" i="30"/>
  <c r="O64" i="30" s="1"/>
  <c r="F37" i="31"/>
  <c r="N37" i="31"/>
  <c r="O37" i="31"/>
  <c r="K37" i="31"/>
  <c r="E37" i="31"/>
  <c r="I37" i="31"/>
  <c r="L37" i="31"/>
  <c r="H37" i="31"/>
  <c r="G9" i="31"/>
  <c r="G5" i="31"/>
  <c r="G7" i="31"/>
  <c r="G3" i="31"/>
  <c r="L199" i="30"/>
  <c r="K199" i="30"/>
  <c r="K172" i="30"/>
  <c r="L152" i="30"/>
  <c r="L172" i="30" s="1"/>
  <c r="K145" i="30"/>
  <c r="L125" i="30"/>
  <c r="L145" i="30" s="1"/>
  <c r="L118" i="30"/>
  <c r="K118" i="30"/>
  <c r="L71" i="30"/>
  <c r="L91" i="30" s="1"/>
  <c r="L64" i="30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64" i="30"/>
  <c r="H64" i="30"/>
  <c r="F179" i="30"/>
  <c r="F199" i="30" s="1"/>
  <c r="F152" i="30"/>
  <c r="F172" i="30" s="1"/>
  <c r="F125" i="30"/>
  <c r="F145" i="30" s="1"/>
  <c r="F98" i="30"/>
  <c r="F118" i="30" s="1"/>
  <c r="F91" i="30"/>
  <c r="F44" i="30"/>
  <c r="F64" i="30" s="1"/>
  <c r="N199" i="29"/>
  <c r="O179" i="29"/>
  <c r="O199" i="29" s="1"/>
  <c r="N172" i="29"/>
  <c r="O152" i="29"/>
  <c r="O172" i="29" s="1"/>
  <c r="O125" i="29"/>
  <c r="O145" i="29" s="1"/>
  <c r="N118" i="29"/>
  <c r="O98" i="29"/>
  <c r="O118" i="29" s="1"/>
  <c r="G3" i="29" s="1"/>
  <c r="N91" i="29"/>
  <c r="O71" i="29"/>
  <c r="O91" i="29" s="1"/>
  <c r="N64" i="29"/>
  <c r="G5" i="29" s="1"/>
  <c r="O44" i="29"/>
  <c r="O64" i="29" s="1"/>
  <c r="E37" i="30"/>
  <c r="I37" i="30"/>
  <c r="F37" i="30"/>
  <c r="N37" i="30"/>
  <c r="K37" i="30"/>
  <c r="O37" i="30"/>
  <c r="H37" i="30"/>
  <c r="L37" i="30"/>
  <c r="G3" i="30"/>
  <c r="G9" i="30"/>
  <c r="K199" i="29"/>
  <c r="L179" i="29"/>
  <c r="L199" i="29" s="1"/>
  <c r="K172" i="29"/>
  <c r="L152" i="29"/>
  <c r="L172" i="29" s="1"/>
  <c r="K145" i="29"/>
  <c r="L125" i="29"/>
  <c r="L145" i="29" s="1"/>
  <c r="K118" i="29"/>
  <c r="L98" i="29"/>
  <c r="L118" i="29" s="1"/>
  <c r="K91" i="29"/>
  <c r="L91" i="29"/>
  <c r="K64" i="29"/>
  <c r="L44" i="29"/>
  <c r="L64" i="29" s="1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O179" i="28"/>
  <c r="O199" i="28" s="1"/>
  <c r="O172" i="28"/>
  <c r="N172" i="28"/>
  <c r="N145" i="28"/>
  <c r="O125" i="28"/>
  <c r="O145" i="28" s="1"/>
  <c r="O98" i="28"/>
  <c r="O118" i="28" s="1"/>
  <c r="G3" i="28" s="1"/>
  <c r="N91" i="28"/>
  <c r="O91" i="28"/>
  <c r="G7" i="28" s="1"/>
  <c r="O44" i="28"/>
  <c r="O64" i="28" s="1"/>
  <c r="G5" i="28" s="1"/>
  <c r="E37" i="29"/>
  <c r="I37" i="29"/>
  <c r="K37" i="29"/>
  <c r="O37" i="29"/>
  <c r="H37" i="29"/>
  <c r="L37" i="29"/>
  <c r="F37" i="29"/>
  <c r="N37" i="29"/>
  <c r="G7" i="29"/>
  <c r="G9" i="29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44" i="28"/>
  <c r="L64" i="28" s="1"/>
  <c r="I152" i="28"/>
  <c r="I172" i="28" s="1"/>
  <c r="I125" i="28"/>
  <c r="I145" i="28" s="1"/>
  <c r="I98" i="28"/>
  <c r="I118" i="28" s="1"/>
  <c r="I71" i="28"/>
  <c r="I91" i="28" s="1"/>
  <c r="I44" i="28"/>
  <c r="I64" i="28" s="1"/>
  <c r="F145" i="28"/>
  <c r="N199" i="27"/>
  <c r="O179" i="27"/>
  <c r="O199" i="27" s="1"/>
  <c r="O152" i="27"/>
  <c r="O172" i="27" s="1"/>
  <c r="O145" i="27"/>
  <c r="N145" i="27"/>
  <c r="N118" i="27"/>
  <c r="O98" i="27"/>
  <c r="O118" i="27" s="1"/>
  <c r="O91" i="27"/>
  <c r="N91" i="27"/>
  <c r="N64" i="27"/>
  <c r="O44" i="27"/>
  <c r="O64" i="27" s="1"/>
  <c r="E37" i="28"/>
  <c r="I37" i="28"/>
  <c r="H37" i="28"/>
  <c r="L37" i="28"/>
  <c r="K37" i="28"/>
  <c r="O37" i="28"/>
  <c r="F37" i="28"/>
  <c r="N37" i="28"/>
  <c r="G9" i="28"/>
  <c r="K199" i="27"/>
  <c r="L179" i="27"/>
  <c r="L199" i="27" s="1"/>
  <c r="K172" i="27"/>
  <c r="L152" i="27"/>
  <c r="L172" i="27" s="1"/>
  <c r="L125" i="27"/>
  <c r="L145" i="27" s="1"/>
  <c r="L118" i="27"/>
  <c r="K118" i="27"/>
  <c r="L71" i="27"/>
  <c r="L91" i="27" s="1"/>
  <c r="K64" i="27"/>
  <c r="L44" i="27"/>
  <c r="L64" i="27" s="1"/>
  <c r="I179" i="27"/>
  <c r="I199" i="27" s="1"/>
  <c r="I152" i="27"/>
  <c r="I172" i="27" s="1"/>
  <c r="I145" i="27"/>
  <c r="H145" i="27"/>
  <c r="I118" i="27"/>
  <c r="H118" i="27"/>
  <c r="H91" i="27"/>
  <c r="I71" i="27"/>
  <c r="I91" i="27" s="1"/>
  <c r="H64" i="27"/>
  <c r="I44" i="27"/>
  <c r="I64" i="27" s="1"/>
  <c r="F125" i="27"/>
  <c r="F145" i="27" s="1"/>
  <c r="F98" i="27"/>
  <c r="F118" i="27" s="1"/>
  <c r="F71" i="27"/>
  <c r="F91" i="27" s="1"/>
  <c r="F44" i="27"/>
  <c r="F64" i="27" s="1"/>
  <c r="O199" i="26"/>
  <c r="G9" i="26" s="1"/>
  <c r="N199" i="26"/>
  <c r="N172" i="26"/>
  <c r="O152" i="26"/>
  <c r="O172" i="26" s="1"/>
  <c r="N145" i="26"/>
  <c r="O125" i="26"/>
  <c r="O145" i="26" s="1"/>
  <c r="N118" i="26"/>
  <c r="O98" i="26"/>
  <c r="O118" i="26" s="1"/>
  <c r="G3" i="26" s="1"/>
  <c r="N91" i="26"/>
  <c r="G7" i="26" s="1"/>
  <c r="O71" i="26"/>
  <c r="O91" i="26" s="1"/>
  <c r="O64" i="26"/>
  <c r="N64" i="26"/>
  <c r="G5" i="26" s="1"/>
  <c r="G9" i="27"/>
  <c r="H37" i="27"/>
  <c r="E37" i="27"/>
  <c r="F37" i="27"/>
  <c r="N37" i="27"/>
  <c r="G3" i="27"/>
  <c r="I37" i="27"/>
  <c r="K37" i="27"/>
  <c r="O37" i="27"/>
  <c r="L37" i="27"/>
  <c r="G5" i="27"/>
  <c r="G7" i="27"/>
  <c r="K199" i="26"/>
  <c r="L179" i="26"/>
  <c r="L199" i="26" s="1"/>
  <c r="K172" i="26"/>
  <c r="L152" i="26"/>
  <c r="L172" i="26" s="1"/>
  <c r="K145" i="26"/>
  <c r="L125" i="26"/>
  <c r="L145" i="26" s="1"/>
  <c r="K118" i="26"/>
  <c r="L98" i="26"/>
  <c r="L118" i="26" s="1"/>
  <c r="K91" i="26"/>
  <c r="L91" i="26"/>
  <c r="K64" i="26"/>
  <c r="L44" i="26"/>
  <c r="L64" i="26" s="1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G9" i="25" s="1"/>
  <c r="N172" i="25"/>
  <c r="O152" i="25"/>
  <c r="O172" i="25" s="1"/>
  <c r="N145" i="25"/>
  <c r="O125" i="25"/>
  <c r="O145" i="25" s="1"/>
  <c r="N118" i="25"/>
  <c r="G3" i="25" s="1"/>
  <c r="O98" i="25"/>
  <c r="O118" i="25" s="1"/>
  <c r="N91" i="25"/>
  <c r="O91" i="25"/>
  <c r="G7" i="25" s="1"/>
  <c r="N64" i="25"/>
  <c r="O44" i="25"/>
  <c r="O64" i="25" s="1"/>
  <c r="H37" i="26"/>
  <c r="L37" i="26"/>
  <c r="F37" i="26"/>
  <c r="N37" i="26"/>
  <c r="K37" i="26"/>
  <c r="O37" i="26"/>
  <c r="E37" i="26"/>
  <c r="I37" i="26"/>
  <c r="K199" i="25"/>
  <c r="L179" i="25"/>
  <c r="L199" i="25" s="1"/>
  <c r="K172" i="25"/>
  <c r="L152" i="25"/>
  <c r="L172" i="25" s="1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91" i="25"/>
  <c r="F145" i="25"/>
  <c r="F98" i="25"/>
  <c r="F118" i="25" s="1"/>
  <c r="F71" i="25"/>
  <c r="F91" i="25" s="1"/>
  <c r="N199" i="24"/>
  <c r="N172" i="24"/>
  <c r="O152" i="24"/>
  <c r="O125" i="24"/>
  <c r="N118" i="24"/>
  <c r="O64" i="24"/>
  <c r="G5" i="24" s="1"/>
  <c r="K37" i="25"/>
  <c r="O37" i="25"/>
  <c r="H37" i="25"/>
  <c r="L37" i="25"/>
  <c r="F37" i="25"/>
  <c r="N37" i="25"/>
  <c r="E37" i="25"/>
  <c r="I37" i="25"/>
  <c r="K172" i="24"/>
  <c r="L152" i="24"/>
  <c r="L172" i="24" s="1"/>
  <c r="K91" i="24"/>
  <c r="K64" i="24"/>
  <c r="L64" i="24"/>
  <c r="I179" i="24"/>
  <c r="I199" i="24" s="1"/>
  <c r="I152" i="24"/>
  <c r="I125" i="24"/>
  <c r="I98" i="24"/>
  <c r="I118" i="24" s="1"/>
  <c r="I91" i="24"/>
  <c r="I44" i="24"/>
  <c r="I64" i="24" s="1"/>
  <c r="E91" i="24"/>
  <c r="L91" i="24"/>
  <c r="K118" i="24"/>
  <c r="K14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H91" i="24"/>
  <c r="N91" i="24"/>
  <c r="F74" i="24"/>
  <c r="F78" i="24"/>
  <c r="F82" i="24"/>
  <c r="F86" i="24"/>
  <c r="F90" i="24"/>
  <c r="E118" i="24"/>
  <c r="L118" i="24"/>
  <c r="E145" i="24"/>
  <c r="L145" i="24"/>
  <c r="F153" i="24"/>
  <c r="F154" i="24"/>
  <c r="O199" i="24"/>
  <c r="K199" i="24"/>
  <c r="F72" i="24"/>
  <c r="F76" i="24"/>
  <c r="F80" i="24"/>
  <c r="F84" i="24"/>
  <c r="F88" i="24"/>
  <c r="O118" i="24"/>
  <c r="F100" i="24"/>
  <c r="F104" i="24"/>
  <c r="F108" i="24"/>
  <c r="F112" i="24"/>
  <c r="F116" i="24"/>
  <c r="I145" i="24"/>
  <c r="O145" i="24"/>
  <c r="F127" i="24"/>
  <c r="F131" i="24"/>
  <c r="F135" i="24"/>
  <c r="F139" i="24"/>
  <c r="F143" i="24"/>
  <c r="I172" i="24"/>
  <c r="O172" i="24"/>
  <c r="F171" i="24"/>
  <c r="E199" i="24"/>
  <c r="L199" i="24"/>
  <c r="F179" i="24"/>
  <c r="F199" i="24" s="1"/>
  <c r="F152" i="24"/>
  <c r="F125" i="24"/>
  <c r="F98" i="24"/>
  <c r="F71" i="24"/>
  <c r="E37" i="24"/>
  <c r="I37" i="24"/>
  <c r="H37" i="24"/>
  <c r="L37" i="24"/>
  <c r="K37" i="24"/>
  <c r="O37" i="24"/>
  <c r="F37" i="24"/>
  <c r="N37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9" l="1"/>
  <c r="G5" i="37"/>
  <c r="F64" i="45"/>
  <c r="F118" i="46"/>
  <c r="F172" i="43"/>
  <c r="F145" i="42"/>
  <c r="F64" i="39"/>
  <c r="F91" i="35"/>
  <c r="F172" i="25"/>
  <c r="F199" i="28"/>
  <c r="F199" i="25"/>
  <c r="F91" i="24"/>
  <c r="G7" i="24" s="1"/>
  <c r="G5" i="25"/>
  <c r="G7" i="32"/>
  <c r="F199" i="35"/>
  <c r="F199" i="38"/>
  <c r="F145" i="35"/>
  <c r="F199" i="34"/>
  <c r="F145" i="34"/>
  <c r="F118" i="32"/>
  <c r="I199" i="28"/>
  <c r="F172" i="28"/>
  <c r="F64" i="25"/>
  <c r="O64" i="6"/>
  <c r="G5" i="33"/>
  <c r="G3" i="33"/>
  <c r="G5" i="36"/>
  <c r="G7" i="45"/>
  <c r="O172" i="47"/>
  <c r="I145" i="47"/>
  <c r="F91" i="47"/>
  <c r="F64" i="47"/>
  <c r="F145" i="45"/>
  <c r="F64" i="44"/>
  <c r="F145" i="43"/>
  <c r="F145" i="37"/>
  <c r="F91" i="39"/>
  <c r="F172" i="38"/>
  <c r="F199" i="45"/>
  <c r="F172" i="34"/>
  <c r="F91" i="29"/>
  <c r="F91" i="32"/>
  <c r="F199" i="29"/>
  <c r="F172" i="27"/>
  <c r="F118" i="28"/>
  <c r="F64" i="28"/>
  <c r="N64" i="6"/>
  <c r="F199" i="46"/>
  <c r="F172" i="40"/>
  <c r="F172" i="39"/>
  <c r="F172" i="37"/>
  <c r="L199" i="28"/>
  <c r="F91" i="28"/>
  <c r="F199" i="26"/>
  <c r="G11" i="48"/>
  <c r="G11" i="47"/>
  <c r="G11" i="46"/>
  <c r="G11" i="45"/>
  <c r="G11" i="44"/>
  <c r="G11" i="43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11" i="29"/>
  <c r="G11" i="28"/>
  <c r="G11" i="27"/>
  <c r="G11" i="26"/>
  <c r="G11" i="25"/>
  <c r="G9" i="24"/>
  <c r="I64" i="6"/>
  <c r="N91" i="6"/>
  <c r="F145" i="6"/>
  <c r="F118" i="24"/>
  <c r="G3" i="24" s="1"/>
  <c r="F145" i="24"/>
  <c r="H64" i="6"/>
  <c r="F172" i="24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33" i="9"/>
  <c r="K45" i="3"/>
  <c r="C118" i="9"/>
  <c r="L120" i="9"/>
  <c r="C176" i="9"/>
  <c r="I188" i="9"/>
  <c r="O76" i="9"/>
  <c r="F256" i="9"/>
  <c r="I178" i="9"/>
  <c r="C37" i="9"/>
  <c r="L268" i="9"/>
  <c r="K105" i="9"/>
  <c r="H156" i="9"/>
  <c r="F212" i="9"/>
  <c r="I115" i="9"/>
  <c r="L144" i="9"/>
  <c r="C22" i="9"/>
  <c r="C127" i="9"/>
  <c r="N115" i="9"/>
  <c r="I194" i="9"/>
  <c r="L52" i="9"/>
  <c r="L46" i="9"/>
  <c r="K136" i="9"/>
  <c r="C121" i="9"/>
  <c r="F221" i="9"/>
  <c r="N120" i="9"/>
  <c r="F255" i="9"/>
  <c r="I118" i="9"/>
  <c r="C27" i="9"/>
  <c r="K84" i="9"/>
  <c r="C256" i="9"/>
  <c r="L187" i="9"/>
  <c r="K8" i="5"/>
  <c r="I84" i="9"/>
  <c r="E65" i="9"/>
  <c r="L114" i="9"/>
  <c r="H109" i="9"/>
  <c r="N105" i="9"/>
  <c r="E166" i="9"/>
  <c r="K147" i="9"/>
  <c r="H80" i="9"/>
  <c r="H231" i="9"/>
  <c r="H124" i="9"/>
  <c r="H212" i="9"/>
  <c r="F86" i="9"/>
  <c r="F66" i="9"/>
  <c r="F64" i="9"/>
  <c r="O39" i="9"/>
  <c r="C192" i="9"/>
  <c r="F146" i="9"/>
  <c r="L198" i="9"/>
  <c r="O197" i="9"/>
  <c r="L228" i="9"/>
  <c r="L178" i="9"/>
  <c r="E138" i="9"/>
  <c r="C227" i="9"/>
  <c r="N150" i="9"/>
  <c r="N116" i="9"/>
  <c r="O111" i="9"/>
  <c r="N265" i="9"/>
  <c r="O196" i="9"/>
  <c r="L237" i="9"/>
  <c r="I25" i="9"/>
  <c r="C161" i="9"/>
  <c r="H118" i="9"/>
  <c r="O192" i="9"/>
  <c r="I90" i="9"/>
  <c r="L63" i="9"/>
  <c r="H195" i="9"/>
  <c r="H255" i="9"/>
  <c r="F204" i="9"/>
  <c r="L41" i="9"/>
  <c r="N185" i="9"/>
  <c r="K115" i="9"/>
  <c r="H121" i="9"/>
  <c r="I189" i="9"/>
  <c r="F101" i="9"/>
  <c r="F227" i="9"/>
  <c r="H73" i="9"/>
  <c r="F89" i="9"/>
  <c r="N65" i="9"/>
  <c r="K100" i="9"/>
  <c r="L252" i="9"/>
  <c r="C34" i="9"/>
  <c r="I64" i="9"/>
  <c r="E201" i="9"/>
  <c r="F230" i="9"/>
  <c r="C194" i="9"/>
  <c r="N229" i="9"/>
  <c r="F180" i="9"/>
  <c r="E275" i="9"/>
  <c r="H28" i="9"/>
  <c r="C179" i="9"/>
  <c r="G74" i="3"/>
  <c r="O34" i="3"/>
  <c r="F113" i="9"/>
  <c r="O269" i="9"/>
  <c r="K117" i="9"/>
  <c r="E273" i="9"/>
  <c r="I197" i="9"/>
  <c r="F182" i="9"/>
  <c r="I213" i="9"/>
  <c r="O142" i="9"/>
  <c r="N280" i="9"/>
  <c r="H50" i="9"/>
  <c r="N260" i="9"/>
  <c r="K61" i="9"/>
  <c r="L166" i="9"/>
  <c r="H24" i="9"/>
  <c r="N253" i="9"/>
  <c r="K10" i="5"/>
  <c r="C136" i="9"/>
  <c r="K38" i="9"/>
  <c r="K41" i="9"/>
  <c r="K17" i="5"/>
  <c r="H112" i="9"/>
  <c r="K13" i="5"/>
  <c r="L47" i="9"/>
  <c r="I26" i="9"/>
  <c r="N114" i="9"/>
  <c r="F254" i="9"/>
  <c r="I85" i="9"/>
  <c r="O186" i="9"/>
  <c r="H77" i="9"/>
  <c r="E227" i="9"/>
  <c r="I137" i="9"/>
  <c r="O71" i="3"/>
  <c r="F234" i="9"/>
  <c r="O140" i="9"/>
  <c r="K64" i="3"/>
  <c r="C231" i="9"/>
  <c r="C155" i="9"/>
  <c r="C67" i="9"/>
  <c r="L276" i="9"/>
  <c r="N61" i="9"/>
  <c r="I122" i="9"/>
  <c r="O106" i="9"/>
  <c r="I138" i="9"/>
  <c r="K35" i="3"/>
  <c r="F213" i="9"/>
  <c r="C122" i="9"/>
  <c r="K264" i="9"/>
  <c r="K49" i="3"/>
  <c r="N199" i="9"/>
  <c r="G50" i="3"/>
  <c r="L224" i="9"/>
  <c r="H216" i="9"/>
  <c r="N152" i="9"/>
  <c r="K85" i="9"/>
  <c r="I28" i="9"/>
  <c r="H163" i="9"/>
  <c r="C66" i="9"/>
  <c r="E103" i="9"/>
  <c r="H204" i="9"/>
  <c r="N270" i="9"/>
  <c r="C77" i="9"/>
  <c r="L103" i="9"/>
  <c r="H142" i="9"/>
  <c r="N42" i="9"/>
  <c r="F78" i="9"/>
  <c r="F152" i="9"/>
  <c r="E196" i="9"/>
  <c r="K138" i="9"/>
  <c r="H32" i="9"/>
  <c r="C187" i="9"/>
  <c r="F260" i="9"/>
  <c r="E198" i="9"/>
  <c r="L196" i="9"/>
  <c r="O75" i="3"/>
  <c r="K227" i="9"/>
  <c r="C242" i="9"/>
  <c r="E81" i="9"/>
  <c r="E30" i="9"/>
  <c r="H176" i="9"/>
  <c r="K273" i="9"/>
  <c r="K81" i="9"/>
  <c r="N262" i="9"/>
  <c r="K67" i="3"/>
  <c r="H49" i="9"/>
  <c r="I107" i="9"/>
  <c r="L175" i="9"/>
  <c r="E228" i="9"/>
  <c r="F115" i="9"/>
  <c r="K262" i="9"/>
  <c r="E257" i="9"/>
  <c r="H37" i="9"/>
  <c r="L99" i="9"/>
  <c r="K75" i="9"/>
  <c r="K231" i="9"/>
  <c r="H179" i="9"/>
  <c r="F194" i="9"/>
  <c r="K150" i="9"/>
  <c r="F165" i="9"/>
  <c r="F22" i="9"/>
  <c r="N158" i="9"/>
  <c r="H223" i="9"/>
  <c r="F196" i="9"/>
  <c r="N119" i="9"/>
  <c r="I258" i="9"/>
  <c r="K23" i="9"/>
  <c r="N165" i="9"/>
  <c r="K142" i="9"/>
  <c r="K277" i="9"/>
  <c r="K14" i="3"/>
  <c r="N263" i="9"/>
  <c r="E84" i="9"/>
  <c r="E23" i="9"/>
  <c r="G38" i="3"/>
  <c r="C65" i="9"/>
  <c r="C114" i="9"/>
  <c r="O212" i="9"/>
  <c r="E139" i="9"/>
  <c r="O32" i="3"/>
  <c r="H138" i="9"/>
  <c r="G73" i="3"/>
  <c r="L158" i="9"/>
  <c r="L164" i="9"/>
  <c r="K191" i="9"/>
  <c r="L266" i="9"/>
  <c r="L118" i="9"/>
  <c r="O118" i="9"/>
  <c r="E226" i="9"/>
  <c r="N35" i="9"/>
  <c r="O120" i="9"/>
  <c r="H106" i="9"/>
  <c r="K42" i="3"/>
  <c r="H117" i="9"/>
  <c r="O27" i="9"/>
  <c r="C148" i="9"/>
  <c r="E178" i="9"/>
  <c r="K9" i="5"/>
  <c r="O114" i="9"/>
  <c r="K47" i="9"/>
  <c r="H52" i="9"/>
  <c r="O110" i="9"/>
  <c r="C26" i="9"/>
  <c r="C232" i="9"/>
  <c r="I229" i="9"/>
  <c r="F49" i="9"/>
  <c r="E105" i="9"/>
  <c r="F201" i="9"/>
  <c r="G56" i="3"/>
  <c r="I141" i="9"/>
  <c r="I147" i="9"/>
  <c r="K263" i="9"/>
  <c r="H242" i="9"/>
  <c r="N177" i="9"/>
  <c r="H220" i="9"/>
  <c r="E162" i="9"/>
  <c r="I190" i="9"/>
  <c r="N109" i="9"/>
  <c r="I273" i="9"/>
  <c r="N22" i="9"/>
  <c r="F226" i="9"/>
  <c r="C75" i="9"/>
  <c r="F198" i="9"/>
  <c r="I75" i="9"/>
  <c r="H31" i="9"/>
  <c r="L212" i="9"/>
  <c r="O47" i="3"/>
  <c r="C61" i="9"/>
  <c r="I78" i="9"/>
  <c r="F42" i="9"/>
  <c r="F190" i="9"/>
  <c r="K221" i="9"/>
  <c r="E150" i="9"/>
  <c r="O163" i="9"/>
  <c r="H185" i="9"/>
  <c r="O153" i="9"/>
  <c r="E255" i="9"/>
  <c r="O267" i="9"/>
  <c r="H136" i="9"/>
  <c r="H153" i="9"/>
  <c r="K15" i="3"/>
  <c r="E188" i="9"/>
  <c r="H75" i="9"/>
  <c r="K38" i="3"/>
  <c r="H137" i="9"/>
  <c r="F239" i="9"/>
  <c r="F69" i="9"/>
  <c r="C240" i="9"/>
  <c r="F154" i="9"/>
  <c r="N52" i="9"/>
  <c r="L193" i="9"/>
  <c r="E24" i="9"/>
  <c r="E215" i="9"/>
  <c r="I146" i="9"/>
  <c r="E115" i="9"/>
  <c r="N72" i="9"/>
  <c r="O164" i="9"/>
  <c r="E127" i="9"/>
  <c r="O204" i="9"/>
  <c r="I36" i="9"/>
  <c r="C139" i="9"/>
  <c r="K27" i="9"/>
  <c r="F65" i="9"/>
  <c r="F105" i="9"/>
  <c r="E148" i="9"/>
  <c r="L217" i="9"/>
  <c r="K86" i="9"/>
  <c r="E270" i="9"/>
  <c r="E238" i="9"/>
  <c r="N183" i="9"/>
  <c r="H149" i="9"/>
  <c r="O40" i="3"/>
  <c r="L161" i="9"/>
  <c r="O33" i="3"/>
  <c r="C83" i="9"/>
  <c r="K271" i="9"/>
  <c r="F143" i="9"/>
  <c r="C259" i="9"/>
  <c r="H182" i="9"/>
  <c r="I82" i="9"/>
  <c r="I180" i="9"/>
  <c r="F158" i="9"/>
  <c r="I225" i="9"/>
  <c r="N149" i="9"/>
  <c r="I166" i="9"/>
  <c r="F100" i="9"/>
  <c r="O116" i="9"/>
  <c r="H196" i="9"/>
  <c r="O42" i="3"/>
  <c r="I70" i="9"/>
  <c r="K270" i="9"/>
  <c r="O268" i="9"/>
  <c r="C78" i="9"/>
  <c r="H272" i="9"/>
  <c r="I250" i="9"/>
  <c r="G59" i="3"/>
  <c r="L204" i="9"/>
  <c r="O59" i="3"/>
  <c r="E114" i="9"/>
  <c r="L76" i="9"/>
  <c r="L121" i="9"/>
  <c r="C119" i="9"/>
  <c r="N112" i="9"/>
  <c r="I110" i="9"/>
  <c r="N232" i="9"/>
  <c r="K63" i="3"/>
  <c r="N212" i="9"/>
  <c r="G43" i="3"/>
  <c r="C272" i="9"/>
  <c r="E116" i="9"/>
  <c r="F145" i="9"/>
  <c r="N89" i="9"/>
  <c r="C190" i="9"/>
  <c r="K10" i="3"/>
  <c r="K20" i="5"/>
  <c r="E36" i="9"/>
  <c r="I86" i="9"/>
  <c r="C151" i="9"/>
  <c r="N76" i="9"/>
  <c r="H51" i="9"/>
  <c r="K182" i="9"/>
  <c r="L159" i="9"/>
  <c r="L190" i="9"/>
  <c r="H125" i="9"/>
  <c r="N90" i="9"/>
  <c r="K22" i="9"/>
  <c r="L109" i="9"/>
  <c r="H218" i="9"/>
  <c r="L22" i="9"/>
  <c r="C221" i="9"/>
  <c r="O62" i="9"/>
  <c r="H199" i="9"/>
  <c r="E183" i="9"/>
  <c r="H213" i="9"/>
  <c r="E147" i="9"/>
  <c r="O87" i="9"/>
  <c r="C24" i="9"/>
  <c r="L271" i="9"/>
  <c r="I142" i="9"/>
  <c r="C261" i="9"/>
  <c r="K101" i="9"/>
  <c r="C99" i="9"/>
  <c r="O65" i="3"/>
  <c r="L28" i="9"/>
  <c r="E186" i="9"/>
  <c r="N70" i="9"/>
  <c r="G47" i="3"/>
  <c r="K45" i="9"/>
  <c r="E83" i="9"/>
  <c r="K26" i="9"/>
  <c r="C32" i="9"/>
  <c r="N195" i="9"/>
  <c r="L153" i="9"/>
  <c r="L124" i="9"/>
  <c r="L199" i="9"/>
  <c r="C202" i="9"/>
  <c r="F150" i="9"/>
  <c r="I38" i="9"/>
  <c r="K104" i="9"/>
  <c r="H47" i="9"/>
  <c r="I121" i="9"/>
  <c r="K121" i="9"/>
  <c r="K14" i="5"/>
  <c r="O28" i="9"/>
  <c r="L39" i="9"/>
  <c r="L106" i="9"/>
  <c r="E32" i="9"/>
  <c r="I22" i="9"/>
  <c r="F102" i="9"/>
  <c r="E159" i="9"/>
  <c r="K258" i="9"/>
  <c r="O280" i="9"/>
  <c r="E278" i="9"/>
  <c r="K73" i="9"/>
  <c r="C230" i="9"/>
  <c r="L220" i="9"/>
  <c r="F43" i="9"/>
  <c r="C101" i="9"/>
  <c r="C263" i="9"/>
  <c r="E154" i="9"/>
  <c r="N234" i="9"/>
  <c r="I29" i="9"/>
  <c r="K141" i="9"/>
  <c r="N159" i="9"/>
  <c r="O68" i="9"/>
  <c r="E108" i="9"/>
  <c r="N23" i="9"/>
  <c r="F263" i="9"/>
  <c r="F177" i="9"/>
  <c r="E250" i="9"/>
  <c r="C160" i="9"/>
  <c r="E72" i="9"/>
  <c r="K183" i="9"/>
  <c r="K257" i="9"/>
  <c r="H166" i="9"/>
  <c r="H44" i="9"/>
  <c r="F29" i="9"/>
  <c r="L225" i="9"/>
  <c r="F175" i="9"/>
  <c r="N161" i="9"/>
  <c r="K275" i="9"/>
  <c r="H38" i="9"/>
  <c r="E31" i="9"/>
  <c r="E194" i="9"/>
  <c r="H178" i="9"/>
  <c r="K232" i="9"/>
  <c r="I156" i="9"/>
  <c r="K114" i="9"/>
  <c r="F106" i="9"/>
  <c r="C200" i="9"/>
  <c r="E120" i="9"/>
  <c r="I104" i="9"/>
  <c r="K51" i="9"/>
  <c r="K49" i="9"/>
  <c r="F111" i="9"/>
  <c r="F259" i="9"/>
  <c r="E175" i="9"/>
  <c r="O121" i="9"/>
  <c r="F46" i="9"/>
  <c r="H186" i="9"/>
  <c r="O83" i="9"/>
  <c r="K235" i="9"/>
  <c r="L242" i="9"/>
  <c r="K12" i="3"/>
  <c r="O271" i="9"/>
  <c r="O29" i="9"/>
  <c r="F278" i="9"/>
  <c r="E111" i="9"/>
  <c r="K56" i="3"/>
  <c r="K127" i="9"/>
  <c r="H84" i="9"/>
  <c r="I145" i="9"/>
  <c r="F160" i="9"/>
  <c r="H141" i="9"/>
  <c r="O144" i="9"/>
  <c r="I77" i="9"/>
  <c r="O90" i="9"/>
  <c r="L157" i="9"/>
  <c r="E272" i="9"/>
  <c r="H276" i="9"/>
  <c r="N30" i="9"/>
  <c r="I34" i="9"/>
  <c r="F215" i="9"/>
  <c r="I238" i="9"/>
  <c r="O30" i="9"/>
  <c r="H237" i="9"/>
  <c r="C30" i="9"/>
  <c r="L257" i="9"/>
  <c r="L241" i="9"/>
  <c r="O104" i="9"/>
  <c r="K74" i="9"/>
  <c r="K188" i="9"/>
  <c r="N242" i="9"/>
  <c r="C110" i="9"/>
  <c r="L174" i="9"/>
  <c r="L194" i="9"/>
  <c r="I256" i="9"/>
  <c r="I240" i="9"/>
  <c r="H260" i="9"/>
  <c r="H159" i="9"/>
  <c r="F25" i="9"/>
  <c r="N271" i="9"/>
  <c r="O176" i="9"/>
  <c r="L250" i="9"/>
  <c r="E25" i="9"/>
  <c r="K23" i="3"/>
  <c r="H197" i="9"/>
  <c r="F223" i="9"/>
  <c r="E234" i="9"/>
  <c r="F280" i="9"/>
  <c r="K151" i="9"/>
  <c r="N238" i="9"/>
  <c r="K83" i="9"/>
  <c r="L90" i="9"/>
  <c r="E204" i="9"/>
  <c r="H33" i="9"/>
  <c r="E39" i="9"/>
  <c r="L34" i="9"/>
  <c r="H26" i="9"/>
  <c r="O219" i="9"/>
  <c r="C189" i="9"/>
  <c r="E87" i="9"/>
  <c r="O50" i="9"/>
  <c r="E71" i="9"/>
  <c r="O214" i="9"/>
  <c r="O183" i="9"/>
  <c r="N274" i="9"/>
  <c r="K65" i="9"/>
  <c r="L142" i="9"/>
  <c r="H64" i="9"/>
  <c r="E146" i="9"/>
  <c r="N160" i="9"/>
  <c r="L101" i="9"/>
  <c r="K106" i="9"/>
  <c r="C150" i="9"/>
  <c r="L150" i="9"/>
  <c r="F240" i="9"/>
  <c r="I232" i="9"/>
  <c r="C260" i="9"/>
  <c r="F153" i="9"/>
  <c r="O43" i="3"/>
  <c r="C80" i="9"/>
  <c r="F191" i="9"/>
  <c r="E34" i="9"/>
  <c r="I234" i="9"/>
  <c r="F117" i="9"/>
  <c r="E252" i="9"/>
  <c r="O49" i="3"/>
  <c r="C241" i="9"/>
  <c r="E274" i="9"/>
  <c r="F193" i="9"/>
  <c r="O82" i="9"/>
  <c r="H40" i="9"/>
  <c r="L139" i="9"/>
  <c r="L258" i="9"/>
  <c r="O232" i="9"/>
  <c r="H257" i="9"/>
  <c r="H119" i="9"/>
  <c r="L274" i="9"/>
  <c r="I125" i="9"/>
  <c r="C140" i="9"/>
  <c r="N235" i="9"/>
  <c r="K162" i="9"/>
  <c r="N34" i="9"/>
  <c r="N186" i="9"/>
  <c r="H180" i="9"/>
  <c r="C76" i="9"/>
  <c r="O41" i="9"/>
  <c r="O119" i="9"/>
  <c r="C31" i="9"/>
  <c r="F28" i="9"/>
  <c r="C276" i="9"/>
  <c r="O35" i="3"/>
  <c r="E195" i="9"/>
  <c r="C143" i="9"/>
  <c r="K242" i="9"/>
  <c r="H227" i="9"/>
  <c r="E68" i="9"/>
  <c r="C70" i="9"/>
  <c r="K200" i="9"/>
  <c r="C89" i="9"/>
  <c r="H99" i="9"/>
  <c r="K267" i="9"/>
  <c r="G71" i="3"/>
  <c r="O270" i="9"/>
  <c r="L160" i="9"/>
  <c r="O216" i="9"/>
  <c r="C144" i="9"/>
  <c r="L165" i="9"/>
  <c r="O162" i="9"/>
  <c r="G68" i="3"/>
  <c r="F186" i="9"/>
  <c r="F185" i="9"/>
  <c r="O84" i="9"/>
  <c r="I155" i="9"/>
  <c r="K23" i="5"/>
  <c r="O26" i="9"/>
  <c r="K216" i="9"/>
  <c r="I100" i="9"/>
  <c r="H251" i="9"/>
  <c r="E155" i="9"/>
  <c r="F114" i="9"/>
  <c r="K178" i="9"/>
  <c r="O240" i="9"/>
  <c r="O227" i="9"/>
  <c r="N99" i="9"/>
  <c r="O151" i="9"/>
  <c r="F140" i="9"/>
  <c r="C44" i="9"/>
  <c r="N190" i="9"/>
  <c r="O113" i="9"/>
  <c r="I65" i="9"/>
  <c r="K225" i="9"/>
  <c r="C152" i="9"/>
  <c r="G49" i="3"/>
  <c r="F136" i="9"/>
  <c r="I227" i="9"/>
  <c r="O233" i="9"/>
  <c r="H87" i="9"/>
  <c r="F37" i="9"/>
  <c r="F252" i="9"/>
  <c r="K184" i="9"/>
  <c r="L143" i="9"/>
  <c r="K268" i="9"/>
  <c r="L146" i="9"/>
  <c r="E27" i="9"/>
  <c r="L42" i="9"/>
  <c r="N84" i="9"/>
  <c r="E265" i="9"/>
  <c r="L116" i="9"/>
  <c r="H233" i="9"/>
  <c r="K24" i="9"/>
  <c r="K70" i="9"/>
  <c r="K187" i="9"/>
  <c r="I266" i="9"/>
  <c r="H78" i="9"/>
  <c r="H261" i="9"/>
  <c r="C217" i="9"/>
  <c r="C48" i="9"/>
  <c r="O72" i="3"/>
  <c r="I224" i="9"/>
  <c r="L259" i="9"/>
  <c r="C33" i="9"/>
  <c r="O174" i="9"/>
  <c r="C125" i="9"/>
  <c r="N213" i="9"/>
  <c r="F268" i="9"/>
  <c r="O31" i="3"/>
  <c r="L218" i="9"/>
  <c r="O124" i="9"/>
  <c r="I261" i="9"/>
  <c r="O238" i="9"/>
  <c r="C38" i="9"/>
  <c r="I257" i="9"/>
  <c r="F52" i="9"/>
  <c r="L203" i="9"/>
  <c r="H275" i="9"/>
  <c r="L215" i="9"/>
  <c r="H200" i="9"/>
  <c r="I223" i="9"/>
  <c r="L155" i="9"/>
  <c r="K88" i="9"/>
  <c r="F257" i="9"/>
  <c r="H230" i="9"/>
  <c r="N215" i="9"/>
  <c r="F178" i="9"/>
  <c r="O56" i="3"/>
  <c r="L263" i="9"/>
  <c r="L50" i="9"/>
  <c r="N233" i="9"/>
  <c r="O36" i="9"/>
  <c r="N202" i="9"/>
  <c r="H74" i="9"/>
  <c r="F83" i="9"/>
  <c r="O44" i="3"/>
  <c r="K72" i="9"/>
  <c r="E70" i="9"/>
  <c r="I217" i="9"/>
  <c r="H139" i="9"/>
  <c r="K25" i="5"/>
  <c r="E239" i="9"/>
  <c r="K177" i="9"/>
  <c r="E258" i="9"/>
  <c r="N49" i="9"/>
  <c r="C40" i="9"/>
  <c r="K143" i="9"/>
  <c r="C198" i="9"/>
  <c r="F51" i="9"/>
  <c r="E267" i="9"/>
  <c r="E260" i="9"/>
  <c r="I219" i="9"/>
  <c r="L38" i="9"/>
  <c r="H104" i="9"/>
  <c r="O51" i="9"/>
  <c r="L265" i="9"/>
  <c r="H41" i="9"/>
  <c r="I278" i="9"/>
  <c r="K236" i="9"/>
  <c r="H79" i="9"/>
  <c r="H222" i="9"/>
  <c r="N227" i="9"/>
  <c r="O52" i="9"/>
  <c r="O201" i="9"/>
  <c r="N197" i="9"/>
  <c r="O85" i="9"/>
  <c r="L77" i="9"/>
  <c r="F82" i="9"/>
  <c r="L44" i="9"/>
  <c r="C235" i="9"/>
  <c r="H157" i="9"/>
  <c r="E222" i="9"/>
  <c r="H250" i="9"/>
  <c r="F253" i="9"/>
  <c r="C35" i="9"/>
  <c r="G35" i="3"/>
  <c r="K195" i="9"/>
  <c r="H263" i="9"/>
  <c r="F265" i="9"/>
  <c r="H116" i="9"/>
  <c r="K272" i="9"/>
  <c r="N201" i="9"/>
  <c r="O257" i="9"/>
  <c r="C43" i="9"/>
  <c r="K144" i="9"/>
  <c r="E137" i="9"/>
  <c r="C158" i="9"/>
  <c r="C108" i="9"/>
  <c r="H115" i="9"/>
  <c r="L273" i="9"/>
  <c r="I99" i="9"/>
  <c r="H241" i="9"/>
  <c r="O156" i="9"/>
  <c r="K73" i="3"/>
  <c r="E121" i="9"/>
  <c r="N203" i="9"/>
  <c r="E242" i="9"/>
  <c r="K251" i="9"/>
  <c r="N75" i="9"/>
  <c r="F148" i="9"/>
  <c r="C184" i="9"/>
  <c r="H221" i="9"/>
  <c r="O224" i="9"/>
  <c r="H192" i="9"/>
  <c r="L30" i="9"/>
  <c r="C181" i="9"/>
  <c r="C177" i="9"/>
  <c r="I81" i="9"/>
  <c r="L191" i="9"/>
  <c r="C269" i="9"/>
  <c r="H175" i="9"/>
  <c r="F147" i="9"/>
  <c r="N67" i="9"/>
  <c r="K252" i="9"/>
  <c r="F225" i="9"/>
  <c r="F24" i="9"/>
  <c r="K50" i="3"/>
  <c r="E214" i="9"/>
  <c r="N256" i="9"/>
  <c r="N102" i="9"/>
  <c r="K152" i="9"/>
  <c r="L214" i="9"/>
  <c r="L138" i="9"/>
  <c r="I143" i="9"/>
  <c r="F156" i="9"/>
  <c r="N127" i="9"/>
  <c r="I182" i="9"/>
  <c r="G67" i="3"/>
  <c r="C225" i="9"/>
  <c r="E44" i="9"/>
  <c r="N146" i="9"/>
  <c r="K137" i="9"/>
  <c r="L72" i="9"/>
  <c r="I252" i="9"/>
  <c r="H61" i="9"/>
  <c r="H101" i="9"/>
  <c r="I161" i="9"/>
  <c r="H239" i="9"/>
  <c r="F166" i="9"/>
  <c r="E118" i="9"/>
  <c r="I159" i="9"/>
  <c r="K107" i="9"/>
  <c r="F183" i="9"/>
  <c r="K126" i="9"/>
  <c r="E119" i="9"/>
  <c r="K163" i="9"/>
  <c r="I215" i="9"/>
  <c r="K64" i="9"/>
  <c r="E280" i="9"/>
  <c r="N277" i="9"/>
  <c r="F273" i="9"/>
  <c r="H127" i="9"/>
  <c r="I43" i="9"/>
  <c r="L182" i="9"/>
  <c r="L37" i="9"/>
  <c r="C104" i="9"/>
  <c r="L275" i="9"/>
  <c r="K165" i="9"/>
  <c r="F23" i="9"/>
  <c r="K44" i="3"/>
  <c r="N151" i="9"/>
  <c r="L238" i="9"/>
  <c r="O69" i="9"/>
  <c r="K234" i="9"/>
  <c r="L251" i="9"/>
  <c r="N79" i="9"/>
  <c r="K201" i="9"/>
  <c r="N27" i="9"/>
  <c r="O23" i="9"/>
  <c r="F30" i="9"/>
  <c r="O31" i="9"/>
  <c r="F236" i="9"/>
  <c r="G58" i="3"/>
  <c r="L180" i="9"/>
  <c r="O70" i="3"/>
  <c r="E102" i="9"/>
  <c r="C60" i="9"/>
  <c r="O143" i="9"/>
  <c r="L33" i="9"/>
  <c r="L29" i="9"/>
  <c r="I149" i="9"/>
  <c r="C123" i="9"/>
  <c r="K239" i="9"/>
  <c r="C279" i="9"/>
  <c r="L88" i="9"/>
  <c r="C236" i="9"/>
  <c r="I203" i="9"/>
  <c r="O230" i="9"/>
  <c r="N240" i="9"/>
  <c r="K44" i="9"/>
  <c r="H70" i="9"/>
  <c r="E164" i="9"/>
  <c r="F119" i="9"/>
  <c r="L105" i="9"/>
  <c r="K33" i="9"/>
  <c r="L254" i="9"/>
  <c r="K69" i="3"/>
  <c r="E63" i="9"/>
  <c r="L189" i="9"/>
  <c r="L223" i="9"/>
  <c r="I124" i="9"/>
  <c r="H25" i="9"/>
  <c r="K31" i="3"/>
  <c r="C138" i="9"/>
  <c r="H100" i="9"/>
  <c r="C195" i="9"/>
  <c r="F271" i="9"/>
  <c r="O88" i="9"/>
  <c r="C164" i="9"/>
  <c r="F179" i="9"/>
  <c r="F63" i="9"/>
  <c r="L61" i="9"/>
  <c r="K34" i="3"/>
  <c r="O159" i="9"/>
  <c r="I108" i="9"/>
  <c r="C88" i="9"/>
  <c r="H120" i="9"/>
  <c r="N29" i="9"/>
  <c r="E161" i="9"/>
  <c r="O75" i="9"/>
  <c r="L240" i="9"/>
  <c r="O152" i="9"/>
  <c r="E279" i="9"/>
  <c r="O86" i="9"/>
  <c r="I139" i="9"/>
  <c r="K215" i="9"/>
  <c r="H66" i="9"/>
  <c r="E29" i="9"/>
  <c r="I31" i="9"/>
  <c r="E28" i="9"/>
  <c r="C145" i="9"/>
  <c r="L152" i="9"/>
  <c r="F197" i="9"/>
  <c r="C250" i="9"/>
  <c r="N136" i="9"/>
  <c r="F50" i="9"/>
  <c r="N101" i="9"/>
  <c r="E73" i="9"/>
  <c r="H203" i="9"/>
  <c r="C183" i="9"/>
  <c r="I73" i="9"/>
  <c r="I260" i="9"/>
  <c r="H225" i="9"/>
  <c r="C262" i="9"/>
  <c r="C81" i="9"/>
  <c r="G40" i="3"/>
  <c r="C203" i="9"/>
  <c r="O62" i="3"/>
  <c r="F237" i="9"/>
  <c r="H29" i="9"/>
  <c r="O276" i="9"/>
  <c r="H177" i="9"/>
  <c r="H262" i="9"/>
  <c r="O103" i="9"/>
  <c r="I222" i="9"/>
  <c r="E253" i="9"/>
  <c r="N86" i="9"/>
  <c r="H268" i="9"/>
  <c r="L24" i="9"/>
  <c r="L229" i="9"/>
  <c r="N106" i="9"/>
  <c r="E60" i="9"/>
  <c r="C215" i="9"/>
  <c r="N200" i="9"/>
  <c r="O33" i="9"/>
  <c r="L154" i="9"/>
  <c r="K218" i="9"/>
  <c r="N144" i="9"/>
  <c r="N231" i="9"/>
  <c r="L280" i="9"/>
  <c r="K224" i="9"/>
  <c r="G60" i="3"/>
  <c r="F270" i="9"/>
  <c r="K9" i="3"/>
  <c r="L188" i="9"/>
  <c r="I47" i="9"/>
  <c r="O41" i="3"/>
  <c r="O73" i="3"/>
  <c r="C90" i="9"/>
  <c r="K111" i="9"/>
  <c r="I228" i="9"/>
  <c r="I270" i="9"/>
  <c r="L83" i="9"/>
  <c r="O64" i="9"/>
  <c r="K256" i="9"/>
  <c r="N108" i="9"/>
  <c r="E181" i="9"/>
  <c r="I199" i="9"/>
  <c r="E79" i="9"/>
  <c r="O70" i="9"/>
  <c r="O220" i="9"/>
  <c r="C274" i="9"/>
  <c r="L148" i="9"/>
  <c r="H42" i="9"/>
  <c r="K7" i="3"/>
  <c r="O189" i="9"/>
  <c r="F279" i="9"/>
  <c r="N41" i="9"/>
  <c r="O266" i="9"/>
  <c r="O64" i="3"/>
  <c r="H226" i="9"/>
  <c r="G36" i="3"/>
  <c r="N259" i="9"/>
  <c r="E231" i="9"/>
  <c r="L68" i="9"/>
  <c r="L45" i="9"/>
  <c r="E158" i="9"/>
  <c r="I62" i="9"/>
  <c r="I24" i="9"/>
  <c r="E229" i="9"/>
  <c r="G62" i="3"/>
  <c r="N266" i="9"/>
  <c r="K77" i="9"/>
  <c r="C112" i="9"/>
  <c r="F176" i="9"/>
  <c r="F41" i="9"/>
  <c r="E262" i="9"/>
  <c r="O137" i="9"/>
  <c r="O79" i="9"/>
  <c r="I39" i="9"/>
  <c r="L149" i="9"/>
  <c r="H258" i="9"/>
  <c r="L141" i="9"/>
  <c r="F32" i="9"/>
  <c r="C229" i="9"/>
  <c r="F73" i="9"/>
  <c r="F163" i="9"/>
  <c r="E75" i="9"/>
  <c r="L119" i="9"/>
  <c r="L192" i="9"/>
  <c r="F232" i="9"/>
  <c r="I102" i="9"/>
  <c r="F107" i="9"/>
  <c r="O239" i="9"/>
  <c r="E156" i="9"/>
  <c r="I236" i="9"/>
  <c r="L26" i="9"/>
  <c r="E37" i="9"/>
  <c r="K214" i="9"/>
  <c r="F242" i="9"/>
  <c r="O272" i="9"/>
  <c r="F231" i="9"/>
  <c r="H224" i="9"/>
  <c r="K98" i="9"/>
  <c r="L213" i="9"/>
  <c r="O178" i="9"/>
  <c r="O203" i="9"/>
  <c r="H198" i="9"/>
  <c r="L100" i="9"/>
  <c r="L35" i="9"/>
  <c r="O193" i="9"/>
  <c r="O263" i="9"/>
  <c r="L277" i="9"/>
  <c r="K226" i="9"/>
  <c r="N46" i="9"/>
  <c r="E117" i="9"/>
  <c r="K16" i="5"/>
  <c r="N191" i="9"/>
  <c r="F104" i="9"/>
  <c r="K40" i="9"/>
  <c r="N43" i="9"/>
  <c r="K223" i="9"/>
  <c r="K74" i="3"/>
  <c r="O34" i="9"/>
  <c r="H162" i="9"/>
  <c r="C105" i="9"/>
  <c r="E43" i="9"/>
  <c r="O125" i="9"/>
  <c r="L185" i="9"/>
  <c r="O80" i="9"/>
  <c r="L84" i="9"/>
  <c r="E190" i="9"/>
  <c r="K185" i="9"/>
  <c r="E254" i="9"/>
  <c r="G64" i="3"/>
  <c r="L82" i="9"/>
  <c r="I274" i="9"/>
  <c r="O39" i="3"/>
  <c r="F214" i="9"/>
  <c r="K164" i="9"/>
  <c r="O32" i="9"/>
  <c r="I253" i="9"/>
  <c r="I280" i="9"/>
  <c r="E256" i="9"/>
  <c r="F61" i="9"/>
  <c r="I277" i="9"/>
  <c r="N178" i="9"/>
  <c r="K82" i="9"/>
  <c r="N60" i="9"/>
  <c r="I259" i="9"/>
  <c r="O273" i="9"/>
  <c r="F181" i="9"/>
  <c r="H85" i="9"/>
  <c r="K13" i="3"/>
  <c r="H146" i="9"/>
  <c r="H228" i="9"/>
  <c r="I101" i="9"/>
  <c r="E126" i="9"/>
  <c r="N142" i="9"/>
  <c r="L221" i="9"/>
  <c r="O175" i="9"/>
  <c r="H69" i="9"/>
  <c r="I106" i="9"/>
  <c r="C197" i="9"/>
  <c r="E182" i="9"/>
  <c r="O188" i="9"/>
  <c r="H184" i="9"/>
  <c r="E110" i="9"/>
  <c r="K41" i="3"/>
  <c r="N63" i="9"/>
  <c r="K36" i="9"/>
  <c r="K229" i="9"/>
  <c r="L230" i="9"/>
  <c r="C214" i="9"/>
  <c r="I202" i="9"/>
  <c r="L69" i="9"/>
  <c r="F251" i="9"/>
  <c r="N255" i="9"/>
  <c r="F238" i="9"/>
  <c r="N39" i="9"/>
  <c r="O68" i="3"/>
  <c r="H161" i="9"/>
  <c r="C174" i="9"/>
  <c r="I263" i="9"/>
  <c r="E199" i="9"/>
  <c r="E40" i="9"/>
  <c r="K61" i="3"/>
  <c r="O78" i="9"/>
  <c r="N204" i="9"/>
  <c r="O66" i="9"/>
  <c r="N155" i="9"/>
  <c r="K189" i="9"/>
  <c r="F60" i="9"/>
  <c r="C98" i="9"/>
  <c r="N26" i="9"/>
  <c r="I184" i="9"/>
  <c r="K145" i="9"/>
  <c r="C222" i="9"/>
  <c r="E41" i="9"/>
  <c r="N175" i="9"/>
  <c r="C141" i="9"/>
  <c r="O191" i="9"/>
  <c r="O241" i="9"/>
  <c r="O57" i="3"/>
  <c r="L122" i="9"/>
  <c r="K76" i="9"/>
  <c r="F274" i="9"/>
  <c r="O179" i="9"/>
  <c r="N32" i="9"/>
  <c r="G48" i="3"/>
  <c r="C219" i="9"/>
  <c r="K202" i="9"/>
  <c r="N182" i="9"/>
  <c r="N66" i="9"/>
  <c r="F26" i="9"/>
  <c r="K140" i="9"/>
  <c r="F79" i="9"/>
  <c r="F68" i="9"/>
  <c r="E142" i="9"/>
  <c r="K199" i="9"/>
  <c r="N189" i="9"/>
  <c r="N269" i="9"/>
  <c r="K22" i="3"/>
  <c r="E176" i="9"/>
  <c r="K71" i="3"/>
  <c r="O278" i="9"/>
  <c r="K123" i="9"/>
  <c r="H280" i="9"/>
  <c r="I61" i="9"/>
  <c r="L73" i="9"/>
  <c r="H63" i="9"/>
  <c r="E145" i="9"/>
  <c r="E47" i="9"/>
  <c r="F137" i="9"/>
  <c r="H160" i="9"/>
  <c r="K161" i="9"/>
  <c r="F84" i="9"/>
  <c r="O67" i="3"/>
  <c r="L36" i="9"/>
  <c r="I87" i="9"/>
  <c r="C84" i="9"/>
  <c r="I88" i="9"/>
  <c r="O25" i="9"/>
  <c r="L181" i="9"/>
  <c r="E191" i="9"/>
  <c r="H164" i="9"/>
  <c r="K260" i="9"/>
  <c r="K69" i="9"/>
  <c r="O109" i="9"/>
  <c r="F116" i="9"/>
  <c r="O49" i="9"/>
  <c r="O127" i="9"/>
  <c r="O48" i="3"/>
  <c r="K79" i="9"/>
  <c r="F120" i="9"/>
  <c r="N239" i="9"/>
  <c r="F220" i="9"/>
  <c r="O251" i="9"/>
  <c r="E69" i="9"/>
  <c r="H86" i="9"/>
  <c r="K32" i="3"/>
  <c r="F219" i="9"/>
  <c r="N153" i="9"/>
  <c r="L23" i="9"/>
  <c r="N83" i="9"/>
  <c r="F103" i="9"/>
  <c r="I27" i="9"/>
  <c r="I264" i="9"/>
  <c r="E78" i="9"/>
  <c r="C64" i="9"/>
  <c r="E221" i="9"/>
  <c r="N236" i="9"/>
  <c r="K18" i="5"/>
  <c r="E241" i="9"/>
  <c r="E203" i="9"/>
  <c r="K186" i="9"/>
  <c r="K198" i="9"/>
  <c r="E86" i="9"/>
  <c r="L112" i="9"/>
  <c r="L147" i="9"/>
  <c r="I272" i="9"/>
  <c r="N100" i="9"/>
  <c r="E52" i="9"/>
  <c r="F144" i="9"/>
  <c r="C102" i="9"/>
  <c r="N251" i="9"/>
  <c r="F35" i="9"/>
  <c r="N28" i="9"/>
  <c r="N193" i="9"/>
  <c r="I233" i="9"/>
  <c r="N187" i="9"/>
  <c r="N125" i="9"/>
  <c r="N217" i="9"/>
  <c r="O275" i="9"/>
  <c r="E224" i="9"/>
  <c r="H152" i="9"/>
  <c r="O141" i="9"/>
  <c r="K46" i="9"/>
  <c r="E225" i="9"/>
  <c r="I185" i="9"/>
  <c r="K62" i="9"/>
  <c r="F272" i="9"/>
  <c r="H68" i="9"/>
  <c r="E187" i="9"/>
  <c r="E122" i="9"/>
  <c r="E259" i="9"/>
  <c r="H190" i="9"/>
  <c r="N264" i="9"/>
  <c r="K60" i="3"/>
  <c r="C238" i="9"/>
  <c r="N78" i="9"/>
  <c r="I30" i="9"/>
  <c r="E264" i="9"/>
  <c r="C252" i="9"/>
  <c r="N68" i="9"/>
  <c r="H271" i="9"/>
  <c r="E22" i="9"/>
  <c r="K60" i="9"/>
  <c r="O155" i="9"/>
  <c r="K113" i="9"/>
  <c r="H60" i="9"/>
  <c r="K112" i="9"/>
  <c r="I49" i="9"/>
  <c r="N121" i="9"/>
  <c r="L125" i="9"/>
  <c r="H110" i="9"/>
  <c r="F155" i="9"/>
  <c r="N218" i="9"/>
  <c r="I79" i="9"/>
  <c r="K48" i="9"/>
  <c r="F109" i="9"/>
  <c r="K176" i="9"/>
  <c r="C126" i="9"/>
  <c r="E112" i="9"/>
  <c r="N77" i="9"/>
  <c r="N162" i="9"/>
  <c r="I226" i="9"/>
  <c r="O254" i="9"/>
  <c r="K149" i="9"/>
  <c r="H181" i="9"/>
  <c r="E219" i="9"/>
  <c r="E88" i="9"/>
  <c r="I220" i="9"/>
  <c r="C46" i="9"/>
  <c r="I275" i="9"/>
  <c r="K52" i="9"/>
  <c r="C146" i="9"/>
  <c r="N174" i="9"/>
  <c r="O264" i="9"/>
  <c r="O61" i="3"/>
  <c r="O260" i="9"/>
  <c r="K175" i="9"/>
  <c r="F195" i="9"/>
  <c r="E49" i="9"/>
  <c r="O105" i="9"/>
  <c r="F235" i="9"/>
  <c r="H34" i="9"/>
  <c r="K219" i="9"/>
  <c r="K66" i="3"/>
  <c r="H72" i="9"/>
  <c r="C82" i="9"/>
  <c r="C137" i="9"/>
  <c r="N37" i="9"/>
  <c r="F276" i="9"/>
  <c r="O115" i="9"/>
  <c r="F264" i="9"/>
  <c r="I191" i="9"/>
  <c r="C72" i="9"/>
  <c r="L79" i="9"/>
  <c r="O180" i="9"/>
  <c r="C196" i="9"/>
  <c r="L111" i="9"/>
  <c r="L31" i="9"/>
  <c r="F228" i="9"/>
  <c r="C270" i="9"/>
  <c r="N81" i="9"/>
  <c r="C266" i="9"/>
  <c r="E200" i="9"/>
  <c r="N104" i="9"/>
  <c r="L219" i="9"/>
  <c r="K66" i="9"/>
  <c r="E152" i="9"/>
  <c r="E109" i="9"/>
  <c r="C163" i="9"/>
  <c r="F76" i="9"/>
  <c r="F67" i="9"/>
  <c r="E125" i="9"/>
  <c r="K124" i="9"/>
  <c r="G69" i="3"/>
  <c r="C29" i="9"/>
  <c r="H88" i="9"/>
  <c r="C86" i="9"/>
  <c r="N254" i="9"/>
  <c r="O215" i="9"/>
  <c r="C239" i="9"/>
  <c r="H187" i="9"/>
  <c r="I268" i="9"/>
  <c r="K128" i="9"/>
  <c r="K48" i="3"/>
  <c r="C166" i="9"/>
  <c r="N25" i="9"/>
  <c r="K78" i="9"/>
  <c r="C280" i="9"/>
  <c r="I42" i="9"/>
  <c r="N221" i="9"/>
  <c r="O108" i="9"/>
  <c r="K16" i="3"/>
  <c r="O150" i="9"/>
  <c r="F202" i="9"/>
  <c r="C257" i="9"/>
  <c r="C71" i="9"/>
  <c r="F200" i="9"/>
  <c r="N118" i="9"/>
  <c r="H174" i="9"/>
  <c r="O38" i="3"/>
  <c r="L104" i="9"/>
  <c r="C52" i="9"/>
  <c r="O185" i="9"/>
  <c r="I181" i="9"/>
  <c r="O161" i="9"/>
  <c r="K212" i="9"/>
  <c r="K34" i="9"/>
  <c r="O221" i="9"/>
  <c r="I80" i="9"/>
  <c r="L67" i="9"/>
  <c r="N85" i="9"/>
  <c r="C79" i="9"/>
  <c r="G33" i="3"/>
  <c r="C111" i="9"/>
  <c r="C268" i="9"/>
  <c r="F162" i="9"/>
  <c r="N192" i="9"/>
  <c r="O213" i="9"/>
  <c r="K47" i="3"/>
  <c r="I160" i="9"/>
  <c r="K42" i="9"/>
  <c r="E124" i="9"/>
  <c r="E144" i="9"/>
  <c r="H158" i="9"/>
  <c r="C69" i="9"/>
  <c r="N137" i="9"/>
  <c r="F138" i="9"/>
  <c r="F217" i="9"/>
  <c r="G66" i="3"/>
  <c r="F44" i="9"/>
  <c r="K68" i="9"/>
  <c r="G72" i="3"/>
  <c r="I195" i="9"/>
  <c r="F38" i="9"/>
  <c r="H267" i="9"/>
  <c r="F112" i="9"/>
  <c r="H108" i="9"/>
  <c r="F142" i="9"/>
  <c r="K261" i="9"/>
  <c r="O100" i="9"/>
  <c r="G34" i="3"/>
  <c r="E99" i="9"/>
  <c r="O74" i="9"/>
  <c r="E269" i="9"/>
  <c r="K153" i="9"/>
  <c r="I174" i="9"/>
  <c r="G61" i="3"/>
  <c r="F80" i="9"/>
  <c r="O181" i="9"/>
  <c r="N257" i="9"/>
  <c r="L234" i="9"/>
  <c r="C253" i="9"/>
  <c r="K46" i="3"/>
  <c r="I218" i="9"/>
  <c r="C201" i="9"/>
  <c r="C278" i="9"/>
  <c r="F149" i="9"/>
  <c r="I212" i="9"/>
  <c r="L51" i="9"/>
  <c r="I221" i="9"/>
  <c r="H46" i="9"/>
  <c r="L261" i="9"/>
  <c r="E266" i="9"/>
  <c r="L48" i="9"/>
  <c r="E82" i="9"/>
  <c r="N124" i="9"/>
  <c r="E90" i="9"/>
  <c r="L195" i="9"/>
  <c r="L200" i="9"/>
  <c r="E202" i="9"/>
  <c r="O42" i="9"/>
  <c r="C226" i="9"/>
  <c r="K250" i="9"/>
  <c r="N107" i="9"/>
  <c r="G39" i="3"/>
  <c r="H145" i="9"/>
  <c r="K19" i="5"/>
  <c r="C188" i="9"/>
  <c r="C39" i="9"/>
  <c r="F125" i="9"/>
  <c r="H27" i="9"/>
  <c r="F122" i="9"/>
  <c r="H39" i="9"/>
  <c r="K122" i="9"/>
  <c r="K160" i="9"/>
  <c r="C149" i="9"/>
  <c r="I152" i="9"/>
  <c r="E42" i="9"/>
  <c r="E261" i="9"/>
  <c r="E113" i="9"/>
  <c r="O139" i="9"/>
  <c r="F258" i="9"/>
  <c r="N176" i="9"/>
  <c r="F121" i="9"/>
  <c r="O60" i="9"/>
  <c r="C124" i="9"/>
  <c r="N113" i="9"/>
  <c r="N40" i="9"/>
  <c r="K30" i="9"/>
  <c r="K70" i="3"/>
  <c r="N219" i="9"/>
  <c r="N141" i="9"/>
  <c r="K31" i="9"/>
  <c r="K6" i="3"/>
  <c r="H148" i="9"/>
  <c r="N223" i="9"/>
  <c r="L186" i="9"/>
  <c r="O242" i="9"/>
  <c r="O226" i="9"/>
  <c r="E46" i="9"/>
  <c r="N279" i="9"/>
  <c r="O165" i="9"/>
  <c r="L253" i="9"/>
  <c r="I45" i="9"/>
  <c r="L279" i="9"/>
  <c r="H30" i="9"/>
  <c r="C103" i="9"/>
  <c r="I60" i="9"/>
  <c r="I148" i="9"/>
  <c r="K102" i="9"/>
  <c r="E189" i="9"/>
  <c r="C193" i="9"/>
  <c r="K7" i="5"/>
  <c r="F72" i="9"/>
  <c r="I262" i="9"/>
  <c r="F87" i="9"/>
  <c r="C234" i="9"/>
  <c r="E66" i="9"/>
  <c r="L65" i="9"/>
  <c r="K103" i="9"/>
  <c r="L233" i="9"/>
  <c r="O69" i="3"/>
  <c r="G44" i="3"/>
  <c r="K174" i="9"/>
  <c r="C267" i="9"/>
  <c r="I71" i="9"/>
  <c r="H111" i="9"/>
  <c r="H240" i="9"/>
  <c r="I41" i="9"/>
  <c r="C85" i="9"/>
  <c r="E180" i="9"/>
  <c r="I117" i="9"/>
  <c r="O138" i="9"/>
  <c r="O72" i="9"/>
  <c r="K21" i="5"/>
  <c r="E62" i="9"/>
  <c r="F250" i="9"/>
  <c r="E235" i="9"/>
  <c r="C180" i="9"/>
  <c r="F261" i="9"/>
  <c r="I216" i="9"/>
  <c r="I254" i="9"/>
  <c r="K120" i="9"/>
  <c r="K190" i="9"/>
  <c r="L64" i="9"/>
  <c r="K192" i="9"/>
  <c r="N184" i="9"/>
  <c r="O145" i="9"/>
  <c r="K233" i="9"/>
  <c r="N224" i="9"/>
  <c r="N31" i="9"/>
  <c r="C157" i="9"/>
  <c r="H107" i="9"/>
  <c r="I265" i="9"/>
  <c r="N275" i="9"/>
  <c r="E232" i="9"/>
  <c r="C142" i="9"/>
  <c r="G70" i="3"/>
  <c r="E251" i="9"/>
  <c r="F47" i="9"/>
  <c r="H122" i="9"/>
  <c r="N228" i="9"/>
  <c r="K193" i="9"/>
  <c r="C165" i="9"/>
  <c r="I120" i="9"/>
  <c r="I162" i="9"/>
  <c r="I151" i="9"/>
  <c r="K22" i="5"/>
  <c r="L184" i="9"/>
  <c r="E160" i="9"/>
  <c r="H235" i="9"/>
  <c r="I179" i="9"/>
  <c r="G57" i="3"/>
  <c r="N111" i="9"/>
  <c r="O45" i="3"/>
  <c r="I51" i="9"/>
  <c r="H202" i="9"/>
  <c r="H71" i="9"/>
  <c r="K108" i="9"/>
  <c r="H48" i="9"/>
  <c r="I111" i="9"/>
  <c r="F124" i="9"/>
  <c r="N139" i="9"/>
  <c r="H165" i="9"/>
  <c r="L87" i="9"/>
  <c r="O74" i="3"/>
  <c r="C228" i="9"/>
  <c r="H98" i="9"/>
  <c r="E163" i="9"/>
  <c r="N62" i="9"/>
  <c r="O77" i="9"/>
  <c r="O222" i="9"/>
  <c r="G45" i="3"/>
  <c r="O102" i="9"/>
  <c r="I255" i="9"/>
  <c r="E61" i="9"/>
  <c r="E80" i="9"/>
  <c r="K50" i="9"/>
  <c r="C45" i="9"/>
  <c r="K237" i="9"/>
  <c r="K217" i="9"/>
  <c r="I214" i="9"/>
  <c r="E193" i="9"/>
  <c r="E77" i="9"/>
  <c r="N166" i="9"/>
  <c r="N128" i="9"/>
  <c r="I235" i="9"/>
  <c r="E185" i="9"/>
  <c r="L25" i="9"/>
  <c r="O46" i="3"/>
  <c r="L179" i="9"/>
  <c r="F88" i="9"/>
  <c r="I66" i="9"/>
  <c r="N252" i="9"/>
  <c r="G32" i="3"/>
  <c r="H103" i="9"/>
  <c r="O37" i="3"/>
  <c r="I177" i="9"/>
  <c r="E151" i="9"/>
  <c r="C186" i="9"/>
  <c r="E217" i="9"/>
  <c r="N117" i="9"/>
  <c r="E107" i="9"/>
  <c r="O149" i="9"/>
  <c r="I183" i="9"/>
  <c r="I158" i="9"/>
  <c r="L136" i="9"/>
  <c r="N82" i="9"/>
  <c r="O237" i="9"/>
  <c r="C199" i="9"/>
  <c r="F157" i="9"/>
  <c r="C41" i="9"/>
  <c r="I153" i="9"/>
  <c r="L145" i="9"/>
  <c r="G65" i="3"/>
  <c r="E216" i="9"/>
  <c r="H219" i="9"/>
  <c r="N157" i="9"/>
  <c r="F40" i="9"/>
  <c r="H191" i="9"/>
  <c r="I154" i="9"/>
  <c r="O262" i="9"/>
  <c r="K33" i="3"/>
  <c r="K278" i="9"/>
  <c r="I112" i="9"/>
  <c r="C107" i="9"/>
  <c r="I40" i="9"/>
  <c r="I103" i="9"/>
  <c r="C156" i="9"/>
  <c r="O235" i="9"/>
  <c r="O45" i="9"/>
  <c r="I231" i="9"/>
  <c r="L239" i="9"/>
  <c r="N237" i="9"/>
  <c r="F189" i="9"/>
  <c r="C25" i="9"/>
  <c r="N145" i="9"/>
  <c r="I204" i="9"/>
  <c r="L227" i="9"/>
  <c r="O190" i="9"/>
  <c r="F262" i="9"/>
  <c r="N181" i="9"/>
  <c r="F224" i="9"/>
  <c r="K58" i="3"/>
  <c r="O158" i="9"/>
  <c r="I136" i="9"/>
  <c r="H253" i="9"/>
  <c r="I114" i="9"/>
  <c r="C159" i="9"/>
  <c r="L226" i="9"/>
  <c r="K40" i="3"/>
  <c r="N110" i="9"/>
  <c r="L71" i="9"/>
  <c r="E50" i="9"/>
  <c r="I140" i="9"/>
  <c r="K274" i="9"/>
  <c r="K39" i="3"/>
  <c r="H67" i="9"/>
  <c r="N226" i="9"/>
  <c r="F75" i="9"/>
  <c r="N258" i="9"/>
  <c r="I44" i="9"/>
  <c r="O256" i="9"/>
  <c r="L163" i="9"/>
  <c r="F184" i="9"/>
  <c r="N45" i="9"/>
  <c r="I48" i="9"/>
  <c r="I116" i="9"/>
  <c r="L140" i="9"/>
  <c r="N44" i="9"/>
  <c r="C49" i="9"/>
  <c r="K68" i="3"/>
  <c r="N138" i="9"/>
  <c r="K11" i="3"/>
  <c r="N230" i="9"/>
  <c r="O136" i="9"/>
  <c r="L235" i="9"/>
  <c r="K181" i="9"/>
  <c r="L255" i="9"/>
  <c r="C223" i="9"/>
  <c r="O24" i="9"/>
  <c r="O225" i="9"/>
  <c r="K32" i="9"/>
  <c r="E98" i="9"/>
  <c r="N276" i="9"/>
  <c r="K179" i="9"/>
  <c r="F118" i="9"/>
  <c r="F34" i="9"/>
  <c r="F128" i="9"/>
  <c r="E143" i="9"/>
  <c r="K59" i="3"/>
  <c r="E165" i="9"/>
  <c r="C271" i="9"/>
  <c r="L162" i="9"/>
  <c r="O258" i="9"/>
  <c r="K157" i="9"/>
  <c r="F277" i="9"/>
  <c r="O148" i="9"/>
  <c r="C106" i="9"/>
  <c r="I163" i="9"/>
  <c r="E100" i="9"/>
  <c r="H90" i="9"/>
  <c r="F174" i="9"/>
  <c r="F139" i="9"/>
  <c r="F27" i="9"/>
  <c r="H102" i="9"/>
  <c r="C47" i="9"/>
  <c r="L256" i="9"/>
  <c r="N126" i="9"/>
  <c r="I186" i="9"/>
  <c r="I105" i="9"/>
  <c r="O60" i="3"/>
  <c r="K119" i="9"/>
  <c r="C162" i="9"/>
  <c r="I35" i="9"/>
  <c r="C224" i="9"/>
  <c r="I196" i="9"/>
  <c r="O184" i="9"/>
  <c r="I201" i="9"/>
  <c r="L70" i="9"/>
  <c r="K241" i="9"/>
  <c r="K20" i="3"/>
  <c r="L40" i="9"/>
  <c r="F33" i="9"/>
  <c r="F164" i="9"/>
  <c r="I144" i="9"/>
  <c r="K125" i="9"/>
  <c r="N36" i="9"/>
  <c r="O228" i="9"/>
  <c r="L85" i="9"/>
  <c r="K254" i="9"/>
  <c r="E48" i="9"/>
  <c r="K139" i="9"/>
  <c r="H62" i="9"/>
  <c r="O101" i="9"/>
  <c r="K19" i="3"/>
  <c r="O47" i="9"/>
  <c r="H155" i="9"/>
  <c r="K24" i="5"/>
  <c r="H277" i="9"/>
  <c r="N222" i="9"/>
  <c r="I176" i="9"/>
  <c r="E276" i="9"/>
  <c r="N250" i="9"/>
  <c r="K155" i="9"/>
  <c r="K118" i="9"/>
  <c r="F267" i="9"/>
  <c r="O166" i="9"/>
  <c r="N216" i="9"/>
  <c r="I32" i="9"/>
  <c r="E240" i="9"/>
  <c r="L123" i="9"/>
  <c r="L151" i="9"/>
  <c r="F269" i="9"/>
  <c r="L270" i="9"/>
  <c r="I119" i="9"/>
  <c r="I109" i="9"/>
  <c r="O48" i="9"/>
  <c r="O128" i="9"/>
  <c r="F123" i="9"/>
  <c r="L81" i="9"/>
  <c r="H217" i="9"/>
  <c r="K197" i="9"/>
  <c r="E67" i="9"/>
  <c r="L32" i="9"/>
  <c r="C116" i="9"/>
  <c r="C147" i="9"/>
  <c r="C264" i="9"/>
  <c r="H150" i="9"/>
  <c r="O194" i="9"/>
  <c r="L278" i="9"/>
  <c r="O61" i="9"/>
  <c r="K180" i="9"/>
  <c r="H270" i="9"/>
  <c r="N225" i="9"/>
  <c r="L108" i="9"/>
  <c r="O122" i="9"/>
  <c r="N267" i="9"/>
  <c r="K146" i="9"/>
  <c r="H43" i="9"/>
  <c r="O265" i="9"/>
  <c r="K196" i="9"/>
  <c r="L222" i="9"/>
  <c r="H274" i="9"/>
  <c r="H259" i="9"/>
  <c r="O250" i="9"/>
  <c r="H256" i="9"/>
  <c r="N147" i="9"/>
  <c r="L236" i="9"/>
  <c r="I230" i="9"/>
  <c r="C109" i="9"/>
  <c r="H254" i="9"/>
  <c r="N140" i="9"/>
  <c r="C273" i="9"/>
  <c r="I46" i="9"/>
  <c r="N164" i="9"/>
  <c r="F70" i="9"/>
  <c r="N88" i="9"/>
  <c r="F98" i="9"/>
  <c r="O259" i="9"/>
  <c r="O236" i="9"/>
  <c r="O198" i="9"/>
  <c r="H65" i="9"/>
  <c r="O22" i="9"/>
  <c r="O112" i="9"/>
  <c r="H232" i="9"/>
  <c r="C113" i="9"/>
  <c r="F71" i="9"/>
  <c r="C191" i="9"/>
  <c r="F62" i="9"/>
  <c r="H35" i="9"/>
  <c r="E33" i="9"/>
  <c r="K116" i="9"/>
  <c r="K109" i="9"/>
  <c r="G75" i="3"/>
  <c r="N143" i="9"/>
  <c r="C87" i="9"/>
  <c r="H36" i="9"/>
  <c r="L156" i="9"/>
  <c r="L62" i="9"/>
  <c r="H229" i="9"/>
  <c r="L127" i="9"/>
  <c r="C218" i="9"/>
  <c r="F90" i="9"/>
  <c r="C120" i="9"/>
  <c r="C251" i="9"/>
  <c r="L272" i="9"/>
  <c r="I276" i="9"/>
  <c r="K63" i="9"/>
  <c r="E218" i="9"/>
  <c r="N74" i="9"/>
  <c r="N73" i="9"/>
  <c r="O160" i="9"/>
  <c r="N214" i="9"/>
  <c r="N194" i="9"/>
  <c r="O81" i="9"/>
  <c r="C277" i="9"/>
  <c r="K156" i="9"/>
  <c r="L86" i="9"/>
  <c r="I279" i="9"/>
  <c r="N163" i="9"/>
  <c r="L74" i="9"/>
  <c r="E223" i="9"/>
  <c r="E277" i="9"/>
  <c r="K37" i="9"/>
  <c r="E197" i="9"/>
  <c r="O117" i="9"/>
  <c r="I123" i="9"/>
  <c r="F151" i="9"/>
  <c r="L27" i="9"/>
  <c r="O35" i="9"/>
  <c r="O126" i="9"/>
  <c r="H140" i="9"/>
  <c r="O146" i="9"/>
  <c r="O253" i="9"/>
  <c r="I76" i="9"/>
  <c r="L260" i="9"/>
  <c r="N38" i="9"/>
  <c r="I175" i="9"/>
  <c r="K253" i="9"/>
  <c r="K11" i="5"/>
  <c r="E184" i="9"/>
  <c r="K269" i="9"/>
  <c r="E220" i="9"/>
  <c r="K43" i="9"/>
  <c r="E89" i="9"/>
  <c r="E123" i="9"/>
  <c r="O223" i="9"/>
  <c r="E64" i="9"/>
  <c r="H266" i="9"/>
  <c r="L49" i="9"/>
  <c r="C220" i="9"/>
  <c r="I267" i="9"/>
  <c r="L231" i="9"/>
  <c r="F39" i="9"/>
  <c r="O234" i="9"/>
  <c r="O277" i="9"/>
  <c r="I83" i="9"/>
  <c r="L201" i="9"/>
  <c r="E177" i="9"/>
  <c r="I251" i="9"/>
  <c r="O67" i="9"/>
  <c r="N196" i="9"/>
  <c r="C128" i="9"/>
  <c r="L80" i="9"/>
  <c r="K6" i="5"/>
  <c r="H76" i="9"/>
  <c r="E237" i="9"/>
  <c r="C237" i="9"/>
  <c r="I69" i="9"/>
  <c r="O229" i="9"/>
  <c r="H215" i="9"/>
  <c r="C63" i="9"/>
  <c r="C100" i="9"/>
  <c r="H236" i="9"/>
  <c r="K17" i="3"/>
  <c r="C42" i="9"/>
  <c r="H183" i="9"/>
  <c r="L89" i="9"/>
  <c r="I72" i="9"/>
  <c r="O195" i="9"/>
  <c r="F126" i="9"/>
  <c r="H89" i="9"/>
  <c r="I187" i="9"/>
  <c r="L177" i="9"/>
  <c r="L107" i="9"/>
  <c r="E45" i="9"/>
  <c r="K37" i="3"/>
  <c r="F74" i="9"/>
  <c r="I269" i="9"/>
  <c r="O200" i="9"/>
  <c r="O63" i="3"/>
  <c r="H194" i="9"/>
  <c r="C115" i="9"/>
  <c r="K279" i="9"/>
  <c r="I128" i="9"/>
  <c r="K89" i="9"/>
  <c r="H81" i="9"/>
  <c r="I67" i="9"/>
  <c r="E157" i="9"/>
  <c r="L176" i="9"/>
  <c r="C68" i="9"/>
  <c r="F266" i="9"/>
  <c r="F85" i="9"/>
  <c r="I165" i="9"/>
  <c r="L110" i="9"/>
  <c r="K35" i="9"/>
  <c r="N261" i="9"/>
  <c r="K158" i="9"/>
  <c r="F241" i="9"/>
  <c r="C74" i="9"/>
  <c r="N24" i="9"/>
  <c r="O65" i="9"/>
  <c r="I193" i="9"/>
  <c r="I164" i="9"/>
  <c r="C51" i="9"/>
  <c r="N220" i="9"/>
  <c r="N69" i="9"/>
  <c r="L126" i="9"/>
  <c r="K194" i="9"/>
  <c r="H22" i="9"/>
  <c r="L98" i="9"/>
  <c r="K18" i="3"/>
  <c r="H188" i="9"/>
  <c r="N64" i="9"/>
  <c r="F161" i="9"/>
  <c r="N80" i="9"/>
  <c r="K15" i="5"/>
  <c r="N50" i="9"/>
  <c r="K62" i="3"/>
  <c r="O58" i="3"/>
  <c r="O218" i="9"/>
  <c r="N122" i="9"/>
  <c r="K154" i="9"/>
  <c r="L264" i="9"/>
  <c r="E268" i="9"/>
  <c r="E35" i="9"/>
  <c r="L269" i="9"/>
  <c r="K222" i="9"/>
  <c r="I52" i="9"/>
  <c r="E230" i="9"/>
  <c r="F108" i="9"/>
  <c r="C178" i="9"/>
  <c r="G46" i="3"/>
  <c r="O217" i="9"/>
  <c r="N98" i="9"/>
  <c r="H193" i="9"/>
  <c r="L66" i="9"/>
  <c r="K238" i="9"/>
  <c r="H143" i="9"/>
  <c r="I200" i="9"/>
  <c r="N180" i="9"/>
  <c r="N268" i="9"/>
  <c r="O46" i="9"/>
  <c r="K28" i="9"/>
  <c r="K43" i="3"/>
  <c r="O199" i="9"/>
  <c r="I198" i="9"/>
  <c r="F127" i="9"/>
  <c r="F81" i="9"/>
  <c r="N154" i="9"/>
  <c r="L262" i="9"/>
  <c r="K75" i="3"/>
  <c r="K90" i="9"/>
  <c r="E149" i="9"/>
  <c r="E153" i="9"/>
  <c r="L137" i="9"/>
  <c r="N198" i="9"/>
  <c r="K266" i="9"/>
  <c r="C62" i="9"/>
  <c r="F188" i="9"/>
  <c r="E174" i="9"/>
  <c r="L128" i="9"/>
  <c r="C153" i="9"/>
  <c r="E136" i="9"/>
  <c r="L78" i="9"/>
  <c r="H252" i="9"/>
  <c r="H238" i="9"/>
  <c r="K259" i="9"/>
  <c r="K230" i="9"/>
  <c r="C212" i="9"/>
  <c r="K148" i="9"/>
  <c r="H45" i="9"/>
  <c r="H273" i="9"/>
  <c r="O157" i="9"/>
  <c r="K204" i="9"/>
  <c r="I237" i="9"/>
  <c r="F99" i="9"/>
  <c r="E141" i="9"/>
  <c r="G63" i="3"/>
  <c r="O44" i="9"/>
  <c r="F233" i="9"/>
  <c r="H189" i="9"/>
  <c r="K159" i="9"/>
  <c r="E101" i="9"/>
  <c r="K21" i="3"/>
  <c r="E263" i="9"/>
  <c r="C216" i="9"/>
  <c r="I157" i="9"/>
  <c r="N71" i="9"/>
  <c r="F192" i="9"/>
  <c r="H265" i="9"/>
  <c r="N47" i="9"/>
  <c r="H105" i="9"/>
  <c r="N272" i="9"/>
  <c r="O279" i="9"/>
  <c r="F229" i="9"/>
  <c r="K220" i="9"/>
  <c r="H234" i="9"/>
  <c r="L115" i="9"/>
  <c r="E106" i="9"/>
  <c r="K65" i="3"/>
  <c r="N188" i="9"/>
  <c r="F275" i="9"/>
  <c r="F218" i="9"/>
  <c r="O255" i="9"/>
  <c r="L117" i="9"/>
  <c r="O252" i="9"/>
  <c r="F159" i="9"/>
  <c r="E38" i="9"/>
  <c r="H154" i="9"/>
  <c r="K280" i="9"/>
  <c r="E179" i="9"/>
  <c r="O202" i="9"/>
  <c r="N103" i="9"/>
  <c r="I89" i="9"/>
  <c r="K39" i="9"/>
  <c r="K12" i="5"/>
  <c r="N241" i="9"/>
  <c r="E85" i="9"/>
  <c r="E104" i="9"/>
  <c r="F141" i="9"/>
  <c r="H279" i="9"/>
  <c r="H151" i="9"/>
  <c r="G37" i="3"/>
  <c r="H269" i="9"/>
  <c r="K99" i="9"/>
  <c r="O147" i="9"/>
  <c r="I126" i="9"/>
  <c r="I192" i="9"/>
  <c r="I98" i="9"/>
  <c r="O40" i="9"/>
  <c r="N87" i="9"/>
  <c r="F199" i="9"/>
  <c r="I150" i="9"/>
  <c r="K36" i="3"/>
  <c r="I127" i="9"/>
  <c r="I33" i="9"/>
  <c r="K57" i="3"/>
  <c r="E213" i="9"/>
  <c r="O89" i="9"/>
  <c r="C204" i="9"/>
  <c r="H113" i="9"/>
  <c r="H23" i="9"/>
  <c r="C50" i="9"/>
  <c r="I63" i="9"/>
  <c r="H83" i="9"/>
  <c r="H144" i="9"/>
  <c r="C258" i="9"/>
  <c r="K213" i="9"/>
  <c r="E51" i="9"/>
  <c r="K110" i="9"/>
  <c r="C154" i="9"/>
  <c r="C254" i="9"/>
  <c r="K80" i="9"/>
  <c r="K265" i="9"/>
  <c r="H123" i="9"/>
  <c r="K67" i="9"/>
  <c r="C36" i="9"/>
  <c r="C73" i="9"/>
  <c r="K25" i="9"/>
  <c r="C175" i="9"/>
  <c r="I50" i="9"/>
  <c r="N156" i="9"/>
  <c r="O37" i="9"/>
  <c r="O63" i="9"/>
  <c r="L232" i="9"/>
  <c r="I271" i="9"/>
  <c r="E26" i="9"/>
  <c r="L60" i="9"/>
  <c r="O182" i="9"/>
  <c r="N48" i="9"/>
  <c r="E74" i="9"/>
  <c r="E128" i="9"/>
  <c r="K87" i="9"/>
  <c r="K24" i="3"/>
  <c r="N51" i="9"/>
  <c r="O50" i="3"/>
  <c r="O274" i="9"/>
  <c r="L113" i="9"/>
  <c r="N33" i="9"/>
  <c r="K25" i="3"/>
  <c r="I113" i="9"/>
  <c r="O231" i="9"/>
  <c r="K240" i="9"/>
  <c r="O66" i="3"/>
  <c r="O107" i="9"/>
  <c r="K72" i="3"/>
  <c r="K71" i="9"/>
  <c r="O71" i="9"/>
  <c r="L202" i="9"/>
  <c r="O38" i="9"/>
  <c r="G41" i="3"/>
  <c r="H126" i="9"/>
  <c r="C28" i="9"/>
  <c r="L43" i="9"/>
  <c r="N273" i="9"/>
  <c r="O36" i="3"/>
  <c r="F77" i="9"/>
  <c r="E271" i="9"/>
  <c r="C185" i="9"/>
  <c r="I23" i="9"/>
  <c r="G42" i="3"/>
  <c r="C255" i="9"/>
  <c r="H214" i="9"/>
  <c r="K203" i="9"/>
  <c r="N278" i="9"/>
  <c r="F187" i="9"/>
  <c r="E140" i="9"/>
  <c r="N123" i="9"/>
  <c r="I68" i="9"/>
  <c r="C265" i="9"/>
  <c r="H278" i="9"/>
  <c r="H128" i="9"/>
  <c r="F222" i="9"/>
  <c r="G31" i="3"/>
  <c r="I242" i="9"/>
  <c r="K8" i="3"/>
  <c r="L216" i="9"/>
  <c r="O73" i="9"/>
  <c r="O187" i="9"/>
  <c r="C23" i="9"/>
  <c r="F48" i="9"/>
  <c r="O154" i="9"/>
  <c r="H82" i="9"/>
  <c r="O123" i="9"/>
  <c r="L197" i="9"/>
  <c r="E236" i="9"/>
  <c r="H114" i="9"/>
  <c r="O43" i="9"/>
  <c r="K276" i="9"/>
  <c r="O99" i="9"/>
  <c r="C117" i="9"/>
  <c r="O177" i="9"/>
  <c r="H264" i="9"/>
  <c r="I241" i="9"/>
  <c r="F31" i="9"/>
  <c r="K255" i="9"/>
  <c r="N148" i="9"/>
  <c r="F203" i="9"/>
  <c r="C233" i="9"/>
  <c r="K228" i="9"/>
  <c r="F216" i="9"/>
  <c r="F36" i="9"/>
  <c r="L75" i="9"/>
  <c r="H201" i="9"/>
  <c r="I74" i="9"/>
  <c r="C213" i="9"/>
  <c r="C182" i="9"/>
  <c r="E212" i="9"/>
  <c r="C275" i="9"/>
  <c r="L183" i="9"/>
  <c r="E76" i="9"/>
  <c r="L102" i="9"/>
  <c r="F45" i="9"/>
  <c r="F110" i="9"/>
  <c r="E192" i="9"/>
  <c r="I37" i="9"/>
  <c r="L267" i="9"/>
  <c r="N179" i="9"/>
  <c r="H147" i="9"/>
  <c r="O98" i="9"/>
  <c r="K29" i="9"/>
  <c r="O261" i="9"/>
  <c r="I239" i="9"/>
  <c r="K166" i="9"/>
  <c r="O130" i="9" l="1"/>
  <c r="N130" i="9" s="1"/>
  <c r="M6" i="9" s="1"/>
  <c r="D275" i="9"/>
  <c r="G275" i="9"/>
  <c r="J275" i="9"/>
  <c r="M275" i="9"/>
  <c r="J182" i="9"/>
  <c r="M182" i="9"/>
  <c r="G182" i="9"/>
  <c r="D182" i="9"/>
  <c r="G213" i="9"/>
  <c r="J213" i="9"/>
  <c r="D213" i="9"/>
  <c r="M213" i="9"/>
  <c r="G233" i="9"/>
  <c r="J233" i="9"/>
  <c r="D233" i="9"/>
  <c r="M233" i="9"/>
  <c r="M117" i="9"/>
  <c r="D117" i="9"/>
  <c r="G117" i="9"/>
  <c r="J117" i="9"/>
  <c r="J23" i="9"/>
  <c r="M23" i="9"/>
  <c r="G23" i="9"/>
  <c r="D23" i="9"/>
  <c r="N8" i="3"/>
  <c r="L8" i="3"/>
  <c r="M8" i="3"/>
  <c r="I31" i="3"/>
  <c r="H31" i="3"/>
  <c r="J31" i="3"/>
  <c r="D265" i="9"/>
  <c r="M265" i="9"/>
  <c r="J265" i="9"/>
  <c r="G265" i="9"/>
  <c r="J255" i="9"/>
  <c r="D255" i="9"/>
  <c r="M255" i="9"/>
  <c r="G255" i="9"/>
  <c r="H42" i="3"/>
  <c r="I42" i="3"/>
  <c r="J42" i="3"/>
  <c r="D185" i="9"/>
  <c r="J185" i="9"/>
  <c r="M185" i="9"/>
  <c r="G185" i="9"/>
  <c r="Q36" i="3"/>
  <c r="P36" i="3"/>
  <c r="R36" i="3"/>
  <c r="M28" i="9"/>
  <c r="J28" i="9"/>
  <c r="D28" i="9"/>
  <c r="G28" i="9"/>
  <c r="H41" i="3"/>
  <c r="I41" i="3"/>
  <c r="J41" i="3"/>
  <c r="L72" i="3"/>
  <c r="M72" i="3"/>
  <c r="N72" i="3"/>
  <c r="Q66" i="3"/>
  <c r="R66" i="3"/>
  <c r="P66" i="3"/>
  <c r="M25" i="3"/>
  <c r="L25" i="3"/>
  <c r="N25" i="3"/>
  <c r="R50" i="3"/>
  <c r="Q50" i="3"/>
  <c r="P50" i="3"/>
  <c r="M24" i="3"/>
  <c r="N24" i="3"/>
  <c r="L24" i="3"/>
  <c r="L92" i="9"/>
  <c r="K92" i="9" s="1"/>
  <c r="J4" i="9" s="1"/>
  <c r="D175" i="9"/>
  <c r="J175" i="9"/>
  <c r="M175" i="9"/>
  <c r="G175" i="9"/>
  <c r="M73" i="9"/>
  <c r="J73" i="9"/>
  <c r="G73" i="9"/>
  <c r="D73" i="9"/>
  <c r="M36" i="9"/>
  <c r="G36" i="9"/>
  <c r="D36" i="9"/>
  <c r="J36" i="9"/>
  <c r="G254" i="9"/>
  <c r="M254" i="9"/>
  <c r="J254" i="9"/>
  <c r="D254" i="9"/>
  <c r="M154" i="9"/>
  <c r="G154" i="9"/>
  <c r="J154" i="9"/>
  <c r="D154" i="9"/>
  <c r="G258" i="9"/>
  <c r="D258" i="9"/>
  <c r="M258" i="9"/>
  <c r="J258" i="9"/>
  <c r="G50" i="9"/>
  <c r="D50" i="9"/>
  <c r="M50" i="9"/>
  <c r="J50" i="9"/>
  <c r="J204" i="9"/>
  <c r="G204" i="9"/>
  <c r="D204" i="9"/>
  <c r="M204" i="9"/>
  <c r="N57" i="3"/>
  <c r="M57" i="3"/>
  <c r="L57" i="3"/>
  <c r="M36" i="3"/>
  <c r="N36" i="3"/>
  <c r="L36" i="3"/>
  <c r="I130" i="9"/>
  <c r="H130" i="9" s="1"/>
  <c r="G6" i="9" s="1"/>
  <c r="H37" i="3"/>
  <c r="I37" i="3"/>
  <c r="J37" i="3"/>
  <c r="M12" i="5"/>
  <c r="L12" i="5"/>
  <c r="N12" i="5"/>
  <c r="L65" i="3"/>
  <c r="N65" i="3"/>
  <c r="M65" i="3"/>
  <c r="G216" i="9"/>
  <c r="J216" i="9"/>
  <c r="D216" i="9"/>
  <c r="M216" i="9"/>
  <c r="L21" i="3"/>
  <c r="M21" i="3"/>
  <c r="N21" i="3"/>
  <c r="I63" i="3"/>
  <c r="H63" i="3"/>
  <c r="J63" i="3"/>
  <c r="D212" i="9"/>
  <c r="C244" i="9"/>
  <c r="G212" i="9"/>
  <c r="M212" i="9"/>
  <c r="J212" i="9"/>
  <c r="G153" i="9"/>
  <c r="D153" i="9"/>
  <c r="J153" i="9"/>
  <c r="M153" i="9"/>
  <c r="J62" i="9"/>
  <c r="G62" i="9"/>
  <c r="M62" i="9"/>
  <c r="D62" i="9"/>
  <c r="L75" i="3"/>
  <c r="M75" i="3"/>
  <c r="N75" i="3"/>
  <c r="L43" i="3"/>
  <c r="M43" i="3"/>
  <c r="N43" i="3"/>
  <c r="I46" i="3"/>
  <c r="H46" i="3"/>
  <c r="J46" i="3"/>
  <c r="D178" i="9"/>
  <c r="J178" i="9"/>
  <c r="G178" i="9"/>
  <c r="M178" i="9"/>
  <c r="R58" i="3"/>
  <c r="P58" i="3"/>
  <c r="Q58" i="3"/>
  <c r="N62" i="3"/>
  <c r="L62" i="3"/>
  <c r="M62" i="3"/>
  <c r="N15" i="5"/>
  <c r="M15" i="5"/>
  <c r="L15" i="5"/>
  <c r="L18" i="3"/>
  <c r="M18" i="3"/>
  <c r="N18" i="3"/>
  <c r="L130" i="9"/>
  <c r="K130" i="9" s="1"/>
  <c r="J6" i="9" s="1"/>
  <c r="D51" i="9"/>
  <c r="G51" i="9"/>
  <c r="J51" i="9"/>
  <c r="M51" i="9"/>
  <c r="D74" i="9"/>
  <c r="J74" i="9"/>
  <c r="M74" i="9"/>
  <c r="G74" i="9"/>
  <c r="M68" i="9"/>
  <c r="J68" i="9"/>
  <c r="G68" i="9"/>
  <c r="D68" i="9"/>
  <c r="J115" i="9"/>
  <c r="G115" i="9"/>
  <c r="M115" i="9"/>
  <c r="D115" i="9"/>
  <c r="R63" i="3"/>
  <c r="P63" i="3"/>
  <c r="Q63" i="3"/>
  <c r="N37" i="3"/>
  <c r="L37" i="3"/>
  <c r="M37" i="3"/>
  <c r="J42" i="9"/>
  <c r="D42" i="9"/>
  <c r="G42" i="9"/>
  <c r="M42" i="9"/>
  <c r="N17" i="3"/>
  <c r="L17" i="3"/>
  <c r="M17" i="3"/>
  <c r="D100" i="9"/>
  <c r="M100" i="9"/>
  <c r="G100" i="9"/>
  <c r="J100" i="9"/>
  <c r="G63" i="9"/>
  <c r="M63" i="9"/>
  <c r="J63" i="9"/>
  <c r="D63" i="9"/>
  <c r="G237" i="9"/>
  <c r="D237" i="9"/>
  <c r="J237" i="9"/>
  <c r="M237" i="9"/>
  <c r="M6" i="5"/>
  <c r="N6" i="5"/>
  <c r="L6" i="5"/>
  <c r="D128" i="9"/>
  <c r="G128" i="9"/>
  <c r="M128" i="9"/>
  <c r="J128" i="9"/>
  <c r="M220" i="9"/>
  <c r="D220" i="9"/>
  <c r="G220" i="9"/>
  <c r="J220" i="9"/>
  <c r="N11" i="5"/>
  <c r="L11" i="5"/>
  <c r="M11" i="5"/>
  <c r="G277" i="9"/>
  <c r="J277" i="9"/>
  <c r="M277" i="9"/>
  <c r="D277" i="9"/>
  <c r="M251" i="9"/>
  <c r="D251" i="9"/>
  <c r="J251" i="9"/>
  <c r="G251" i="9"/>
  <c r="J120" i="9"/>
  <c r="M120" i="9"/>
  <c r="D120" i="9"/>
  <c r="G120" i="9"/>
  <c r="G218" i="9"/>
  <c r="M218" i="9"/>
  <c r="J218" i="9"/>
  <c r="D218" i="9"/>
  <c r="G87" i="9"/>
  <c r="J87" i="9"/>
  <c r="D87" i="9"/>
  <c r="M87" i="9"/>
  <c r="H75" i="3"/>
  <c r="J75" i="3"/>
  <c r="I75" i="3"/>
  <c r="M191" i="9"/>
  <c r="J191" i="9"/>
  <c r="G191" i="9"/>
  <c r="D191" i="9"/>
  <c r="G113" i="9"/>
  <c r="J113" i="9"/>
  <c r="M113" i="9"/>
  <c r="D113" i="9"/>
  <c r="O54" i="9"/>
  <c r="N54" i="9" s="1"/>
  <c r="M16" i="9" s="1"/>
  <c r="F130" i="9"/>
  <c r="E130" i="9" s="1"/>
  <c r="D6" i="9" s="1"/>
  <c r="J273" i="9"/>
  <c r="G273" i="9"/>
  <c r="D273" i="9"/>
  <c r="M273" i="9"/>
  <c r="D109" i="9"/>
  <c r="G109" i="9"/>
  <c r="M109" i="9"/>
  <c r="J109" i="9"/>
  <c r="O282" i="9"/>
  <c r="N282" i="9" s="1"/>
  <c r="M14" i="9" s="1"/>
  <c r="J264" i="9"/>
  <c r="M264" i="9"/>
  <c r="D264" i="9"/>
  <c r="G264" i="9"/>
  <c r="J147" i="9"/>
  <c r="G147" i="9"/>
  <c r="D147" i="9"/>
  <c r="M147" i="9"/>
  <c r="G116" i="9"/>
  <c r="D116" i="9"/>
  <c r="M116" i="9"/>
  <c r="J116" i="9"/>
  <c r="L24" i="5"/>
  <c r="M24" i="5"/>
  <c r="N24" i="5"/>
  <c r="M19" i="3"/>
  <c r="L19" i="3"/>
  <c r="N19" i="3"/>
  <c r="L20" i="3"/>
  <c r="M20" i="3"/>
  <c r="N20" i="3"/>
  <c r="D224" i="9"/>
  <c r="J224" i="9"/>
  <c r="G224" i="9"/>
  <c r="M224" i="9"/>
  <c r="J162" i="9"/>
  <c r="G162" i="9"/>
  <c r="M162" i="9"/>
  <c r="D162" i="9"/>
  <c r="R60" i="3"/>
  <c r="P60" i="3"/>
  <c r="Q60" i="3"/>
  <c r="J47" i="9"/>
  <c r="G47" i="9"/>
  <c r="D47" i="9"/>
  <c r="M47" i="9"/>
  <c r="F206" i="9"/>
  <c r="E206" i="9" s="1"/>
  <c r="D8" i="9" s="1"/>
  <c r="J106" i="9"/>
  <c r="D106" i="9"/>
  <c r="G106" i="9"/>
  <c r="M106" i="9"/>
  <c r="M271" i="9"/>
  <c r="J271" i="9"/>
  <c r="G271" i="9"/>
  <c r="D271" i="9"/>
  <c r="M59" i="3"/>
  <c r="N59" i="3"/>
  <c r="L59" i="3"/>
  <c r="G223" i="9"/>
  <c r="J223" i="9"/>
  <c r="M223" i="9"/>
  <c r="D223" i="9"/>
  <c r="O168" i="9"/>
  <c r="N168" i="9" s="1"/>
  <c r="M12" i="9" s="1"/>
  <c r="N11" i="3"/>
  <c r="M11" i="3"/>
  <c r="L11" i="3"/>
  <c r="N68" i="3"/>
  <c r="L68" i="3"/>
  <c r="M68" i="3"/>
  <c r="D49" i="9"/>
  <c r="M49" i="9"/>
  <c r="J49" i="9"/>
  <c r="G49" i="9"/>
  <c r="L39" i="3"/>
  <c r="M39" i="3"/>
  <c r="N39" i="3"/>
  <c r="L40" i="3"/>
  <c r="M40" i="3"/>
  <c r="N40" i="3"/>
  <c r="J159" i="9"/>
  <c r="M159" i="9"/>
  <c r="D159" i="9"/>
  <c r="G159" i="9"/>
  <c r="I168" i="9"/>
  <c r="H168" i="9" s="1"/>
  <c r="G12" i="9" s="1"/>
  <c r="N58" i="3"/>
  <c r="L58" i="3"/>
  <c r="M58" i="3"/>
  <c r="M25" i="9"/>
  <c r="D25" i="9"/>
  <c r="G25" i="9"/>
  <c r="J25" i="9"/>
  <c r="D156" i="9"/>
  <c r="M156" i="9"/>
  <c r="J156" i="9"/>
  <c r="G156" i="9"/>
  <c r="D107" i="9"/>
  <c r="G107" i="9"/>
  <c r="J107" i="9"/>
  <c r="M107" i="9"/>
  <c r="N33" i="3"/>
  <c r="L33" i="3"/>
  <c r="M33" i="3"/>
  <c r="I65" i="3"/>
  <c r="J65" i="3"/>
  <c r="H65" i="3"/>
  <c r="J41" i="9"/>
  <c r="M41" i="9"/>
  <c r="G41" i="9"/>
  <c r="D41" i="9"/>
  <c r="J199" i="9"/>
  <c r="M199" i="9"/>
  <c r="D199" i="9"/>
  <c r="G199" i="9"/>
  <c r="L168" i="9"/>
  <c r="K168" i="9" s="1"/>
  <c r="J12" i="9" s="1"/>
  <c r="J186" i="9"/>
  <c r="G186" i="9"/>
  <c r="M186" i="9"/>
  <c r="D186" i="9"/>
  <c r="P37" i="3"/>
  <c r="Q37" i="3"/>
  <c r="R37" i="3"/>
  <c r="H32" i="3"/>
  <c r="J32" i="3"/>
  <c r="I32" i="3"/>
  <c r="R46" i="3"/>
  <c r="Q46" i="3"/>
  <c r="P46" i="3"/>
  <c r="M45" i="9"/>
  <c r="D45" i="9"/>
  <c r="J45" i="9"/>
  <c r="G45" i="9"/>
  <c r="J45" i="3"/>
  <c r="I45" i="3"/>
  <c r="H45" i="3"/>
  <c r="M228" i="9"/>
  <c r="G228" i="9"/>
  <c r="D228" i="9"/>
  <c r="J228" i="9"/>
  <c r="P74" i="3"/>
  <c r="R74" i="3"/>
  <c r="Q74" i="3"/>
  <c r="Q45" i="3"/>
  <c r="P45" i="3"/>
  <c r="R45" i="3"/>
  <c r="H57" i="3"/>
  <c r="J57" i="3"/>
  <c r="I57" i="3"/>
  <c r="M22" i="5"/>
  <c r="N22" i="5"/>
  <c r="L22" i="5"/>
  <c r="D165" i="9"/>
  <c r="G165" i="9"/>
  <c r="J165" i="9"/>
  <c r="M165" i="9"/>
  <c r="J70" i="3"/>
  <c r="H70" i="3"/>
  <c r="I70" i="3"/>
  <c r="G142" i="9"/>
  <c r="M142" i="9"/>
  <c r="D142" i="9"/>
  <c r="J142" i="9"/>
  <c r="D157" i="9"/>
  <c r="G157" i="9"/>
  <c r="M157" i="9"/>
  <c r="J157" i="9"/>
  <c r="M180" i="9"/>
  <c r="J180" i="9"/>
  <c r="D180" i="9"/>
  <c r="G180" i="9"/>
  <c r="F282" i="9"/>
  <c r="E282" i="9" s="1"/>
  <c r="D14" i="9" s="1"/>
  <c r="L21" i="5"/>
  <c r="M21" i="5"/>
  <c r="N21" i="5"/>
  <c r="M85" i="9"/>
  <c r="G85" i="9"/>
  <c r="J85" i="9"/>
  <c r="D85" i="9"/>
  <c r="J267" i="9"/>
  <c r="G267" i="9"/>
  <c r="D267" i="9"/>
  <c r="M267" i="9"/>
  <c r="I44" i="3"/>
  <c r="J44" i="3"/>
  <c r="H44" i="3"/>
  <c r="P69" i="3"/>
  <c r="Q69" i="3"/>
  <c r="R69" i="3"/>
  <c r="J234" i="9"/>
  <c r="D234" i="9"/>
  <c r="M234" i="9"/>
  <c r="G234" i="9"/>
  <c r="N7" i="5"/>
  <c r="M7" i="5"/>
  <c r="L7" i="5"/>
  <c r="M193" i="9"/>
  <c r="D193" i="9"/>
  <c r="J193" i="9"/>
  <c r="G193" i="9"/>
  <c r="I92" i="9"/>
  <c r="H92" i="9" s="1"/>
  <c r="G4" i="9" s="1"/>
  <c r="J103" i="9"/>
  <c r="G103" i="9"/>
  <c r="M103" i="9"/>
  <c r="D103" i="9"/>
  <c r="L6" i="3"/>
  <c r="M6" i="3"/>
  <c r="N6" i="3"/>
  <c r="N70" i="3"/>
  <c r="M70" i="3"/>
  <c r="L70" i="3"/>
  <c r="M124" i="9"/>
  <c r="J124" i="9"/>
  <c r="G124" i="9"/>
  <c r="D124" i="9"/>
  <c r="O92" i="9"/>
  <c r="N92" i="9" s="1"/>
  <c r="M4" i="9" s="1"/>
  <c r="M149" i="9"/>
  <c r="G149" i="9"/>
  <c r="D149" i="9"/>
  <c r="J149" i="9"/>
  <c r="J39" i="9"/>
  <c r="M39" i="9"/>
  <c r="G39" i="9"/>
  <c r="D39" i="9"/>
  <c r="M188" i="9"/>
  <c r="J188" i="9"/>
  <c r="D188" i="9"/>
  <c r="G188" i="9"/>
  <c r="N19" i="5"/>
  <c r="M19" i="5"/>
  <c r="L19" i="5"/>
  <c r="H39" i="3"/>
  <c r="J39" i="3"/>
  <c r="I39" i="3"/>
  <c r="M226" i="9"/>
  <c r="D226" i="9"/>
  <c r="G226" i="9"/>
  <c r="J226" i="9"/>
  <c r="I244" i="9"/>
  <c r="H244" i="9" s="1"/>
  <c r="G10" i="9" s="1"/>
  <c r="G278" i="9"/>
  <c r="D278" i="9"/>
  <c r="J278" i="9"/>
  <c r="M278" i="9"/>
  <c r="M201" i="9"/>
  <c r="G201" i="9"/>
  <c r="D201" i="9"/>
  <c r="J201" i="9"/>
  <c r="L46" i="3"/>
  <c r="N46" i="3"/>
  <c r="M46" i="3"/>
  <c r="M253" i="9"/>
  <c r="G253" i="9"/>
  <c r="J253" i="9"/>
  <c r="D253" i="9"/>
  <c r="J61" i="3"/>
  <c r="I61" i="3"/>
  <c r="H61" i="3"/>
  <c r="I206" i="9"/>
  <c r="H206" i="9" s="1"/>
  <c r="G8" i="9" s="1"/>
  <c r="I34" i="3"/>
  <c r="J34" i="3"/>
  <c r="H34" i="3"/>
  <c r="J72" i="3"/>
  <c r="H72" i="3"/>
  <c r="I72" i="3"/>
  <c r="I66" i="3"/>
  <c r="H66" i="3"/>
  <c r="J66" i="3"/>
  <c r="G69" i="9"/>
  <c r="D69" i="9"/>
  <c r="J69" i="9"/>
  <c r="M69" i="9"/>
  <c r="M47" i="3"/>
  <c r="L47" i="3"/>
  <c r="N47" i="3"/>
  <c r="M268" i="9"/>
  <c r="D268" i="9"/>
  <c r="G268" i="9"/>
  <c r="J268" i="9"/>
  <c r="G111" i="9"/>
  <c r="D111" i="9"/>
  <c r="M111" i="9"/>
  <c r="J111" i="9"/>
  <c r="I33" i="3"/>
  <c r="H33" i="3"/>
  <c r="J33" i="3"/>
  <c r="G79" i="9"/>
  <c r="J79" i="9"/>
  <c r="D79" i="9"/>
  <c r="M79" i="9"/>
  <c r="M52" i="9"/>
  <c r="D52" i="9"/>
  <c r="J52" i="9"/>
  <c r="G52" i="9"/>
  <c r="Q38" i="3"/>
  <c r="R38" i="3"/>
  <c r="P38" i="3"/>
  <c r="D71" i="9"/>
  <c r="G71" i="9"/>
  <c r="M71" i="9"/>
  <c r="J71" i="9"/>
  <c r="M257" i="9"/>
  <c r="D257" i="9"/>
  <c r="J257" i="9"/>
  <c r="G257" i="9"/>
  <c r="L16" i="3"/>
  <c r="M16" i="3"/>
  <c r="N16" i="3"/>
  <c r="G280" i="9"/>
  <c r="M280" i="9"/>
  <c r="J280" i="9"/>
  <c r="D280" i="9"/>
  <c r="J166" i="9"/>
  <c r="D166" i="9"/>
  <c r="G166" i="9"/>
  <c r="M166" i="9"/>
  <c r="L48" i="3"/>
  <c r="M48" i="3"/>
  <c r="N48" i="3"/>
  <c r="G239" i="9"/>
  <c r="M239" i="9"/>
  <c r="J239" i="9"/>
  <c r="D239" i="9"/>
  <c r="G86" i="9"/>
  <c r="M86" i="9"/>
  <c r="J86" i="9"/>
  <c r="D86" i="9"/>
  <c r="M29" i="9"/>
  <c r="D29" i="9"/>
  <c r="G29" i="9"/>
  <c r="J29" i="9"/>
  <c r="I69" i="3"/>
  <c r="J69" i="3"/>
  <c r="H69" i="3"/>
  <c r="M163" i="9"/>
  <c r="G163" i="9"/>
  <c r="J163" i="9"/>
  <c r="D163" i="9"/>
  <c r="G266" i="9"/>
  <c r="D266" i="9"/>
  <c r="M266" i="9"/>
  <c r="J266" i="9"/>
  <c r="D270" i="9"/>
  <c r="G270" i="9"/>
  <c r="J270" i="9"/>
  <c r="M270" i="9"/>
  <c r="G196" i="9"/>
  <c r="D196" i="9"/>
  <c r="J196" i="9"/>
  <c r="M196" i="9"/>
  <c r="D72" i="9"/>
  <c r="J72" i="9"/>
  <c r="M72" i="9"/>
  <c r="G72" i="9"/>
  <c r="J137" i="9"/>
  <c r="D137" i="9"/>
  <c r="G137" i="9"/>
  <c r="M137" i="9"/>
  <c r="M82" i="9"/>
  <c r="D82" i="9"/>
  <c r="G82" i="9"/>
  <c r="J82" i="9"/>
  <c r="M66" i="3"/>
  <c r="L66" i="3"/>
  <c r="N66" i="3"/>
  <c r="R61" i="3"/>
  <c r="P61" i="3"/>
  <c r="Q61" i="3"/>
  <c r="J146" i="9"/>
  <c r="M146" i="9"/>
  <c r="G146" i="9"/>
  <c r="D146" i="9"/>
  <c r="J46" i="9"/>
  <c r="G46" i="9"/>
  <c r="M46" i="9"/>
  <c r="D46" i="9"/>
  <c r="D126" i="9"/>
  <c r="G126" i="9"/>
  <c r="M126" i="9"/>
  <c r="J126" i="9"/>
  <c r="J252" i="9"/>
  <c r="D252" i="9"/>
  <c r="M252" i="9"/>
  <c r="G252" i="9"/>
  <c r="G238" i="9"/>
  <c r="D238" i="9"/>
  <c r="J238" i="9"/>
  <c r="M238" i="9"/>
  <c r="N60" i="3"/>
  <c r="M60" i="3"/>
  <c r="L60" i="3"/>
  <c r="M102" i="9"/>
  <c r="G102" i="9"/>
  <c r="J102" i="9"/>
  <c r="D102" i="9"/>
  <c r="M18" i="5"/>
  <c r="N18" i="5"/>
  <c r="L18" i="5"/>
  <c r="D64" i="9"/>
  <c r="M64" i="9"/>
  <c r="J64" i="9"/>
  <c r="G64" i="9"/>
  <c r="N32" i="3"/>
  <c r="M32" i="3"/>
  <c r="L32" i="3"/>
  <c r="R48" i="3"/>
  <c r="P48" i="3"/>
  <c r="Q48" i="3"/>
  <c r="M84" i="9"/>
  <c r="D84" i="9"/>
  <c r="J84" i="9"/>
  <c r="G84" i="9"/>
  <c r="R67" i="3"/>
  <c r="P67" i="3"/>
  <c r="Q67" i="3"/>
  <c r="M71" i="3"/>
  <c r="N71" i="3"/>
  <c r="L71" i="3"/>
  <c r="L22" i="3"/>
  <c r="M22" i="3"/>
  <c r="N22" i="3"/>
  <c r="G219" i="9"/>
  <c r="D219" i="9"/>
  <c r="J219" i="9"/>
  <c r="M219" i="9"/>
  <c r="H48" i="3"/>
  <c r="I48" i="3"/>
  <c r="J48" i="3"/>
  <c r="Q57" i="3"/>
  <c r="P57" i="3"/>
  <c r="R57" i="3"/>
  <c r="M141" i="9"/>
  <c r="D141" i="9"/>
  <c r="G141" i="9"/>
  <c r="J141" i="9"/>
  <c r="J222" i="9"/>
  <c r="D222" i="9"/>
  <c r="G222" i="9"/>
  <c r="M222" i="9"/>
  <c r="D98" i="9"/>
  <c r="M98" i="9"/>
  <c r="J98" i="9"/>
  <c r="C130" i="9"/>
  <c r="G98" i="9"/>
  <c r="F92" i="9"/>
  <c r="E92" i="9" s="1"/>
  <c r="D4" i="9" s="1"/>
  <c r="N61" i="3"/>
  <c r="M61" i="3"/>
  <c r="L61" i="3"/>
  <c r="J174" i="9"/>
  <c r="G174" i="9"/>
  <c r="D174" i="9"/>
  <c r="C206" i="9"/>
  <c r="M174" i="9"/>
  <c r="P68" i="3"/>
  <c r="R68" i="3"/>
  <c r="Q68" i="3"/>
  <c r="M214" i="9"/>
  <c r="G214" i="9"/>
  <c r="D214" i="9"/>
  <c r="J214" i="9"/>
  <c r="M41" i="3"/>
  <c r="N41" i="3"/>
  <c r="L41" i="3"/>
  <c r="G197" i="9"/>
  <c r="J197" i="9"/>
  <c r="D197" i="9"/>
  <c r="M197" i="9"/>
  <c r="M13" i="3"/>
  <c r="N13" i="3"/>
  <c r="L13" i="3"/>
  <c r="Q39" i="3"/>
  <c r="P39" i="3"/>
  <c r="R39" i="3"/>
  <c r="J64" i="3"/>
  <c r="H64" i="3"/>
  <c r="I64" i="3"/>
  <c r="G105" i="9"/>
  <c r="J105" i="9"/>
  <c r="D105" i="9"/>
  <c r="M105" i="9"/>
  <c r="L74" i="3"/>
  <c r="N74" i="3"/>
  <c r="M74" i="3"/>
  <c r="L16" i="5"/>
  <c r="N16" i="5"/>
  <c r="M16" i="5"/>
  <c r="J229" i="9"/>
  <c r="G229" i="9"/>
  <c r="D229" i="9"/>
  <c r="M229" i="9"/>
  <c r="M112" i="9"/>
  <c r="D112" i="9"/>
  <c r="J112" i="9"/>
  <c r="G112" i="9"/>
  <c r="H62" i="3"/>
  <c r="I62" i="3"/>
  <c r="J62" i="3"/>
  <c r="H36" i="3"/>
  <c r="J36" i="3"/>
  <c r="I36" i="3"/>
  <c r="P64" i="3"/>
  <c r="R64" i="3"/>
  <c r="Q64" i="3"/>
  <c r="L7" i="3"/>
  <c r="M7" i="3"/>
  <c r="N7" i="3"/>
  <c r="J274" i="9"/>
  <c r="M274" i="9"/>
  <c r="D274" i="9"/>
  <c r="G274" i="9"/>
  <c r="G90" i="9"/>
  <c r="D90" i="9"/>
  <c r="M90" i="9"/>
  <c r="J90" i="9"/>
  <c r="R73" i="3"/>
  <c r="Q73" i="3"/>
  <c r="P73" i="3"/>
  <c r="P41" i="3"/>
  <c r="Q41" i="3"/>
  <c r="R41" i="3"/>
  <c r="L9" i="3"/>
  <c r="N9" i="3"/>
  <c r="M9" i="3"/>
  <c r="I60" i="3"/>
  <c r="J60" i="3"/>
  <c r="H60" i="3"/>
  <c r="D215" i="9"/>
  <c r="G215" i="9"/>
  <c r="J215" i="9"/>
  <c r="M215" i="9"/>
  <c r="Q62" i="3"/>
  <c r="P62" i="3"/>
  <c r="R62" i="3"/>
  <c r="D203" i="9"/>
  <c r="G203" i="9"/>
  <c r="M203" i="9"/>
  <c r="J203" i="9"/>
  <c r="I40" i="3"/>
  <c r="J40" i="3"/>
  <c r="H40" i="3"/>
  <c r="J81" i="9"/>
  <c r="M81" i="9"/>
  <c r="G81" i="9"/>
  <c r="D81" i="9"/>
  <c r="M262" i="9"/>
  <c r="G262" i="9"/>
  <c r="D262" i="9"/>
  <c r="J262" i="9"/>
  <c r="D183" i="9"/>
  <c r="G183" i="9"/>
  <c r="J183" i="9"/>
  <c r="M183" i="9"/>
  <c r="G250" i="9"/>
  <c r="J250" i="9"/>
  <c r="M250" i="9"/>
  <c r="D250" i="9"/>
  <c r="C282" i="9"/>
  <c r="J145" i="9"/>
  <c r="G145" i="9"/>
  <c r="M145" i="9"/>
  <c r="D145" i="9"/>
  <c r="M88" i="9"/>
  <c r="G88" i="9"/>
  <c r="D88" i="9"/>
  <c r="J88" i="9"/>
  <c r="N34" i="3"/>
  <c r="M34" i="3"/>
  <c r="L34" i="3"/>
  <c r="G164" i="9"/>
  <c r="M164" i="9"/>
  <c r="D164" i="9"/>
  <c r="J164" i="9"/>
  <c r="J195" i="9"/>
  <c r="D195" i="9"/>
  <c r="G195" i="9"/>
  <c r="M195" i="9"/>
  <c r="D138" i="9"/>
  <c r="M138" i="9"/>
  <c r="G138" i="9"/>
  <c r="J138" i="9"/>
  <c r="L31" i="3"/>
  <c r="N31" i="3"/>
  <c r="M31" i="3"/>
  <c r="M69" i="3"/>
  <c r="L69" i="3"/>
  <c r="N69" i="3"/>
  <c r="G236" i="9"/>
  <c r="M236" i="9"/>
  <c r="J236" i="9"/>
  <c r="D236" i="9"/>
  <c r="G279" i="9"/>
  <c r="D279" i="9"/>
  <c r="M279" i="9"/>
  <c r="J279" i="9"/>
  <c r="M123" i="9"/>
  <c r="D123" i="9"/>
  <c r="J123" i="9"/>
  <c r="G123" i="9"/>
  <c r="C92" i="9"/>
  <c r="J60" i="9"/>
  <c r="D60" i="9"/>
  <c r="M60" i="9"/>
  <c r="G60" i="9"/>
  <c r="P70" i="3"/>
  <c r="Q70" i="3"/>
  <c r="R70" i="3"/>
  <c r="I58" i="3"/>
  <c r="H58" i="3"/>
  <c r="J58" i="3"/>
  <c r="M44" i="3"/>
  <c r="N44" i="3"/>
  <c r="L44" i="3"/>
  <c r="D104" i="9"/>
  <c r="M104" i="9"/>
  <c r="J104" i="9"/>
  <c r="G104" i="9"/>
  <c r="J225" i="9"/>
  <c r="M225" i="9"/>
  <c r="G225" i="9"/>
  <c r="D225" i="9"/>
  <c r="I67" i="3"/>
  <c r="J67" i="3"/>
  <c r="H67" i="3"/>
  <c r="M50" i="3"/>
  <c r="L50" i="3"/>
  <c r="N50" i="3"/>
  <c r="D269" i="9"/>
  <c r="J269" i="9"/>
  <c r="M269" i="9"/>
  <c r="G269" i="9"/>
  <c r="M177" i="9"/>
  <c r="J177" i="9"/>
  <c r="G177" i="9"/>
  <c r="D177" i="9"/>
  <c r="J181" i="9"/>
  <c r="G181" i="9"/>
  <c r="M181" i="9"/>
  <c r="D181" i="9"/>
  <c r="M184" i="9"/>
  <c r="G184" i="9"/>
  <c r="J184" i="9"/>
  <c r="D184" i="9"/>
  <c r="L73" i="3"/>
  <c r="N73" i="3"/>
  <c r="M73" i="3"/>
  <c r="M108" i="9"/>
  <c r="J108" i="9"/>
  <c r="G108" i="9"/>
  <c r="D108" i="9"/>
  <c r="G158" i="9"/>
  <c r="J158" i="9"/>
  <c r="D158" i="9"/>
  <c r="M158" i="9"/>
  <c r="D43" i="9"/>
  <c r="G43" i="9"/>
  <c r="M43" i="9"/>
  <c r="J43" i="9"/>
  <c r="I35" i="3"/>
  <c r="H35" i="3"/>
  <c r="J35" i="3"/>
  <c r="J35" i="9"/>
  <c r="G35" i="9"/>
  <c r="M35" i="9"/>
  <c r="D35" i="9"/>
  <c r="G235" i="9"/>
  <c r="M235" i="9"/>
  <c r="J235" i="9"/>
  <c r="D235" i="9"/>
  <c r="D198" i="9"/>
  <c r="M198" i="9"/>
  <c r="J198" i="9"/>
  <c r="G198" i="9"/>
  <c r="M40" i="9"/>
  <c r="G40" i="9"/>
  <c r="J40" i="9"/>
  <c r="D40" i="9"/>
  <c r="N25" i="5"/>
  <c r="L25" i="5"/>
  <c r="M25" i="5"/>
  <c r="P44" i="3"/>
  <c r="Q44" i="3"/>
  <c r="R44" i="3"/>
  <c r="Q56" i="3"/>
  <c r="P56" i="3"/>
  <c r="R56" i="3"/>
  <c r="M38" i="9"/>
  <c r="D38" i="9"/>
  <c r="J38" i="9"/>
  <c r="G38" i="9"/>
  <c r="Q31" i="3"/>
  <c r="P31" i="3"/>
  <c r="R31" i="3"/>
  <c r="M125" i="9"/>
  <c r="J125" i="9"/>
  <c r="G125" i="9"/>
  <c r="D125" i="9"/>
  <c r="O206" i="9"/>
  <c r="N206" i="9" s="1"/>
  <c r="M8" i="9" s="1"/>
  <c r="G33" i="9"/>
  <c r="D33" i="9"/>
  <c r="M33" i="9"/>
  <c r="J33" i="9"/>
  <c r="P72" i="3"/>
  <c r="R72" i="3"/>
  <c r="Q72" i="3"/>
  <c r="G48" i="9"/>
  <c r="J48" i="9"/>
  <c r="D48" i="9"/>
  <c r="M48" i="9"/>
  <c r="M217" i="9"/>
  <c r="J217" i="9"/>
  <c r="D217" i="9"/>
  <c r="G217" i="9"/>
  <c r="F168" i="9"/>
  <c r="E168" i="9" s="1"/>
  <c r="D12" i="9" s="1"/>
  <c r="J49" i="3"/>
  <c r="H49" i="3"/>
  <c r="I49" i="3"/>
  <c r="G152" i="9"/>
  <c r="M152" i="9"/>
  <c r="D152" i="9"/>
  <c r="J152" i="9"/>
  <c r="G44" i="9"/>
  <c r="M44" i="9"/>
  <c r="J44" i="9"/>
  <c r="D44" i="9"/>
  <c r="M23" i="5"/>
  <c r="L23" i="5"/>
  <c r="N23" i="5"/>
  <c r="H68" i="3"/>
  <c r="I68" i="3"/>
  <c r="J68" i="3"/>
  <c r="M144" i="9"/>
  <c r="D144" i="9"/>
  <c r="G144" i="9"/>
  <c r="J144" i="9"/>
  <c r="J71" i="3"/>
  <c r="I71" i="3"/>
  <c r="H71" i="3"/>
  <c r="J89" i="9"/>
  <c r="D89" i="9"/>
  <c r="G89" i="9"/>
  <c r="M89" i="9"/>
  <c r="G70" i="9"/>
  <c r="J70" i="9"/>
  <c r="M70" i="9"/>
  <c r="D70" i="9"/>
  <c r="M143" i="9"/>
  <c r="J143" i="9"/>
  <c r="D143" i="9"/>
  <c r="G143" i="9"/>
  <c r="Q35" i="3"/>
  <c r="P35" i="3"/>
  <c r="R35" i="3"/>
  <c r="G276" i="9"/>
  <c r="M276" i="9"/>
  <c r="J276" i="9"/>
  <c r="D276" i="9"/>
  <c r="M31" i="9"/>
  <c r="J31" i="9"/>
  <c r="G31" i="9"/>
  <c r="D31" i="9"/>
  <c r="G76" i="9"/>
  <c r="M76" i="9"/>
  <c r="D76" i="9"/>
  <c r="J76" i="9"/>
  <c r="D140" i="9"/>
  <c r="G140" i="9"/>
  <c r="M140" i="9"/>
  <c r="J140" i="9"/>
  <c r="J241" i="9"/>
  <c r="D241" i="9"/>
  <c r="G241" i="9"/>
  <c r="M241" i="9"/>
  <c r="Q49" i="3"/>
  <c r="P49" i="3"/>
  <c r="R49" i="3"/>
  <c r="J80" i="9"/>
  <c r="M80" i="9"/>
  <c r="D80" i="9"/>
  <c r="G80" i="9"/>
  <c r="Q43" i="3"/>
  <c r="P43" i="3"/>
  <c r="R43" i="3"/>
  <c r="M260" i="9"/>
  <c r="J260" i="9"/>
  <c r="G260" i="9"/>
  <c r="D260" i="9"/>
  <c r="G150" i="9"/>
  <c r="J150" i="9"/>
  <c r="M150" i="9"/>
  <c r="D150" i="9"/>
  <c r="J189" i="9"/>
  <c r="G189" i="9"/>
  <c r="M189" i="9"/>
  <c r="D189" i="9"/>
  <c r="M23" i="3"/>
  <c r="N23" i="3"/>
  <c r="L23" i="3"/>
  <c r="L282" i="9"/>
  <c r="K282" i="9" s="1"/>
  <c r="J14" i="9" s="1"/>
  <c r="L206" i="9"/>
  <c r="K206" i="9" s="1"/>
  <c r="J8" i="9" s="1"/>
  <c r="M110" i="9"/>
  <c r="J110" i="9"/>
  <c r="G110" i="9"/>
  <c r="D110" i="9"/>
  <c r="M30" i="9"/>
  <c r="D30" i="9"/>
  <c r="G30" i="9"/>
  <c r="J30" i="9"/>
  <c r="N56" i="3"/>
  <c r="M56" i="3"/>
  <c r="L56" i="3"/>
  <c r="N12" i="3"/>
  <c r="M12" i="3"/>
  <c r="L12" i="3"/>
  <c r="G200" i="9"/>
  <c r="M200" i="9"/>
  <c r="D200" i="9"/>
  <c r="J200" i="9"/>
  <c r="G160" i="9"/>
  <c r="J160" i="9"/>
  <c r="M160" i="9"/>
  <c r="D160" i="9"/>
  <c r="G263" i="9"/>
  <c r="J263" i="9"/>
  <c r="D263" i="9"/>
  <c r="M263" i="9"/>
  <c r="D101" i="9"/>
  <c r="M101" i="9"/>
  <c r="J101" i="9"/>
  <c r="G101" i="9"/>
  <c r="G230" i="9"/>
  <c r="J230" i="9"/>
  <c r="D230" i="9"/>
  <c r="M230" i="9"/>
  <c r="I54" i="9"/>
  <c r="H54" i="9" s="1"/>
  <c r="G16" i="9" s="1"/>
  <c r="N14" i="5"/>
  <c r="L14" i="5"/>
  <c r="M14" i="5"/>
  <c r="J202" i="9"/>
  <c r="D202" i="9"/>
  <c r="G202" i="9"/>
  <c r="M202" i="9"/>
  <c r="G32" i="9"/>
  <c r="D32" i="9"/>
  <c r="J32" i="9"/>
  <c r="M32" i="9"/>
  <c r="H47" i="3"/>
  <c r="J47" i="3"/>
  <c r="I47" i="3"/>
  <c r="Q65" i="3"/>
  <c r="P65" i="3"/>
  <c r="R65" i="3"/>
  <c r="G99" i="9"/>
  <c r="M99" i="9"/>
  <c r="D99" i="9"/>
  <c r="J99" i="9"/>
  <c r="D261" i="9"/>
  <c r="M261" i="9"/>
  <c r="G261" i="9"/>
  <c r="J261" i="9"/>
  <c r="G24" i="9"/>
  <c r="D24" i="9"/>
  <c r="J24" i="9"/>
  <c r="M24" i="9"/>
  <c r="D221" i="9"/>
  <c r="J221" i="9"/>
  <c r="M221" i="9"/>
  <c r="G221" i="9"/>
  <c r="L54" i="9"/>
  <c r="K54" i="9" s="1"/>
  <c r="J16" i="9" s="1"/>
  <c r="M151" i="9"/>
  <c r="G151" i="9"/>
  <c r="J151" i="9"/>
  <c r="D151" i="9"/>
  <c r="M20" i="5"/>
  <c r="L20" i="5"/>
  <c r="N20" i="5"/>
  <c r="M10" i="3"/>
  <c r="N10" i="3"/>
  <c r="L10" i="3"/>
  <c r="M190" i="9"/>
  <c r="D190" i="9"/>
  <c r="G190" i="9"/>
  <c r="J190" i="9"/>
  <c r="M272" i="9"/>
  <c r="D272" i="9"/>
  <c r="G272" i="9"/>
  <c r="J272" i="9"/>
  <c r="H43" i="3"/>
  <c r="J43" i="3"/>
  <c r="I43" i="3"/>
  <c r="L63" i="3"/>
  <c r="M63" i="3"/>
  <c r="N63" i="3"/>
  <c r="M119" i="9"/>
  <c r="D119" i="9"/>
  <c r="G119" i="9"/>
  <c r="J119" i="9"/>
  <c r="Q59" i="3"/>
  <c r="R59" i="3"/>
  <c r="P59" i="3"/>
  <c r="H59" i="3"/>
  <c r="J59" i="3"/>
  <c r="I59" i="3"/>
  <c r="I282" i="9"/>
  <c r="H282" i="9" s="1"/>
  <c r="G14" i="9" s="1"/>
  <c r="D78" i="9"/>
  <c r="G78" i="9"/>
  <c r="J78" i="9"/>
  <c r="M78" i="9"/>
  <c r="P42" i="3"/>
  <c r="R42" i="3"/>
  <c r="Q42" i="3"/>
  <c r="M259" i="9"/>
  <c r="G259" i="9"/>
  <c r="D259" i="9"/>
  <c r="J259" i="9"/>
  <c r="M83" i="9"/>
  <c r="D83" i="9"/>
  <c r="G83" i="9"/>
  <c r="J83" i="9"/>
  <c r="Q33" i="3"/>
  <c r="R33" i="3"/>
  <c r="P33" i="3"/>
  <c r="R40" i="3"/>
  <c r="P40" i="3"/>
  <c r="Q40" i="3"/>
  <c r="G139" i="9"/>
  <c r="J139" i="9"/>
  <c r="M139" i="9"/>
  <c r="D139" i="9"/>
  <c r="G240" i="9"/>
  <c r="D240" i="9"/>
  <c r="J240" i="9"/>
  <c r="M240" i="9"/>
  <c r="L38" i="3"/>
  <c r="N38" i="3"/>
  <c r="M38" i="3"/>
  <c r="M15" i="3"/>
  <c r="L15" i="3"/>
  <c r="N15" i="3"/>
  <c r="J61" i="9"/>
  <c r="D61" i="9"/>
  <c r="M61" i="9"/>
  <c r="G61" i="9"/>
  <c r="R47" i="3"/>
  <c r="P47" i="3"/>
  <c r="Q47" i="3"/>
  <c r="L244" i="9"/>
  <c r="K244" i="9" s="1"/>
  <c r="J10" i="9" s="1"/>
  <c r="J75" i="9"/>
  <c r="D75" i="9"/>
  <c r="M75" i="9"/>
  <c r="G75" i="9"/>
  <c r="I56" i="3"/>
  <c r="J56" i="3"/>
  <c r="H56" i="3"/>
  <c r="M232" i="9"/>
  <c r="D232" i="9"/>
  <c r="G232" i="9"/>
  <c r="J232" i="9"/>
  <c r="D26" i="9"/>
  <c r="G26" i="9"/>
  <c r="M26" i="9"/>
  <c r="J26" i="9"/>
  <c r="M9" i="5"/>
  <c r="L9" i="5"/>
  <c r="N9" i="5"/>
  <c r="M148" i="9"/>
  <c r="J148" i="9"/>
  <c r="G148" i="9"/>
  <c r="D148" i="9"/>
  <c r="M42" i="3"/>
  <c r="L42" i="3"/>
  <c r="N42" i="3"/>
  <c r="I73" i="3"/>
  <c r="J73" i="3"/>
  <c r="H73" i="3"/>
  <c r="Q32" i="3"/>
  <c r="P32" i="3"/>
  <c r="R32" i="3"/>
  <c r="O244" i="9"/>
  <c r="N244" i="9" s="1"/>
  <c r="M10" i="9" s="1"/>
  <c r="G114" i="9"/>
  <c r="J114" i="9"/>
  <c r="M114" i="9"/>
  <c r="D114" i="9"/>
  <c r="D65" i="9"/>
  <c r="G65" i="9"/>
  <c r="J65" i="9"/>
  <c r="M65" i="9"/>
  <c r="I38" i="3"/>
  <c r="J38" i="3"/>
  <c r="H38" i="3"/>
  <c r="N14" i="3"/>
  <c r="L14" i="3"/>
  <c r="M14" i="3"/>
  <c r="F54" i="9"/>
  <c r="M67" i="3"/>
  <c r="N67" i="3"/>
  <c r="L67" i="3"/>
  <c r="M242" i="9"/>
  <c r="G242" i="9"/>
  <c r="D242" i="9"/>
  <c r="J242" i="9"/>
  <c r="Q75" i="3"/>
  <c r="R75" i="3"/>
  <c r="P75" i="3"/>
  <c r="G187" i="9"/>
  <c r="J187" i="9"/>
  <c r="M187" i="9"/>
  <c r="D187" i="9"/>
  <c r="G77" i="9"/>
  <c r="J77" i="9"/>
  <c r="M77" i="9"/>
  <c r="D77" i="9"/>
  <c r="J66" i="9"/>
  <c r="G66" i="9"/>
  <c r="M66" i="9"/>
  <c r="D66" i="9"/>
  <c r="H50" i="3"/>
  <c r="J50" i="3"/>
  <c r="I50" i="3"/>
  <c r="N49" i="3"/>
  <c r="M49" i="3"/>
  <c r="L49" i="3"/>
  <c r="M122" i="9"/>
  <c r="G122" i="9"/>
  <c r="D122" i="9"/>
  <c r="J122" i="9"/>
  <c r="M35" i="3"/>
  <c r="L35" i="3"/>
  <c r="N35" i="3"/>
  <c r="M67" i="9"/>
  <c r="D67" i="9"/>
  <c r="G67" i="9"/>
  <c r="J67" i="9"/>
  <c r="J155" i="9"/>
  <c r="G155" i="9"/>
  <c r="D155" i="9"/>
  <c r="M155" i="9"/>
  <c r="J231" i="9"/>
  <c r="G231" i="9"/>
  <c r="M231" i="9"/>
  <c r="D231" i="9"/>
  <c r="M64" i="3"/>
  <c r="L64" i="3"/>
  <c r="N64" i="3"/>
  <c r="R71" i="3"/>
  <c r="Q71" i="3"/>
  <c r="P71" i="3"/>
  <c r="L13" i="5"/>
  <c r="N13" i="5"/>
  <c r="M13" i="5"/>
  <c r="M17" i="5"/>
  <c r="N17" i="5"/>
  <c r="L17" i="5"/>
  <c r="M136" i="9"/>
  <c r="D136" i="9"/>
  <c r="J136" i="9"/>
  <c r="G136" i="9"/>
  <c r="C168" i="9"/>
  <c r="M10" i="5"/>
  <c r="N10" i="5"/>
  <c r="L10" i="5"/>
  <c r="Q34" i="3"/>
  <c r="P34" i="3"/>
  <c r="R34" i="3"/>
  <c r="H74" i="3"/>
  <c r="J74" i="3"/>
  <c r="I74" i="3"/>
  <c r="G179" i="9"/>
  <c r="M179" i="9"/>
  <c r="D179" i="9"/>
  <c r="J179" i="9"/>
  <c r="D194" i="9"/>
  <c r="G194" i="9"/>
  <c r="J194" i="9"/>
  <c r="M194" i="9"/>
  <c r="D34" i="9"/>
  <c r="G34" i="9"/>
  <c r="M34" i="9"/>
  <c r="J34" i="9"/>
  <c r="G161" i="9"/>
  <c r="J161" i="9"/>
  <c r="D161" i="9"/>
  <c r="M161" i="9"/>
  <c r="J227" i="9"/>
  <c r="D227" i="9"/>
  <c r="G227" i="9"/>
  <c r="M227" i="9"/>
  <c r="G192" i="9"/>
  <c r="M192" i="9"/>
  <c r="D192" i="9"/>
  <c r="J192" i="9"/>
  <c r="N8" i="5"/>
  <c r="L8" i="5"/>
  <c r="M8" i="5"/>
  <c r="G256" i="9"/>
  <c r="M256" i="9"/>
  <c r="J256" i="9"/>
  <c r="D256" i="9"/>
  <c r="D27" i="9"/>
  <c r="M27" i="9"/>
  <c r="G27" i="9"/>
  <c r="J27" i="9"/>
  <c r="M121" i="9"/>
  <c r="J121" i="9"/>
  <c r="G121" i="9"/>
  <c r="D121" i="9"/>
  <c r="G127" i="9"/>
  <c r="D127" i="9"/>
  <c r="J127" i="9"/>
  <c r="M127" i="9"/>
  <c r="G22" i="9"/>
  <c r="M22" i="9"/>
  <c r="D22" i="9"/>
  <c r="C54" i="9"/>
  <c r="J22" i="9"/>
  <c r="F244" i="9"/>
  <c r="E244" i="9" s="1"/>
  <c r="D10" i="9" s="1"/>
  <c r="J37" i="9"/>
  <c r="M37" i="9"/>
  <c r="G37" i="9"/>
  <c r="D37" i="9"/>
  <c r="D176" i="9"/>
  <c r="M176" i="9"/>
  <c r="J176" i="9"/>
  <c r="G176" i="9"/>
  <c r="M118" i="9"/>
  <c r="J118" i="9"/>
  <c r="G118" i="9"/>
  <c r="D118" i="9"/>
  <c r="L45" i="3"/>
  <c r="M45" i="3"/>
  <c r="N45" i="3"/>
  <c r="D54" i="9" l="1"/>
  <c r="G168" i="9"/>
  <c r="G130" i="9"/>
  <c r="M54" i="9"/>
  <c r="J168" i="9"/>
  <c r="G92" i="9"/>
  <c r="M282" i="9"/>
  <c r="D206" i="9"/>
  <c r="D282" i="9"/>
  <c r="J54" i="9"/>
  <c r="G54" i="9"/>
  <c r="D168" i="9"/>
  <c r="M92" i="9"/>
  <c r="J282" i="9"/>
  <c r="G206" i="9"/>
  <c r="J130" i="9"/>
  <c r="J244" i="9"/>
  <c r="D244" i="9"/>
  <c r="M168" i="9"/>
  <c r="E54" i="9"/>
  <c r="D16" i="9" s="1"/>
  <c r="B12" i="9" s="1"/>
  <c r="B4" i="9"/>
  <c r="D92" i="9"/>
  <c r="G282" i="9"/>
  <c r="M206" i="9"/>
  <c r="J206" i="9"/>
  <c r="M130" i="9"/>
  <c r="M244" i="9"/>
  <c r="J92" i="9"/>
  <c r="D130" i="9"/>
  <c r="G244" i="9"/>
  <c r="B8" i="9" l="1"/>
  <c r="B9" i="9"/>
  <c r="B5" i="9"/>
  <c r="B15" i="9"/>
  <c r="B11" i="9"/>
  <c r="B13" i="9"/>
  <c r="B7" i="9"/>
  <c r="B10" i="9"/>
  <c r="B14" i="9"/>
  <c r="B6" i="9"/>
  <c r="B3" i="9"/>
  <c r="B16" i="9"/>
</calcChain>
</file>

<file path=xl/sharedStrings.xml><?xml version="1.0" encoding="utf-8"?>
<sst xmlns="http://schemas.openxmlformats.org/spreadsheetml/2006/main" count="10351" uniqueCount="354">
  <si>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</si>
  <si>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</si>
  <si>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</si>
  <si>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</si>
  <si>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</si>
  <si>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</si>
  <si>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</si>
  <si>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</si>
  <si>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</si>
  <si>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</si>
  <si>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</si>
  <si>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</si>
  <si>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</si>
  <si>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</si>
  <si>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</si>
  <si>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</si>
  <si>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</si>
  <si>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</si>
  <si>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</si>
  <si>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</si>
  <si>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</si>
  <si>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</si>
  <si>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</si>
  <si>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</si>
  <si>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</si>
  <si>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</si>
  <si>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</si>
  <si>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</si>
  <si>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</si>
  <si>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</si>
  <si>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</si>
  <si>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</si>
  <si>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</si>
  <si>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</si>
  <si>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</si>
  <si>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</si>
  <si>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</si>
  <si>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</si>
  <si>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</si>
  <si>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</si>
  <si>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</si>
  <si>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</si>
  <si>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</si>
  <si>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</si>
  <si>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</si>
  <si>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</si>
  <si>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</si>
  <si>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</si>
  <si>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</si>
  <si>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</si>
  <si>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</si>
  <si>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</si>
  <si>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</si>
  <si>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</si>
  <si>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</si>
  <si>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</si>
  <si>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</si>
  <si>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</si>
  <si>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</si>
  <si>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</si>
  <si>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</si>
  <si>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</si>
  <si>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</si>
  <si>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</si>
  <si>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</si>
  <si>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</si>
  <si>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</si>
  <si>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</si>
  <si>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</si>
  <si>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</si>
  <si>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</si>
  <si>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</si>
  <si>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</si>
  <si>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</si>
  <si>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</si>
  <si>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</si>
  <si>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</si>
  <si>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</si>
  <si>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</si>
  <si>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</si>
  <si>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</si>
  <si>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</si>
  <si>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</si>
  <si>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</si>
  <si>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</si>
  <si>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</si>
  <si>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</si>
  <si>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</si>
  <si>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</si>
  <si>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</si>
  <si>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</si>
  <si>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</si>
  <si>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</si>
  <si>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</si>
  <si>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</si>
  <si>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</si>
  <si>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</si>
  <si>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</si>
  <si>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</si>
  <si>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</si>
  <si>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</si>
  <si>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</si>
  <si>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</si>
  <si>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</si>
  <si>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</si>
  <si>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</si>
  <si>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</si>
  <si>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</si>
  <si>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</si>
  <si>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</si>
  <si>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</si>
  <si>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</si>
  <si>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</si>
  <si>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</si>
  <si>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</si>
  <si>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</si>
  <si>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</si>
  <si>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</si>
  <si>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</si>
  <si>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</si>
  <si>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</si>
  <si>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</si>
  <si>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</si>
  <si>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</si>
  <si>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</si>
  <si>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</si>
  <si>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</si>
  <si>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</si>
  <si>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</si>
  <si>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</si>
  <si>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</si>
  <si>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</si>
  <si>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</si>
  <si>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</si>
  <si>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</si>
  <si>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</si>
  <si>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</si>
  <si>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</si>
  <si>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</si>
  <si>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</si>
  <si>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</si>
  <si>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</si>
  <si>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</si>
  <si>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</si>
  <si>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</si>
  <si>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</si>
  <si>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</si>
  <si>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</si>
  <si>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</si>
  <si>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</si>
  <si>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</si>
  <si>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</si>
  <si>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</si>
  <si>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</si>
  <si>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</si>
  <si>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</si>
  <si>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</si>
  <si>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</si>
  <si>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</si>
  <si>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</si>
  <si>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</si>
  <si>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</si>
  <si>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</si>
  <si>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</si>
  <si>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</si>
  <si>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</si>
  <si>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</si>
  <si>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</si>
  <si>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</si>
  <si>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</si>
  <si>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</si>
  <si>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</si>
  <si>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</si>
  <si>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</si>
  <si>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</si>
  <si>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</si>
  <si>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</si>
  <si>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</si>
  <si>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</si>
  <si>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</si>
  <si>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</si>
  <si>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</si>
  <si>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</si>
  <si>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</si>
  <si>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</si>
  <si>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</si>
  <si>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</si>
  <si>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</si>
  <si>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</si>
  <si>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</si>
  <si>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</si>
  <si>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</si>
  <si>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</si>
  <si>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</si>
  <si>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</si>
  <si>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</si>
  <si>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</si>
  <si>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</si>
  <si>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</si>
  <si>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</si>
  <si>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</si>
  <si>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</si>
  <si>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</si>
  <si>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</si>
  <si>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</si>
  <si>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</si>
  <si>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</si>
  <si>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</si>
  <si>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</si>
  <si>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</si>
  <si>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</si>
  <si>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</si>
  <si>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</si>
  <si>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</si>
  <si>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</si>
  <si>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</si>
  <si>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</si>
  <si>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</si>
  <si>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</si>
  <si>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</si>
  <si>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</si>
  <si>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</si>
  <si>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</si>
  <si>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</si>
  <si>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</si>
  <si>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</si>
  <si>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</si>
  <si>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</si>
  <si>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</si>
  <si>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</si>
  <si>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</si>
  <si>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</si>
  <si>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</si>
  <si>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</si>
  <si>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</si>
  <si>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</si>
  <si>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</si>
  <si>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</si>
  <si>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</si>
  <si>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</si>
  <si>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</si>
  <si>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</si>
  <si>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</si>
  <si>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</si>
  <si>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</si>
  <si>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</si>
  <si>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</si>
  <si>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</si>
  <si>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</si>
  <si>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</si>
  <si>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</si>
  <si>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</si>
  <si>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</si>
  <si>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</si>
  <si>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</si>
  <si>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</si>
  <si>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</si>
  <si>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</si>
  <si>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</si>
  <si>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</si>
  <si>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</si>
  <si>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</si>
  <si>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</si>
  <si>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</si>
  <si>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</si>
  <si>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</si>
  <si>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</si>
  <si>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</si>
  <si>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</si>
  <si>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</si>
  <si>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</si>
  <si>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</si>
  <si>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</si>
  <si>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</si>
  <si>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</si>
  <si>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</si>
  <si>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</si>
  <si>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</si>
  <si>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</si>
  <si>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</si>
  <si>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</si>
  <si>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</si>
  <si>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</si>
  <si>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</si>
  <si>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</si>
  <si>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</si>
  <si>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</si>
  <si>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</si>
  <si>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</si>
  <si>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</si>
  <si>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</si>
  <si>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</si>
  <si>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</si>
  <si>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</si>
  <si>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</si>
  <si>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</si>
  <si>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</si>
  <si>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</si>
  <si>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</si>
  <si>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</si>
  <si>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</si>
  <si>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</si>
  <si>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</si>
  <si>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</si>
  <si>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</si>
  <si>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</si>
  <si>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</si>
  <si>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</si>
  <si>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</si>
  <si>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</si>
  <si>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</si>
  <si>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</si>
  <si>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</si>
  <si>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</si>
  <si>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</si>
  <si>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</si>
  <si>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KRW-HIFI</t>
  </si>
  <si>
    <t>하이파이</t>
  </si>
  <si>
    <t>KRW-GMT</t>
  </si>
  <si>
    <t>스테픈</t>
  </si>
  <si>
    <t>KRW-POLYX</t>
  </si>
  <si>
    <t>폴리매쉬</t>
  </si>
  <si>
    <t>KRW-XEC</t>
  </si>
  <si>
    <t>이캐시</t>
  </si>
  <si>
    <t>크로노스</t>
  </si>
  <si>
    <t>KRW-ALGO</t>
  </si>
  <si>
    <t>알고랜드</t>
  </si>
  <si>
    <t>KRW-APT</t>
  </si>
  <si>
    <t>앱토스</t>
  </si>
  <si>
    <t>헤데라</t>
  </si>
  <si>
    <t>솔라</t>
  </si>
  <si>
    <t>KRW-1INCH</t>
  </si>
  <si>
    <t>1인치네트워크</t>
  </si>
  <si>
    <t>썬더코어</t>
  </si>
  <si>
    <t>KRW-NEAR</t>
  </si>
  <si>
    <t>니어프로토콜</t>
  </si>
  <si>
    <t>KRW-AAVE</t>
  </si>
  <si>
    <t>에이브</t>
  </si>
  <si>
    <t>KRW-MATIC</t>
  </si>
  <si>
    <t>폴리곤</t>
  </si>
  <si>
    <t>KRW-CELO</t>
  </si>
  <si>
    <t>셀로</t>
  </si>
  <si>
    <t>KRW-SOL</t>
  </si>
  <si>
    <t>솔라나</t>
  </si>
  <si>
    <t>KRW-NU</t>
  </si>
  <si>
    <t>누사이퍼</t>
  </si>
  <si>
    <t>KRW-AVAX</t>
  </si>
  <si>
    <t>아발란체</t>
  </si>
  <si>
    <t>KRW-T</t>
  </si>
  <si>
    <t>쓰레스홀드</t>
  </si>
  <si>
    <t>아이큐</t>
  </si>
  <si>
    <t>KRW-SHIB</t>
  </si>
  <si>
    <t>시바이누</t>
  </si>
  <si>
    <t>2023.01.31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</si>
</sst>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>
      <alignment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3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7E9F00E5-8CB6-467A-B110-C2886B679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4D6E40A9-2163-4079-91E7-13D25752A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CCE91215-2900-4099-B375-B5BC92566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B67766DB-FB78-48C0-A302-18D066E9B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C32D5AFC-089B-4B42-890E-31CBBE549B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953E8BF8-6442-4B81-9507-5F9F167ED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6E63C381-C9BE-4889-B87E-1C9B5B764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12FA8760-547C-493F-A9DE-AA46B1714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AC178185-5E2F-4F19-8863-7BE5BCFB4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B699D6C1-D0DC-4E8F-98E8-18D211018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CC7FE6F1-92ED-48D4-AB1E-6C40CE30E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67F99FFB-B60B-4ECF-B35E-48D5E93F8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D47AF165-EAB1-455A-B0F8-3B645E8A6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8A0E77B2-82E7-4BBF-BBF8-E428A36AB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236B808B-87E5-4660-98DB-359079B67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6EDA81B6-D278-46C8-8431-BFDFE21B11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6D9AE1E1-E6D2-4327-9E1B-3C9BB0FC4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E2831477-104C-4533-BDDF-7B168D41B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742F17EA-53B1-491A-AE9A-13327CE45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83C7F6DD-8078-4D2F-A029-100C29E92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EFEDEE2D-C852-4885-9323-D931281BF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160F0B91-0B45-4C58-BA36-0874D83D8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BA370EF1-0D4C-493F-8ABA-538DC8B67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246940C9-1EF8-43F2-8AE5-C44C6C03D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CDC60573-86A2-4C1C-8653-BFFA93CA80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6FDBCA9E-FC7E-45F0-8860-F9F6D2430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012D184B-15C4-4483-AD50-D7C39AAD6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E9C5A93F-7336-46EB-A88F-F0C6FCEF4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7C376EBC-5FF8-47ED-ABB6-F4EB19AD7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9F6EB487-C64A-4905-BC13-42808D1D3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4D612792-FAB6-4165-83AC-89CC795C0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FAF00C9C-FEEE-4A30-9368-A536B9E97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DC7D2A69-AA1A-41DE-A522-C0E2F7E15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3FD34119-FB66-4E53-89EC-3909F4F64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CF3F2FEC-5EC6-4608-993A-67F73C362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0FC16193-9B8D-4543-820F-CC01ED147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F6474C0D-D54D-44AD-B5AA-589C618C5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271A4DA6-4588-48DC-AAAD-FCB4C9153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D2E45878-7F99-41A2-BC1E-427771E23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A1DD473C-2FFC-43FD-B5D2-99E67DEB5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75F618AD-273A-4FB0-9F8B-22C615504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C3EAEAE2-4018-46A8-952C-CD5292B6F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6FF07FFE-D6CF-470E-98A6-4B623717B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A7DBE100-10FB-4405-B4F8-95D5E9B36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21EB987B-F3C2-4DFD-912F-95CB46980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6FBD13C3-8792-41B4-A041-C7327074E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80E59D5D-4B55-4E0C-8CDE-4A5032C18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92D6F198-DD73-4A71-B954-8BE9E9247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0F9574A9-A3A5-444D-9007-3ECBC9E60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84E8A052-9C5E-4007-8FF1-1BEA6A113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B30703A7-2B73-4BBB-A188-2C8536994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276D6CDF-CFAD-4DBC-9E03-651583838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4A20BD97-1520-4D57-830C-F5E2B742F2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41AEEEAA-4A7F-4968-9E0F-454C6A289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34B7482A-AC7A-4C1C-A07D-DC6112F5D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CBEE9BD6-F4B2-4945-872B-16A56ADD4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651A663A-118D-42D6-9238-7269FB818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56A80DC4-080C-4A2D-BA50-B2F688407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2271D219-2276-47D6-828D-D32E8EDBE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6D1E9D6C-8CA2-4F35-B927-C27AF7837B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65A7DF30-563C-4DCD-8C97-63145919F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A695AC8D-5A45-487B-91CF-F881543B3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1207603E-42B0-4234-8A1E-0F3AB88B6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7AACB429-DC0F-4FB0-A0C2-C5E3A14BBA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B890FB0F-B269-40B4-9DBD-727E46B2A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500A819C-4332-415C-B2B9-88631669A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958BC56C-1F75-4B05-A0C9-58606EEA4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B28C3AD0-EDC7-45DE-AC2C-4BD6B5592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D05D4F6D-D30F-42DE-BFE6-4AB9759D5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B96D53A7-18D8-4A81-A317-E4A26EF43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55FECFA9-50C1-4025-9771-32AA7C2C4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A8FDFDC1-D2AB-499F-91B8-C97CBB57A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AA518AB-ABFA-4253-AC81-50D5C0680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6A2144C9-AD9E-49D7-8305-5C12283BF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F9D9737F-490F-476C-98BD-29F3594C46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001FA1F5-41AD-4618-85E7-D97D4F78E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26C86DAA-B84C-4DFF-B2AA-E5765A5F9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C3EB2A32-1088-4CC2-972A-2C992EAE8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0EF72D56-93E7-417F-8BE0-A0C2A7238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38107AF6-00E7-42DC-A4E9-ACF095150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581ACC07-3932-478D-8411-471071F4B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EAF880E9-D9A3-4EDE-8C5A-CA52F23F4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D782CF54-A748-4B79-ACAF-843091F06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C23403BF-9D7B-4523-B732-7F5F996D3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3C5566ED-DE1F-4A74-9DC5-1ED9BC7079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EC9B929A-9845-4EB3-BF6D-CF45D3D6DC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53A73AFE-5C88-40FB-9071-BFA7DB929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E19710F7-97FE-4F97-84B1-CAFD28CC1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86D8EAE4-59D6-42A0-A79F-822624A3D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8F80FC41-D50F-47C8-873F-3069C7DD4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C0860608-EFFE-45A5-BEBA-9DD574562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9E77AF2B-031D-405F-B677-ACF31B5911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FFC89581-3599-4919-B26D-919C56C4D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C52F8168-BFE3-4634-AF06-811FDE5DD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4D4C668B-CFED-431C-83C0-AAAEDF2BE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85DC7F8D-BFD3-48D8-92B0-66ADA5F1D8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01771791-2DD9-485C-8C15-FC06EB832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772EFF34-A765-4F7C-ABFB-B79A08833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3F0B1029-2C43-45A3-8C8A-05B20BFE2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832AA752-1345-4720-B2E3-9B9263448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93CD396D-10D6-44AD-B567-EDC5A95FC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08A805B3-058F-4E9C-8FCE-995B0F164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95CB0D77-7F48-4D23-BA05-52E24D95D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A4DED87C-95D4-47C1-BA42-23724EA21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43DF2E6B-96B3-4199-8B98-58CC4E61C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96A3CBA5-D7F1-4CE0-A1EB-147C6CCFA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E23FB17A-4E69-49E0-AEEF-38F2ED80B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85A223BE-6F84-42C7-A4B6-B4E9303AA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8A387050-ACEE-4ACF-92BC-C1E4B84708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443FF790-D3E0-4162-88BE-DB492140B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5ABC37B5-6DF0-4BC4-9038-362DAFB45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8937CC46-8774-4113-AB4F-872671E08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2DFBC947-CD2F-4E68-B149-3A97E1370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F77D24B1-E17F-4D16-A8E4-865BBFC63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5743A20E-356C-4037-B4B2-E98E08468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CD77C8EC-A6F2-4D3E-90FB-6784D43A8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57F317AB-98CC-4C44-8CCD-BFBB872A4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675D225D-670A-4D21-933C-CC207273E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76EE1FED-D1CA-46A2-AFC9-AEA2FC771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73E207F9-2E60-40DB-BA1D-0D006FFE6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A42A7422-90ED-4C69-A60D-AB20A81EA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050AFF6B-7F24-4E2D-8C8E-4447EA38E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5919E9F8-6278-4B6F-A0B3-4EDCCBCBC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6F9BBC4A-DE6B-4980-8169-A3877C63C3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BC47C3E6-9F19-4FC5-A05B-300214512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FBEC6E5F-B1D8-4D60-B593-2068152FF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CB308601-81CE-4D74-B99B-966FD2C9D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4D14BA83-9594-4353-BF85-449083687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D323CD3A-D94A-4F2E-9909-756FB590B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624F4F3F-9611-4F16-A278-C04D38AC7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27C34943-7474-46C5-98C5-0EF1BDC31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541327D2-A7A6-4841-B8AE-726CCE3D1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518F2AB2-05A4-42B2-BB78-C19D78CA0D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155F98EA-1934-41E1-9C7E-077A01D25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28B85EC3-E823-48A2-8A65-58EEC1610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F193A14E-C852-42CB-9FAC-C9E19BB95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E81F7C6C-03A0-4D0A-A9AD-502E29E27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87D0DF0A-B5E5-4330-B7E5-8ECCC8971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CF1F5D76-9498-479F-A78D-B7DF324B0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AA9993E1-162D-468C-B7A5-10CFA3FBF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44287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" t="s">
        <v>3</v>
      </c>
      <c r="B2" s="191" t="s">
        <v>4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5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4" t="s">
        <v>7</v>
      </c>
      <c r="B3" s="182" t="s">
        <v>8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82" t="s">
        <v>9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2" t="s">
        <v>12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13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182" t="s">
        <v>16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82" t="s">
        <v>17</v>
      </c>
      <c r="L5" s="183"/>
      <c r="M5" s="183"/>
      <c r="N5" s="183"/>
      <c r="O5" s="184"/>
    </row>
    <row r="6" spans="1:19">
      <c r="A6" s="4" t="s">
        <v>18</v>
      </c>
      <c r="B6" s="182" t="s">
        <v>19</v>
      </c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20</v>
      </c>
      <c r="L6" s="183"/>
      <c r="M6" s="183"/>
      <c r="N6" s="183"/>
      <c r="O6" s="184"/>
    </row>
    <row r="7" spans="1:19" ht="17.25" thickBot="1">
      <c r="A7" s="4" t="s">
        <v>21</v>
      </c>
      <c r="B7" s="182" t="s">
        <v>22</v>
      </c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82" t="s">
        <v>23</v>
      </c>
      <c r="L7" s="183"/>
      <c r="M7" s="183"/>
      <c r="N7" s="183"/>
      <c r="O7" s="184"/>
    </row>
    <row r="8" spans="1:19" ht="17.25" thickBot="1">
      <c r="A8" s="4" t="s">
        <v>24</v>
      </c>
      <c r="B8" s="182" t="s">
        <v>25</v>
      </c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 t="s">
        <v>26</v>
      </c>
      <c r="L8" s="183"/>
      <c r="M8" s="183"/>
      <c r="N8" s="183"/>
      <c r="O8" s="184"/>
      <c r="Q8" s="157" t="s">
        <v>27</v>
      </c>
      <c r="R8" s="159"/>
    </row>
    <row r="9" spans="1:19" ht="17.25" thickBot="1">
      <c r="A9" s="4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82" t="s">
        <v>250</v>
      </c>
      <c r="L9" s="183"/>
      <c r="M9" s="183"/>
      <c r="N9" s="183"/>
      <c r="O9" s="184"/>
      <c r="Q9" s="2" t="s">
        <v>29</v>
      </c>
      <c r="R9" s="6">
        <v>10</v>
      </c>
    </row>
    <row r="10" spans="1:19">
      <c r="A10" s="4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/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7" t="s">
        <v>32</v>
      </c>
      <c r="B11" s="175"/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/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81" t="s">
        <v>39</v>
      </c>
      <c r="B15" s="173" t="str">
        <f>TEXT($G$1, "[$-ko-KR]yyyy-mm-dd(ddd) ") &amp; "오전 00:00"</f>
        <v>2021-04-01(목) 오전 00:00</v>
      </c>
      <c r="C15" s="174"/>
      <c r="D15" s="170" t="str">
        <f>TEXT($G$1, "[$-ko-KR]yyyy-mm-dd(ddd) ") &amp; "오후 14:00"</f>
        <v>2021-04-01(목) 오후 14:00</v>
      </c>
      <c r="E15" s="171"/>
      <c r="F15" s="172"/>
      <c r="G15" s="170" t="str">
        <f>TEXT($G$1, "[$-ko-KR]yyyy-mm-dd(ddd) ") &amp; "오후 19:00"</f>
        <v>2021-04-01(목) 오후 19:00</v>
      </c>
      <c r="H15" s="171"/>
      <c r="I15" s="172"/>
      <c r="J15" s="170" t="str">
        <f>TEXT($G$1, "[$-ko-KR]yyyy-mm-dd(ddd) ") &amp; "오후 21:00"</f>
        <v>2021-04-01(목) 오후 21:00</v>
      </c>
      <c r="K15" s="171"/>
      <c r="L15" s="172"/>
      <c r="M15" s="170" t="str">
        <f>TEXT($G$1+1, "[$-ko-KR]yyyy-mm-dd(ddd) ") &amp; "오전 00:00"</f>
        <v>2021-04-02(금) 오전 00:00</v>
      </c>
      <c r="N15" s="171"/>
      <c r="O15" s="172"/>
      <c r="Q15" s="156"/>
      <c r="R15" s="156"/>
      <c r="S15" s="156"/>
    </row>
    <row r="16" spans="1:19" ht="17.25" customHeight="1" thickBot="1">
      <c r="A16" s="18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7"/>
      <c r="B22" s="96" t="str">
        <f t="shared" si="0"/>
        <v/>
      </c>
      <c r="C22" s="97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7"/>
      <c r="B32" s="96" t="str">
        <f t="shared" si="0"/>
        <v/>
      </c>
      <c r="C32" s="97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26" t="s">
        <v>42</v>
      </c>
      <c r="B37" s="144">
        <v>300000</v>
      </c>
      <c r="C37" s="14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166" t="s">
        <v>54</v>
      </c>
      <c r="B42" s="168" t="str">
        <f>TEXT($G$1, "[$-ko-KR]yyyy-mm-dd(ddd) ") &amp; "오전 00:00"</f>
        <v>2021-04-01(목) 오전 00:00</v>
      </c>
      <c r="C42" s="169"/>
      <c r="D42" s="170" t="str">
        <f>TEXT($G$1, "[$-ko-KR]yyyy-mm-dd(ddd) ") &amp; "오후 14:00"</f>
        <v>2021-04-01(목) 오후 14:00</v>
      </c>
      <c r="E42" s="171"/>
      <c r="F42" s="172"/>
      <c r="G42" s="170" t="str">
        <f>TEXT($G$1, "[$-ko-KR]yyyy-mm-dd(ddd) ") &amp; "오후 19:00"</f>
        <v>2021-04-01(목) 오후 19:00</v>
      </c>
      <c r="H42" s="171"/>
      <c r="I42" s="172"/>
      <c r="J42" s="170" t="str">
        <f>TEXT($G$1, "[$-ko-KR]yyyy-mm-dd(ddd) ") &amp; "오후 21:00"</f>
        <v>2021-04-01(목) 오후 21:00</v>
      </c>
      <c r="K42" s="171"/>
      <c r="L42" s="172"/>
      <c r="M42" s="170" t="str">
        <f>TEXT($G$1+1, "[$-ko-KR]yyyy-mm-dd(ddd) ") &amp; "오전 00:00"</f>
        <v>2021-04-02(금) 오전 00:00</v>
      </c>
      <c r="N42" s="171"/>
      <c r="O42" s="172"/>
      <c r="Q42" s="156"/>
      <c r="R42" s="156"/>
      <c r="S42" s="156"/>
    </row>
    <row r="43" spans="1:19" ht="17.25" customHeight="1" thickBot="1">
      <c r="A43" s="167"/>
      <c r="B43" s="2" t="s">
        <v>57</v>
      </c>
      <c r="C43" s="10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6"/>
      <c r="R46" s="146"/>
      <c r="S46" s="14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6"/>
      <c r="R47" s="146"/>
      <c r="S47" s="14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6"/>
      <c r="R48" s="146"/>
      <c r="S48" s="146"/>
    </row>
    <row r="49" spans="1:19" ht="17.25" customHeight="1" thickBot="1">
      <c r="A49" s="17"/>
      <c r="B49" s="96"/>
      <c r="C49" s="97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46"/>
      <c r="R49" s="146"/>
      <c r="S49" s="14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6"/>
      <c r="R50" s="146"/>
      <c r="S50" s="14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6"/>
      <c r="R51" s="146"/>
      <c r="S51" s="14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47"/>
      <c r="R53" s="148"/>
      <c r="S53" s="14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0"/>
      <c r="R54" s="151"/>
      <c r="S54" s="15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3"/>
      <c r="R55" s="154"/>
      <c r="S55" s="15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6"/>
      <c r="R56" s="146"/>
      <c r="S56" s="14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7"/>
      <c r="B59" s="96"/>
      <c r="C59" s="97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46"/>
      <c r="R59" s="146"/>
      <c r="S59" s="14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6"/>
      <c r="R60" s="146"/>
      <c r="S60" s="14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6"/>
      <c r="R61" s="146"/>
      <c r="S61" s="14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35"/>
      <c r="R62" s="136"/>
      <c r="S62" s="13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38"/>
      <c r="R63" s="139"/>
      <c r="S63" s="140"/>
    </row>
    <row r="64" spans="1:19" ht="17.25" customHeight="1" thickBot="1">
      <c r="A64" s="26" t="s">
        <v>257</v>
      </c>
      <c r="B64" s="144">
        <f>$B$37</f>
        <v>300000</v>
      </c>
      <c r="C64" s="145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166" t="s">
        <v>54</v>
      </c>
      <c r="B69" s="168" t="str">
        <f>TEXT($G$1, "[$-ko-KR]yyyy-mm-dd(ddd) ") &amp; "오전 00:00"</f>
        <v>2021-04-01(목) 오전 00:00</v>
      </c>
      <c r="C69" s="169"/>
      <c r="D69" s="170" t="str">
        <f>TEXT($G$1, "[$-ko-KR]yyyy-mm-dd(ddd) ") &amp; "오후 14:00"</f>
        <v>2021-04-01(목) 오후 14:00</v>
      </c>
      <c r="E69" s="171"/>
      <c r="F69" s="172"/>
      <c r="G69" s="170" t="str">
        <f>TEXT($G$1, "[$-ko-KR]yyyy-mm-dd(ddd) ") &amp; "오후 19:00"</f>
        <v>2021-04-01(목) 오후 19:00</v>
      </c>
      <c r="H69" s="171"/>
      <c r="I69" s="172"/>
      <c r="J69" s="170" t="str">
        <f>TEXT($G$1, "[$-ko-KR]yyyy-mm-dd(ddd) ") &amp; "오후 21:00"</f>
        <v>2021-04-01(목) 오후 21:00</v>
      </c>
      <c r="K69" s="171"/>
      <c r="L69" s="172"/>
      <c r="M69" s="170" t="str">
        <f>TEXT($G$1+1, "[$-ko-KR]yyyy-mm-dd(ddd) ") &amp; "오전 00:00"</f>
        <v>2021-04-02(금) 오전 00:00</v>
      </c>
      <c r="N69" s="171"/>
      <c r="O69" s="172"/>
      <c r="Q69" s="156"/>
      <c r="R69" s="156"/>
      <c r="S69" s="156"/>
    </row>
    <row r="70" spans="1:19" ht="17.25" thickBot="1">
      <c r="A70" s="167"/>
      <c r="B70" s="2" t="s">
        <v>57</v>
      </c>
      <c r="C70" s="10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6"/>
      <c r="R73" s="146"/>
      <c r="S73" s="14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6"/>
      <c r="R74" s="146"/>
      <c r="S74" s="14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6"/>
      <c r="R75" s="146"/>
      <c r="S75" s="146"/>
    </row>
    <row r="76" spans="1:19" ht="17.25" thickBot="1">
      <c r="A76" s="17"/>
      <c r="B76" s="96"/>
      <c r="C76" s="97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46"/>
      <c r="R76" s="146"/>
      <c r="S76" s="14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6"/>
      <c r="R77" s="146"/>
      <c r="S77" s="14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6"/>
      <c r="R78" s="146"/>
      <c r="S78" s="14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47"/>
      <c r="R80" s="148"/>
      <c r="S80" s="14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0"/>
      <c r="R81" s="151"/>
      <c r="S81" s="15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3"/>
      <c r="R82" s="154"/>
      <c r="S82" s="15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6"/>
      <c r="R83" s="146"/>
      <c r="S83" s="14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7"/>
      <c r="B86" s="96"/>
      <c r="C86" s="97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46"/>
      <c r="R86" s="146"/>
      <c r="S86" s="14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6"/>
      <c r="R87" s="146"/>
      <c r="S87" s="14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6"/>
      <c r="R88" s="146"/>
      <c r="S88" s="14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35"/>
      <c r="R89" s="136"/>
      <c r="S89" s="13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38"/>
      <c r="R90" s="139"/>
      <c r="S90" s="140"/>
    </row>
    <row r="91" spans="1:19" ht="17.25" thickBot="1">
      <c r="A91" s="26" t="s">
        <v>257</v>
      </c>
      <c r="B91" s="144">
        <f>$B$37</f>
        <v>300000</v>
      </c>
      <c r="C91" s="145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166" t="s">
        <v>54</v>
      </c>
      <c r="B96" s="168" t="str">
        <f>TEXT($G$1, "[$-ko-KR]yyyy-mm-dd(ddd) ") &amp; "오전 00:00"</f>
        <v>2021-04-01(목) 오전 00:00</v>
      </c>
      <c r="C96" s="169"/>
      <c r="D96" s="170" t="str">
        <f>TEXT($G$1, "[$-ko-KR]yyyy-mm-dd(ddd) ") &amp; "오후 14:00"</f>
        <v>2021-04-01(목) 오후 14:00</v>
      </c>
      <c r="E96" s="171"/>
      <c r="F96" s="172"/>
      <c r="G96" s="170" t="str">
        <f>TEXT($G$1, "[$-ko-KR]yyyy-mm-dd(ddd) ") &amp; "오후 19:00"</f>
        <v>2021-04-01(목) 오후 19:00</v>
      </c>
      <c r="H96" s="171"/>
      <c r="I96" s="172"/>
      <c r="J96" s="170" t="str">
        <f>TEXT($G$1, "[$-ko-KR]yyyy-mm-dd(ddd) ") &amp; "오후 21:00"</f>
        <v>2021-04-01(목) 오후 21:00</v>
      </c>
      <c r="K96" s="171"/>
      <c r="L96" s="172"/>
      <c r="M96" s="170" t="str">
        <f>TEXT($G$1+1, "[$-ko-KR]yyyy-mm-dd(ddd) ") &amp; "오전 00:00"</f>
        <v>2021-04-02(금) 오전 00:00</v>
      </c>
      <c r="N96" s="171"/>
      <c r="O96" s="172"/>
      <c r="Q96" s="156"/>
      <c r="R96" s="156"/>
      <c r="S96" s="156"/>
    </row>
    <row r="97" spans="1:19" ht="17.25" thickBot="1">
      <c r="A97" s="167"/>
      <c r="B97" s="2" t="s">
        <v>57</v>
      </c>
      <c r="C97" s="10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6"/>
      <c r="R100" s="146"/>
      <c r="S100" s="14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6"/>
      <c r="R101" s="146"/>
      <c r="S101" s="14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6"/>
      <c r="R102" s="146"/>
      <c r="S102" s="146"/>
    </row>
    <row r="103" spans="1:19" ht="17.25" thickBot="1">
      <c r="A103" s="17"/>
      <c r="B103" s="96"/>
      <c r="C103" s="97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46"/>
      <c r="R103" s="146"/>
      <c r="S103" s="14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6"/>
      <c r="R104" s="146"/>
      <c r="S104" s="14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6"/>
      <c r="R105" s="146"/>
      <c r="S105" s="14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47"/>
      <c r="R107" s="148"/>
      <c r="S107" s="14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0"/>
      <c r="R108" s="151"/>
      <c r="S108" s="15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3"/>
      <c r="R109" s="154"/>
      <c r="S109" s="15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6"/>
      <c r="R110" s="146"/>
      <c r="S110" s="14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7"/>
      <c r="B113" s="96"/>
      <c r="C113" s="97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46"/>
      <c r="R113" s="146"/>
      <c r="S113" s="14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6"/>
      <c r="R114" s="146"/>
      <c r="S114" s="14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6"/>
      <c r="R115" s="146"/>
      <c r="S115" s="14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35"/>
      <c r="R116" s="136"/>
      <c r="S116" s="13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38"/>
      <c r="R117" s="139"/>
      <c r="S117" s="140"/>
    </row>
    <row r="118" spans="1:19" ht="17.25" thickBot="1">
      <c r="A118" s="26" t="s">
        <v>257</v>
      </c>
      <c r="B118" s="144">
        <f>$B$37</f>
        <v>300000</v>
      </c>
      <c r="C118" s="145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166" t="s">
        <v>54</v>
      </c>
      <c r="B123" s="168" t="str">
        <f>TEXT($G$1, "[$-ko-KR]yyyy-mm-dd(ddd) ") &amp; "오전 00:00"</f>
        <v>2021-04-01(목) 오전 00:00</v>
      </c>
      <c r="C123" s="169"/>
      <c r="D123" s="170" t="str">
        <f>TEXT($G$1, "[$-ko-KR]yyyy-mm-dd(ddd) ") &amp; "오후 14:00"</f>
        <v>2021-04-01(목) 오후 14:00</v>
      </c>
      <c r="E123" s="171"/>
      <c r="F123" s="172"/>
      <c r="G123" s="170" t="str">
        <f>TEXT($G$1, "[$-ko-KR]yyyy-mm-dd(ddd) ") &amp; "오후 19:00"</f>
        <v>2021-04-01(목) 오후 19:00</v>
      </c>
      <c r="H123" s="171"/>
      <c r="I123" s="172"/>
      <c r="J123" s="170" t="str">
        <f>TEXT($G$1, "[$-ko-KR]yyyy-mm-dd(ddd) ") &amp; "오후 21:00"</f>
        <v>2021-04-01(목) 오후 21:00</v>
      </c>
      <c r="K123" s="171"/>
      <c r="L123" s="172"/>
      <c r="M123" s="170" t="str">
        <f>TEXT($G$1+1, "[$-ko-KR]yyyy-mm-dd(ddd) ") &amp; "오전 00:00"</f>
        <v>2021-04-02(금) 오전 00:00</v>
      </c>
      <c r="N123" s="171"/>
      <c r="O123" s="172"/>
      <c r="Q123" s="156"/>
      <c r="R123" s="156"/>
      <c r="S123" s="156"/>
    </row>
    <row r="124" spans="1:19" ht="17.25" thickBot="1">
      <c r="A124" s="167"/>
      <c r="B124" s="2" t="s">
        <v>57</v>
      </c>
      <c r="C124" s="10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6"/>
      <c r="R127" s="146"/>
      <c r="S127" s="14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6"/>
      <c r="R128" s="146"/>
      <c r="S128" s="14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6"/>
      <c r="R129" s="146"/>
      <c r="S129" s="146"/>
    </row>
    <row r="130" spans="1:19" ht="17.25" thickBot="1">
      <c r="A130" s="17"/>
      <c r="B130" s="96"/>
      <c r="C130" s="97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46"/>
      <c r="R130" s="146"/>
      <c r="S130" s="14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6"/>
      <c r="R131" s="146"/>
      <c r="S131" s="14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6"/>
      <c r="R132" s="146"/>
      <c r="S132" s="14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47"/>
      <c r="R134" s="148"/>
      <c r="S134" s="14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0"/>
      <c r="R135" s="151"/>
      <c r="S135" s="15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3"/>
      <c r="R136" s="154"/>
      <c r="S136" s="15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6"/>
      <c r="R137" s="146"/>
      <c r="S137" s="14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7"/>
      <c r="B140" s="96"/>
      <c r="C140" s="97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46"/>
      <c r="R140" s="146"/>
      <c r="S140" s="14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6"/>
      <c r="R141" s="146"/>
      <c r="S141" s="14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6"/>
      <c r="R142" s="146"/>
      <c r="S142" s="14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35"/>
      <c r="R143" s="136"/>
      <c r="S143" s="13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38"/>
      <c r="R144" s="139"/>
      <c r="S144" s="140"/>
    </row>
    <row r="145" spans="1:19" ht="17.25" thickBot="1">
      <c r="A145" s="26" t="s">
        <v>257</v>
      </c>
      <c r="B145" s="144">
        <f>$B$37</f>
        <v>300000</v>
      </c>
      <c r="C145" s="145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166" t="s">
        <v>54</v>
      </c>
      <c r="B150" s="168" t="str">
        <f>TEXT($G$1, "[$-ko-KR]yyyy-mm-dd(ddd) ") &amp; "오전 00:00"</f>
        <v>2021-04-01(목) 오전 00:00</v>
      </c>
      <c r="C150" s="169"/>
      <c r="D150" s="170" t="str">
        <f>TEXT($G$1, "[$-ko-KR]yyyy-mm-dd(ddd) ") &amp; "오후 14:00"</f>
        <v>2021-04-01(목) 오후 14:00</v>
      </c>
      <c r="E150" s="171"/>
      <c r="F150" s="172"/>
      <c r="G150" s="170" t="str">
        <f>TEXT($G$1, "[$-ko-KR]yyyy-mm-dd(ddd) ") &amp; "오후 19:00"</f>
        <v>2021-04-01(목) 오후 19:00</v>
      </c>
      <c r="H150" s="171"/>
      <c r="I150" s="172"/>
      <c r="J150" s="170" t="str">
        <f>TEXT($G$1, "[$-ko-KR]yyyy-mm-dd(ddd) ") &amp; "오후 21:00"</f>
        <v>2021-04-01(목) 오후 21:00</v>
      </c>
      <c r="K150" s="171"/>
      <c r="L150" s="172"/>
      <c r="M150" s="170" t="str">
        <f>TEXT($G$1+1, "[$-ko-KR]yyyy-mm-dd(ddd) ") &amp; "오전 00:00"</f>
        <v>2021-04-02(금) 오전 00:00</v>
      </c>
      <c r="N150" s="171"/>
      <c r="O150" s="172"/>
      <c r="Q150" s="156"/>
      <c r="R150" s="156"/>
      <c r="S150" s="156"/>
    </row>
    <row r="151" spans="1:19" ht="17.25" thickBot="1">
      <c r="A151" s="167"/>
      <c r="B151" s="2" t="s">
        <v>57</v>
      </c>
      <c r="C151" s="10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6"/>
      <c r="R154" s="146"/>
      <c r="S154" s="14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6"/>
      <c r="R155" s="146"/>
      <c r="S155" s="14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6"/>
      <c r="R156" s="146"/>
      <c r="S156" s="146"/>
    </row>
    <row r="157" spans="1:19" ht="17.25" thickBot="1">
      <c r="A157" s="17"/>
      <c r="B157" s="96"/>
      <c r="C157" s="97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46"/>
      <c r="R157" s="146"/>
      <c r="S157" s="14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6"/>
      <c r="R158" s="146"/>
      <c r="S158" s="14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6"/>
      <c r="R159" s="146"/>
      <c r="S159" s="14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47"/>
      <c r="R161" s="148"/>
      <c r="S161" s="14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0"/>
      <c r="R162" s="151"/>
      <c r="S162" s="15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3"/>
      <c r="R163" s="154"/>
      <c r="S163" s="15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6"/>
      <c r="R164" s="146"/>
      <c r="S164" s="14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7"/>
      <c r="B167" s="96"/>
      <c r="C167" s="97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46"/>
      <c r="R167" s="146"/>
      <c r="S167" s="14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6"/>
      <c r="R168" s="146"/>
      <c r="S168" s="14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6"/>
      <c r="R169" s="146"/>
      <c r="S169" s="14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35"/>
      <c r="R170" s="136"/>
      <c r="S170" s="13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38"/>
      <c r="R171" s="139"/>
      <c r="S171" s="140"/>
    </row>
    <row r="172" spans="1:19" ht="17.25" thickBot="1">
      <c r="A172" s="26" t="s">
        <v>257</v>
      </c>
      <c r="B172" s="144">
        <f>$B$37</f>
        <v>300000</v>
      </c>
      <c r="C172" s="145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166" t="s">
        <v>54</v>
      </c>
      <c r="B177" s="168" t="str">
        <f>TEXT($G$1, "[$-ko-KR]yyyy-mm-dd(ddd) ") &amp; "오전 00:00"</f>
        <v>2021-04-01(목) 오전 00:00</v>
      </c>
      <c r="C177" s="169"/>
      <c r="D177" s="170" t="str">
        <f>TEXT($G$1, "[$-ko-KR]yyyy-mm-dd(ddd) ") &amp; "오후 14:00"</f>
        <v>2021-04-01(목) 오후 14:00</v>
      </c>
      <c r="E177" s="171"/>
      <c r="F177" s="172"/>
      <c r="G177" s="170" t="str">
        <f>TEXT($G$1, "[$-ko-KR]yyyy-mm-dd(ddd) ") &amp; "오후 19:00"</f>
        <v>2021-04-01(목) 오후 19:00</v>
      </c>
      <c r="H177" s="171"/>
      <c r="I177" s="172"/>
      <c r="J177" s="170" t="str">
        <f>TEXT($G$1, "[$-ko-KR]yyyy-mm-dd(ddd) ") &amp; "오후 21:00"</f>
        <v>2021-04-01(목) 오후 21:00</v>
      </c>
      <c r="K177" s="171"/>
      <c r="L177" s="172"/>
      <c r="M177" s="170" t="str">
        <f>TEXT($G$1+1, "[$-ko-KR]yyyy-mm-dd(ddd) ") &amp; "오전 00:00"</f>
        <v>2021-04-02(금) 오전 00:00</v>
      </c>
      <c r="N177" s="171"/>
      <c r="O177" s="172"/>
      <c r="Q177" s="156"/>
      <c r="R177" s="156"/>
      <c r="S177" s="156"/>
    </row>
    <row r="178" spans="1:19" ht="17.25" thickBot="1">
      <c r="A178" s="167"/>
      <c r="B178" s="2" t="s">
        <v>57</v>
      </c>
      <c r="C178" s="10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6"/>
      <c r="R181" s="146"/>
      <c r="S181" s="14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6"/>
      <c r="R182" s="146"/>
      <c r="S182" s="14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6"/>
      <c r="R183" s="146"/>
      <c r="S183" s="146"/>
    </row>
    <row r="184" spans="1:19" ht="17.25" thickBot="1">
      <c r="A184" s="17"/>
      <c r="B184" s="96"/>
      <c r="C184" s="97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46"/>
      <c r="R184" s="146"/>
      <c r="S184" s="14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6"/>
      <c r="R185" s="146"/>
      <c r="S185" s="14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6"/>
      <c r="R186" s="146"/>
      <c r="S186" s="14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47"/>
      <c r="R188" s="148"/>
      <c r="S188" s="14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0"/>
      <c r="R189" s="151"/>
      <c r="S189" s="15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3"/>
      <c r="R190" s="154"/>
      <c r="S190" s="15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6"/>
      <c r="R191" s="146"/>
      <c r="S191" s="14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7"/>
      <c r="B194" s="96"/>
      <c r="C194" s="97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46"/>
      <c r="R194" s="146"/>
      <c r="S194" s="14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6"/>
      <c r="R195" s="146"/>
      <c r="S195" s="14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6"/>
      <c r="R196" s="146"/>
      <c r="S196" s="14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35"/>
      <c r="R197" s="136"/>
      <c r="S197" s="13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38"/>
      <c r="R198" s="139"/>
      <c r="S198" s="140"/>
    </row>
    <row r="199" spans="1:19" ht="17.25" thickBot="1">
      <c r="A199" s="26" t="s">
        <v>257</v>
      </c>
      <c r="B199" s="144">
        <f>$B$37</f>
        <v>300000</v>
      </c>
      <c r="C199" s="145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2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25" priority="157">
      <formula>AND($N17 &gt; 0, ISNUMBER($N17))</formula>
    </cfRule>
    <cfRule type="expression" dxfId="5224" priority="158">
      <formula>AND($N17 = 0 * ISNUMBER($N17))</formula>
    </cfRule>
    <cfRule type="expression" dxfId="5223" priority="159">
      <formula>AND($N17 &lt; 0, ISNUMBER($N17))</formula>
    </cfRule>
  </conditionalFormatting>
  <conditionalFormatting sqref="A17:F36">
    <cfRule type="expression" dxfId="5222" priority="166">
      <formula>AND($E17 &gt; 0, ISNUMBER($E17))</formula>
    </cfRule>
    <cfRule type="expression" dxfId="5221" priority="167">
      <formula>AND($E17 = 0 * ISNUMBER($E17))</formula>
    </cfRule>
    <cfRule type="expression" dxfId="5220" priority="168">
      <formula>AND($E17 &lt; 0, ISNUMBER($E17))</formula>
    </cfRule>
  </conditionalFormatting>
  <conditionalFormatting sqref="A17:C36 G17:I36">
    <cfRule type="expression" dxfId="5219" priority="163">
      <formula>AND($H17 &gt; 0, ISNUMBER($H17))</formula>
    </cfRule>
    <cfRule type="expression" dxfId="5218" priority="164">
      <formula>AND($H17 = 0 * ISNUMBER($H17))</formula>
    </cfRule>
    <cfRule type="expression" dxfId="5217" priority="165">
      <formula>AND($H17 &lt; 0, ISNUMBER($H17))</formula>
    </cfRule>
  </conditionalFormatting>
  <conditionalFormatting sqref="A17:C36 J17:L36">
    <cfRule type="expression" dxfId="5216" priority="160">
      <formula>AND($K17 &gt; 0, ISNUMBER($K17))</formula>
    </cfRule>
    <cfRule type="expression" dxfId="5215" priority="161">
      <formula>AND($K17 = 0 * ISNUMBER($K17))</formula>
    </cfRule>
    <cfRule type="expression" dxfId="5214" priority="162">
      <formula>AND($K17 &lt; 0, ISNUMBER($K17))</formula>
    </cfRule>
  </conditionalFormatting>
  <conditionalFormatting sqref="D15:F16 E37:F37">
    <cfRule type="expression" dxfId="5213" priority="154">
      <formula>$E$37 &gt; 0</formula>
    </cfRule>
    <cfRule type="expression" dxfId="5212" priority="155">
      <formula>$E$37 = 0</formula>
    </cfRule>
    <cfRule type="expression" dxfId="5211" priority="156">
      <formula>$E$37 &lt; 0</formula>
    </cfRule>
  </conditionalFormatting>
  <conditionalFormatting sqref="G15:I16 H37:I37">
    <cfRule type="expression" dxfId="5210" priority="151">
      <formula>$H$37 &gt; 0</formula>
    </cfRule>
    <cfRule type="expression" dxfId="5209" priority="152">
      <formula>$H$37 = 0</formula>
    </cfRule>
    <cfRule type="expression" dxfId="5208" priority="153">
      <formula>$H$37 &lt; 0</formula>
    </cfRule>
  </conditionalFormatting>
  <conditionalFormatting sqref="J15:L16 K37:L37">
    <cfRule type="expression" dxfId="5207" priority="148">
      <formula>$K$37 &gt; 0</formula>
    </cfRule>
    <cfRule type="expression" dxfId="5206" priority="149">
      <formula>$K$37 = 0</formula>
    </cfRule>
    <cfRule type="expression" dxfId="5205" priority="150">
      <formula>$K$37 &lt; 0</formula>
    </cfRule>
  </conditionalFormatting>
  <conditionalFormatting sqref="M15:O16 N37:O37">
    <cfRule type="expression" dxfId="5204" priority="145">
      <formula>$N$37 &gt; 0</formula>
    </cfRule>
    <cfRule type="expression" dxfId="5203" priority="146">
      <formula>$N$37 = 0</formula>
    </cfRule>
    <cfRule type="expression" dxfId="5202" priority="147">
      <formula>$N$37 &lt; 0</formula>
    </cfRule>
  </conditionalFormatting>
  <conditionalFormatting sqref="A44:C63 M44:O63">
    <cfRule type="expression" dxfId="5201" priority="133">
      <formula>AND($N44 &gt; 0, ISNUMBER($N44))</formula>
    </cfRule>
    <cfRule type="expression" dxfId="5200" priority="134">
      <formula>AND($N44 = 0 * ISNUMBER($N44))</formula>
    </cfRule>
    <cfRule type="expression" dxfId="5199" priority="135">
      <formula>AND($N44 &lt; 0, ISNUMBER($N44))</formula>
    </cfRule>
  </conditionalFormatting>
  <conditionalFormatting sqref="A44:F63">
    <cfRule type="expression" dxfId="5198" priority="142">
      <formula>AND($E44 &gt; 0, ISNUMBER($E44))</formula>
    </cfRule>
    <cfRule type="expression" dxfId="5197" priority="143">
      <formula>AND($E44 = 0 * ISNUMBER($E44))</formula>
    </cfRule>
    <cfRule type="expression" dxfId="5196" priority="144">
      <formula>AND($E44 &lt; 0, ISNUMBER($E44))</formula>
    </cfRule>
  </conditionalFormatting>
  <conditionalFormatting sqref="A44:C63 G44:I63">
    <cfRule type="expression" dxfId="5195" priority="139">
      <formula>AND($H44 &gt; 0, ISNUMBER($H44))</formula>
    </cfRule>
    <cfRule type="expression" dxfId="5194" priority="140">
      <formula>AND($H44 = 0 * ISNUMBER($H44))</formula>
    </cfRule>
    <cfRule type="expression" dxfId="5193" priority="141">
      <formula>AND($H44 &lt; 0, ISNUMBER($H44))</formula>
    </cfRule>
  </conditionalFormatting>
  <conditionalFormatting sqref="A44:C63 J44:L63">
    <cfRule type="expression" dxfId="5192" priority="136">
      <formula>AND($K44 &gt; 0, ISNUMBER($K44))</formula>
    </cfRule>
    <cfRule type="expression" dxfId="5191" priority="137">
      <formula>AND($K44 = 0 * ISNUMBER($K44))</formula>
    </cfRule>
    <cfRule type="expression" dxfId="5190" priority="138">
      <formula>AND($K44 &lt; 0, ISNUMBER($K44))</formula>
    </cfRule>
  </conditionalFormatting>
  <conditionalFormatting sqref="D42:F43 E64:F64">
    <cfRule type="expression" dxfId="5189" priority="130">
      <formula>$E$64 &gt; 0</formula>
    </cfRule>
    <cfRule type="expression" dxfId="5188" priority="131">
      <formula>$E$64 = 0</formula>
    </cfRule>
    <cfRule type="expression" dxfId="5187" priority="132">
      <formula>$E$64 &lt; 0</formula>
    </cfRule>
  </conditionalFormatting>
  <conditionalFormatting sqref="G42:I43 H64:I64">
    <cfRule type="expression" dxfId="5186" priority="127">
      <formula>$H$64 &gt; 0</formula>
    </cfRule>
    <cfRule type="expression" dxfId="5185" priority="128">
      <formula>$H$64 = 0</formula>
    </cfRule>
    <cfRule type="expression" dxfId="5184" priority="129">
      <formula>$H$64 &lt; 0</formula>
    </cfRule>
  </conditionalFormatting>
  <conditionalFormatting sqref="J42:L43 K64:L64">
    <cfRule type="expression" dxfId="5183" priority="124">
      <formula>$K$64 &gt; 0</formula>
    </cfRule>
    <cfRule type="expression" dxfId="5182" priority="125">
      <formula>$K$64 = 0</formula>
    </cfRule>
    <cfRule type="expression" dxfId="5181" priority="126">
      <formula>$K$64 &lt; 0</formula>
    </cfRule>
  </conditionalFormatting>
  <conditionalFormatting sqref="M42:O43 N64:O64">
    <cfRule type="expression" dxfId="5180" priority="121">
      <formula>$N$64 &gt; 0</formula>
    </cfRule>
    <cfRule type="expression" dxfId="5179" priority="122">
      <formula>$N$64 = 0</formula>
    </cfRule>
    <cfRule type="expression" dxfId="5178" priority="123">
      <formula>$N$64 &lt; 0</formula>
    </cfRule>
  </conditionalFormatting>
  <conditionalFormatting sqref="A71:C90 M71:O90">
    <cfRule type="expression" dxfId="5177" priority="109">
      <formula>AND($N71 &gt; 0, ISNUMBER($N71))</formula>
    </cfRule>
    <cfRule type="expression" dxfId="5176" priority="110">
      <formula>AND($N71 = 0 * ISNUMBER($N71))</formula>
    </cfRule>
    <cfRule type="expression" dxfId="5175" priority="111">
      <formula>AND($N71 &lt; 0, ISNUMBER($N71))</formula>
    </cfRule>
  </conditionalFormatting>
  <conditionalFormatting sqref="A71:F90">
    <cfRule type="expression" dxfId="5174" priority="118">
      <formula>AND($E71 &gt; 0, ISNUMBER($E71))</formula>
    </cfRule>
    <cfRule type="expression" dxfId="5173" priority="119">
      <formula>AND($E71 = 0 * ISNUMBER($E71))</formula>
    </cfRule>
    <cfRule type="expression" dxfId="5172" priority="120">
      <formula>AND($E71 &lt; 0, ISNUMBER($E71))</formula>
    </cfRule>
  </conditionalFormatting>
  <conditionalFormatting sqref="A71:C90 G71:I90">
    <cfRule type="expression" dxfId="5171" priority="115">
      <formula>AND($H71 &gt; 0, ISNUMBER($H71))</formula>
    </cfRule>
    <cfRule type="expression" dxfId="5170" priority="116">
      <formula>AND($H71 = 0 * ISNUMBER($H71))</formula>
    </cfRule>
    <cfRule type="expression" dxfId="5169" priority="117">
      <formula>AND($H71 &lt; 0, ISNUMBER($H71))</formula>
    </cfRule>
  </conditionalFormatting>
  <conditionalFormatting sqref="A71:C90 J71:L90">
    <cfRule type="expression" dxfId="5168" priority="112">
      <formula>AND($K71 &gt; 0, ISNUMBER($K71))</formula>
    </cfRule>
    <cfRule type="expression" dxfId="5167" priority="113">
      <formula>AND($K71 = 0 * ISNUMBER($K71))</formula>
    </cfRule>
    <cfRule type="expression" dxfId="5166" priority="114">
      <formula>AND($K71 &lt; 0, ISNUMBER($K71))</formula>
    </cfRule>
  </conditionalFormatting>
  <conditionalFormatting sqref="D69:F70 E91:F91">
    <cfRule type="expression" dxfId="5165" priority="106">
      <formula>$E$91 &gt; 0</formula>
    </cfRule>
    <cfRule type="expression" dxfId="5164" priority="107">
      <formula>$E$91 = 0</formula>
    </cfRule>
    <cfRule type="expression" dxfId="5163" priority="108">
      <formula>$E$91 &lt; 0</formula>
    </cfRule>
  </conditionalFormatting>
  <conditionalFormatting sqref="G69:I70 H91:I91">
    <cfRule type="expression" dxfId="5162" priority="103">
      <formula>$H$91 &gt; 0</formula>
    </cfRule>
    <cfRule type="expression" dxfId="5161" priority="104">
      <formula>$H$91 = 0</formula>
    </cfRule>
    <cfRule type="expression" dxfId="5160" priority="105">
      <formula>$H$91 &lt; 0</formula>
    </cfRule>
  </conditionalFormatting>
  <conditionalFormatting sqref="J69:L70 K91:L91">
    <cfRule type="expression" dxfId="5159" priority="100">
      <formula>$K$91 &gt; 0</formula>
    </cfRule>
    <cfRule type="expression" dxfId="5158" priority="101">
      <formula>$K$91 = 0</formula>
    </cfRule>
    <cfRule type="expression" dxfId="5157" priority="102">
      <formula>$K$91 &lt; 0</formula>
    </cfRule>
  </conditionalFormatting>
  <conditionalFormatting sqref="M69:O70 N91:O91">
    <cfRule type="expression" dxfId="5156" priority="97">
      <formula>$N$91 &gt; 0</formula>
    </cfRule>
    <cfRule type="expression" dxfId="5155" priority="98">
      <formula>$N$91 = 0</formula>
    </cfRule>
    <cfRule type="expression" dxfId="5154" priority="99">
      <formula>$N$91 &lt; 0</formula>
    </cfRule>
  </conditionalFormatting>
  <conditionalFormatting sqref="A98:C117 M98:O117">
    <cfRule type="expression" dxfId="5153" priority="85">
      <formula>AND($N98 &gt; 0, ISNUMBER($N98))</formula>
    </cfRule>
    <cfRule type="expression" dxfId="5152" priority="86">
      <formula>AND($N98 = 0 * ISNUMBER($N98))</formula>
    </cfRule>
    <cfRule type="expression" dxfId="5151" priority="87">
      <formula>AND($N98 &lt; 0, ISNUMBER($N98))</formula>
    </cfRule>
  </conditionalFormatting>
  <conditionalFormatting sqref="A98:F117">
    <cfRule type="expression" dxfId="5150" priority="94">
      <formula>AND($E98 &gt; 0, ISNUMBER($E98))</formula>
    </cfRule>
    <cfRule type="expression" dxfId="5149" priority="95">
      <formula>AND($E98 = 0 * ISNUMBER($E98))</formula>
    </cfRule>
    <cfRule type="expression" dxfId="5148" priority="96">
      <formula>AND($E98 &lt; 0, ISNUMBER($E98))</formula>
    </cfRule>
  </conditionalFormatting>
  <conditionalFormatting sqref="A98:C117 G98:I117">
    <cfRule type="expression" dxfId="5147" priority="91">
      <formula>AND($H98 &gt; 0, ISNUMBER($H98))</formula>
    </cfRule>
    <cfRule type="expression" dxfId="5146" priority="92">
      <formula>AND($H98 = 0 * ISNUMBER($H98))</formula>
    </cfRule>
    <cfRule type="expression" dxfId="5145" priority="93">
      <formula>AND($H98 &lt; 0, ISNUMBER($H98))</formula>
    </cfRule>
  </conditionalFormatting>
  <conditionalFormatting sqref="A98:C117 J98:L117">
    <cfRule type="expression" dxfId="5144" priority="88">
      <formula>AND($K98 &gt; 0, ISNUMBER($K98))</formula>
    </cfRule>
    <cfRule type="expression" dxfId="5143" priority="89">
      <formula>AND($K98 = 0 * ISNUMBER($K98))</formula>
    </cfRule>
    <cfRule type="expression" dxfId="5142" priority="90">
      <formula>AND($K98 &lt; 0, ISNUMBER($K98))</formula>
    </cfRule>
  </conditionalFormatting>
  <conditionalFormatting sqref="D96:F97 E118:F118">
    <cfRule type="expression" dxfId="5141" priority="82">
      <formula>$E$118 &gt; 0</formula>
    </cfRule>
    <cfRule type="expression" dxfId="5140" priority="83">
      <formula>$E$118 = 0</formula>
    </cfRule>
    <cfRule type="expression" dxfId="5139" priority="84">
      <formula>$E$118 &lt; 0</formula>
    </cfRule>
  </conditionalFormatting>
  <conditionalFormatting sqref="G96:I97 H118:I118">
    <cfRule type="expression" dxfId="5138" priority="79">
      <formula>$H$118 &gt; 0</formula>
    </cfRule>
    <cfRule type="expression" dxfId="5137" priority="80">
      <formula>$H$118 = 0</formula>
    </cfRule>
    <cfRule type="expression" dxfId="5136" priority="81">
      <formula>$H$118 &lt; 0</formula>
    </cfRule>
  </conditionalFormatting>
  <conditionalFormatting sqref="J96:L97 K118:L118">
    <cfRule type="expression" dxfId="5135" priority="76">
      <formula>$K$118 &gt; 0</formula>
    </cfRule>
    <cfRule type="expression" dxfId="5134" priority="77">
      <formula>$K$118 = 0</formula>
    </cfRule>
    <cfRule type="expression" dxfId="5133" priority="78">
      <formula>$K$118 &lt; 0</formula>
    </cfRule>
  </conditionalFormatting>
  <conditionalFormatting sqref="M96:O97 N118:O118">
    <cfRule type="expression" dxfId="5132" priority="73">
      <formula>$N$118 &gt; 0</formula>
    </cfRule>
    <cfRule type="expression" dxfId="5131" priority="74">
      <formula>$N$118 = 0</formula>
    </cfRule>
    <cfRule type="expression" dxfId="5130" priority="75">
      <formula>$N$118 &lt; 0</formula>
    </cfRule>
  </conditionalFormatting>
  <conditionalFormatting sqref="A125:C144 M125:O144">
    <cfRule type="expression" dxfId="5129" priority="61">
      <formula>AND($N125 &gt; 0, ISNUMBER($N125))</formula>
    </cfRule>
    <cfRule type="expression" dxfId="5128" priority="62">
      <formula>AND($N125 = 0 * ISNUMBER($N125))</formula>
    </cfRule>
    <cfRule type="expression" dxfId="5127" priority="63">
      <formula>AND($N125 &lt; 0, ISNUMBER($N125))</formula>
    </cfRule>
  </conditionalFormatting>
  <conditionalFormatting sqref="A125:F144">
    <cfRule type="expression" dxfId="5126" priority="70">
      <formula>AND($E125 &gt; 0, ISNUMBER($E125))</formula>
    </cfRule>
    <cfRule type="expression" dxfId="5125" priority="71">
      <formula>AND($E125 = 0 * ISNUMBER($E125))</formula>
    </cfRule>
    <cfRule type="expression" dxfId="5124" priority="72">
      <formula>AND($E125 &lt; 0, ISNUMBER($E125))</formula>
    </cfRule>
  </conditionalFormatting>
  <conditionalFormatting sqref="A125:C144 G125:I144">
    <cfRule type="expression" dxfId="5123" priority="67">
      <formula>AND($H125 &gt; 0, ISNUMBER($H125))</formula>
    </cfRule>
    <cfRule type="expression" dxfId="5122" priority="68">
      <formula>AND($H125 = 0 * ISNUMBER($H125))</formula>
    </cfRule>
    <cfRule type="expression" dxfId="5121" priority="69">
      <formula>AND($H125 &lt; 0, ISNUMBER($H125))</formula>
    </cfRule>
  </conditionalFormatting>
  <conditionalFormatting sqref="A125:C144 J125:L144">
    <cfRule type="expression" dxfId="5120" priority="64">
      <formula>AND($K125 &gt; 0, ISNUMBER($K125))</formula>
    </cfRule>
    <cfRule type="expression" dxfId="5119" priority="65">
      <formula>AND($K125 = 0 * ISNUMBER($K125))</formula>
    </cfRule>
    <cfRule type="expression" dxfId="5118" priority="66">
      <formula>AND($K125 &lt; 0, ISNUMBER($K125))</formula>
    </cfRule>
  </conditionalFormatting>
  <conditionalFormatting sqref="D123:F124 E145:F145">
    <cfRule type="expression" dxfId="5117" priority="58">
      <formula>$E$145 &gt; 0</formula>
    </cfRule>
    <cfRule type="expression" dxfId="5116" priority="59">
      <formula>$E$145 = 0</formula>
    </cfRule>
    <cfRule type="expression" dxfId="5115" priority="60">
      <formula>$E$145 &lt; 0</formula>
    </cfRule>
  </conditionalFormatting>
  <conditionalFormatting sqref="G123:I124 H145:I145">
    <cfRule type="expression" dxfId="5114" priority="55">
      <formula>$H$145 &gt; 0</formula>
    </cfRule>
    <cfRule type="expression" dxfId="5113" priority="56">
      <formula>$H$145 = 0</formula>
    </cfRule>
    <cfRule type="expression" dxfId="5112" priority="57">
      <formula>$H$145 &lt; 0</formula>
    </cfRule>
  </conditionalFormatting>
  <conditionalFormatting sqref="J123:L124 K145:L145">
    <cfRule type="expression" dxfId="5111" priority="52">
      <formula>$K$145 &gt; 0</formula>
    </cfRule>
    <cfRule type="expression" dxfId="5110" priority="53">
      <formula>$K$145 = 0</formula>
    </cfRule>
    <cfRule type="expression" dxfId="5109" priority="54">
      <formula>$K$145 &lt; 0</formula>
    </cfRule>
  </conditionalFormatting>
  <conditionalFormatting sqref="M123:O124 N145:O145">
    <cfRule type="expression" dxfId="5108" priority="49">
      <formula>$N$145 &gt; 0</formula>
    </cfRule>
    <cfRule type="expression" dxfId="5107" priority="50">
      <formula>$N$145 = 0</formula>
    </cfRule>
    <cfRule type="expression" dxfId="5106" priority="51">
      <formula>$N$145 &lt; 0</formula>
    </cfRule>
  </conditionalFormatting>
  <conditionalFormatting sqref="A152:C171 M152:O171">
    <cfRule type="expression" dxfId="5105" priority="37">
      <formula>AND($N152 &gt; 0, ISNUMBER($N152))</formula>
    </cfRule>
    <cfRule type="expression" dxfId="5104" priority="38">
      <formula>AND($N152 = 0 * ISNUMBER($N152))</formula>
    </cfRule>
    <cfRule type="expression" dxfId="5103" priority="39">
      <formula>AND($N152 &lt; 0, ISNUMBER($N152))</formula>
    </cfRule>
  </conditionalFormatting>
  <conditionalFormatting sqref="A152:F171">
    <cfRule type="expression" dxfId="5102" priority="46">
      <formula>AND($E152 &gt; 0, ISNUMBER($E152))</formula>
    </cfRule>
    <cfRule type="expression" dxfId="5101" priority="47">
      <formula>AND($E152 = 0 * ISNUMBER($E152))</formula>
    </cfRule>
    <cfRule type="expression" dxfId="5100" priority="48">
      <formula>AND($E152 &lt; 0, ISNUMBER($E152))</formula>
    </cfRule>
  </conditionalFormatting>
  <conditionalFormatting sqref="A152:C171 G152:I171">
    <cfRule type="expression" dxfId="5099" priority="43">
      <formula>AND($H152 &gt; 0, ISNUMBER($H152))</formula>
    </cfRule>
    <cfRule type="expression" dxfId="5098" priority="44">
      <formula>AND($H152 = 0 * ISNUMBER($H152))</formula>
    </cfRule>
    <cfRule type="expression" dxfId="5097" priority="45">
      <formula>AND($H152 &lt; 0, ISNUMBER($H152))</formula>
    </cfRule>
  </conditionalFormatting>
  <conditionalFormatting sqref="A152:C171 J152:L171">
    <cfRule type="expression" dxfId="5096" priority="40">
      <formula>AND($K152 &gt; 0, ISNUMBER($K152))</formula>
    </cfRule>
    <cfRule type="expression" dxfId="5095" priority="41">
      <formula>AND($K152 = 0 * ISNUMBER($K152))</formula>
    </cfRule>
    <cfRule type="expression" dxfId="5094" priority="42">
      <formula>AND($K152 &lt; 0, ISNUMBER($K152))</formula>
    </cfRule>
  </conditionalFormatting>
  <conditionalFormatting sqref="D150:F151 E172:F172">
    <cfRule type="expression" dxfId="5093" priority="34">
      <formula>$E$172 &gt; 0</formula>
    </cfRule>
    <cfRule type="expression" dxfId="5092" priority="35">
      <formula>$E$172 = 0</formula>
    </cfRule>
    <cfRule type="expression" dxfId="5091" priority="36">
      <formula>$E$172 &lt; 0</formula>
    </cfRule>
  </conditionalFormatting>
  <conditionalFormatting sqref="G150:I151 H172:I172">
    <cfRule type="expression" dxfId="5090" priority="31">
      <formula>$H$172 &gt; 0</formula>
    </cfRule>
    <cfRule type="expression" dxfId="5089" priority="32">
      <formula>$H$172 = 0</formula>
    </cfRule>
    <cfRule type="expression" dxfId="5088" priority="33">
      <formula>$H$172 &lt; 0</formula>
    </cfRule>
  </conditionalFormatting>
  <conditionalFormatting sqref="J150:L151 K172:L172">
    <cfRule type="expression" dxfId="5087" priority="28">
      <formula>$K$172 &gt; 0</formula>
    </cfRule>
    <cfRule type="expression" dxfId="5086" priority="29">
      <formula>$K$172 = 0</formula>
    </cfRule>
    <cfRule type="expression" dxfId="5085" priority="30">
      <formula>$K$172 &lt; 0</formula>
    </cfRule>
  </conditionalFormatting>
  <conditionalFormatting sqref="M150:O151 N172:O172">
    <cfRule type="expression" dxfId="5084" priority="25">
      <formula>$N$172 &gt; 0</formula>
    </cfRule>
    <cfRule type="expression" dxfId="5083" priority="26">
      <formula>$N$172 = 0</formula>
    </cfRule>
    <cfRule type="expression" dxfId="5082" priority="27">
      <formula>$N$172 &lt; 0</formula>
    </cfRule>
  </conditionalFormatting>
  <conditionalFormatting sqref="A179:C198 M179:O198">
    <cfRule type="expression" dxfId="5081" priority="13">
      <formula>AND($N179 &gt; 0, ISNUMBER($N179))</formula>
    </cfRule>
    <cfRule type="expression" dxfId="5080" priority="14">
      <formula>AND($N179 = 0 * ISNUMBER($N179))</formula>
    </cfRule>
    <cfRule type="expression" dxfId="5079" priority="15">
      <formula>AND($N179 &lt; 0, ISNUMBER($N179))</formula>
    </cfRule>
  </conditionalFormatting>
  <conditionalFormatting sqref="A179:F198">
    <cfRule type="expression" dxfId="5078" priority="22">
      <formula>AND($E179 &gt; 0, ISNUMBER($E179))</formula>
    </cfRule>
    <cfRule type="expression" dxfId="5077" priority="23">
      <formula>AND($E179 = 0 * ISNUMBER($E179))</formula>
    </cfRule>
    <cfRule type="expression" dxfId="5076" priority="24">
      <formula>AND($E179 &lt; 0, ISNUMBER($E179))</formula>
    </cfRule>
  </conditionalFormatting>
  <conditionalFormatting sqref="A179:C198 G179:I198">
    <cfRule type="expression" dxfId="5075" priority="19">
      <formula>AND($H179 &gt; 0, ISNUMBER($H179))</formula>
    </cfRule>
    <cfRule type="expression" dxfId="5074" priority="20">
      <formula>AND($H179 = 0 * ISNUMBER($H179))</formula>
    </cfRule>
    <cfRule type="expression" dxfId="5073" priority="21">
      <formula>AND($H179 &lt; 0, ISNUMBER($H179))</formula>
    </cfRule>
  </conditionalFormatting>
  <conditionalFormatting sqref="A179:C198 J179:L198">
    <cfRule type="expression" dxfId="5072" priority="16">
      <formula>AND($K179 &gt; 0, ISNUMBER($K179))</formula>
    </cfRule>
    <cfRule type="expression" dxfId="5071" priority="17">
      <formula>AND($K179 = 0 * ISNUMBER($K179))</formula>
    </cfRule>
    <cfRule type="expression" dxfId="5070" priority="18">
      <formula>AND($K179 &lt; 0, ISNUMBER($K179))</formula>
    </cfRule>
  </conditionalFormatting>
  <conditionalFormatting sqref="D177:F178 E199:F199">
    <cfRule type="expression" dxfId="5069" priority="10">
      <formula>$E$199 &gt; 0</formula>
    </cfRule>
    <cfRule type="expression" dxfId="5068" priority="11">
      <formula>$E$199 = 0</formula>
    </cfRule>
    <cfRule type="expression" dxfId="5067" priority="12">
      <formula>$E$199 &lt; 0</formula>
    </cfRule>
  </conditionalFormatting>
  <conditionalFormatting sqref="G177:I178 H199:I199">
    <cfRule type="expression" dxfId="5066" priority="7">
      <formula>$H$199 &gt; 0</formula>
    </cfRule>
    <cfRule type="expression" dxfId="5065" priority="8">
      <formula>$H$199 = 0</formula>
    </cfRule>
    <cfRule type="expression" dxfId="5064" priority="9">
      <formula>$H$199 &lt; 0</formula>
    </cfRule>
  </conditionalFormatting>
  <conditionalFormatting sqref="J177:L178 K199:L199">
    <cfRule type="expression" dxfId="5063" priority="4">
      <formula>$K$199 &gt; 0</formula>
    </cfRule>
    <cfRule type="expression" dxfId="5062" priority="5">
      <formula>$K$199 = 0</formula>
    </cfRule>
    <cfRule type="expression" dxfId="5061" priority="6">
      <formula>$K$199 &lt; 0</formula>
    </cfRule>
  </conditionalFormatting>
  <conditionalFormatting sqref="M177:O178 N199:O199">
    <cfRule type="expression" dxfId="5060" priority="1">
      <formula>$N$199 &gt; 0</formula>
    </cfRule>
    <cfRule type="expression" dxfId="5059" priority="2">
      <formula>$N$199 = 0</formula>
    </cfRule>
    <cfRule type="expression" dxfId="50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44927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2023-01-01(일) 오전 00:00</v>
      </c>
      <c r="C15" s="196"/>
      <c r="D15" s="170" t="str">
        <f>TEXT($G$1, "[$-ko-KR]yyyy-mm-dd(ddd) ") &amp; "오후 14:00"</f>
        <v>2023-01-01(일) 오후 14:00</v>
      </c>
      <c r="E15" s="171"/>
      <c r="F15" s="172"/>
      <c r="G15" s="170" t="str">
        <f>TEXT($G$1, "[$-ko-KR]yyyy-mm-dd(ddd) ") &amp; "오후 19:00"</f>
        <v>2023-01-01(일) 오후 19:00</v>
      </c>
      <c r="H15" s="171"/>
      <c r="I15" s="172"/>
      <c r="J15" s="170" t="str">
        <f>TEXT($G$1, "[$-ko-KR]yyyy-mm-dd(ddd) ") &amp; "오후 21:00"</f>
        <v>2023-01-01(일) 오후 21:00</v>
      </c>
      <c r="K15" s="171"/>
      <c r="L15" s="172"/>
      <c r="M15" s="170" t="str">
        <f>TEXT($G$1+1, "[$-ko-KR]yyyy-mm-dd(ddd) ") &amp; "오전 00:00"</f>
        <v>2023-01-02(월)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2023-01-01(일) 오전 00:00</v>
      </c>
      <c r="C42" s="198"/>
      <c r="D42" s="170" t="str">
        <f>TEXT($G$1, "[$-ko-KR]yyyy-mm-dd(ddd) ") &amp; "오후 14:00"</f>
        <v>2023-01-01(일) 오후 14:00</v>
      </c>
      <c r="E42" s="171"/>
      <c r="F42" s="172"/>
      <c r="G42" s="170" t="str">
        <f>TEXT($G$1, "[$-ko-KR]yyyy-mm-dd(ddd) ") &amp; "오후 19:00"</f>
        <v>2023-01-01(일) 오후 19:00</v>
      </c>
      <c r="H42" s="171"/>
      <c r="I42" s="172"/>
      <c r="J42" s="170" t="str">
        <f>TEXT($G$1, "[$-ko-KR]yyyy-mm-dd(ddd) ") &amp; "오후 21:00"</f>
        <v>2023-01-01(일) 오후 21:00</v>
      </c>
      <c r="K42" s="171"/>
      <c r="L42" s="172"/>
      <c r="M42" s="170" t="str">
        <f>TEXT($G$1+1, "[$-ko-KR]yyyy-mm-dd(ddd) ") &amp; "오전 00:00"</f>
        <v>2023-01-02(월)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/>
      <c r="B44" s="108"/>
      <c r="C44" s="69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/>
      <c r="B45" s="110"/>
      <c r="C45" s="70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/>
      <c r="B46" s="110"/>
      <c r="C46" s="70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6"/>
      <c r="R46" s="146"/>
      <c r="S46" s="146"/>
    </row>
    <row r="47" spans="1:19" ht="17.25" customHeight="1" thickBot="1">
      <c r="A47" s="109"/>
      <c r="B47" s="110"/>
      <c r="C47" s="70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6"/>
      <c r="R47" s="146"/>
      <c r="S47" s="146"/>
    </row>
    <row r="48" spans="1:19" ht="17.25" customHeight="1" thickBot="1">
      <c r="A48" s="111"/>
      <c r="B48" s="112"/>
      <c r="C48" s="7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6"/>
      <c r="R48" s="146"/>
      <c r="S48" s="146"/>
    </row>
    <row r="49" spans="1:19" ht="17.25" customHeight="1" thickBot="1">
      <c r="A49" s="109"/>
      <c r="B49" s="113"/>
      <c r="C49" s="73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46"/>
      <c r="R49" s="146"/>
      <c r="S49" s="146"/>
    </row>
    <row r="50" spans="1:19" ht="17.25" customHeight="1" thickBot="1">
      <c r="A50" s="109"/>
      <c r="B50" s="110"/>
      <c r="C50" s="70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6"/>
      <c r="R50" s="146"/>
      <c r="S50" s="146"/>
    </row>
    <row r="51" spans="1:19" ht="17.25" customHeight="1" thickBot="1">
      <c r="A51" s="109"/>
      <c r="B51" s="110"/>
      <c r="C51" s="70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6"/>
      <c r="R51" s="146"/>
      <c r="S51" s="146"/>
    </row>
    <row r="52" spans="1:19" ht="17.25" customHeight="1" thickBot="1">
      <c r="A52" s="109"/>
      <c r="B52" s="110"/>
      <c r="C52" s="70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/>
      <c r="B53" s="115"/>
      <c r="C53" s="72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47"/>
      <c r="R53" s="148"/>
      <c r="S53" s="149"/>
    </row>
    <row r="54" spans="1:19" ht="17.25" customHeight="1">
      <c r="A54" s="107"/>
      <c r="B54" s="108"/>
      <c r="C54" s="69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0"/>
      <c r="R54" s="151"/>
      <c r="S54" s="152"/>
    </row>
    <row r="55" spans="1:19" ht="17.25" customHeight="1" thickBot="1">
      <c r="A55" s="109"/>
      <c r="B55" s="110"/>
      <c r="C55" s="70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3"/>
      <c r="R55" s="154"/>
      <c r="S55" s="155"/>
    </row>
    <row r="56" spans="1:19" ht="17.25" customHeight="1" thickBot="1">
      <c r="A56" s="109"/>
      <c r="B56" s="110"/>
      <c r="C56" s="70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6"/>
      <c r="R56" s="146"/>
      <c r="S56" s="146"/>
    </row>
    <row r="57" spans="1:19" ht="17.25" customHeight="1" thickBot="1">
      <c r="A57" s="109"/>
      <c r="B57" s="110"/>
      <c r="C57" s="70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/>
      <c r="B58" s="112"/>
      <c r="C58" s="7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/>
      <c r="B59" s="113"/>
      <c r="C59" s="73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46"/>
      <c r="R59" s="146"/>
      <c r="S59" s="146"/>
    </row>
    <row r="60" spans="1:19" ht="17.25" customHeight="1" thickBot="1">
      <c r="A60" s="109"/>
      <c r="B60" s="110"/>
      <c r="C60" s="70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6"/>
      <c r="R60" s="146"/>
      <c r="S60" s="146"/>
    </row>
    <row r="61" spans="1:19" ht="17.25" customHeight="1" thickBot="1">
      <c r="A61" s="109"/>
      <c r="B61" s="110"/>
      <c r="C61" s="70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6"/>
      <c r="R61" s="146"/>
      <c r="S61" s="146"/>
    </row>
    <row r="62" spans="1:19" ht="17.25" customHeight="1">
      <c r="A62" s="109"/>
      <c r="B62" s="110"/>
      <c r="C62" s="70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35"/>
      <c r="R62" s="136"/>
      <c r="S62" s="137"/>
    </row>
    <row r="63" spans="1:19" ht="17.25" customHeight="1" thickBot="1">
      <c r="A63" s="114"/>
      <c r="B63" s="115"/>
      <c r="C63" s="72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2023-01-01(일) 오전 00:00</v>
      </c>
      <c r="C69" s="198"/>
      <c r="D69" s="170" t="str">
        <f>TEXT($G$1, "[$-ko-KR]yyyy-mm-dd(ddd) ") &amp; "오후 14:00"</f>
        <v>2023-01-01(일) 오후 14:00</v>
      </c>
      <c r="E69" s="171"/>
      <c r="F69" s="172"/>
      <c r="G69" s="170" t="str">
        <f>TEXT($G$1, "[$-ko-KR]yyyy-mm-dd(ddd) ") &amp; "오후 19:00"</f>
        <v>2023-01-01(일) 오후 19:00</v>
      </c>
      <c r="H69" s="171"/>
      <c r="I69" s="172"/>
      <c r="J69" s="170" t="str">
        <f>TEXT($G$1, "[$-ko-KR]yyyy-mm-dd(ddd) ") &amp; "오후 21:00"</f>
        <v>2023-01-01(일) 오후 21:00</v>
      </c>
      <c r="K69" s="171"/>
      <c r="L69" s="172"/>
      <c r="M69" s="170" t="str">
        <f>TEXT($G$1+1, "[$-ko-KR]yyyy-mm-dd(ddd) ") &amp; "오전 00:00"</f>
        <v>2023-01-02(월)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/>
      <c r="B71" s="108"/>
      <c r="C71" s="69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/>
      <c r="B72" s="110"/>
      <c r="C72" s="70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/>
      <c r="B73" s="110"/>
      <c r="C73" s="70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6"/>
      <c r="R73" s="146"/>
      <c r="S73" s="146"/>
    </row>
    <row r="74" spans="1:19" ht="17.25" thickBot="1">
      <c r="A74" s="109"/>
      <c r="B74" s="110"/>
      <c r="C74" s="70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6"/>
      <c r="R74" s="146"/>
      <c r="S74" s="146"/>
    </row>
    <row r="75" spans="1:19" ht="17.25" thickBot="1">
      <c r="A75" s="111"/>
      <c r="B75" s="112"/>
      <c r="C75" s="7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6"/>
      <c r="R75" s="146"/>
      <c r="S75" s="146"/>
    </row>
    <row r="76" spans="1:19" ht="17.25" thickBot="1">
      <c r="A76" s="109"/>
      <c r="B76" s="113"/>
      <c r="C76" s="73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46"/>
      <c r="R76" s="146"/>
      <c r="S76" s="146"/>
    </row>
    <row r="77" spans="1:19" ht="17.25" thickBot="1">
      <c r="A77" s="109"/>
      <c r="B77" s="110"/>
      <c r="C77" s="70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6"/>
      <c r="R77" s="146"/>
      <c r="S77" s="146"/>
    </row>
    <row r="78" spans="1:19" ht="17.25" thickBot="1">
      <c r="A78" s="109"/>
      <c r="B78" s="110"/>
      <c r="C78" s="70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6"/>
      <c r="R78" s="146"/>
      <c r="S78" s="146"/>
    </row>
    <row r="79" spans="1:19" ht="17.25" thickBot="1">
      <c r="A79" s="109"/>
      <c r="B79" s="110"/>
      <c r="C79" s="70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/>
      <c r="B80" s="115"/>
      <c r="C80" s="72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47"/>
      <c r="R80" s="148"/>
      <c r="S80" s="149"/>
    </row>
    <row r="81" spans="1:19">
      <c r="A81" s="107"/>
      <c r="B81" s="108"/>
      <c r="C81" s="69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0"/>
      <c r="R81" s="151"/>
      <c r="S81" s="152"/>
    </row>
    <row r="82" spans="1:19" ht="17.25" thickBot="1">
      <c r="A82" s="109"/>
      <c r="B82" s="110"/>
      <c r="C82" s="70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3"/>
      <c r="R82" s="154"/>
      <c r="S82" s="155"/>
    </row>
    <row r="83" spans="1:19" ht="17.25" thickBot="1">
      <c r="A83" s="109"/>
      <c r="B83" s="110"/>
      <c r="C83" s="70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6"/>
      <c r="R83" s="146"/>
      <c r="S83" s="146"/>
    </row>
    <row r="84" spans="1:19" ht="17.25" thickBot="1">
      <c r="A84" s="109"/>
      <c r="B84" s="110"/>
      <c r="C84" s="70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/>
      <c r="B85" s="112"/>
      <c r="C85" s="7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/>
      <c r="B86" s="113"/>
      <c r="C86" s="73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46"/>
      <c r="R86" s="146"/>
      <c r="S86" s="146"/>
    </row>
    <row r="87" spans="1:19" ht="17.25" thickBot="1">
      <c r="A87" s="109"/>
      <c r="B87" s="110"/>
      <c r="C87" s="70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6"/>
      <c r="R87" s="146"/>
      <c r="S87" s="146"/>
    </row>
    <row r="88" spans="1:19" ht="17.25" thickBot="1">
      <c r="A88" s="109"/>
      <c r="B88" s="110"/>
      <c r="C88" s="70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6"/>
      <c r="R88" s="146"/>
      <c r="S88" s="146"/>
    </row>
    <row r="89" spans="1:19">
      <c r="A89" s="109"/>
      <c r="B89" s="110"/>
      <c r="C89" s="70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35"/>
      <c r="R89" s="136"/>
      <c r="S89" s="137"/>
    </row>
    <row r="90" spans="1:19" ht="17.25" thickBot="1">
      <c r="A90" s="114"/>
      <c r="B90" s="115"/>
      <c r="C90" s="72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2023-01-01(일) 오전 00:00</v>
      </c>
      <c r="C96" s="198"/>
      <c r="D96" s="170" t="str">
        <f>TEXT($G$1, "[$-ko-KR]yyyy-mm-dd(ddd) ") &amp; "오후 14:00"</f>
        <v>2023-01-01(일) 오후 14:00</v>
      </c>
      <c r="E96" s="171"/>
      <c r="F96" s="172"/>
      <c r="G96" s="170" t="str">
        <f>TEXT($G$1, "[$-ko-KR]yyyy-mm-dd(ddd) ") &amp; "오후 19:00"</f>
        <v>2023-01-01(일) 오후 19:00</v>
      </c>
      <c r="H96" s="171"/>
      <c r="I96" s="172"/>
      <c r="J96" s="170" t="str">
        <f>TEXT($G$1, "[$-ko-KR]yyyy-mm-dd(ddd) ") &amp; "오후 21:00"</f>
        <v>2023-01-01(일) 오후 21:00</v>
      </c>
      <c r="K96" s="171"/>
      <c r="L96" s="172"/>
      <c r="M96" s="170" t="str">
        <f>TEXT($G$1+1, "[$-ko-KR]yyyy-mm-dd(ddd) ") &amp; "오전 00:00"</f>
        <v>2023-01-02(월)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/>
      <c r="B98" s="108"/>
      <c r="C98" s="69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/>
      <c r="B99" s="110"/>
      <c r="C99" s="70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/>
      <c r="B100" s="110"/>
      <c r="C100" s="70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6"/>
      <c r="R100" s="146"/>
      <c r="S100" s="146"/>
    </row>
    <row r="101" spans="1:19" ht="17.25" thickBot="1">
      <c r="A101" s="109"/>
      <c r="B101" s="110"/>
      <c r="C101" s="70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6"/>
      <c r="R101" s="146"/>
      <c r="S101" s="146"/>
    </row>
    <row r="102" spans="1:19" ht="17.25" thickBot="1">
      <c r="A102" s="111"/>
      <c r="B102" s="112"/>
      <c r="C102" s="7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6"/>
      <c r="R102" s="146"/>
      <c r="S102" s="146"/>
    </row>
    <row r="103" spans="1:19" ht="17.25" thickBot="1">
      <c r="A103" s="109"/>
      <c r="B103" s="113"/>
      <c r="C103" s="73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46"/>
      <c r="R103" s="146"/>
      <c r="S103" s="146"/>
    </row>
    <row r="104" spans="1:19" ht="17.25" thickBot="1">
      <c r="A104" s="109"/>
      <c r="B104" s="110"/>
      <c r="C104" s="70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6"/>
      <c r="R104" s="146"/>
      <c r="S104" s="146"/>
    </row>
    <row r="105" spans="1:19" ht="17.25" thickBot="1">
      <c r="A105" s="109"/>
      <c r="B105" s="110"/>
      <c r="C105" s="70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6"/>
      <c r="R105" s="146"/>
      <c r="S105" s="146"/>
    </row>
    <row r="106" spans="1:19" ht="17.25" thickBot="1">
      <c r="A106" s="109"/>
      <c r="B106" s="110"/>
      <c r="C106" s="70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/>
      <c r="B107" s="115"/>
      <c r="C107" s="72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47"/>
      <c r="R107" s="148"/>
      <c r="S107" s="149"/>
    </row>
    <row r="108" spans="1:19">
      <c r="A108" s="107"/>
      <c r="B108" s="108"/>
      <c r="C108" s="69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0"/>
      <c r="R108" s="151"/>
      <c r="S108" s="152"/>
    </row>
    <row r="109" spans="1:19" ht="17.25" thickBot="1">
      <c r="A109" s="109"/>
      <c r="B109" s="110"/>
      <c r="C109" s="70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3"/>
      <c r="R109" s="154"/>
      <c r="S109" s="155"/>
    </row>
    <row r="110" spans="1:19" ht="17.25" thickBot="1">
      <c r="A110" s="109"/>
      <c r="B110" s="110"/>
      <c r="C110" s="70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6"/>
      <c r="R110" s="146"/>
      <c r="S110" s="146"/>
    </row>
    <row r="111" spans="1:19" ht="17.25" thickBot="1">
      <c r="A111" s="109"/>
      <c r="B111" s="110"/>
      <c r="C111" s="70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/>
      <c r="B112" s="112"/>
      <c r="C112" s="7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/>
      <c r="B113" s="113"/>
      <c r="C113" s="73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46"/>
      <c r="R113" s="146"/>
      <c r="S113" s="146"/>
    </row>
    <row r="114" spans="1:19" ht="17.25" thickBot="1">
      <c r="A114" s="109"/>
      <c r="B114" s="110"/>
      <c r="C114" s="70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6"/>
      <c r="R114" s="146"/>
      <c r="S114" s="146"/>
    </row>
    <row r="115" spans="1:19" ht="17.25" thickBot="1">
      <c r="A115" s="109"/>
      <c r="B115" s="110"/>
      <c r="C115" s="70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6"/>
      <c r="R115" s="146"/>
      <c r="S115" s="146"/>
    </row>
    <row r="116" spans="1:19">
      <c r="A116" s="109"/>
      <c r="B116" s="110"/>
      <c r="C116" s="70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35"/>
      <c r="R116" s="136"/>
      <c r="S116" s="137"/>
    </row>
    <row r="117" spans="1:19" ht="17.25" thickBot="1">
      <c r="A117" s="114"/>
      <c r="B117" s="115"/>
      <c r="C117" s="72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2023-01-01(일) 오전 00:00</v>
      </c>
      <c r="C123" s="198"/>
      <c r="D123" s="170" t="str">
        <f>TEXT($G$1, "[$-ko-KR]yyyy-mm-dd(ddd) ") &amp; "오후 14:00"</f>
        <v>2023-01-01(일) 오후 14:00</v>
      </c>
      <c r="E123" s="171"/>
      <c r="F123" s="172"/>
      <c r="G123" s="170" t="str">
        <f>TEXT($G$1, "[$-ko-KR]yyyy-mm-dd(ddd) ") &amp; "오후 19:00"</f>
        <v>2023-01-01(일) 오후 19:00</v>
      </c>
      <c r="H123" s="171"/>
      <c r="I123" s="172"/>
      <c r="J123" s="170" t="str">
        <f>TEXT($G$1, "[$-ko-KR]yyyy-mm-dd(ddd) ") &amp; "오후 21:00"</f>
        <v>2023-01-01(일) 오후 21:00</v>
      </c>
      <c r="K123" s="171"/>
      <c r="L123" s="172"/>
      <c r="M123" s="170" t="str">
        <f>TEXT($G$1+1, "[$-ko-KR]yyyy-mm-dd(ddd) ") &amp; "오전 00:00"</f>
        <v>2023-01-02(월)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/>
      <c r="B125" s="108"/>
      <c r="C125" s="69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/>
      <c r="B126" s="110"/>
      <c r="C126" s="70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/>
      <c r="B127" s="110"/>
      <c r="C127" s="70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6"/>
      <c r="R127" s="146"/>
      <c r="S127" s="146"/>
    </row>
    <row r="128" spans="1:19" ht="17.25" thickBot="1">
      <c r="A128" s="109"/>
      <c r="B128" s="110"/>
      <c r="C128" s="70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6"/>
      <c r="R128" s="146"/>
      <c r="S128" s="146"/>
    </row>
    <row r="129" spans="1:19" ht="17.25" thickBot="1">
      <c r="A129" s="111"/>
      <c r="B129" s="112"/>
      <c r="C129" s="7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6"/>
      <c r="R129" s="146"/>
      <c r="S129" s="146"/>
    </row>
    <row r="130" spans="1:19" ht="17.25" thickBot="1">
      <c r="A130" s="109"/>
      <c r="B130" s="113"/>
      <c r="C130" s="73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46"/>
      <c r="R130" s="146"/>
      <c r="S130" s="146"/>
    </row>
    <row r="131" spans="1:19" ht="17.25" thickBot="1">
      <c r="A131" s="109"/>
      <c r="B131" s="110"/>
      <c r="C131" s="70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6"/>
      <c r="R131" s="146"/>
      <c r="S131" s="146"/>
    </row>
    <row r="132" spans="1:19" ht="17.25" thickBot="1">
      <c r="A132" s="109"/>
      <c r="B132" s="110"/>
      <c r="C132" s="70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6"/>
      <c r="R132" s="146"/>
      <c r="S132" s="146"/>
    </row>
    <row r="133" spans="1:19" ht="17.25" thickBot="1">
      <c r="A133" s="109"/>
      <c r="B133" s="110"/>
      <c r="C133" s="70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/>
      <c r="B134" s="115"/>
      <c r="C134" s="72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47"/>
      <c r="R134" s="148"/>
      <c r="S134" s="149"/>
    </row>
    <row r="135" spans="1:19">
      <c r="A135" s="107"/>
      <c r="B135" s="108"/>
      <c r="C135" s="69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0"/>
      <c r="R135" s="151"/>
      <c r="S135" s="152"/>
    </row>
    <row r="136" spans="1:19" ht="17.25" thickBot="1">
      <c r="A136" s="109"/>
      <c r="B136" s="110"/>
      <c r="C136" s="70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3"/>
      <c r="R136" s="154"/>
      <c r="S136" s="155"/>
    </row>
    <row r="137" spans="1:19" ht="17.25" thickBot="1">
      <c r="A137" s="109"/>
      <c r="B137" s="110"/>
      <c r="C137" s="70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6"/>
      <c r="R137" s="146"/>
      <c r="S137" s="146"/>
    </row>
    <row r="138" spans="1:19" ht="17.25" thickBot="1">
      <c r="A138" s="109"/>
      <c r="B138" s="110"/>
      <c r="C138" s="70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/>
      <c r="B139" s="112"/>
      <c r="C139" s="7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/>
      <c r="B140" s="113"/>
      <c r="C140" s="73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46"/>
      <c r="R140" s="146"/>
      <c r="S140" s="146"/>
    </row>
    <row r="141" spans="1:19" ht="17.25" thickBot="1">
      <c r="A141" s="109"/>
      <c r="B141" s="110"/>
      <c r="C141" s="70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6"/>
      <c r="R141" s="146"/>
      <c r="S141" s="146"/>
    </row>
    <row r="142" spans="1:19" ht="17.25" thickBot="1">
      <c r="A142" s="109"/>
      <c r="B142" s="110"/>
      <c r="C142" s="70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6"/>
      <c r="R142" s="146"/>
      <c r="S142" s="146"/>
    </row>
    <row r="143" spans="1:19">
      <c r="A143" s="109"/>
      <c r="B143" s="110"/>
      <c r="C143" s="70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35"/>
      <c r="R143" s="136"/>
      <c r="S143" s="137"/>
    </row>
    <row r="144" spans="1:19" ht="17.25" thickBot="1">
      <c r="A144" s="114"/>
      <c r="B144" s="115"/>
      <c r="C144" s="72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2023-01-01(일) 오전 00:00</v>
      </c>
      <c r="C150" s="198"/>
      <c r="D150" s="170" t="str">
        <f>TEXT($G$1, "[$-ko-KR]yyyy-mm-dd(ddd) ") &amp; "오후 14:00"</f>
        <v>2023-01-01(일) 오후 14:00</v>
      </c>
      <c r="E150" s="171"/>
      <c r="F150" s="172"/>
      <c r="G150" s="170" t="str">
        <f>TEXT($G$1, "[$-ko-KR]yyyy-mm-dd(ddd) ") &amp; "오후 19:00"</f>
        <v>2023-01-01(일) 오후 19:00</v>
      </c>
      <c r="H150" s="171"/>
      <c r="I150" s="172"/>
      <c r="J150" s="170" t="str">
        <f>TEXT($G$1, "[$-ko-KR]yyyy-mm-dd(ddd) ") &amp; "오후 21:00"</f>
        <v>2023-01-01(일) 오후 21:00</v>
      </c>
      <c r="K150" s="171"/>
      <c r="L150" s="172"/>
      <c r="M150" s="170" t="str">
        <f>TEXT($G$1+1, "[$-ko-KR]yyyy-mm-dd(ddd) ") &amp; "오전 00:00"</f>
        <v>2023-01-02(월)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/>
      <c r="B152" s="108"/>
      <c r="C152" s="69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/>
      <c r="B153" s="110"/>
      <c r="C153" s="70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/>
      <c r="B154" s="110"/>
      <c r="C154" s="70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6"/>
      <c r="R154" s="146"/>
      <c r="S154" s="146"/>
    </row>
    <row r="155" spans="1:19" ht="17.25" thickBot="1">
      <c r="A155" s="109"/>
      <c r="B155" s="110"/>
      <c r="C155" s="70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6"/>
      <c r="R155" s="146"/>
      <c r="S155" s="146"/>
    </row>
    <row r="156" spans="1:19" ht="17.25" thickBot="1">
      <c r="A156" s="111"/>
      <c r="B156" s="112"/>
      <c r="C156" s="7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6"/>
      <c r="R156" s="146"/>
      <c r="S156" s="146"/>
    </row>
    <row r="157" spans="1:19" ht="17.25" thickBot="1">
      <c r="A157" s="109"/>
      <c r="B157" s="113"/>
      <c r="C157" s="73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46"/>
      <c r="R157" s="146"/>
      <c r="S157" s="146"/>
    </row>
    <row r="158" spans="1:19" ht="17.25" thickBot="1">
      <c r="A158" s="109"/>
      <c r="B158" s="110"/>
      <c r="C158" s="70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6"/>
      <c r="R158" s="146"/>
      <c r="S158" s="146"/>
    </row>
    <row r="159" spans="1:19" ht="17.25" thickBot="1">
      <c r="A159" s="109"/>
      <c r="B159" s="110"/>
      <c r="C159" s="70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6"/>
      <c r="R159" s="146"/>
      <c r="S159" s="146"/>
    </row>
    <row r="160" spans="1:19" ht="17.25" thickBot="1">
      <c r="A160" s="109"/>
      <c r="B160" s="110"/>
      <c r="C160" s="70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/>
      <c r="B161" s="115"/>
      <c r="C161" s="72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47"/>
      <c r="R161" s="148"/>
      <c r="S161" s="149"/>
    </row>
    <row r="162" spans="1:19">
      <c r="A162" s="107"/>
      <c r="B162" s="108"/>
      <c r="C162" s="69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0"/>
      <c r="R162" s="151"/>
      <c r="S162" s="152"/>
    </row>
    <row r="163" spans="1:19" ht="17.25" thickBot="1">
      <c r="A163" s="109"/>
      <c r="B163" s="110"/>
      <c r="C163" s="70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3"/>
      <c r="R163" s="154"/>
      <c r="S163" s="155"/>
    </row>
    <row r="164" spans="1:19" ht="17.25" thickBot="1">
      <c r="A164" s="109"/>
      <c r="B164" s="110"/>
      <c r="C164" s="70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6"/>
      <c r="R164" s="146"/>
      <c r="S164" s="146"/>
    </row>
    <row r="165" spans="1:19" ht="17.25" thickBot="1">
      <c r="A165" s="109"/>
      <c r="B165" s="110"/>
      <c r="C165" s="70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/>
      <c r="B166" s="112"/>
      <c r="C166" s="7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/>
      <c r="B167" s="113"/>
      <c r="C167" s="73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46"/>
      <c r="R167" s="146"/>
      <c r="S167" s="146"/>
    </row>
    <row r="168" spans="1:19" ht="17.25" thickBot="1">
      <c r="A168" s="109"/>
      <c r="B168" s="110"/>
      <c r="C168" s="70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6"/>
      <c r="R168" s="146"/>
      <c r="S168" s="146"/>
    </row>
    <row r="169" spans="1:19" ht="17.25" thickBot="1">
      <c r="A169" s="109"/>
      <c r="B169" s="110"/>
      <c r="C169" s="70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6"/>
      <c r="R169" s="146"/>
      <c r="S169" s="146"/>
    </row>
    <row r="170" spans="1:19">
      <c r="A170" s="109"/>
      <c r="B170" s="110"/>
      <c r="C170" s="70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35"/>
      <c r="R170" s="136"/>
      <c r="S170" s="137"/>
    </row>
    <row r="171" spans="1:19" ht="17.25" thickBot="1">
      <c r="A171" s="114"/>
      <c r="B171" s="115"/>
      <c r="C171" s="72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2023-01-01(일) 오전 00:00</v>
      </c>
      <c r="C177" s="198"/>
      <c r="D177" s="170" t="str">
        <f>TEXT($G$1, "[$-ko-KR]yyyy-mm-dd(ddd) ") &amp; "오후 14:00"</f>
        <v>2023-01-01(일) 오후 14:00</v>
      </c>
      <c r="E177" s="171"/>
      <c r="F177" s="172"/>
      <c r="G177" s="170" t="str">
        <f>TEXT($G$1, "[$-ko-KR]yyyy-mm-dd(ddd) ") &amp; "오후 19:00"</f>
        <v>2023-01-01(일) 오후 19:00</v>
      </c>
      <c r="H177" s="171"/>
      <c r="I177" s="172"/>
      <c r="J177" s="170" t="str">
        <f>TEXT($G$1, "[$-ko-KR]yyyy-mm-dd(ddd) ") &amp; "오후 21:00"</f>
        <v>2023-01-01(일) 오후 21:00</v>
      </c>
      <c r="K177" s="171"/>
      <c r="L177" s="172"/>
      <c r="M177" s="170" t="str">
        <f>TEXT($G$1+1, "[$-ko-KR]yyyy-mm-dd(ddd) ") &amp; "오전 00:00"</f>
        <v>2023-01-02(월)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/>
      <c r="B179" s="108"/>
      <c r="C179" s="69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/>
      <c r="B180" s="110"/>
      <c r="C180" s="70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/>
      <c r="B181" s="110"/>
      <c r="C181" s="70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6"/>
      <c r="R181" s="146"/>
      <c r="S181" s="146"/>
    </row>
    <row r="182" spans="1:19" ht="17.25" thickBot="1">
      <c r="A182" s="109"/>
      <c r="B182" s="110"/>
      <c r="C182" s="70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6"/>
      <c r="R182" s="146"/>
      <c r="S182" s="146"/>
    </row>
    <row r="183" spans="1:19" ht="17.25" thickBot="1">
      <c r="A183" s="111"/>
      <c r="B183" s="112"/>
      <c r="C183" s="7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6"/>
      <c r="R183" s="146"/>
      <c r="S183" s="146"/>
    </row>
    <row r="184" spans="1:19" ht="17.25" thickBot="1">
      <c r="A184" s="109"/>
      <c r="B184" s="113"/>
      <c r="C184" s="73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46"/>
      <c r="R184" s="146"/>
      <c r="S184" s="146"/>
    </row>
    <row r="185" spans="1:19" ht="17.25" thickBot="1">
      <c r="A185" s="109"/>
      <c r="B185" s="110"/>
      <c r="C185" s="70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6"/>
      <c r="R185" s="146"/>
      <c r="S185" s="146"/>
    </row>
    <row r="186" spans="1:19" ht="17.25" thickBot="1">
      <c r="A186" s="109"/>
      <c r="B186" s="110"/>
      <c r="C186" s="70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6"/>
      <c r="R186" s="146"/>
      <c r="S186" s="146"/>
    </row>
    <row r="187" spans="1:19" ht="17.25" thickBot="1">
      <c r="A187" s="109"/>
      <c r="B187" s="110"/>
      <c r="C187" s="70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/>
      <c r="B188" s="115"/>
      <c r="C188" s="72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47"/>
      <c r="R188" s="148"/>
      <c r="S188" s="149"/>
    </row>
    <row r="189" spans="1:19">
      <c r="A189" s="107"/>
      <c r="B189" s="108"/>
      <c r="C189" s="69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0"/>
      <c r="R189" s="151"/>
      <c r="S189" s="152"/>
    </row>
    <row r="190" spans="1:19" ht="17.25" thickBot="1">
      <c r="A190" s="109"/>
      <c r="B190" s="110"/>
      <c r="C190" s="70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3"/>
      <c r="R190" s="154"/>
      <c r="S190" s="155"/>
    </row>
    <row r="191" spans="1:19" ht="17.25" thickBot="1">
      <c r="A191" s="109"/>
      <c r="B191" s="110"/>
      <c r="C191" s="70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6"/>
      <c r="R191" s="146"/>
      <c r="S191" s="146"/>
    </row>
    <row r="192" spans="1:19" ht="17.25" thickBot="1">
      <c r="A192" s="109"/>
      <c r="B192" s="110"/>
      <c r="C192" s="70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/>
      <c r="B193" s="112"/>
      <c r="C193" s="7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/>
      <c r="B194" s="113"/>
      <c r="C194" s="73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46"/>
      <c r="R194" s="146"/>
      <c r="S194" s="146"/>
    </row>
    <row r="195" spans="1:19" ht="17.25" thickBot="1">
      <c r="A195" s="109"/>
      <c r="B195" s="110"/>
      <c r="C195" s="70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6"/>
      <c r="R195" s="146"/>
      <c r="S195" s="146"/>
    </row>
    <row r="196" spans="1:19" ht="17.25" thickBot="1">
      <c r="A196" s="109"/>
      <c r="B196" s="110"/>
      <c r="C196" s="70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6"/>
      <c r="R196" s="146"/>
      <c r="S196" s="146"/>
    </row>
    <row r="197" spans="1:19">
      <c r="A197" s="109"/>
      <c r="B197" s="110"/>
      <c r="C197" s="70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35"/>
      <c r="R197" s="136"/>
      <c r="S197" s="137"/>
    </row>
    <row r="198" spans="1:19" ht="17.25" thickBot="1">
      <c r="A198" s="114"/>
      <c r="B198" s="115"/>
      <c r="C198" s="72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41"/>
      <c r="R199" s="142"/>
      <c r="S199" s="14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505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289">
      <formula>AND($N17 &gt; 0, ISNUMBER($N17))</formula>
    </cfRule>
    <cfRule type="expression" dxfId="5046" priority="290">
      <formula>AND($N17 = 0 * ISNUMBER($N17))</formula>
    </cfRule>
    <cfRule type="expression" dxfId="5045" priority="291">
      <formula>AND($N17 &lt; 0, ISNUMBER($N17))</formula>
    </cfRule>
  </conditionalFormatting>
  <conditionalFormatting sqref="A17:C36 D17:F36">
    <cfRule type="expression" dxfId="5044" priority="298">
      <formula>AND($E17 &gt; 0, ISNUMBER($E17))</formula>
    </cfRule>
    <cfRule type="expression" dxfId="5043" priority="299">
      <formula>AND($E17 = 0 * ISNUMBER($E17))</formula>
    </cfRule>
    <cfRule type="expression" dxfId="5042" priority="300">
      <formula>AND($E17 &lt; 0, ISNUMBER($E17))</formula>
    </cfRule>
  </conditionalFormatting>
  <conditionalFormatting sqref="A17:C36 G17:I36">
    <cfRule type="expression" dxfId="5041" priority="295">
      <formula>AND($H17 &gt; 0, ISNUMBER($H17))</formula>
    </cfRule>
    <cfRule type="expression" dxfId="5040" priority="296">
      <formula>AND($H17 = 0 * ISNUMBER($H17))</formula>
    </cfRule>
    <cfRule type="expression" dxfId="5039" priority="297">
      <formula>AND($H17 &lt; 0, ISNUMBER($H17))</formula>
    </cfRule>
  </conditionalFormatting>
  <conditionalFormatting sqref="A17:C36 J17:L36">
    <cfRule type="expression" dxfId="5038" priority="292">
      <formula>AND($K17 &gt; 0, ISNUMBER($K17))</formula>
    </cfRule>
    <cfRule type="expression" dxfId="5037" priority="293">
      <formula>AND($K17 = 0 * ISNUMBER($K17))</formula>
    </cfRule>
    <cfRule type="expression" dxfId="5036" priority="294">
      <formula>AND($K17 &lt; 0, ISNUMBER($K17))</formula>
    </cfRule>
  </conditionalFormatting>
  <conditionalFormatting sqref="D15:F16 E37:F37">
    <cfRule type="expression" dxfId="5035" priority="286">
      <formula>$E$37 &gt; 0</formula>
    </cfRule>
    <cfRule type="expression" dxfId="5034" priority="287">
      <formula>$E$37 = 0</formula>
    </cfRule>
    <cfRule type="expression" dxfId="5033" priority="288">
      <formula>$E$37 &lt; 0</formula>
    </cfRule>
  </conditionalFormatting>
  <conditionalFormatting sqref="G15:I16 H37:I37">
    <cfRule type="expression" dxfId="5032" priority="283">
      <formula>$H$37 &gt; 0</formula>
    </cfRule>
    <cfRule type="expression" dxfId="5031" priority="284">
      <formula>$H$37 = 0</formula>
    </cfRule>
    <cfRule type="expression" dxfId="5030" priority="285">
      <formula>$H$37 &lt; 0</formula>
    </cfRule>
  </conditionalFormatting>
  <conditionalFormatting sqref="J15:L16 K37:L37">
    <cfRule type="expression" dxfId="5029" priority="280">
      <formula>$K$37 &gt; 0</formula>
    </cfRule>
    <cfRule type="expression" dxfId="5028" priority="281">
      <formula>$K$37 = 0</formula>
    </cfRule>
    <cfRule type="expression" dxfId="5027" priority="282">
      <formula>$K$37 &lt; 0</formula>
    </cfRule>
  </conditionalFormatting>
  <conditionalFormatting sqref="M15:O16 N37:O37">
    <cfRule type="expression" dxfId="5026" priority="277">
      <formula>$N$37 &gt; 0</formula>
    </cfRule>
    <cfRule type="expression" dxfId="5025" priority="278">
      <formula>$N$37 = 0</formula>
    </cfRule>
    <cfRule type="expression" dxfId="5024" priority="279">
      <formula>$N$37 &lt; 0</formula>
    </cfRule>
  </conditionalFormatting>
  <conditionalFormatting sqref="A44:C63 M44:O63">
    <cfRule type="expression" dxfId="5023" priority="265">
      <formula>AND($N44 &gt; 0, ISNUMBER($N44))</formula>
    </cfRule>
    <cfRule type="expression" dxfId="5022" priority="266">
      <formula>AND($N44 = 0 * ISNUMBER($N44))</formula>
    </cfRule>
    <cfRule type="expression" dxfId="5021" priority="267">
      <formula>AND($N44 &lt; 0, ISNUMBER($N44))</formula>
    </cfRule>
  </conditionalFormatting>
  <conditionalFormatting sqref="A44:F63">
    <cfRule type="expression" dxfId="5020" priority="274">
      <formula>AND($E44 &gt; 0, ISNUMBER($E44))</formula>
    </cfRule>
    <cfRule type="expression" dxfId="5019" priority="275">
      <formula>AND($E44 = 0 * ISNUMBER($E44))</formula>
    </cfRule>
    <cfRule type="expression" dxfId="5018" priority="276">
      <formula>AND($E44 &lt; 0, ISNUMBER($E44))</formula>
    </cfRule>
  </conditionalFormatting>
  <conditionalFormatting sqref="A44:C63 G44:I63">
    <cfRule type="expression" dxfId="5017" priority="271">
      <formula>AND($H44 &gt; 0, ISNUMBER($H44))</formula>
    </cfRule>
    <cfRule type="expression" dxfId="5016" priority="272">
      <formula>AND($H44 = 0 * ISNUMBER($H44))</formula>
    </cfRule>
    <cfRule type="expression" dxfId="5015" priority="273">
      <formula>AND($H44 &lt; 0, ISNUMBER($H44))</formula>
    </cfRule>
  </conditionalFormatting>
  <conditionalFormatting sqref="A44:C63 J44:L63">
    <cfRule type="expression" dxfId="5014" priority="268">
      <formula>AND($K44 &gt; 0, ISNUMBER($K44))</formula>
    </cfRule>
    <cfRule type="expression" dxfId="5013" priority="269">
      <formula>AND($K44 = 0 * ISNUMBER($K44))</formula>
    </cfRule>
    <cfRule type="expression" dxfId="5012" priority="270">
      <formula>AND($K44 &lt; 0, ISNUMBER($K44))</formula>
    </cfRule>
  </conditionalFormatting>
  <conditionalFormatting sqref="D42:F43 E64:F64">
    <cfRule type="expression" dxfId="5011" priority="262">
      <formula>$E$64 &gt; 0</formula>
    </cfRule>
    <cfRule type="expression" dxfId="5010" priority="263">
      <formula>$E$64 = 0</formula>
    </cfRule>
    <cfRule type="expression" dxfId="5009" priority="264">
      <formula>$E$64 &lt; 0</formula>
    </cfRule>
  </conditionalFormatting>
  <conditionalFormatting sqref="G42:I43 H64:I64">
    <cfRule type="expression" dxfId="5008" priority="259">
      <formula>$H$64 &gt; 0</formula>
    </cfRule>
    <cfRule type="expression" dxfId="5007" priority="260">
      <formula>$H$64 = 0</formula>
    </cfRule>
    <cfRule type="expression" dxfId="5006" priority="261">
      <formula>$H$64 &lt; 0</formula>
    </cfRule>
  </conditionalFormatting>
  <conditionalFormatting sqref="J42:L43 K64:L64">
    <cfRule type="expression" dxfId="5005" priority="256">
      <formula>$K$64 &gt; 0</formula>
    </cfRule>
    <cfRule type="expression" dxfId="5004" priority="257">
      <formula>$K$64 = 0</formula>
    </cfRule>
    <cfRule type="expression" dxfId="5003" priority="258">
      <formula>$K$64 &lt; 0</formula>
    </cfRule>
  </conditionalFormatting>
  <conditionalFormatting sqref="M42:O43 N64:O64">
    <cfRule type="expression" dxfId="5002" priority="253">
      <formula>$N$64 &gt; 0</formula>
    </cfRule>
    <cfRule type="expression" dxfId="5001" priority="254">
      <formula>$N$64 = 0</formula>
    </cfRule>
    <cfRule type="expression" dxfId="5000" priority="255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F1" workbookViewId="0">
      <selection activeCell="A2" sqref="A2:E11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348</v>
      </c>
      <c r="B2" s="11" t="s">
        <v>349</v>
      </c>
      <c r="C2" s="86">
        <v>60.6</v>
      </c>
      <c r="D2" s="34">
        <v>0.13271028039999999</v>
      </c>
      <c r="E2" s="84">
        <v>4399171048.3112688</v>
      </c>
      <c r="F2" s="35"/>
      <c r="G2" s="50"/>
      <c r="H2" s="35"/>
      <c r="I2" s="35"/>
    </row>
    <row r="3" spans="1:18" ht="17.25" thickBot="1">
      <c r="A3" s="40" t="s">
        <v>344</v>
      </c>
      <c r="B3" s="11" t="s">
        <v>345</v>
      </c>
      <c r="C3" s="86">
        <v>215</v>
      </c>
      <c r="D3" s="34">
        <v>5.91133005E-2</v>
      </c>
      <c r="E3" s="84">
        <v>130462947.369021</v>
      </c>
      <c r="F3" s="35"/>
      <c r="G3" s="201" t="s">
        <v>247</v>
      </c>
      <c r="H3" s="213" t="s">
        <v>353</v>
      </c>
      <c r="I3" s="213"/>
      <c r="K3" s="157" t="s">
        <v>34</v>
      </c>
      <c r="L3" s="158"/>
      <c r="M3" s="158"/>
      <c r="N3" s="159"/>
      <c r="O3" s="157" t="s">
        <v>249</v>
      </c>
      <c r="P3" s="158"/>
      <c r="Q3" s="158"/>
      <c r="R3" s="159"/>
    </row>
    <row r="4" spans="1:18" ht="17.25" thickBot="1">
      <c r="A4" s="40" t="s">
        <v>252</v>
      </c>
      <c r="B4" s="11" t="s">
        <v>253</v>
      </c>
      <c r="C4" s="86">
        <v>117</v>
      </c>
      <c r="D4" s="34">
        <v>5.4054054099999999E-2</v>
      </c>
      <c r="E4" s="84">
        <v>1630935901.2917192</v>
      </c>
      <c r="F4" s="35"/>
      <c r="G4" s="202"/>
      <c r="H4" s="214"/>
      <c r="I4" s="214"/>
      <c r="K4" s="194" t="s">
        <v>54</v>
      </c>
      <c r="L4" s="210">
        <f ca="1">NOW()</f>
        <v>44958.006751620371</v>
      </c>
      <c r="M4" s="211"/>
      <c r="N4" s="212"/>
      <c r="O4" s="209" t="s">
        <v>54</v>
      </c>
      <c r="P4" s="210">
        <f ca="1">NOW()</f>
        <v>44958.006751620371</v>
      </c>
      <c r="Q4" s="211"/>
      <c r="R4" s="212"/>
    </row>
    <row r="5" spans="1:18" ht="17.25" thickBot="1">
      <c r="A5" s="40" t="s">
        <v>142</v>
      </c>
      <c r="B5" s="11" t="s">
        <v>143</v>
      </c>
      <c r="C5" s="86">
        <v>4.41</v>
      </c>
      <c r="D5" s="34">
        <v>4.2553191499999997E-2</v>
      </c>
      <c r="E5" s="84">
        <v>1100217886.9724674</v>
      </c>
      <c r="F5" s="35"/>
      <c r="K5" s="202"/>
      <c r="L5" s="36" t="s">
        <v>57</v>
      </c>
      <c r="M5" s="36" t="s">
        <v>58</v>
      </c>
      <c r="N5" s="64" t="s">
        <v>251</v>
      </c>
      <c r="O5" s="202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190</v>
      </c>
      <c r="B6" s="11" t="s">
        <v>191</v>
      </c>
      <c r="C6" s="86">
        <v>69.7</v>
      </c>
      <c r="D6" s="34">
        <v>4.0298507499999997E-2</v>
      </c>
      <c r="E6" s="84">
        <v>347126719.62268478</v>
      </c>
      <c r="F6" s="35"/>
      <c r="G6" s="157" t="s">
        <v>52</v>
      </c>
      <c r="H6" s="158"/>
      <c r="I6" s="159"/>
      <c r="K6" s="51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69" t="str">
        <f t="shared" ref="M6:M25" ca="1" si="1">_xlfn.IFNA(VLOOKUP(K6, $B$2:$E$200, 3, FALSE), "")</f>
        <v/>
      </c>
      <c r="N6" s="78" t="str">
        <f ca="1">_xlfn.IFNA(VLOOKUP(K6, $B$2:$E$200, 4, FALSE), "")</f>
        <v/>
      </c>
      <c r="O6" s="46" t="str">
        <f>INDEX($A$2:$D$200, MATCH(LARGE($D$2:$D$200, 1), $D$2:$D$200, 0), 2)</f>
        <v>쓰레스홀드</v>
      </c>
      <c r="P6" s="38">
        <f t="shared" ref="P6:P25" si="2">_xlfn.IFNA(VLOOKUP(O6, $B$2:$D$200, 2, FALSE), "")</f>
        <v>60.6</v>
      </c>
      <c r="Q6" s="69">
        <f t="shared" ref="Q6:Q25" si="3">_xlfn.IFNA(VLOOKUP(O6, $B$2:$D$200, 3, FALSE), "")</f>
        <v>0.13271028039999999</v>
      </c>
      <c r="R6" s="78">
        <f>_xlfn.IFNA(VLOOKUP(O6, $B$2:$E$200, 4, FALSE), "")</f>
        <v>4399171048.3112688</v>
      </c>
    </row>
    <row r="7" spans="1:18">
      <c r="A7" s="40" t="s">
        <v>131</v>
      </c>
      <c r="B7" s="11" t="s">
        <v>132</v>
      </c>
      <c r="C7" s="86">
        <v>68.099999999999994</v>
      </c>
      <c r="D7" s="34">
        <v>3.9694656500000002E-2</v>
      </c>
      <c r="E7" s="84">
        <v>677307069.98191106</v>
      </c>
      <c r="F7" s="35"/>
      <c r="G7" s="185" t="s">
        <v>36</v>
      </c>
      <c r="H7" s="186"/>
      <c r="I7" s="187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47" t="str">
        <f>INDEX($A$2:$D$200, MATCH(LARGE($D$2:$D$200, 2), $D$2:$D$200, 0), 2)</f>
        <v>누사이퍼</v>
      </c>
      <c r="P7" s="39">
        <f t="shared" si="2"/>
        <v>215</v>
      </c>
      <c r="Q7" s="70">
        <f t="shared" si="3"/>
        <v>5.91133005E-2</v>
      </c>
      <c r="R7" s="79">
        <f t="shared" ref="R7:R25" si="5">_xlfn.IFNA(VLOOKUP(O7, $B$2:$E$200, 4, FALSE), "")</f>
        <v>130462947.369021</v>
      </c>
    </row>
    <row r="8" spans="1:18" ht="17.25" thickBot="1">
      <c r="A8" s="40" t="s">
        <v>196</v>
      </c>
      <c r="B8" s="11" t="s">
        <v>197</v>
      </c>
      <c r="C8" s="86">
        <v>7.9</v>
      </c>
      <c r="D8" s="34">
        <v>3.2679738600000001E-2</v>
      </c>
      <c r="E8" s="84">
        <v>3239141825.1908031</v>
      </c>
      <c r="F8" s="35"/>
      <c r="G8" s="178"/>
      <c r="H8" s="179"/>
      <c r="I8" s="180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47" t="str">
        <f>INDEX($A$2:$D$200, MATCH(LARGE($D$2:$D$200, 3), $D$2:$D$200, 0), 2)</f>
        <v>도지코인</v>
      </c>
      <c r="P8" s="39">
        <f t="shared" si="2"/>
        <v>117</v>
      </c>
      <c r="Q8" s="70">
        <f t="shared" si="3"/>
        <v>5.4054054099999999E-2</v>
      </c>
      <c r="R8" s="79">
        <f t="shared" si="5"/>
        <v>1630935901.2917192</v>
      </c>
    </row>
    <row r="9" spans="1:18" ht="17.25" thickBot="1">
      <c r="A9" s="40" t="s">
        <v>316</v>
      </c>
      <c r="B9" s="11" t="s">
        <v>317</v>
      </c>
      <c r="C9" s="86">
        <v>623</v>
      </c>
      <c r="D9" s="34">
        <v>3.1456953599999997E-2</v>
      </c>
      <c r="E9" s="84">
        <v>39207703.95730985</v>
      </c>
      <c r="F9" s="35"/>
      <c r="G9" s="9" t="s">
        <v>38</v>
      </c>
      <c r="H9" s="158" t="s">
        <v>37</v>
      </c>
      <c r="I9" s="159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47" t="str">
        <f>INDEX($A$2:$D$200, MATCH(LARGE($D$2:$D$200, 4), $D$2:$D$200, 0), 2)</f>
        <v>캐리프로토콜</v>
      </c>
      <c r="P9" s="39">
        <f t="shared" si="2"/>
        <v>4.41</v>
      </c>
      <c r="Q9" s="70">
        <f t="shared" si="3"/>
        <v>4.2553191499999997E-2</v>
      </c>
      <c r="R9" s="79">
        <f t="shared" si="5"/>
        <v>1100217886.9724674</v>
      </c>
    </row>
    <row r="10" spans="1:18">
      <c r="A10" s="40" t="s">
        <v>53</v>
      </c>
      <c r="B10" s="11" t="s">
        <v>329</v>
      </c>
      <c r="C10" s="86">
        <v>82.7</v>
      </c>
      <c r="D10" s="34">
        <v>2.8606965200000001E-2</v>
      </c>
      <c r="E10" s="84">
        <v>35891589.718223423</v>
      </c>
      <c r="F10" s="35"/>
      <c r="G10" s="203">
        <f>_xlfn.IFNA(VLOOKUP(G7, $B$2:$D$200, 3, FALSE), "-")</f>
        <v>1.2053229299999999E-2</v>
      </c>
      <c r="H10" s="205">
        <f>_xlfn.IFNA(VLOOKUP(G7, $B$2:$D$200, 2, FALSE), "-")</f>
        <v>29052000</v>
      </c>
      <c r="I10" s="206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47" t="str">
        <f>INDEX($A$2:$D$200, MATCH(LARGE($D$2:$D$200, 5), $D$2:$D$200, 0), 2)</f>
        <v>피르마체인</v>
      </c>
      <c r="P10" s="39">
        <f t="shared" si="2"/>
        <v>69.7</v>
      </c>
      <c r="Q10" s="70">
        <f t="shared" si="3"/>
        <v>4.0298507499999997E-2</v>
      </c>
      <c r="R10" s="83">
        <f t="shared" si="5"/>
        <v>347126719.62268478</v>
      </c>
    </row>
    <row r="11" spans="1:18" ht="17.25" thickBot="1">
      <c r="A11" s="40" t="s">
        <v>322</v>
      </c>
      <c r="B11" s="11" t="s">
        <v>323</v>
      </c>
      <c r="C11" s="86">
        <v>4.4499999999999998E-2</v>
      </c>
      <c r="D11" s="34">
        <v>2.77136259E-2</v>
      </c>
      <c r="E11" s="84">
        <v>433439815102.20465</v>
      </c>
      <c r="F11" s="35"/>
      <c r="G11" s="204"/>
      <c r="H11" s="207"/>
      <c r="I11" s="208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49" t="str">
        <f>INDEX($A$2:$D$200, MATCH(LARGE($D$2:$D$200, 6), $D$2:$D$200, 0), 2)</f>
        <v>쎄타퓨엘</v>
      </c>
      <c r="P11" s="45">
        <f t="shared" si="2"/>
        <v>68.099999999999994</v>
      </c>
      <c r="Q11" s="73">
        <f t="shared" si="3"/>
        <v>3.9694656500000002E-2</v>
      </c>
      <c r="R11" s="89">
        <f t="shared" si="5"/>
        <v>677307069.98191106</v>
      </c>
    </row>
    <row r="12" spans="1:18" ht="17.25" thickBot="1">
      <c r="A12" s="40" t="s">
        <v>114</v>
      </c>
      <c r="B12" s="11" t="s">
        <v>324</v>
      </c>
      <c r="C12" s="86">
        <v>100</v>
      </c>
      <c r="D12" s="34">
        <v>2.5641025599999999E-2</v>
      </c>
      <c r="E12" s="84">
        <v>23272001.000527151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47" t="str">
        <f>INDEX($A$2:$D$200, MATCH(LARGE($D$2:$D$200, 7), $D$2:$D$200, 0), 2)</f>
        <v>아하토큰</v>
      </c>
      <c r="P12" s="39">
        <f t="shared" si="2"/>
        <v>7.9</v>
      </c>
      <c r="Q12" s="70">
        <f t="shared" si="3"/>
        <v>3.2679738600000001E-2</v>
      </c>
      <c r="R12" s="79">
        <f t="shared" si="5"/>
        <v>3239141825.1908031</v>
      </c>
    </row>
    <row r="13" spans="1:18" ht="17.25" thickBot="1">
      <c r="A13" s="40" t="s">
        <v>76</v>
      </c>
      <c r="B13" s="11" t="s">
        <v>77</v>
      </c>
      <c r="C13" s="86">
        <v>168900</v>
      </c>
      <c r="D13" s="34">
        <v>2.3636363600000002E-2</v>
      </c>
      <c r="E13" s="84">
        <v>31099.941517079998</v>
      </c>
      <c r="F13" s="35"/>
      <c r="G13" s="157" t="s">
        <v>69</v>
      </c>
      <c r="H13" s="158"/>
      <c r="I13" s="159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47" t="str">
        <f>INDEX($A$2:$D$200, MATCH(LARGE($D$2:$D$200, 8), $D$2:$D$200, 0), 2)</f>
        <v>하이파이</v>
      </c>
      <c r="P13" s="39">
        <f t="shared" si="2"/>
        <v>623</v>
      </c>
      <c r="Q13" s="70">
        <f t="shared" si="3"/>
        <v>3.1456953599999997E-2</v>
      </c>
      <c r="R13" s="79">
        <f t="shared" si="5"/>
        <v>39207703.95730985</v>
      </c>
    </row>
    <row r="14" spans="1:18">
      <c r="A14" s="40" t="s">
        <v>80</v>
      </c>
      <c r="B14" s="11" t="s">
        <v>81</v>
      </c>
      <c r="C14" s="86">
        <v>479</v>
      </c>
      <c r="D14" s="34">
        <v>2.3504273499999999E-2</v>
      </c>
      <c r="E14" s="84">
        <v>17729417.400239211</v>
      </c>
      <c r="F14" s="35"/>
      <c r="G14" s="185" t="s">
        <v>36</v>
      </c>
      <c r="H14" s="186"/>
      <c r="I14" s="187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47" t="str">
        <f>INDEX($A$2:$D$200, MATCH(LARGE($D$2:$D$200, 9), $D$2:$D$200, 0), 2)</f>
        <v>헤데라</v>
      </c>
      <c r="P14" s="39">
        <f t="shared" si="2"/>
        <v>82.7</v>
      </c>
      <c r="Q14" s="70">
        <f t="shared" si="3"/>
        <v>2.8606965200000001E-2</v>
      </c>
      <c r="R14" s="79">
        <f t="shared" si="5"/>
        <v>35891589.718223423</v>
      </c>
    </row>
    <row r="15" spans="1:18" ht="17.25" thickBot="1">
      <c r="A15" s="40" t="s">
        <v>137</v>
      </c>
      <c r="B15" s="11" t="s">
        <v>138</v>
      </c>
      <c r="C15" s="86">
        <v>32.200000000000003</v>
      </c>
      <c r="D15" s="34">
        <v>2.2222222199999999E-2</v>
      </c>
      <c r="E15" s="84">
        <v>83748936.496638805</v>
      </c>
      <c r="F15" s="35"/>
      <c r="G15" s="178"/>
      <c r="H15" s="179"/>
      <c r="I15" s="180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48" t="str">
        <f>INDEX($A$2:$D$200, MATCH(LARGE($D$2:$D$200, 10), $D$2:$D$200, 0), 2)</f>
        <v>이캐시</v>
      </c>
      <c r="P15" s="37">
        <f t="shared" si="2"/>
        <v>4.4499999999999998E-2</v>
      </c>
      <c r="Q15" s="72">
        <f t="shared" si="3"/>
        <v>2.77136259E-2</v>
      </c>
      <c r="R15" s="80">
        <f t="shared" si="5"/>
        <v>433439815102.20465</v>
      </c>
    </row>
    <row r="16" spans="1:18" ht="17.25" thickBot="1">
      <c r="A16" s="40" t="s">
        <v>236</v>
      </c>
      <c r="B16" s="11" t="s">
        <v>237</v>
      </c>
      <c r="C16" s="86">
        <v>32.700000000000003</v>
      </c>
      <c r="D16" s="34">
        <v>2.1874999999999999E-2</v>
      </c>
      <c r="E16" s="84">
        <v>109480552.45897938</v>
      </c>
      <c r="F16" s="35"/>
      <c r="G16" s="9" t="s">
        <v>38</v>
      </c>
      <c r="H16" s="158" t="s">
        <v>37</v>
      </c>
      <c r="I16" s="159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46" t="str">
        <f>INDEX($A$2:$D$200, MATCH(LARGE($D$2:$D$200, 11), $D$2:$D$200, 0), 2)</f>
        <v>크로노스</v>
      </c>
      <c r="P16" s="38">
        <f t="shared" si="2"/>
        <v>100</v>
      </c>
      <c r="Q16" s="69">
        <f t="shared" si="3"/>
        <v>2.5641025599999999E-2</v>
      </c>
      <c r="R16" s="78">
        <f t="shared" si="5"/>
        <v>23272001.000527151</v>
      </c>
    </row>
    <row r="17" spans="1:18">
      <c r="A17" s="40" t="s">
        <v>351</v>
      </c>
      <c r="B17" s="11" t="s">
        <v>352</v>
      </c>
      <c r="C17" s="86">
        <v>1.4800000000000001E-2</v>
      </c>
      <c r="D17" s="34">
        <v>2.06896552E-2</v>
      </c>
      <c r="E17" s="84">
        <v>1069973278866.7875</v>
      </c>
      <c r="F17" s="35"/>
      <c r="G17" s="203">
        <f>_xlfn.IFNA(VLOOKUP(G14, $B$2:$D$200, 3, FALSE), "-")</f>
        <v>1.2053229299999999E-2</v>
      </c>
      <c r="H17" s="205">
        <f>_xlfn.IFNA(VLOOKUP(G14, $B$2:$D$200, 2, FALSE), "-")</f>
        <v>29052000</v>
      </c>
      <c r="I17" s="206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47" t="str">
        <f>INDEX($A$2:$D$200, MATCH(LARGE($D$2:$D$200, 12), $D$2:$D$200, 0), 2)</f>
        <v>비트코인캐시</v>
      </c>
      <c r="P17" s="39">
        <f t="shared" si="2"/>
        <v>168900</v>
      </c>
      <c r="Q17" s="70">
        <f t="shared" si="3"/>
        <v>2.3636363600000002E-2</v>
      </c>
      <c r="R17" s="79">
        <f t="shared" si="5"/>
        <v>31099.941517079998</v>
      </c>
    </row>
    <row r="18" spans="1:18" ht="17.25" thickBot="1">
      <c r="A18" s="40" t="s">
        <v>139</v>
      </c>
      <c r="B18" s="11" t="s">
        <v>330</v>
      </c>
      <c r="C18" s="86">
        <v>352</v>
      </c>
      <c r="D18" s="34">
        <v>2.02898551E-2</v>
      </c>
      <c r="E18" s="84">
        <v>10276101.911093401</v>
      </c>
      <c r="F18" s="35"/>
      <c r="G18" s="204"/>
      <c r="H18" s="207"/>
      <c r="I18" s="208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47" t="str">
        <f>INDEX($A$2:$D$200, MATCH(LARGE($D$2:$D$200, 13), $D$2:$D$200, 0), 2)</f>
        <v>에이다</v>
      </c>
      <c r="P18" s="39">
        <f t="shared" si="2"/>
        <v>479</v>
      </c>
      <c r="Q18" s="70">
        <f t="shared" si="3"/>
        <v>2.3504273499999999E-2</v>
      </c>
      <c r="R18" s="79">
        <f t="shared" si="5"/>
        <v>17729417.400239211</v>
      </c>
    </row>
    <row r="19" spans="1:18" ht="17.25" thickBot="1">
      <c r="A19" s="40" t="s">
        <v>88</v>
      </c>
      <c r="B19" s="11" t="s">
        <v>89</v>
      </c>
      <c r="C19" s="86">
        <v>505</v>
      </c>
      <c r="D19" s="34">
        <v>2.02020202E-2</v>
      </c>
      <c r="E19" s="84">
        <v>200656128.08270571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47" t="str">
        <f>INDEX($A$2:$D$200, MATCH(LARGE($D$2:$D$200, 14), $D$2:$D$200, 0), 2)</f>
        <v>앵커</v>
      </c>
      <c r="P19" s="39">
        <f t="shared" si="2"/>
        <v>32.200000000000003</v>
      </c>
      <c r="Q19" s="70">
        <f t="shared" si="3"/>
        <v>2.2222222199999999E-2</v>
      </c>
      <c r="R19" s="79">
        <f t="shared" si="5"/>
        <v>83748936.496638805</v>
      </c>
    </row>
    <row r="20" spans="1:18" ht="17.25" thickBot="1">
      <c r="A20" s="40" t="s">
        <v>224</v>
      </c>
      <c r="B20" s="11" t="s">
        <v>225</v>
      </c>
      <c r="C20" s="86">
        <v>63.3</v>
      </c>
      <c r="D20" s="34">
        <v>1.93236715E-2</v>
      </c>
      <c r="E20" s="84">
        <v>164318525.91158834</v>
      </c>
      <c r="F20" s="35"/>
      <c r="G20" s="157" t="s">
        <v>243</v>
      </c>
      <c r="H20" s="158"/>
      <c r="I20" s="159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47" t="str">
        <f>INDEX($A$2:$D$200, MATCH(LARGE($D$2:$D$200, 15), $D$2:$D$200, 0), 2)</f>
        <v>저스트</v>
      </c>
      <c r="P20" s="39">
        <f t="shared" si="2"/>
        <v>32.700000000000003</v>
      </c>
      <c r="Q20" s="70">
        <f t="shared" si="3"/>
        <v>2.1874999999999999E-2</v>
      </c>
      <c r="R20" s="83">
        <f t="shared" si="5"/>
        <v>109480552.45897938</v>
      </c>
    </row>
    <row r="21" spans="1:18">
      <c r="A21" s="40" t="s">
        <v>140</v>
      </c>
      <c r="B21" s="11" t="s">
        <v>141</v>
      </c>
      <c r="C21" s="86">
        <v>3.88</v>
      </c>
      <c r="D21" s="34">
        <v>1.8372703399999999E-2</v>
      </c>
      <c r="E21" s="84">
        <v>443277361.99249196</v>
      </c>
      <c r="F21" s="35"/>
      <c r="G21" s="185" t="s">
        <v>36</v>
      </c>
      <c r="H21" s="186"/>
      <c r="I21" s="187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49" t="str">
        <f>INDEX($A$2:$D$200, MATCH(LARGE($D$2:$D$200, 16), $D$2:$D$200, 0), 2)</f>
        <v>시바이누</v>
      </c>
      <c r="P21" s="45">
        <f t="shared" si="2"/>
        <v>1.4800000000000001E-2</v>
      </c>
      <c r="Q21" s="73">
        <f t="shared" si="3"/>
        <v>2.06896552E-2</v>
      </c>
      <c r="R21" s="89">
        <f t="shared" si="5"/>
        <v>1069973278866.7875</v>
      </c>
    </row>
    <row r="22" spans="1:18" ht="17.25" thickBot="1">
      <c r="A22" s="40" t="s">
        <v>338</v>
      </c>
      <c r="B22" s="11" t="s">
        <v>339</v>
      </c>
      <c r="C22" s="86">
        <v>1390</v>
      </c>
      <c r="D22" s="34">
        <v>1.8315018299999999E-2</v>
      </c>
      <c r="E22" s="84">
        <v>11027116.971850609</v>
      </c>
      <c r="F22" s="35"/>
      <c r="G22" s="178"/>
      <c r="H22" s="179"/>
      <c r="I22" s="180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47" t="str">
        <f>INDEX($A$2:$D$200, MATCH(LARGE($D$2:$D$200, 17), $D$2:$D$200, 0), 2)</f>
        <v>솔라</v>
      </c>
      <c r="P22" s="39">
        <f t="shared" si="2"/>
        <v>352</v>
      </c>
      <c r="Q22" s="70">
        <f t="shared" si="3"/>
        <v>2.02898551E-2</v>
      </c>
      <c r="R22" s="79">
        <f t="shared" si="5"/>
        <v>10276101.911093401</v>
      </c>
    </row>
    <row r="23" spans="1:18" ht="17.25" thickBot="1">
      <c r="A23" s="40" t="s">
        <v>234</v>
      </c>
      <c r="B23" s="11" t="s">
        <v>235</v>
      </c>
      <c r="C23" s="86">
        <v>697</v>
      </c>
      <c r="D23" s="34">
        <v>1.7518248199999999E-2</v>
      </c>
      <c r="E23" s="84">
        <v>9152778.8936477099</v>
      </c>
      <c r="F23" s="35"/>
      <c r="G23" s="9" t="s">
        <v>38</v>
      </c>
      <c r="H23" s="158" t="s">
        <v>37</v>
      </c>
      <c r="I23" s="159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47" t="str">
        <f>INDEX($A$2:$D$200, MATCH(LARGE($D$2:$D$200, 18), $D$2:$D$200, 0), 2)</f>
        <v>리플</v>
      </c>
      <c r="P23" s="39">
        <f t="shared" si="2"/>
        <v>505</v>
      </c>
      <c r="Q23" s="70">
        <f t="shared" si="3"/>
        <v>2.02020202E-2</v>
      </c>
      <c r="R23" s="79">
        <f t="shared" si="5"/>
        <v>200656128.08270571</v>
      </c>
    </row>
    <row r="24" spans="1:18">
      <c r="A24" s="40" t="s">
        <v>150</v>
      </c>
      <c r="B24" s="11" t="s">
        <v>151</v>
      </c>
      <c r="C24" s="86">
        <v>3210</v>
      </c>
      <c r="D24" s="34">
        <v>1.7432646600000001E-2</v>
      </c>
      <c r="E24" s="84">
        <v>10543050.26387166</v>
      </c>
      <c r="F24" s="35"/>
      <c r="G24" s="203">
        <f>_xlfn.IFNA(VLOOKUP(G21, $B$2:$D$200, 3, FALSE), "-")</f>
        <v>1.2053229299999999E-2</v>
      </c>
      <c r="H24" s="205">
        <f>_xlfn.IFNA(VLOOKUP(G21, $B$2:$D$200, 2, FALSE), "-")</f>
        <v>29052000</v>
      </c>
      <c r="I24" s="206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47" t="str">
        <f>INDEX($A$2:$D$200, MATCH(LARGE($D$2:$D$200, 19), $D$2:$D$200, 0), 2)</f>
        <v>룸네트워크</v>
      </c>
      <c r="P24" s="39">
        <f t="shared" si="2"/>
        <v>63.3</v>
      </c>
      <c r="Q24" s="70">
        <f t="shared" si="3"/>
        <v>1.93236715E-2</v>
      </c>
      <c r="R24" s="79">
        <f t="shared" si="5"/>
        <v>164318525.91158834</v>
      </c>
    </row>
    <row r="25" spans="1:18" ht="17.25" thickBot="1">
      <c r="A25" s="40" t="s">
        <v>72</v>
      </c>
      <c r="B25" s="11" t="s">
        <v>73</v>
      </c>
      <c r="C25" s="86">
        <v>16720</v>
      </c>
      <c r="D25" s="34">
        <v>1.7031630200000002E-2</v>
      </c>
      <c r="E25" s="84">
        <v>318864.77838123997</v>
      </c>
      <c r="F25" s="35"/>
      <c r="G25" s="204"/>
      <c r="H25" s="207"/>
      <c r="I25" s="208"/>
      <c r="K25" s="53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2" t="str">
        <f t="shared" ca="1" si="1"/>
        <v/>
      </c>
      <c r="N25" s="80" t="str">
        <f t="shared" ca="1" si="4"/>
        <v/>
      </c>
      <c r="O25" s="48" t="str">
        <f>INDEX($A$2:$D$200, MATCH(LARGE($D$2:$D$200, 20), $D$2:$D$200, 0), 2)</f>
        <v>시아코인</v>
      </c>
      <c r="P25" s="37">
        <f t="shared" si="2"/>
        <v>3.88</v>
      </c>
      <c r="Q25" s="72">
        <f t="shared" si="3"/>
        <v>1.8372703399999999E-2</v>
      </c>
      <c r="R25" s="80">
        <f t="shared" si="5"/>
        <v>443277361.99249196</v>
      </c>
    </row>
    <row r="26" spans="1:18">
      <c r="A26" s="40" t="s">
        <v>202</v>
      </c>
      <c r="B26" s="11" t="s">
        <v>203</v>
      </c>
      <c r="C26" s="86">
        <v>3.82</v>
      </c>
      <c r="D26" s="34">
        <v>1.59574468E-2</v>
      </c>
      <c r="E26" s="84">
        <v>703328729.9238174</v>
      </c>
      <c r="F26" s="35"/>
    </row>
    <row r="27" spans="1:18" ht="17.25" thickBot="1">
      <c r="A27" s="40" t="s">
        <v>340</v>
      </c>
      <c r="B27" s="11" t="s">
        <v>341</v>
      </c>
      <c r="C27" s="86">
        <v>902</v>
      </c>
      <c r="D27" s="34">
        <v>1.5765765800000001E-2</v>
      </c>
      <c r="E27" s="84">
        <v>7499488.1813632604</v>
      </c>
      <c r="F27" s="35"/>
    </row>
    <row r="28" spans="1:18" ht="17.25" thickBot="1">
      <c r="A28" s="40" t="s">
        <v>82</v>
      </c>
      <c r="B28" s="11" t="s">
        <v>83</v>
      </c>
      <c r="C28" s="86">
        <v>1340</v>
      </c>
      <c r="D28" s="34">
        <v>1.51515152E-2</v>
      </c>
      <c r="E28" s="84">
        <v>3688685.4207930202</v>
      </c>
      <c r="F28" s="35"/>
      <c r="G28" s="157" t="s">
        <v>46</v>
      </c>
      <c r="H28" s="158"/>
      <c r="I28" s="158"/>
      <c r="J28" s="159"/>
      <c r="K28" s="157" t="s">
        <v>44</v>
      </c>
      <c r="L28" s="158"/>
      <c r="M28" s="158"/>
      <c r="N28" s="159"/>
      <c r="O28" s="157" t="s">
        <v>45</v>
      </c>
      <c r="P28" s="158"/>
      <c r="Q28" s="158"/>
      <c r="R28" s="159"/>
    </row>
    <row r="29" spans="1:18" ht="17.25" thickBot="1">
      <c r="A29" s="40" t="s">
        <v>94</v>
      </c>
      <c r="B29" s="11" t="s">
        <v>95</v>
      </c>
      <c r="C29" s="86">
        <v>1345</v>
      </c>
      <c r="D29" s="34">
        <v>1.5094339599999999E-2</v>
      </c>
      <c r="E29" s="84">
        <v>1676958.87594044</v>
      </c>
      <c r="F29" s="35"/>
      <c r="G29" s="194" t="s">
        <v>54</v>
      </c>
      <c r="H29" s="210">
        <f ca="1">NOW()</f>
        <v>44958.006751620371</v>
      </c>
      <c r="I29" s="211"/>
      <c r="J29" s="212"/>
      <c r="K29" s="209" t="s">
        <v>54</v>
      </c>
      <c r="L29" s="210">
        <f ca="1">NOW()</f>
        <v>44958.006751620371</v>
      </c>
      <c r="M29" s="211"/>
      <c r="N29" s="212"/>
      <c r="O29" s="209" t="s">
        <v>54</v>
      </c>
      <c r="P29" s="210">
        <f ca="1">NOW()</f>
        <v>44958.006751620371</v>
      </c>
      <c r="Q29" s="211"/>
      <c r="R29" s="212"/>
    </row>
    <row r="30" spans="1:18" ht="17.25" thickBot="1">
      <c r="A30" s="40" t="s">
        <v>102</v>
      </c>
      <c r="B30" s="11" t="s">
        <v>103</v>
      </c>
      <c r="C30" s="86">
        <v>273</v>
      </c>
      <c r="D30" s="34">
        <v>1.4869888499999999E-2</v>
      </c>
      <c r="E30" s="84">
        <v>5589070.5693828603</v>
      </c>
      <c r="F30" s="35"/>
      <c r="G30" s="202"/>
      <c r="H30" s="36" t="s">
        <v>57</v>
      </c>
      <c r="I30" s="36" t="s">
        <v>58</v>
      </c>
      <c r="J30" s="64" t="s">
        <v>251</v>
      </c>
      <c r="K30" s="202"/>
      <c r="L30" s="36" t="s">
        <v>57</v>
      </c>
      <c r="M30" s="36" t="s">
        <v>58</v>
      </c>
      <c r="N30" s="64" t="s">
        <v>251</v>
      </c>
      <c r="O30" s="202"/>
      <c r="P30" s="36" t="s">
        <v>57</v>
      </c>
      <c r="Q30" s="36" t="s">
        <v>58</v>
      </c>
      <c r="R30" s="64" t="s">
        <v>251</v>
      </c>
    </row>
    <row r="31" spans="1:18">
      <c r="A31" s="40" t="s">
        <v>61</v>
      </c>
      <c r="B31" s="11" t="s">
        <v>62</v>
      </c>
      <c r="C31" s="86">
        <v>10260</v>
      </c>
      <c r="D31" s="34">
        <v>1.2833168799999999E-2</v>
      </c>
      <c r="E31" s="84">
        <v>371464.37766330998</v>
      </c>
      <c r="F31" s="35"/>
      <c r="G31" s="51" t="str">
        <f ca="1">IFERROR(OFFSET(INDIRECT($H$3 &amp; "!A98"), 0, 0), "")</f>
        <v>쓰레스홀드</v>
      </c>
      <c r="H31" s="38">
        <f t="shared" ref="H31:H50" ca="1" si="7">_xlfn.IFNA(VLOOKUP(G31, $B$2:$D$200, 2, FALSE), "")</f>
        <v>60.6</v>
      </c>
      <c r="I31" s="69">
        <f t="shared" ref="I31:I50" ca="1" si="8">_xlfn.IFNA(VLOOKUP(G31, $B$2:$D$200, 3, FALSE), "")</f>
        <v>0.13271028039999999</v>
      </c>
      <c r="J31" s="78">
        <f ca="1">_xlfn.IFNA(VLOOKUP(G31, $B$2:$E$200, 4, FALSE), "")</f>
        <v>4399171048.3112688</v>
      </c>
      <c r="K31" s="51" t="str">
        <f ca="1">IFERROR(OFFSET(INDIRECT($H$3 &amp; "!A44"), 0, 0), "")</f>
        <v>쓰레스홀드</v>
      </c>
      <c r="L31" s="38">
        <f t="shared" ref="L31:L50" ca="1" si="9">_xlfn.IFNA(VLOOKUP(K31, $B$2:$D$200, 2, FALSE), "")</f>
        <v>60.6</v>
      </c>
      <c r="M31" s="69">
        <f t="shared" ref="M31:M50" ca="1" si="10">_xlfn.IFNA(VLOOKUP(K31, $B$2:$D$200, 3, FALSE), "")</f>
        <v>0.13271028039999999</v>
      </c>
      <c r="N31" s="78">
        <f ca="1">_xlfn.IFNA(VLOOKUP(K31, $B$2:$E$200, 4, FALSE), "")</f>
        <v>4399171048.3112688</v>
      </c>
      <c r="O31" s="51" t="str">
        <f ca="1">IFERROR(OFFSET(INDIRECT($H$3 &amp; "!A71"), 0, 0), "")</f>
        <v>누사이퍼</v>
      </c>
      <c r="P31" s="38">
        <f t="shared" ref="P31:P50" ca="1" si="11">_xlfn.IFNA(VLOOKUP(O31, $B$2:$D$200, 2, FALSE), "")</f>
        <v>215</v>
      </c>
      <c r="Q31" s="69">
        <f t="shared" ref="Q31:Q50" ca="1" si="12">_xlfn.IFNA(VLOOKUP(O31, $B$2:$D$200, 3, FALSE), "")</f>
        <v>5.91133005E-2</v>
      </c>
      <c r="R31" s="78">
        <f ca="1">_xlfn.IFNA(VLOOKUP(O31, $B$2:$E$200, 4, FALSE), "")</f>
        <v>130462947.369021</v>
      </c>
    </row>
    <row r="32" spans="1:18">
      <c r="A32" s="40" t="s">
        <v>84</v>
      </c>
      <c r="B32" s="11" t="s">
        <v>85</v>
      </c>
      <c r="C32" s="86">
        <v>167</v>
      </c>
      <c r="D32" s="34">
        <v>1.2121212100000001E-2</v>
      </c>
      <c r="E32" s="84">
        <v>53380906.642086178</v>
      </c>
      <c r="F32" s="35"/>
      <c r="G32" s="52" t="str">
        <f ca="1">IFERROR(OFFSET(INDIRECT($H$3 &amp; "!A98"), 1, 0), "")</f>
        <v>누사이퍼</v>
      </c>
      <c r="H32" s="39">
        <f t="shared" ca="1" si="7"/>
        <v>215</v>
      </c>
      <c r="I32" s="70">
        <f t="shared" ca="1" si="8"/>
        <v>5.91133005E-2</v>
      </c>
      <c r="J32" s="79">
        <f t="shared" ref="J32:J50" ca="1" si="13">_xlfn.IFNA(VLOOKUP(G32, $B$2:$E$200, 4, FALSE), "")</f>
        <v>130462947.369021</v>
      </c>
      <c r="K32" s="52" t="str">
        <f ca="1">IFERROR(OFFSET(INDIRECT($H$3 &amp; "!A44"), 1, 0), "")</f>
        <v>쎄타퓨엘</v>
      </c>
      <c r="L32" s="39">
        <f t="shared" ca="1" si="9"/>
        <v>68.099999999999994</v>
      </c>
      <c r="M32" s="70">
        <f t="shared" ca="1" si="10"/>
        <v>3.9694656500000002E-2</v>
      </c>
      <c r="N32" s="79">
        <f t="shared" ref="N32:N50" ca="1" si="14">_xlfn.IFNA(VLOOKUP(K32, $B$2:$E$200, 4, FALSE), "")</f>
        <v>677307069.98191106</v>
      </c>
      <c r="O32" s="52" t="str">
        <f ca="1">IFERROR(OFFSET(INDIRECT($H$3 &amp; "!A71"), 1, 0), "")</f>
        <v>도지코인</v>
      </c>
      <c r="P32" s="39">
        <f t="shared" ca="1" si="11"/>
        <v>117</v>
      </c>
      <c r="Q32" s="70">
        <f t="shared" ca="1" si="12"/>
        <v>5.4054054099999999E-2</v>
      </c>
      <c r="R32" s="79">
        <f t="shared" ref="R32:R50" ca="1" si="15">_xlfn.IFNA(VLOOKUP(O32, $B$2:$E$200, 4, FALSE), "")</f>
        <v>1630935901.2917192</v>
      </c>
    </row>
    <row r="33" spans="1:18">
      <c r="A33" s="40" t="s">
        <v>48</v>
      </c>
      <c r="B33" s="11" t="s">
        <v>49</v>
      </c>
      <c r="C33" s="86">
        <v>29052000</v>
      </c>
      <c r="D33" s="34">
        <v>1.2053229299999999E-2</v>
      </c>
      <c r="E33" s="84">
        <v>3502.1700020200001</v>
      </c>
      <c r="F33" s="35"/>
      <c r="G33" s="52" t="str">
        <f ca="1">IFERROR(OFFSET(INDIRECT($H$3 &amp; "!A98"), 2, 0), "")</f>
        <v>쎄타퓨엘</v>
      </c>
      <c r="H33" s="39">
        <f t="shared" ca="1" si="7"/>
        <v>68.099999999999994</v>
      </c>
      <c r="I33" s="70">
        <f t="shared" ca="1" si="8"/>
        <v>3.9694656500000002E-2</v>
      </c>
      <c r="J33" s="79">
        <f t="shared" ca="1" si="13"/>
        <v>677307069.98191106</v>
      </c>
      <c r="K33" s="52" t="str">
        <f ca="1">IFERROR(OFFSET(INDIRECT($H$3 &amp; "!A44"), 2, 0), "")</f>
        <v>피르마체인</v>
      </c>
      <c r="L33" s="39">
        <f t="shared" ca="1" si="9"/>
        <v>69.7</v>
      </c>
      <c r="M33" s="70">
        <f t="shared" ca="1" si="10"/>
        <v>4.0298507499999997E-2</v>
      </c>
      <c r="N33" s="79">
        <f t="shared" ca="1" si="14"/>
        <v>347126719.62268478</v>
      </c>
      <c r="O33" s="52" t="str">
        <f ca="1">IFERROR(OFFSET(INDIRECT($H$3 &amp; "!A71"), 2, 0), "")</f>
        <v>하이파이</v>
      </c>
      <c r="P33" s="39">
        <f t="shared" ca="1" si="11"/>
        <v>623</v>
      </c>
      <c r="Q33" s="70">
        <f t="shared" ca="1" si="12"/>
        <v>3.1456953599999997E-2</v>
      </c>
      <c r="R33" s="79">
        <f t="shared" ca="1" si="15"/>
        <v>39207703.95730985</v>
      </c>
    </row>
    <row r="34" spans="1:18">
      <c r="A34" s="40" t="s">
        <v>98</v>
      </c>
      <c r="B34" s="11" t="s">
        <v>99</v>
      </c>
      <c r="C34" s="86">
        <v>27200</v>
      </c>
      <c r="D34" s="34">
        <v>1.19047619E-2</v>
      </c>
      <c r="E34" s="84">
        <v>1243995.37800436</v>
      </c>
      <c r="F34" s="35"/>
      <c r="G34" s="52" t="str">
        <f ca="1">IFERROR(OFFSET(INDIRECT($H$3 &amp; "!A98"), 3, 0), "")</f>
        <v>피르마체인</v>
      </c>
      <c r="H34" s="39">
        <f t="shared" ca="1" si="7"/>
        <v>69.7</v>
      </c>
      <c r="I34" s="70">
        <f t="shared" ca="1" si="8"/>
        <v>4.0298507499999997E-2</v>
      </c>
      <c r="J34" s="79">
        <f t="shared" ca="1" si="13"/>
        <v>347126719.62268478</v>
      </c>
      <c r="K34" s="52" t="str">
        <f ca="1">IFERROR(OFFSET(INDIRECT($H$3 &amp; "!A44"), 3, 0), "")</f>
        <v>아하토큰</v>
      </c>
      <c r="L34" s="39">
        <f t="shared" ca="1" si="9"/>
        <v>7.9</v>
      </c>
      <c r="M34" s="70">
        <f t="shared" ca="1" si="10"/>
        <v>3.2679738600000001E-2</v>
      </c>
      <c r="N34" s="79">
        <f t="shared" ca="1" si="14"/>
        <v>3239141825.1908031</v>
      </c>
      <c r="O34" s="52" t="str">
        <f ca="1">IFERROR(OFFSET(INDIRECT($H$3 &amp; "!A71"), 3, 0), "")</f>
        <v>리플</v>
      </c>
      <c r="P34" s="39">
        <f t="shared" ca="1" si="11"/>
        <v>505</v>
      </c>
      <c r="Q34" s="70">
        <f t="shared" ca="1" si="12"/>
        <v>2.02020202E-2</v>
      </c>
      <c r="R34" s="79">
        <f t="shared" ca="1" si="15"/>
        <v>200656128.08270571</v>
      </c>
    </row>
    <row r="35" spans="1:18">
      <c r="A35" s="40" t="s">
        <v>336</v>
      </c>
      <c r="B35" s="11" t="s">
        <v>337</v>
      </c>
      <c r="C35" s="86">
        <v>103200</v>
      </c>
      <c r="D35" s="34">
        <v>1.17647059E-2</v>
      </c>
      <c r="E35" s="84">
        <v>13342.38534687</v>
      </c>
      <c r="F35" s="35"/>
      <c r="G35" s="54" t="str">
        <f ca="1">IFERROR(OFFSET(INDIRECT($H$3 &amp; "!A98"), 4, 0), "")</f>
        <v>아하토큰</v>
      </c>
      <c r="H35" s="44">
        <f t="shared" ca="1" si="7"/>
        <v>7.9</v>
      </c>
      <c r="I35" s="71">
        <f t="shared" ca="1" si="8"/>
        <v>3.2679738600000001E-2</v>
      </c>
      <c r="J35" s="83">
        <f t="shared" ca="1" si="13"/>
        <v>3239141825.1908031</v>
      </c>
      <c r="K35" s="54" t="str">
        <f ca="1">IFERROR(OFFSET(INDIRECT($H$3 &amp; "!A44"), 4, 0), "")</f>
        <v>이캐시</v>
      </c>
      <c r="L35" s="44">
        <f t="shared" ca="1" si="9"/>
        <v>4.4499999999999998E-2</v>
      </c>
      <c r="M35" s="71">
        <f t="shared" ca="1" si="10"/>
        <v>2.77136259E-2</v>
      </c>
      <c r="N35" s="83">
        <f t="shared" ca="1" si="14"/>
        <v>433439815102.20465</v>
      </c>
      <c r="O35" s="54" t="str">
        <f ca="1">IFERROR(OFFSET(INDIRECT($H$3 &amp; "!A71"), 4, 0), "")</f>
        <v>스트라티스</v>
      </c>
      <c r="P35" s="44">
        <f t="shared" ca="1" si="11"/>
        <v>697</v>
      </c>
      <c r="Q35" s="71">
        <f t="shared" ca="1" si="12"/>
        <v>1.7518248199999999E-2</v>
      </c>
      <c r="R35" s="83">
        <f t="shared" ca="1" si="15"/>
        <v>9152778.8936477099</v>
      </c>
    </row>
    <row r="36" spans="1:18">
      <c r="A36" s="40" t="s">
        <v>127</v>
      </c>
      <c r="B36" s="11" t="s">
        <v>128</v>
      </c>
      <c r="C36" s="86">
        <v>7875</v>
      </c>
      <c r="D36" s="34">
        <v>1.15606936E-2</v>
      </c>
      <c r="E36" s="84">
        <v>195886.7773126</v>
      </c>
      <c r="F36" s="35"/>
      <c r="G36" s="52" t="str">
        <f ca="1">IFERROR(OFFSET(INDIRECT($H$3 &amp; "!A98"), 5, 0), "")</f>
        <v>도지코인</v>
      </c>
      <c r="H36" s="39">
        <f t="shared" ca="1" si="7"/>
        <v>117</v>
      </c>
      <c r="I36" s="70">
        <f t="shared" ca="1" si="8"/>
        <v>5.4054054099999999E-2</v>
      </c>
      <c r="J36" s="89">
        <f t="shared" ca="1" si="13"/>
        <v>1630935901.2917192</v>
      </c>
      <c r="K36" s="52" t="str">
        <f ca="1">IFERROR(OFFSET(INDIRECT($H$3 &amp; "!A44"), 5, 0), "")</f>
        <v>캐리프로토콜</v>
      </c>
      <c r="L36" s="39">
        <f t="shared" ca="1" si="9"/>
        <v>4.41</v>
      </c>
      <c r="M36" s="70">
        <f t="shared" ca="1" si="10"/>
        <v>4.2553191499999997E-2</v>
      </c>
      <c r="N36" s="89">
        <f t="shared" ca="1" si="14"/>
        <v>1100217886.9724674</v>
      </c>
      <c r="O36" s="52" t="str">
        <f ca="1">IFERROR(OFFSET(INDIRECT($H$3 &amp; "!A71"), 5, 0), "")</f>
        <v>솔라</v>
      </c>
      <c r="P36" s="39">
        <f t="shared" ca="1" si="11"/>
        <v>352</v>
      </c>
      <c r="Q36" s="70">
        <f t="shared" ca="1" si="12"/>
        <v>2.02898551E-2</v>
      </c>
      <c r="R36" s="89">
        <f t="shared" ca="1" si="15"/>
        <v>10276101.911093401</v>
      </c>
    </row>
    <row r="37" spans="1:18">
      <c r="A37" s="40" t="s">
        <v>133</v>
      </c>
      <c r="B37" s="11" t="s">
        <v>134</v>
      </c>
      <c r="C37" s="86">
        <v>1755</v>
      </c>
      <c r="D37" s="34">
        <v>1.15273775E-2</v>
      </c>
      <c r="E37" s="84">
        <v>847056.42373051005</v>
      </c>
      <c r="F37" s="35"/>
      <c r="G37" s="52" t="str">
        <f ca="1">IFERROR(OFFSET(INDIRECT($H$3 &amp; "!A98"), 6, 0), "")</f>
        <v>이캐시</v>
      </c>
      <c r="H37" s="39">
        <f t="shared" ca="1" si="7"/>
        <v>4.4499999999999998E-2</v>
      </c>
      <c r="I37" s="70">
        <f t="shared" ca="1" si="8"/>
        <v>2.77136259E-2</v>
      </c>
      <c r="J37" s="79">
        <f t="shared" ca="1" si="13"/>
        <v>433439815102.20465</v>
      </c>
      <c r="K37" s="52" t="str">
        <f ca="1">IFERROR(OFFSET(INDIRECT($H$3 &amp; "!A44"), 6, 0), "")</f>
        <v>저스트</v>
      </c>
      <c r="L37" s="39">
        <f t="shared" ca="1" si="9"/>
        <v>32.700000000000003</v>
      </c>
      <c r="M37" s="70">
        <f t="shared" ca="1" si="10"/>
        <v>2.1874999999999999E-2</v>
      </c>
      <c r="N37" s="79">
        <f t="shared" ca="1" si="14"/>
        <v>109480552.45897938</v>
      </c>
      <c r="O37" s="52" t="str">
        <f ca="1">IFERROR(OFFSET(INDIRECT($H$3 &amp; "!A71"), 6, 0), "")</f>
        <v>칠리즈</v>
      </c>
      <c r="P37" s="39">
        <f t="shared" ca="1" si="11"/>
        <v>167</v>
      </c>
      <c r="Q37" s="70">
        <f t="shared" ca="1" si="12"/>
        <v>1.2121212100000001E-2</v>
      </c>
      <c r="R37" s="79">
        <f t="shared" ca="1" si="15"/>
        <v>53380906.642086178</v>
      </c>
    </row>
    <row r="38" spans="1:18">
      <c r="A38" s="40" t="s">
        <v>194</v>
      </c>
      <c r="B38" s="11" t="s">
        <v>195</v>
      </c>
      <c r="C38" s="86">
        <v>7.03</v>
      </c>
      <c r="D38" s="34">
        <v>1.15107914E-2</v>
      </c>
      <c r="E38" s="84">
        <v>393974736.69603127</v>
      </c>
      <c r="F38" s="35"/>
      <c r="G38" s="52" t="str">
        <f ca="1">IFERROR(OFFSET(INDIRECT($H$3 &amp; "!A98"), 7, 0), "")</f>
        <v>캐리프로토콜</v>
      </c>
      <c r="H38" s="39">
        <f t="shared" ca="1" si="7"/>
        <v>4.41</v>
      </c>
      <c r="I38" s="70">
        <f t="shared" ca="1" si="8"/>
        <v>4.2553191499999997E-2</v>
      </c>
      <c r="J38" s="79">
        <f t="shared" ca="1" si="13"/>
        <v>1100217886.9724674</v>
      </c>
      <c r="K38" s="52" t="str">
        <f ca="1">IFERROR(OFFSET(INDIRECT($H$3 &amp; "!A44"), 7, 0), "")</f>
        <v>룸네트워크</v>
      </c>
      <c r="L38" s="39">
        <f t="shared" ca="1" si="9"/>
        <v>63.3</v>
      </c>
      <c r="M38" s="70">
        <f t="shared" ca="1" si="10"/>
        <v>1.93236715E-2</v>
      </c>
      <c r="N38" s="79">
        <f t="shared" ca="1" si="14"/>
        <v>164318525.91158834</v>
      </c>
      <c r="O38" s="52" t="str">
        <f ca="1">IFERROR(OFFSET(INDIRECT($H$3 &amp; "!A71"), 7, 0), "")</f>
        <v>에이다</v>
      </c>
      <c r="P38" s="39">
        <f t="shared" ca="1" si="11"/>
        <v>479</v>
      </c>
      <c r="Q38" s="70">
        <f t="shared" ca="1" si="12"/>
        <v>2.3504273499999999E-2</v>
      </c>
      <c r="R38" s="79">
        <f t="shared" ca="1" si="15"/>
        <v>17729417.400239211</v>
      </c>
    </row>
    <row r="39" spans="1:18">
      <c r="A39" s="40" t="s">
        <v>184</v>
      </c>
      <c r="B39" s="11" t="s">
        <v>185</v>
      </c>
      <c r="C39" s="86">
        <v>36.299999999999997</v>
      </c>
      <c r="D39" s="34">
        <v>1.1142061300000001E-2</v>
      </c>
      <c r="E39" s="84">
        <v>102461108.6479634</v>
      </c>
      <c r="F39" s="35"/>
      <c r="G39" s="52" t="str">
        <f ca="1">IFERROR(OFFSET(INDIRECT($H$3 &amp; "!A98"), 8, 0), "")</f>
        <v>하이파이</v>
      </c>
      <c r="H39" s="39">
        <f t="shared" ca="1" si="7"/>
        <v>623</v>
      </c>
      <c r="I39" s="70">
        <f t="shared" ca="1" si="8"/>
        <v>3.1456953599999997E-2</v>
      </c>
      <c r="J39" s="79">
        <f t="shared" ca="1" si="13"/>
        <v>39207703.95730985</v>
      </c>
      <c r="K39" s="52" t="str">
        <f ca="1">IFERROR(OFFSET(INDIRECT($H$3 &amp; "!A44"), 8, 0), "")</f>
        <v>시바이누</v>
      </c>
      <c r="L39" s="39">
        <f t="shared" ca="1" si="9"/>
        <v>1.4800000000000001E-2</v>
      </c>
      <c r="M39" s="70">
        <f t="shared" ca="1" si="10"/>
        <v>2.06896552E-2</v>
      </c>
      <c r="N39" s="79">
        <f t="shared" ca="1" si="14"/>
        <v>1069973278866.7875</v>
      </c>
      <c r="O39" s="52" t="str">
        <f ca="1">IFERROR(OFFSET(INDIRECT($H$3 &amp; "!A71"), 8, 0), "")</f>
        <v>스택스</v>
      </c>
      <c r="P39" s="39">
        <f t="shared" ca="1" si="11"/>
        <v>341</v>
      </c>
      <c r="Q39" s="70">
        <f t="shared" ca="1" si="12"/>
        <v>5.8997049999999999E-3</v>
      </c>
      <c r="R39" s="79">
        <f t="shared" ca="1" si="15"/>
        <v>14336738.40232191</v>
      </c>
    </row>
    <row r="40" spans="1:18" ht="17.25" thickBot="1">
      <c r="A40" s="40" t="s">
        <v>206</v>
      </c>
      <c r="B40" s="11" t="s">
        <v>207</v>
      </c>
      <c r="C40" s="86">
        <v>73.400000000000006</v>
      </c>
      <c r="D40" s="34">
        <v>1.10192837E-2</v>
      </c>
      <c r="E40" s="84">
        <v>30834825.737427961</v>
      </c>
      <c r="F40" s="35"/>
      <c r="G40" s="53" t="str">
        <f ca="1">IFERROR(OFFSET(INDIRECT($H$3 &amp; "!A98"), 9, 0), "")</f>
        <v>저스트</v>
      </c>
      <c r="H40" s="37">
        <f t="shared" ca="1" si="7"/>
        <v>32.700000000000003</v>
      </c>
      <c r="I40" s="72">
        <f t="shared" ca="1" si="8"/>
        <v>2.1874999999999999E-2</v>
      </c>
      <c r="J40" s="80">
        <f t="shared" ca="1" si="13"/>
        <v>109480552.45897938</v>
      </c>
      <c r="K40" s="53" t="str">
        <f ca="1">IFERROR(OFFSET(INDIRECT($H$3 &amp; "!A44"), 9, 0), "")</f>
        <v>센티넬프로토콜</v>
      </c>
      <c r="L40" s="37">
        <f t="shared" ca="1" si="9"/>
        <v>73.400000000000006</v>
      </c>
      <c r="M40" s="72">
        <f t="shared" ca="1" si="10"/>
        <v>1.10192837E-2</v>
      </c>
      <c r="N40" s="80">
        <f t="shared" ca="1" si="14"/>
        <v>30834825.737427961</v>
      </c>
      <c r="O40" s="53" t="str">
        <f ca="1">IFERROR(OFFSET(INDIRECT($H$3 &amp; "!A71"), 9, 0), "")</f>
        <v>스텔라루멘</v>
      </c>
      <c r="P40" s="37">
        <f t="shared" ca="1" si="11"/>
        <v>114</v>
      </c>
      <c r="Q40" s="72">
        <f t="shared" ca="1" si="12"/>
        <v>8.8495575000000007E-3</v>
      </c>
      <c r="R40" s="80">
        <f t="shared" ca="1" si="15"/>
        <v>18853236.013569701</v>
      </c>
    </row>
    <row r="41" spans="1:18">
      <c r="A41" s="40" t="s">
        <v>74</v>
      </c>
      <c r="B41" s="11" t="s">
        <v>75</v>
      </c>
      <c r="C41" s="86">
        <v>8795</v>
      </c>
      <c r="D41" s="34">
        <v>1.0919540199999999E-2</v>
      </c>
      <c r="E41" s="84">
        <v>336745.67276395002</v>
      </c>
      <c r="F41" s="35"/>
      <c r="G41" s="55" t="str">
        <f ca="1">IFERROR(OFFSET(INDIRECT($H$3 &amp; "!A98"), 10, 0), "")</f>
        <v>룸네트워크</v>
      </c>
      <c r="H41" s="38">
        <f t="shared" ca="1" si="7"/>
        <v>63.3</v>
      </c>
      <c r="I41" s="69">
        <f t="shared" ca="1" si="8"/>
        <v>1.93236715E-2</v>
      </c>
      <c r="J41" s="78">
        <f t="shared" ca="1" si="13"/>
        <v>164318525.91158834</v>
      </c>
      <c r="K41" s="51" t="str">
        <f ca="1">IFERROR(OFFSET(INDIRECT($H$3 &amp; "!A44"), 10, 0), "")</f>
        <v>메타디움</v>
      </c>
      <c r="L41" s="38">
        <f t="shared" ca="1" si="9"/>
        <v>36.299999999999997</v>
      </c>
      <c r="M41" s="69">
        <f t="shared" ca="1" si="10"/>
        <v>1.1142061300000001E-2</v>
      </c>
      <c r="N41" s="78">
        <f t="shared" ca="1" si="14"/>
        <v>102461108.6479634</v>
      </c>
      <c r="O41" s="51" t="str">
        <f ca="1">IFERROR(OFFSET(INDIRECT($H$3 &amp; "!A71"), 10, 0), "")</f>
        <v>제로엑스</v>
      </c>
      <c r="P41" s="38">
        <f t="shared" ca="1" si="11"/>
        <v>273</v>
      </c>
      <c r="Q41" s="69">
        <f t="shared" ca="1" si="12"/>
        <v>1.4869888499999999E-2</v>
      </c>
      <c r="R41" s="78">
        <f t="shared" ca="1" si="15"/>
        <v>5589070.5693828603</v>
      </c>
    </row>
    <row r="42" spans="1:18">
      <c r="A42" s="40" t="s">
        <v>121</v>
      </c>
      <c r="B42" s="11" t="s">
        <v>122</v>
      </c>
      <c r="C42" s="86">
        <v>29.3</v>
      </c>
      <c r="D42" s="34">
        <v>1.03448276E-2</v>
      </c>
      <c r="E42" s="84">
        <v>79706812.330004513</v>
      </c>
      <c r="F42" s="35"/>
      <c r="G42" s="52" t="str">
        <f ca="1">IFERROR(OFFSET(INDIRECT($H$3 &amp; "!A98"), 11, 0), "")</f>
        <v>리플</v>
      </c>
      <c r="H42" s="39">
        <f t="shared" ca="1" si="7"/>
        <v>505</v>
      </c>
      <c r="I42" s="70">
        <f t="shared" ca="1" si="8"/>
        <v>2.02020202E-2</v>
      </c>
      <c r="J42" s="79">
        <f t="shared" ca="1" si="13"/>
        <v>200656128.08270571</v>
      </c>
      <c r="K42" s="52" t="str">
        <f ca="1">IFERROR(OFFSET(INDIRECT($H$3 &amp; "!A44"), 11, 0), "")</f>
        <v>에스티피</v>
      </c>
      <c r="L42" s="39">
        <f t="shared" ca="1" si="9"/>
        <v>50.2</v>
      </c>
      <c r="M42" s="70">
        <f t="shared" ca="1" si="10"/>
        <v>1.0060362200000001E-2</v>
      </c>
      <c r="N42" s="79">
        <f t="shared" ca="1" si="14"/>
        <v>57834572.991524048</v>
      </c>
      <c r="O42" s="52" t="str">
        <f ca="1">IFERROR(OFFSET(INDIRECT($H$3 &amp; "!A71"), 11, 0), "")</f>
        <v>1인치네트워크</v>
      </c>
      <c r="P42" s="39">
        <f t="shared" ca="1" si="11"/>
        <v>644</v>
      </c>
      <c r="Q42" s="70">
        <f t="shared" ca="1" si="12"/>
        <v>4.6801871999999998E-3</v>
      </c>
      <c r="R42" s="79">
        <f t="shared" ca="1" si="15"/>
        <v>3401072.7573715299</v>
      </c>
    </row>
    <row r="43" spans="1:18">
      <c r="A43" s="40" t="s">
        <v>226</v>
      </c>
      <c r="B43" s="11" t="s">
        <v>227</v>
      </c>
      <c r="C43" s="86">
        <v>50.2</v>
      </c>
      <c r="D43" s="34">
        <v>1.0060362200000001E-2</v>
      </c>
      <c r="E43" s="84">
        <v>57834572.991524048</v>
      </c>
      <c r="F43" s="35"/>
      <c r="G43" s="52" t="str">
        <f ca="1">IFERROR(OFFSET(INDIRECT($H$3 &amp; "!A98"), 12, 0), "")</f>
        <v>스트라티스</v>
      </c>
      <c r="H43" s="39">
        <f t="shared" ca="1" si="7"/>
        <v>697</v>
      </c>
      <c r="I43" s="70">
        <f t="shared" ca="1" si="8"/>
        <v>1.7518248199999999E-2</v>
      </c>
      <c r="J43" s="79">
        <f t="shared" ca="1" si="13"/>
        <v>9152778.8936477099</v>
      </c>
      <c r="K43" s="52" t="str">
        <f ca="1">IFERROR(OFFSET(INDIRECT($H$3 &amp; "!A44"), 12, 0), "")</f>
        <v>앵커</v>
      </c>
      <c r="L43" s="39">
        <f t="shared" ca="1" si="9"/>
        <v>32.200000000000003</v>
      </c>
      <c r="M43" s="70">
        <f t="shared" ca="1" si="10"/>
        <v>2.2222222199999999E-2</v>
      </c>
      <c r="N43" s="79">
        <f t="shared" ca="1" si="14"/>
        <v>83748936.496638805</v>
      </c>
      <c r="O43" s="52" t="str">
        <f ca="1">IFERROR(OFFSET(INDIRECT($H$3 &amp; "!A71"), 12, 0), "")</f>
        <v>스토리지</v>
      </c>
      <c r="P43" s="39">
        <f t="shared" ca="1" si="11"/>
        <v>452</v>
      </c>
      <c r="Q43" s="70">
        <f t="shared" ca="1" si="12"/>
        <v>8.9285713999999999E-3</v>
      </c>
      <c r="R43" s="79">
        <f t="shared" ca="1" si="15"/>
        <v>11746865.424061829</v>
      </c>
    </row>
    <row r="44" spans="1:18">
      <c r="A44" s="40" t="s">
        <v>92</v>
      </c>
      <c r="B44" s="11" t="s">
        <v>93</v>
      </c>
      <c r="C44" s="86">
        <v>1989000</v>
      </c>
      <c r="D44" s="34">
        <v>9.9009900999999997E-3</v>
      </c>
      <c r="E44" s="84">
        <v>16077.61669062</v>
      </c>
      <c r="F44" s="35"/>
      <c r="G44" s="52" t="str">
        <f ca="1">IFERROR(OFFSET(INDIRECT($H$3 &amp; "!A98"), 13, 0), "")</f>
        <v>시바이누</v>
      </c>
      <c r="H44" s="39">
        <f t="shared" ca="1" si="7"/>
        <v>1.4800000000000001E-2</v>
      </c>
      <c r="I44" s="70">
        <f t="shared" ca="1" si="8"/>
        <v>2.06896552E-2</v>
      </c>
      <c r="J44" s="79">
        <f t="shared" ca="1" si="13"/>
        <v>1069973278866.7875</v>
      </c>
      <c r="K44" s="52" t="str">
        <f ca="1">IFERROR(OFFSET(INDIRECT($H$3 &amp; "!A44"), 13, 0), "")</f>
        <v>헤데라</v>
      </c>
      <c r="L44" s="39">
        <f t="shared" ca="1" si="9"/>
        <v>82.7</v>
      </c>
      <c r="M44" s="70">
        <f t="shared" ca="1" si="10"/>
        <v>2.8606965200000001E-2</v>
      </c>
      <c r="N44" s="79">
        <f t="shared" ca="1" si="14"/>
        <v>35891589.718223423</v>
      </c>
      <c r="O44" s="52" t="str">
        <f ca="1">IFERROR(OFFSET(INDIRECT($H$3 &amp; "!A71"), 13, 0), "")</f>
        <v>셀로</v>
      </c>
      <c r="P44" s="39">
        <f t="shared" ca="1" si="11"/>
        <v>902</v>
      </c>
      <c r="Q44" s="70">
        <f t="shared" ca="1" si="12"/>
        <v>1.5765765800000001E-2</v>
      </c>
      <c r="R44" s="79">
        <f t="shared" ca="1" si="15"/>
        <v>7499488.1813632604</v>
      </c>
    </row>
    <row r="45" spans="1:18">
      <c r="A45" s="40" t="s">
        <v>192</v>
      </c>
      <c r="B45" s="11" t="s">
        <v>193</v>
      </c>
      <c r="C45" s="86">
        <v>20.8</v>
      </c>
      <c r="D45" s="34">
        <v>9.7087379000000001E-3</v>
      </c>
      <c r="E45" s="84">
        <v>64243700.45796828</v>
      </c>
      <c r="F45" s="35"/>
      <c r="G45" s="54" t="str">
        <f ca="1">IFERROR(OFFSET(INDIRECT($H$3 &amp; "!A98"), 14, 0), "")</f>
        <v>센티넬프로토콜</v>
      </c>
      <c r="H45" s="44">
        <f t="shared" ca="1" si="7"/>
        <v>73.400000000000006</v>
      </c>
      <c r="I45" s="71">
        <f t="shared" ca="1" si="8"/>
        <v>1.10192837E-2</v>
      </c>
      <c r="J45" s="83">
        <f t="shared" ca="1" si="13"/>
        <v>30834825.737427961</v>
      </c>
      <c r="K45" s="54" t="str">
        <f ca="1">IFERROR(OFFSET(INDIRECT($H$3 &amp; "!A44"), 14, 0), "")</f>
        <v>리퍼리움</v>
      </c>
      <c r="L45" s="44">
        <f t="shared" ca="1" si="9"/>
        <v>7.03</v>
      </c>
      <c r="M45" s="71">
        <f t="shared" ca="1" si="10"/>
        <v>1.15107914E-2</v>
      </c>
      <c r="N45" s="83">
        <f t="shared" ca="1" si="14"/>
        <v>393974736.69603127</v>
      </c>
      <c r="O45" s="54" t="str">
        <f ca="1">IFERROR(OFFSET(INDIRECT($H$3 &amp; "!A71"), 14, 0), "")</f>
        <v>베이직어텐션토큰</v>
      </c>
      <c r="P45" s="44">
        <f t="shared" ca="1" si="11"/>
        <v>314</v>
      </c>
      <c r="Q45" s="71">
        <f t="shared" ca="1" si="12"/>
        <v>9.6463022999999995E-3</v>
      </c>
      <c r="R45" s="83">
        <f t="shared" ca="1" si="15"/>
        <v>6417759.2413992397</v>
      </c>
    </row>
    <row r="46" spans="1:18">
      <c r="A46" s="40" t="s">
        <v>78</v>
      </c>
      <c r="B46" s="11" t="s">
        <v>79</v>
      </c>
      <c r="C46" s="86">
        <v>314</v>
      </c>
      <c r="D46" s="34">
        <v>9.6463022999999995E-3</v>
      </c>
      <c r="E46" s="84">
        <v>6417759.2413992397</v>
      </c>
      <c r="F46" s="35"/>
      <c r="G46" s="52" t="str">
        <f ca="1">IFERROR(OFFSET(INDIRECT($H$3 &amp; "!A98"), 15, 0), "")</f>
        <v>메타디움</v>
      </c>
      <c r="H46" s="39">
        <f t="shared" ca="1" si="7"/>
        <v>36.299999999999997</v>
      </c>
      <c r="I46" s="70">
        <f t="shared" ca="1" si="8"/>
        <v>1.1142061300000001E-2</v>
      </c>
      <c r="J46" s="89">
        <f t="shared" ca="1" si="13"/>
        <v>102461108.6479634</v>
      </c>
      <c r="K46" s="52" t="str">
        <f ca="1">IFERROR(OFFSET(INDIRECT($H$3 &amp; "!A44"), 15, 0), "")</f>
        <v>시아코인</v>
      </c>
      <c r="L46" s="39">
        <f t="shared" ca="1" si="9"/>
        <v>3.88</v>
      </c>
      <c r="M46" s="70">
        <f t="shared" ca="1" si="10"/>
        <v>1.8372703399999999E-2</v>
      </c>
      <c r="N46" s="89">
        <f t="shared" ca="1" si="14"/>
        <v>443277361.99249196</v>
      </c>
      <c r="O46" s="52" t="str">
        <f ca="1">IFERROR(OFFSET(INDIRECT($H$3 &amp; "!A71"), 15, 0), "")</f>
        <v>샌드박스</v>
      </c>
      <c r="P46" s="39">
        <f t="shared" ca="1" si="11"/>
        <v>914</v>
      </c>
      <c r="Q46" s="70">
        <f t="shared" ca="1" si="12"/>
        <v>6.6079295E-3</v>
      </c>
      <c r="R46" s="89">
        <f t="shared" ca="1" si="15"/>
        <v>24772583.153917909</v>
      </c>
    </row>
    <row r="47" spans="1:18">
      <c r="A47" s="40" t="s">
        <v>125</v>
      </c>
      <c r="B47" s="11" t="s">
        <v>126</v>
      </c>
      <c r="C47" s="86">
        <v>33.799999999999997</v>
      </c>
      <c r="D47" s="34">
        <v>8.9552238999999999E-3</v>
      </c>
      <c r="E47" s="84">
        <v>186832389.73504585</v>
      </c>
      <c r="F47" s="35"/>
      <c r="G47" s="52" t="str">
        <f ca="1">IFERROR(OFFSET(INDIRECT($H$3 &amp; "!A98"), 16, 0), "")</f>
        <v>비트코인캐시</v>
      </c>
      <c r="H47" s="39">
        <f t="shared" ca="1" si="7"/>
        <v>168900</v>
      </c>
      <c r="I47" s="70">
        <f t="shared" ca="1" si="8"/>
        <v>2.3636363600000002E-2</v>
      </c>
      <c r="J47" s="79">
        <f t="shared" ca="1" si="13"/>
        <v>31099.941517079998</v>
      </c>
      <c r="K47" s="52" t="str">
        <f ca="1">IFERROR(OFFSET(INDIRECT($H$3 &amp; "!A44"), 16, 0), "")</f>
        <v>메디블록</v>
      </c>
      <c r="L47" s="39">
        <f t="shared" ca="1" si="9"/>
        <v>20.8</v>
      </c>
      <c r="M47" s="70">
        <f t="shared" ca="1" si="10"/>
        <v>9.7087379000000001E-3</v>
      </c>
      <c r="N47" s="79">
        <f t="shared" ca="1" si="14"/>
        <v>64243700.45796828</v>
      </c>
      <c r="O47" s="52" t="str">
        <f ca="1">IFERROR(OFFSET(INDIRECT($H$3 &amp; "!A71"), 16, 0), "")</f>
        <v>그로스톨코인</v>
      </c>
      <c r="P47" s="39">
        <f t="shared" ca="1" si="11"/>
        <v>478</v>
      </c>
      <c r="Q47" s="70">
        <f t="shared" ca="1" si="12"/>
        <v>8.4388186E-3</v>
      </c>
      <c r="R47" s="79">
        <f t="shared" ca="1" si="15"/>
        <v>3746788.12441622</v>
      </c>
    </row>
    <row r="48" spans="1:18">
      <c r="A48" s="40" t="s">
        <v>152</v>
      </c>
      <c r="B48" s="11" t="s">
        <v>153</v>
      </c>
      <c r="C48" s="86">
        <v>452</v>
      </c>
      <c r="D48" s="34">
        <v>8.9285713999999999E-3</v>
      </c>
      <c r="E48" s="84">
        <v>11746865.424061829</v>
      </c>
      <c r="F48" s="35"/>
      <c r="G48" s="52" t="str">
        <f ca="1">IFERROR(OFFSET(INDIRECT($H$3 &amp; "!A98"), 17, 0), "")</f>
        <v>에스티피</v>
      </c>
      <c r="H48" s="39">
        <f t="shared" ca="1" si="7"/>
        <v>50.2</v>
      </c>
      <c r="I48" s="70">
        <f t="shared" ca="1" si="8"/>
        <v>1.0060362200000001E-2</v>
      </c>
      <c r="J48" s="79">
        <f t="shared" ca="1" si="13"/>
        <v>57834572.991524048</v>
      </c>
      <c r="K48" s="52" t="str">
        <f ca="1">IFERROR(OFFSET(INDIRECT($H$3 &amp; "!A44"), 17, 0), "")</f>
        <v>비트토렌트</v>
      </c>
      <c r="L48" s="39">
        <f t="shared" ca="1" si="9"/>
        <v>8.9999999999999998E-4</v>
      </c>
      <c r="M48" s="70">
        <f t="shared" ca="1" si="10"/>
        <v>0</v>
      </c>
      <c r="N48" s="79">
        <f t="shared" ca="1" si="14"/>
        <v>989247508993.15906</v>
      </c>
      <c r="O48" s="52" t="str">
        <f ca="1">IFERROR(OFFSET(INDIRECT($H$3 &amp; "!A71"), 17, 0), "")</f>
        <v>스테픈</v>
      </c>
      <c r="P48" s="39">
        <f t="shared" ca="1" si="11"/>
        <v>694</v>
      </c>
      <c r="Q48" s="70">
        <f t="shared" ca="1" si="12"/>
        <v>4.3415340000000002E-3</v>
      </c>
      <c r="R48" s="79">
        <f t="shared" ca="1" si="15"/>
        <v>49653548.925898381</v>
      </c>
    </row>
    <row r="49" spans="1:18">
      <c r="A49" s="40" t="s">
        <v>220</v>
      </c>
      <c r="B49" s="11" t="s">
        <v>221</v>
      </c>
      <c r="C49" s="86">
        <v>22.8</v>
      </c>
      <c r="D49" s="34">
        <v>8.8495575000000007E-3</v>
      </c>
      <c r="E49" s="84">
        <v>112154253.40842284</v>
      </c>
      <c r="F49" s="35"/>
      <c r="G49" s="52" t="str">
        <f ca="1">IFERROR(OFFSET(INDIRECT($H$3 &amp; "!A98"), 18, 0), "")</f>
        <v>앵커</v>
      </c>
      <c r="H49" s="39">
        <f t="shared" ca="1" si="7"/>
        <v>32.200000000000003</v>
      </c>
      <c r="I49" s="70">
        <f t="shared" ca="1" si="8"/>
        <v>2.2222222199999999E-2</v>
      </c>
      <c r="J49" s="79">
        <f t="shared" ca="1" si="13"/>
        <v>83748936.496638805</v>
      </c>
      <c r="K49" s="52" t="str">
        <f ca="1">IFERROR(OFFSET(INDIRECT($H$3 &amp; "!A44"), 18, 0), "")</f>
        <v>크로노스</v>
      </c>
      <c r="L49" s="39">
        <f t="shared" ca="1" si="9"/>
        <v>100</v>
      </c>
      <c r="M49" s="70">
        <f t="shared" ca="1" si="10"/>
        <v>2.5641025599999999E-2</v>
      </c>
      <c r="N49" s="79">
        <f t="shared" ca="1" si="14"/>
        <v>23272001.000527151</v>
      </c>
      <c r="O49" s="52" t="str">
        <f ca="1">IFERROR(OFFSET(INDIRECT($H$3 &amp; "!A71"), 18, 0), "")</f>
        <v>파워렛저</v>
      </c>
      <c r="P49" s="39">
        <f t="shared" ca="1" si="11"/>
        <v>215</v>
      </c>
      <c r="Q49" s="70">
        <f t="shared" ca="1" si="12"/>
        <v>4.6728971999999997E-3</v>
      </c>
      <c r="R49" s="79">
        <f t="shared" ca="1" si="15"/>
        <v>12232009.61285324</v>
      </c>
    </row>
    <row r="50" spans="1:18" ht="17.25" thickBot="1">
      <c r="A50" s="40" t="s">
        <v>50</v>
      </c>
      <c r="B50" s="11" t="s">
        <v>51</v>
      </c>
      <c r="C50" s="86">
        <v>114</v>
      </c>
      <c r="D50" s="34">
        <v>8.8495575000000007E-3</v>
      </c>
      <c r="E50" s="84">
        <v>18853236.013569701</v>
      </c>
      <c r="F50" s="35"/>
      <c r="G50" s="53" t="str">
        <f ca="1">IFERROR(OFFSET(INDIRECT($H$3 &amp; "!A98"), 19, 0), "")</f>
        <v>솔라</v>
      </c>
      <c r="H50" s="37">
        <f t="shared" ca="1" si="7"/>
        <v>352</v>
      </c>
      <c r="I50" s="72">
        <f t="shared" ca="1" si="8"/>
        <v>2.02898551E-2</v>
      </c>
      <c r="J50" s="80">
        <f t="shared" ca="1" si="13"/>
        <v>10276101.911093401</v>
      </c>
      <c r="K50" s="53" t="str">
        <f ca="1">IFERROR(OFFSET(INDIRECT($H$3 &amp; "!A44"), 19, 0), "")</f>
        <v>아이오에스티</v>
      </c>
      <c r="L50" s="37">
        <f t="shared" ca="1" si="9"/>
        <v>11.9</v>
      </c>
      <c r="M50" s="72">
        <f t="shared" ca="1" si="10"/>
        <v>8.4745762999999998E-3</v>
      </c>
      <c r="N50" s="80">
        <f t="shared" ca="1" si="14"/>
        <v>75883536.496024176</v>
      </c>
      <c r="O50" s="53" t="str">
        <f ca="1">IFERROR(OFFSET(INDIRECT($H$3 &amp; "!A71"), 19, 0), "")</f>
        <v>카이버네트워크</v>
      </c>
      <c r="P50" s="37">
        <f t="shared" ca="1" si="11"/>
        <v>937</v>
      </c>
      <c r="Q50" s="72">
        <f t="shared" ca="1" si="12"/>
        <v>7.5268816999999998E-3</v>
      </c>
      <c r="R50" s="80">
        <f t="shared" ca="1" si="15"/>
        <v>5704928.2161759604</v>
      </c>
    </row>
    <row r="51" spans="1:18">
      <c r="A51" s="40" t="s">
        <v>210</v>
      </c>
      <c r="B51" s="11" t="s">
        <v>211</v>
      </c>
      <c r="C51" s="86">
        <v>1150</v>
      </c>
      <c r="D51" s="34">
        <v>8.7719297999999998E-3</v>
      </c>
      <c r="E51" s="84">
        <v>1040571.2142379601</v>
      </c>
      <c r="F51" s="35"/>
    </row>
    <row r="52" spans="1:18" ht="17.25" thickBot="1">
      <c r="A52" s="40" t="s">
        <v>334</v>
      </c>
      <c r="B52" s="11" t="s">
        <v>335</v>
      </c>
      <c r="C52" s="86">
        <v>2930</v>
      </c>
      <c r="D52" s="34">
        <v>8.6058520000000006E-3</v>
      </c>
      <c r="E52" s="84">
        <v>3272908.9297175901</v>
      </c>
      <c r="F52" s="35"/>
    </row>
    <row r="53" spans="1:18" ht="17.25" thickBot="1">
      <c r="A53" s="40" t="s">
        <v>63</v>
      </c>
      <c r="B53" s="11" t="s">
        <v>64</v>
      </c>
      <c r="C53" s="86">
        <v>11.9</v>
      </c>
      <c r="D53" s="34">
        <v>8.4745762999999998E-3</v>
      </c>
      <c r="E53" s="84">
        <v>75883536.496024176</v>
      </c>
      <c r="F53" s="35"/>
      <c r="G53" s="157" t="s">
        <v>242</v>
      </c>
      <c r="H53" s="158"/>
      <c r="I53" s="158"/>
      <c r="J53" s="159"/>
      <c r="K53" s="157" t="s">
        <v>245</v>
      </c>
      <c r="L53" s="158"/>
      <c r="M53" s="158"/>
      <c r="N53" s="159"/>
      <c r="O53" s="157" t="s">
        <v>246</v>
      </c>
      <c r="P53" s="158"/>
      <c r="Q53" s="158"/>
      <c r="R53" s="159"/>
    </row>
    <row r="54" spans="1:18" ht="17.25" thickBot="1">
      <c r="A54" s="40" t="s">
        <v>238</v>
      </c>
      <c r="B54" s="11" t="s">
        <v>239</v>
      </c>
      <c r="C54" s="86">
        <v>478</v>
      </c>
      <c r="D54" s="34">
        <v>8.4388186E-3</v>
      </c>
      <c r="E54" s="84">
        <v>3746788.12441622</v>
      </c>
      <c r="F54" s="35"/>
      <c r="G54" s="194" t="s">
        <v>54</v>
      </c>
      <c r="H54" s="210">
        <f ca="1">NOW()</f>
        <v>44958.006751620371</v>
      </c>
      <c r="I54" s="211"/>
      <c r="J54" s="212"/>
      <c r="K54" s="209" t="s">
        <v>54</v>
      </c>
      <c r="L54" s="210">
        <f ca="1">NOW()</f>
        <v>44958.006751620371</v>
      </c>
      <c r="M54" s="211"/>
      <c r="N54" s="212"/>
      <c r="O54" s="209" t="s">
        <v>54</v>
      </c>
      <c r="P54" s="210">
        <f ca="1">NOW()</f>
        <v>44958.006751620371</v>
      </c>
      <c r="Q54" s="211"/>
      <c r="R54" s="212"/>
    </row>
    <row r="55" spans="1:18" ht="17.25" thickBot="1">
      <c r="A55" s="40" t="s">
        <v>204</v>
      </c>
      <c r="B55" s="11" t="s">
        <v>205</v>
      </c>
      <c r="C55" s="86">
        <v>122</v>
      </c>
      <c r="D55" s="34">
        <v>8.2644628000000005E-3</v>
      </c>
      <c r="E55" s="84">
        <v>14608739.379672021</v>
      </c>
      <c r="F55" s="35"/>
      <c r="G55" s="202"/>
      <c r="H55" s="36" t="s">
        <v>57</v>
      </c>
      <c r="I55" s="36" t="s">
        <v>58</v>
      </c>
      <c r="J55" s="64" t="s">
        <v>251</v>
      </c>
      <c r="K55" s="202"/>
      <c r="L55" s="36" t="s">
        <v>57</v>
      </c>
      <c r="M55" s="36" t="s">
        <v>58</v>
      </c>
      <c r="N55" s="64" t="s">
        <v>251</v>
      </c>
      <c r="O55" s="202"/>
      <c r="P55" s="36" t="s">
        <v>57</v>
      </c>
      <c r="Q55" s="36" t="s">
        <v>58</v>
      </c>
      <c r="R55" s="64" t="s">
        <v>251</v>
      </c>
    </row>
    <row r="56" spans="1:18">
      <c r="A56" s="40" t="s">
        <v>108</v>
      </c>
      <c r="B56" s="11" t="s">
        <v>109</v>
      </c>
      <c r="C56" s="86">
        <v>1290</v>
      </c>
      <c r="D56" s="34">
        <v>7.8125E-3</v>
      </c>
      <c r="E56" s="84">
        <v>1178263.49185307</v>
      </c>
      <c r="F56" s="35"/>
      <c r="G56" s="51" t="str">
        <f ca="1">IFERROR(OFFSET(INDIRECT($H$3 &amp; "!A179"), 0, 0), "")</f>
        <v>스팀달러</v>
      </c>
      <c r="H56" s="38">
        <f t="shared" ref="H56:H65" ca="1" si="16">_xlfn.IFNA(VLOOKUP(G56, $B$2:$D$200, 2, FALSE), "")</f>
        <v>3115</v>
      </c>
      <c r="I56" s="69">
        <f t="shared" ref="I56:I65" ca="1" si="17">_xlfn.IFNA(VLOOKUP(G56, $B$2:$D$200, 3, FALSE), "")</f>
        <v>-3.2000000000000002E-3</v>
      </c>
      <c r="J56" s="78">
        <f ca="1">_xlfn.IFNA(VLOOKUP(G56, $B$2:$E$200, 4, FALSE), "")</f>
        <v>397863.61780523998</v>
      </c>
      <c r="K56" s="51" t="str">
        <f ca="1">IFERROR(OFFSET(INDIRECT($H$3 &amp; "!A125"), 0, 0), "")</f>
        <v>메디블록</v>
      </c>
      <c r="L56" s="38">
        <f t="shared" ref="L56:L75" ca="1" si="18">_xlfn.IFNA(VLOOKUP(K56, $B$2:$D$200, 2, FALSE), "")</f>
        <v>20.8</v>
      </c>
      <c r="M56" s="69">
        <f t="shared" ref="M56:M75" ca="1" si="19">_xlfn.IFNA(VLOOKUP(K56, $B$2:$D$200, 3, FALSE), "")</f>
        <v>9.7087379000000001E-3</v>
      </c>
      <c r="N56" s="78">
        <f ca="1">_xlfn.IFNA(VLOOKUP(K56, $B$2:$E$200, 4, FALSE), "")</f>
        <v>64243700.45796828</v>
      </c>
      <c r="O56" s="51" t="str">
        <f ca="1">IFERROR(OFFSET(INDIRECT($H$3 &amp; "!A152"), 0, 0), "")</f>
        <v>아크</v>
      </c>
      <c r="P56" s="38">
        <f t="shared" ref="P56:P75" ca="1" si="20">_xlfn.IFNA(VLOOKUP(O56, $B$2:$D$200, 2, FALSE), "")</f>
        <v>385</v>
      </c>
      <c r="Q56" s="69">
        <f t="shared" ref="Q56:Q75" ca="1" si="21">_xlfn.IFNA(VLOOKUP(O56, $B$2:$D$200, 3, FALSE), "")</f>
        <v>0</v>
      </c>
      <c r="R56" s="78">
        <f ca="1">_xlfn.IFNA(VLOOKUP(O56, $B$2:$E$200, 4, FALSE), "")</f>
        <v>7007018.3388579404</v>
      </c>
    </row>
    <row r="57" spans="1:18">
      <c r="A57" s="40" t="s">
        <v>90</v>
      </c>
      <c r="B57" s="11" t="s">
        <v>91</v>
      </c>
      <c r="C57" s="86">
        <v>20700</v>
      </c>
      <c r="D57" s="34">
        <v>7.7896787000000002E-3</v>
      </c>
      <c r="E57" s="84">
        <v>404435.09232688003</v>
      </c>
      <c r="F57" s="35"/>
      <c r="G57" s="52" t="str">
        <f ca="1">IFERROR(OFFSET(INDIRECT($H$3 &amp; "!A179"), 1, 0), "")</f>
        <v>엔진코인</v>
      </c>
      <c r="H57" s="39">
        <f t="shared" ca="1" si="16"/>
        <v>552</v>
      </c>
      <c r="I57" s="70">
        <f t="shared" ca="1" si="17"/>
        <v>3.6363635999999999E-3</v>
      </c>
      <c r="J57" s="79">
        <f t="shared" ref="J57:J75" ca="1" si="22">_xlfn.IFNA(VLOOKUP(G57, $B$2:$E$200, 4, FALSE), "")</f>
        <v>3560600.3053306001</v>
      </c>
      <c r="K57" s="52" t="str">
        <f ca="1">IFERROR(OFFSET(INDIRECT($H$3 &amp; "!A125"), 1, 0), "")</f>
        <v>비트토렌트</v>
      </c>
      <c r="L57" s="39">
        <f t="shared" ca="1" si="18"/>
        <v>8.9999999999999998E-4</v>
      </c>
      <c r="M57" s="70">
        <f t="shared" ca="1" si="19"/>
        <v>0</v>
      </c>
      <c r="N57" s="79">
        <f t="shared" ref="N57:N75" ca="1" si="23">_xlfn.IFNA(VLOOKUP(K57, $B$2:$E$200, 4, FALSE), "")</f>
        <v>989247508993.15906</v>
      </c>
      <c r="O57" s="52" t="str">
        <f ca="1">IFERROR(OFFSET(INDIRECT($H$3 &amp; "!A152"), 1, 0), "")</f>
        <v>플레이댑</v>
      </c>
      <c r="P57" s="39">
        <f t="shared" ca="1" si="20"/>
        <v>283</v>
      </c>
      <c r="Q57" s="70">
        <f t="shared" ca="1" si="21"/>
        <v>0</v>
      </c>
      <c r="R57" s="79">
        <f t="shared" ref="R57:R75" ca="1" si="24">_xlfn.IFNA(VLOOKUP(O57, $B$2:$E$200, 4, FALSE), "")</f>
        <v>17169674.150677331</v>
      </c>
    </row>
    <row r="58" spans="1:18">
      <c r="A58" s="40" t="s">
        <v>188</v>
      </c>
      <c r="B58" s="11" t="s">
        <v>189</v>
      </c>
      <c r="C58" s="86">
        <v>1310</v>
      </c>
      <c r="D58" s="34">
        <v>7.6923076999999996E-3</v>
      </c>
      <c r="E58" s="84">
        <v>6377597.1415291904</v>
      </c>
      <c r="F58" s="35"/>
      <c r="G58" s="52" t="str">
        <f ca="1">IFERROR(OFFSET(INDIRECT($H$3 &amp; "!A179"), 2, 0), "")</f>
        <v>시빅</v>
      </c>
      <c r="H58" s="39">
        <f t="shared" ca="1" si="16"/>
        <v>131</v>
      </c>
      <c r="I58" s="70">
        <f t="shared" ca="1" si="17"/>
        <v>0</v>
      </c>
      <c r="J58" s="79">
        <f t="shared" ca="1" si="22"/>
        <v>14779601.62400848</v>
      </c>
      <c r="K58" s="52" t="str">
        <f ca="1">IFERROR(OFFSET(INDIRECT($H$3 &amp; "!A125"), 2, 0), "")</f>
        <v>크로노스</v>
      </c>
      <c r="L58" s="39">
        <f t="shared" ca="1" si="18"/>
        <v>100</v>
      </c>
      <c r="M58" s="70">
        <f t="shared" ca="1" si="19"/>
        <v>2.5641025599999999E-2</v>
      </c>
      <c r="N58" s="79">
        <f t="shared" ca="1" si="23"/>
        <v>23272001.000527151</v>
      </c>
      <c r="O58" s="52" t="str">
        <f ca="1">IFERROR(OFFSET(INDIRECT($H$3 &amp; "!A152"), 2, 0), "")</f>
        <v>세럼</v>
      </c>
      <c r="P58" s="39">
        <f t="shared" ca="1" si="20"/>
        <v>633</v>
      </c>
      <c r="Q58" s="70">
        <f t="shared" ca="1" si="21"/>
        <v>-1.5772871E-3</v>
      </c>
      <c r="R58" s="79">
        <f t="shared" ca="1" si="24"/>
        <v>18080203.10452009</v>
      </c>
    </row>
    <row r="59" spans="1:18">
      <c r="A59" s="40" t="s">
        <v>129</v>
      </c>
      <c r="B59" s="11" t="s">
        <v>130</v>
      </c>
      <c r="C59" s="86">
        <v>937</v>
      </c>
      <c r="D59" s="34">
        <v>7.5268816999999998E-3</v>
      </c>
      <c r="E59" s="84">
        <v>5704928.2161759604</v>
      </c>
      <c r="F59" s="35"/>
      <c r="G59" s="52" t="str">
        <f ca="1">IFERROR(OFFSET(INDIRECT($H$3 &amp; "!A179"), 3, 0), "")</f>
        <v>어거</v>
      </c>
      <c r="H59" s="39">
        <f t="shared" ca="1" si="16"/>
        <v>7220</v>
      </c>
      <c r="I59" s="70">
        <f t="shared" ca="1" si="17"/>
        <v>-4.8242590999999996E-3</v>
      </c>
      <c r="J59" s="79">
        <f t="shared" ca="1" si="22"/>
        <v>353197.63717693998</v>
      </c>
      <c r="K59" s="52" t="str">
        <f ca="1">IFERROR(OFFSET(INDIRECT($H$3 &amp; "!A125"), 3, 0), "")</f>
        <v>아이오에스티</v>
      </c>
      <c r="L59" s="39">
        <f t="shared" ca="1" si="18"/>
        <v>11.9</v>
      </c>
      <c r="M59" s="70">
        <f t="shared" ca="1" si="19"/>
        <v>8.4745762999999998E-3</v>
      </c>
      <c r="N59" s="79">
        <f t="shared" ca="1" si="23"/>
        <v>75883536.496024176</v>
      </c>
      <c r="O59" s="52" t="str">
        <f ca="1">IFERROR(OFFSET(INDIRECT($H$3 &amp; "!A152"), 3, 0), "")</f>
        <v>하이브</v>
      </c>
      <c r="P59" s="39">
        <f t="shared" ca="1" si="20"/>
        <v>487</v>
      </c>
      <c r="Q59" s="70">
        <f t="shared" ca="1" si="21"/>
        <v>4.1237113000000001E-3</v>
      </c>
      <c r="R59" s="79">
        <f t="shared" ca="1" si="24"/>
        <v>5524574.2241586102</v>
      </c>
    </row>
    <row r="60" spans="1:18">
      <c r="A60" s="40" t="s">
        <v>117</v>
      </c>
      <c r="B60" s="11" t="s">
        <v>118</v>
      </c>
      <c r="C60" s="86">
        <v>6.89</v>
      </c>
      <c r="D60" s="34">
        <v>7.3099415000000001E-3</v>
      </c>
      <c r="E60" s="84">
        <v>382377249.93875182</v>
      </c>
      <c r="F60" s="35"/>
      <c r="G60" s="52" t="str">
        <f ca="1">IFERROR(OFFSET(INDIRECT($H$3 &amp; "!A179"), 4, 0), "")</f>
        <v>펀디엑스</v>
      </c>
      <c r="H60" s="39">
        <f t="shared" ca="1" si="16"/>
        <v>562</v>
      </c>
      <c r="I60" s="70">
        <f t="shared" ca="1" si="17"/>
        <v>-3.5460993000000001E-3</v>
      </c>
      <c r="J60" s="83">
        <f t="shared" ca="1" si="22"/>
        <v>17221218.726032112</v>
      </c>
      <c r="K60" s="54" t="str">
        <f ca="1">IFERROR(OFFSET(INDIRECT($H$3 &amp; "!A125"), 4, 0), "")</f>
        <v>무비블록</v>
      </c>
      <c r="L60" s="44">
        <f t="shared" ca="1" si="18"/>
        <v>3.82</v>
      </c>
      <c r="M60" s="71">
        <f t="shared" ca="1" si="19"/>
        <v>1.59574468E-2</v>
      </c>
      <c r="N60" s="83">
        <f t="shared" ca="1" si="23"/>
        <v>703328729.9238174</v>
      </c>
      <c r="O60" s="54" t="str">
        <f ca="1">IFERROR(OFFSET(INDIRECT($H$3 &amp; "!A152"), 4, 0), "")</f>
        <v>보라</v>
      </c>
      <c r="P60" s="44">
        <f t="shared" ca="1" si="20"/>
        <v>229</v>
      </c>
      <c r="Q60" s="71">
        <f t="shared" ca="1" si="21"/>
        <v>-4.3478261000000004E-3</v>
      </c>
      <c r="R60" s="83">
        <f t="shared" ca="1" si="24"/>
        <v>43296248.43815957</v>
      </c>
    </row>
    <row r="61" spans="1:18">
      <c r="A61" s="40" t="s">
        <v>110</v>
      </c>
      <c r="B61" s="11" t="s">
        <v>111</v>
      </c>
      <c r="C61" s="86">
        <v>914</v>
      </c>
      <c r="D61" s="34">
        <v>6.6079295E-3</v>
      </c>
      <c r="E61" s="84">
        <v>24772583.153917909</v>
      </c>
      <c r="F61" s="35"/>
      <c r="G61" s="56" t="str">
        <f ca="1">IFERROR(OFFSET(INDIRECT($H$3 &amp; "!A179"), 5, 0), "")</f>
        <v>모스코인</v>
      </c>
      <c r="H61" s="45">
        <f t="shared" ca="1" si="16"/>
        <v>91.9</v>
      </c>
      <c r="I61" s="73">
        <f t="shared" ca="1" si="17"/>
        <v>0</v>
      </c>
      <c r="J61" s="89">
        <f t="shared" ca="1" si="22"/>
        <v>28376882.452276438</v>
      </c>
      <c r="K61" s="52" t="str">
        <f ca="1">IFERROR(OFFSET(INDIRECT($H$3 &amp; "!A125"), 5, 0), "")</f>
        <v>비체인</v>
      </c>
      <c r="L61" s="39">
        <f t="shared" ca="1" si="18"/>
        <v>29.3</v>
      </c>
      <c r="M61" s="70">
        <f t="shared" ca="1" si="19"/>
        <v>1.03448276E-2</v>
      </c>
      <c r="N61" s="89">
        <f t="shared" ca="1" si="23"/>
        <v>79706812.330004513</v>
      </c>
      <c r="O61" s="52" t="str">
        <f ca="1">IFERROR(OFFSET(INDIRECT($H$3 &amp; "!A152"), 5, 0), "")</f>
        <v>엘프</v>
      </c>
      <c r="P61" s="39">
        <f t="shared" ca="1" si="20"/>
        <v>221</v>
      </c>
      <c r="Q61" s="70">
        <f t="shared" ca="1" si="21"/>
        <v>-8.9686099000000005E-3</v>
      </c>
      <c r="R61" s="89">
        <f t="shared" ca="1" si="24"/>
        <v>6646925.7116704304</v>
      </c>
    </row>
    <row r="62" spans="1:18">
      <c r="A62" s="40" t="s">
        <v>179</v>
      </c>
      <c r="B62" s="11" t="s">
        <v>333</v>
      </c>
      <c r="C62" s="86">
        <v>5.07</v>
      </c>
      <c r="D62" s="34">
        <v>5.9523809999999996E-3</v>
      </c>
      <c r="E62" s="84">
        <v>459182253.76643765</v>
      </c>
      <c r="F62" s="35"/>
      <c r="G62" s="52" t="str">
        <f ca="1">IFERROR(OFFSET(INDIRECT($H$3 &amp; "!A179"), 6, 0), "")</f>
        <v>휴먼스케이프</v>
      </c>
      <c r="H62" s="39">
        <f t="shared" ca="1" si="16"/>
        <v>122</v>
      </c>
      <c r="I62" s="70">
        <f t="shared" ca="1" si="17"/>
        <v>8.2644628000000005E-3</v>
      </c>
      <c r="J62" s="79">
        <f t="shared" ca="1" si="22"/>
        <v>14608739.379672021</v>
      </c>
      <c r="K62" s="52" t="str">
        <f ca="1">IFERROR(OFFSET(INDIRECT($H$3 &amp; "!A125"), 6, 0), "")</f>
        <v>질리카</v>
      </c>
      <c r="L62" s="39">
        <f t="shared" ca="1" si="18"/>
        <v>33.799999999999997</v>
      </c>
      <c r="M62" s="70">
        <f t="shared" ca="1" si="19"/>
        <v>8.9552238999999999E-3</v>
      </c>
      <c r="N62" s="79">
        <f t="shared" ca="1" si="23"/>
        <v>186832389.73504585</v>
      </c>
      <c r="O62" s="52" t="str">
        <f ca="1">IFERROR(OFFSET(INDIRECT($H$3 &amp; "!A152"), 6, 0), "")</f>
        <v>골렘</v>
      </c>
      <c r="P62" s="39">
        <f t="shared" ca="1" si="20"/>
        <v>293</v>
      </c>
      <c r="Q62" s="70">
        <f t="shared" ca="1" si="21"/>
        <v>0</v>
      </c>
      <c r="R62" s="79">
        <f t="shared" ca="1" si="24"/>
        <v>4410848.2066833302</v>
      </c>
    </row>
    <row r="63" spans="1:18">
      <c r="A63" s="40" t="s">
        <v>160</v>
      </c>
      <c r="B63" s="11" t="s">
        <v>161</v>
      </c>
      <c r="C63" s="86">
        <v>341</v>
      </c>
      <c r="D63" s="34">
        <v>5.8997049999999999E-3</v>
      </c>
      <c r="E63" s="84">
        <v>14336738.40232191</v>
      </c>
      <c r="F63" s="35"/>
      <c r="G63" s="52" t="str">
        <f ca="1">IFERROR(OFFSET(INDIRECT($H$3 &amp; "!A179"), 7, 0), "")</f>
        <v>밀크</v>
      </c>
      <c r="H63" s="39">
        <f t="shared" ca="1" si="16"/>
        <v>345</v>
      </c>
      <c r="I63" s="70">
        <f t="shared" ca="1" si="17"/>
        <v>-2.8901733999999999E-3</v>
      </c>
      <c r="J63" s="79">
        <f t="shared" ca="1" si="22"/>
        <v>5792837.6464253301</v>
      </c>
      <c r="K63" s="52" t="str">
        <f ca="1">IFERROR(OFFSET(INDIRECT($H$3 &amp; "!A125"), 7, 0), "")</f>
        <v>썬더코어</v>
      </c>
      <c r="L63" s="39">
        <f t="shared" ca="1" si="18"/>
        <v>5.07</v>
      </c>
      <c r="M63" s="70">
        <f t="shared" ca="1" si="19"/>
        <v>5.9523809999999996E-3</v>
      </c>
      <c r="N63" s="79">
        <f t="shared" ca="1" si="23"/>
        <v>459182253.76643765</v>
      </c>
      <c r="O63" s="52" t="str">
        <f ca="1">IFERROR(OFFSET(INDIRECT($H$3 &amp; "!A152"), 7, 0), "")</f>
        <v>엔진코인</v>
      </c>
      <c r="P63" s="39">
        <f t="shared" ca="1" si="20"/>
        <v>552</v>
      </c>
      <c r="Q63" s="70">
        <f t="shared" ca="1" si="21"/>
        <v>3.6363635999999999E-3</v>
      </c>
      <c r="R63" s="79">
        <f t="shared" ca="1" si="24"/>
        <v>3560600.3053306001</v>
      </c>
    </row>
    <row r="64" spans="1:18">
      <c r="A64" s="40" t="s">
        <v>331</v>
      </c>
      <c r="B64" s="11" t="s">
        <v>332</v>
      </c>
      <c r="C64" s="86">
        <v>644</v>
      </c>
      <c r="D64" s="34">
        <v>4.6801871999999998E-3</v>
      </c>
      <c r="E64" s="84">
        <v>3401072.7573715299</v>
      </c>
      <c r="F64" s="35"/>
      <c r="G64" s="52" t="str">
        <f ca="1">IFERROR(OFFSET(INDIRECT($H$3 &amp; "!A179"), 8, 0), "")</f>
        <v>폴리매쉬</v>
      </c>
      <c r="H64" s="39">
        <f t="shared" ca="1" si="16"/>
        <v>227</v>
      </c>
      <c r="I64" s="70">
        <f t="shared" ca="1" si="17"/>
        <v>-4.3859648999999999E-3</v>
      </c>
      <c r="J64" s="79">
        <f t="shared" ca="1" si="22"/>
        <v>29551370.164541051</v>
      </c>
      <c r="K64" s="52" t="str">
        <f ca="1">IFERROR(OFFSET(INDIRECT($H$3 &amp; "!A125"), 8, 0), "")</f>
        <v>넴</v>
      </c>
      <c r="L64" s="39">
        <f t="shared" ca="1" si="18"/>
        <v>45.7</v>
      </c>
      <c r="M64" s="70">
        <f t="shared" ca="1" si="19"/>
        <v>0</v>
      </c>
      <c r="N64" s="79">
        <f t="shared" ca="1" si="23"/>
        <v>41133688.696665891</v>
      </c>
      <c r="O64" s="52" t="str">
        <f ca="1">IFERROR(OFFSET(INDIRECT($H$3 &amp; "!A152"), 8, 0), "")</f>
        <v>시빅</v>
      </c>
      <c r="P64" s="39">
        <f t="shared" ca="1" si="20"/>
        <v>131</v>
      </c>
      <c r="Q64" s="70">
        <f t="shared" ca="1" si="21"/>
        <v>0</v>
      </c>
      <c r="R64" s="79">
        <f t="shared" ca="1" si="24"/>
        <v>14779601.62400848</v>
      </c>
    </row>
    <row r="65" spans="1:18" ht="17.25" thickBot="1">
      <c r="A65" s="40" t="s">
        <v>166</v>
      </c>
      <c r="B65" s="11" t="s">
        <v>167</v>
      </c>
      <c r="C65" s="86">
        <v>215</v>
      </c>
      <c r="D65" s="34">
        <v>4.6728971999999997E-3</v>
      </c>
      <c r="E65" s="84">
        <v>12232009.61285324</v>
      </c>
      <c r="F65" s="35"/>
      <c r="G65" s="53" t="str">
        <f ca="1">IFERROR(OFFSET(INDIRECT($H$3 &amp; "!A179"), 9, 0), "")</f>
        <v>헌트</v>
      </c>
      <c r="H65" s="37">
        <f t="shared" ca="1" si="16"/>
        <v>382</v>
      </c>
      <c r="I65" s="72">
        <f t="shared" ca="1" si="17"/>
        <v>-5.2083333000000004E-3</v>
      </c>
      <c r="J65" s="80">
        <f t="shared" ca="1" si="22"/>
        <v>6031324.7806725996</v>
      </c>
      <c r="K65" s="53" t="str">
        <f ca="1">IFERROR(OFFSET(INDIRECT($H$3 &amp; "!A125"), 9, 0), "")</f>
        <v>디카르고</v>
      </c>
      <c r="L65" s="37">
        <f t="shared" ca="1" si="18"/>
        <v>44.2</v>
      </c>
      <c r="M65" s="72">
        <f t="shared" ca="1" si="19"/>
        <v>4.5454544999999997E-3</v>
      </c>
      <c r="N65" s="80">
        <f t="shared" ca="1" si="23"/>
        <v>52249647.743107639</v>
      </c>
      <c r="O65" s="53" t="str">
        <f ca="1">IFERROR(OFFSET(INDIRECT($H$3 &amp; "!A152"), 9, 0), "")</f>
        <v>펀디엑스</v>
      </c>
      <c r="P65" s="37">
        <f t="shared" ca="1" si="20"/>
        <v>562</v>
      </c>
      <c r="Q65" s="72">
        <f t="shared" ca="1" si="21"/>
        <v>-3.5460993000000001E-3</v>
      </c>
      <c r="R65" s="80">
        <f t="shared" ca="1" si="24"/>
        <v>17221218.726032112</v>
      </c>
    </row>
    <row r="66" spans="1:18">
      <c r="A66" s="40" t="s">
        <v>106</v>
      </c>
      <c r="B66" s="11" t="s">
        <v>107</v>
      </c>
      <c r="C66" s="86">
        <v>44.2</v>
      </c>
      <c r="D66" s="34">
        <v>4.5454544999999997E-3</v>
      </c>
      <c r="E66" s="84">
        <v>52249647.743107639</v>
      </c>
      <c r="F66" s="35"/>
      <c r="G66" s="52" t="str">
        <f ca="1">IFERROR(OFFSET(INDIRECT($H$3 &amp; "!A179"), 10, 0), "")</f>
        <v>아더</v>
      </c>
      <c r="H66" s="38">
        <f t="shared" ref="H66:H75" ca="1" si="25">_xlfn.IFNA(VLOOKUP(G66, $B$2:$D$200, 2, FALSE), "")</f>
        <v>109</v>
      </c>
      <c r="I66" s="69">
        <f t="shared" ref="I66:I75" ca="1" si="26">_xlfn.IFNA(VLOOKUP(G66, $B$2:$D$200, 3, FALSE), "")</f>
        <v>0</v>
      </c>
      <c r="J66" s="78">
        <f t="shared" ca="1" si="22"/>
        <v>18306768.58877144</v>
      </c>
      <c r="K66" s="51" t="str">
        <f ca="1">IFERROR(OFFSET(INDIRECT($H$3 &amp; "!A125"), 10, 0), "")</f>
        <v>트론</v>
      </c>
      <c r="L66" s="38">
        <f t="shared" ca="1" si="18"/>
        <v>78.400000000000006</v>
      </c>
      <c r="M66" s="69">
        <f t="shared" ca="1" si="19"/>
        <v>-1.2738853999999999E-3</v>
      </c>
      <c r="N66" s="78">
        <f t="shared" ca="1" si="23"/>
        <v>107470225.62096247</v>
      </c>
      <c r="O66" s="51" t="str">
        <f ca="1">IFERROR(OFFSET(INDIRECT($H$3 &amp; "!A152"), 10, 0), "")</f>
        <v>휴먼스케이프</v>
      </c>
      <c r="P66" s="38">
        <f t="shared" ca="1" si="20"/>
        <v>122</v>
      </c>
      <c r="Q66" s="69">
        <f t="shared" ca="1" si="21"/>
        <v>8.2644628000000005E-3</v>
      </c>
      <c r="R66" s="78">
        <f t="shared" ca="1" si="24"/>
        <v>14608739.379672021</v>
      </c>
    </row>
    <row r="67" spans="1:18">
      <c r="A67" s="40" t="s">
        <v>86</v>
      </c>
      <c r="B67" s="11" t="s">
        <v>87</v>
      </c>
      <c r="C67" s="86">
        <v>53600</v>
      </c>
      <c r="D67" s="34">
        <v>4.4977511E-3</v>
      </c>
      <c r="E67" s="84">
        <v>83961.702911300003</v>
      </c>
      <c r="F67" s="35"/>
      <c r="G67" s="52" t="str">
        <f ca="1">IFERROR(OFFSET(INDIRECT($H$3 &amp; "!A179"), 11, 0), "")</f>
        <v>알파쿼크</v>
      </c>
      <c r="H67" s="39">
        <f t="shared" ca="1" si="25"/>
        <v>1210</v>
      </c>
      <c r="I67" s="70">
        <f t="shared" ca="1" si="26"/>
        <v>-4.1152263000000001E-3</v>
      </c>
      <c r="J67" s="79">
        <f t="shared" ca="1" si="22"/>
        <v>2114312.4925051802</v>
      </c>
      <c r="K67" s="52" t="str">
        <f ca="1">IFERROR(OFFSET(INDIRECT($H$3 &amp; "!A125"), 11, 0), "")</f>
        <v>쿼크체인</v>
      </c>
      <c r="L67" s="39">
        <f t="shared" ca="1" si="18"/>
        <v>12.5</v>
      </c>
      <c r="M67" s="70">
        <f t="shared" ca="1" si="19"/>
        <v>0</v>
      </c>
      <c r="N67" s="79">
        <f t="shared" ca="1" si="23"/>
        <v>149130556.51724085</v>
      </c>
      <c r="O67" s="52" t="str">
        <f ca="1">IFERROR(OFFSET(INDIRECT($H$3 &amp; "!A152"), 11, 0), "")</f>
        <v>밀크</v>
      </c>
      <c r="P67" s="39">
        <f t="shared" ca="1" si="20"/>
        <v>345</v>
      </c>
      <c r="Q67" s="70">
        <f t="shared" ca="1" si="21"/>
        <v>-2.8901733999999999E-3</v>
      </c>
      <c r="R67" s="79">
        <f t="shared" ca="1" si="24"/>
        <v>5792837.6464253301</v>
      </c>
    </row>
    <row r="68" spans="1:18">
      <c r="A68" s="40" t="s">
        <v>164</v>
      </c>
      <c r="B68" s="11" t="s">
        <v>165</v>
      </c>
      <c r="C68" s="86">
        <v>1140</v>
      </c>
      <c r="D68" s="34">
        <v>4.4052863000000001E-3</v>
      </c>
      <c r="E68" s="84">
        <v>3109893.6507715699</v>
      </c>
      <c r="F68" s="35"/>
      <c r="G68" s="52" t="str">
        <f ca="1">IFERROR(OFFSET(INDIRECT($H$3 &amp; "!A179"), 12, 0), "")</f>
        <v>코박토큰</v>
      </c>
      <c r="H68" s="39">
        <f t="shared" ca="1" si="25"/>
        <v>824</v>
      </c>
      <c r="I68" s="70">
        <f t="shared" ca="1" si="26"/>
        <v>-1.4354067E-2</v>
      </c>
      <c r="J68" s="79">
        <f t="shared" ca="1" si="22"/>
        <v>7168921.3341296902</v>
      </c>
      <c r="K68" s="52" t="str">
        <f ca="1">IFERROR(OFFSET(INDIRECT($H$3 &amp; "!A125"), 12, 0), "")</f>
        <v>엠블</v>
      </c>
      <c r="L68" s="39">
        <f t="shared" ca="1" si="18"/>
        <v>4.75</v>
      </c>
      <c r="M68" s="70">
        <f t="shared" ca="1" si="19"/>
        <v>0</v>
      </c>
      <c r="N68" s="79">
        <f t="shared" ca="1" si="23"/>
        <v>389677295.14329219</v>
      </c>
      <c r="O68" s="52" t="str">
        <f ca="1">IFERROR(OFFSET(INDIRECT($H$3 &amp; "!A152"), 12, 0), "")</f>
        <v>폴리매쉬</v>
      </c>
      <c r="P68" s="39">
        <f t="shared" ca="1" si="20"/>
        <v>227</v>
      </c>
      <c r="Q68" s="70">
        <f t="shared" ca="1" si="21"/>
        <v>-4.3859648999999999E-3</v>
      </c>
      <c r="R68" s="79">
        <f t="shared" ca="1" si="24"/>
        <v>29551370.164541051</v>
      </c>
    </row>
    <row r="69" spans="1:18">
      <c r="A69" s="40" t="s">
        <v>318</v>
      </c>
      <c r="B69" s="11" t="s">
        <v>319</v>
      </c>
      <c r="C69" s="86">
        <v>694</v>
      </c>
      <c r="D69" s="34">
        <v>4.3415340000000002E-3</v>
      </c>
      <c r="E69" s="84">
        <v>49653548.925898381</v>
      </c>
      <c r="F69" s="35"/>
      <c r="G69" s="52" t="str">
        <f ca="1">IFERROR(OFFSET(INDIRECT($H$3 &amp; "!A179"), 13, 0), "")</f>
        <v>엑시인피니티</v>
      </c>
      <c r="H69" s="39">
        <f t="shared" ca="1" si="25"/>
        <v>13570</v>
      </c>
      <c r="I69" s="70">
        <f t="shared" ca="1" si="26"/>
        <v>-1.0932944599999999E-2</v>
      </c>
      <c r="J69" s="79">
        <f t="shared" ca="1" si="22"/>
        <v>2389790.4849713501</v>
      </c>
      <c r="K69" s="52" t="str">
        <f ca="1">IFERROR(OFFSET(INDIRECT($H$3 &amp; "!A125"), 13, 0), "")</f>
        <v>왁스</v>
      </c>
      <c r="L69" s="39">
        <f t="shared" ca="1" si="18"/>
        <v>83.7</v>
      </c>
      <c r="M69" s="70">
        <f t="shared" ca="1" si="19"/>
        <v>0</v>
      </c>
      <c r="N69" s="79">
        <f t="shared" ca="1" si="23"/>
        <v>44569203.61374905</v>
      </c>
      <c r="O69" s="52" t="str">
        <f ca="1">IFERROR(OFFSET(INDIRECT($H$3 &amp; "!A152"), 13, 0), "")</f>
        <v>헌트</v>
      </c>
      <c r="P69" s="39">
        <f t="shared" ca="1" si="20"/>
        <v>382</v>
      </c>
      <c r="Q69" s="70">
        <f t="shared" ca="1" si="21"/>
        <v>-5.2083333000000004E-3</v>
      </c>
      <c r="R69" s="79">
        <f t="shared" ca="1" si="24"/>
        <v>6031324.7806725996</v>
      </c>
    </row>
    <row r="70" spans="1:18">
      <c r="A70" s="40" t="s">
        <v>218</v>
      </c>
      <c r="B70" s="11" t="s">
        <v>219</v>
      </c>
      <c r="C70" s="86">
        <v>487</v>
      </c>
      <c r="D70" s="34">
        <v>4.1237113000000001E-3</v>
      </c>
      <c r="E70" s="84">
        <v>5524574.2241586102</v>
      </c>
      <c r="F70" s="35"/>
      <c r="G70" s="52" t="str">
        <f ca="1">IFERROR(OFFSET(INDIRECT($H$3 &amp; "!A179"), 14, 0), "")</f>
        <v>온톨로지가스</v>
      </c>
      <c r="H70" s="39">
        <f t="shared" ca="1" si="25"/>
        <v>366</v>
      </c>
      <c r="I70" s="70">
        <f t="shared" ca="1" si="26"/>
        <v>-1.6129032299999999E-2</v>
      </c>
      <c r="J70" s="83">
        <f t="shared" ca="1" si="22"/>
        <v>9971496.0833685398</v>
      </c>
      <c r="K70" s="54" t="str">
        <f ca="1">IFERROR(OFFSET(INDIRECT($H$3 &amp; "!A125"), 14, 0), "")</f>
        <v>오브스</v>
      </c>
      <c r="L70" s="44">
        <f t="shared" ca="1" si="18"/>
        <v>35.4</v>
      </c>
      <c r="M70" s="71">
        <f t="shared" ca="1" si="19"/>
        <v>0</v>
      </c>
      <c r="N70" s="83">
        <f t="shared" ca="1" si="23"/>
        <v>42977497.4811517</v>
      </c>
      <c r="O70" s="54" t="str">
        <f ca="1">IFERROR(OFFSET(INDIRECT($H$3 &amp; "!A152"), 14, 0), "")</f>
        <v>아더</v>
      </c>
      <c r="P70" s="44">
        <f t="shared" ca="1" si="20"/>
        <v>109</v>
      </c>
      <c r="Q70" s="71">
        <f t="shared" ca="1" si="21"/>
        <v>0</v>
      </c>
      <c r="R70" s="83">
        <f t="shared" ca="1" si="24"/>
        <v>18306768.58877144</v>
      </c>
    </row>
    <row r="71" spans="1:18">
      <c r="A71" s="40" t="s">
        <v>148</v>
      </c>
      <c r="B71" s="11" t="s">
        <v>149</v>
      </c>
      <c r="C71" s="86">
        <v>552</v>
      </c>
      <c r="D71" s="34">
        <v>3.6363635999999999E-3</v>
      </c>
      <c r="E71" s="84">
        <v>3560600.3053306001</v>
      </c>
      <c r="F71" s="35"/>
      <c r="G71" s="56" t="str">
        <f ca="1">IFERROR(OFFSET(INDIRECT($H$3 &amp; "!A179"), 15, 0), "")</f>
        <v>던프로토콜</v>
      </c>
      <c r="H71" s="45">
        <f t="shared" ca="1" si="25"/>
        <v>900</v>
      </c>
      <c r="I71" s="73">
        <f t="shared" ca="1" si="26"/>
        <v>-1.7467248899999999E-2</v>
      </c>
      <c r="J71" s="89">
        <f t="shared" ca="1" si="22"/>
        <v>3920968.1270434</v>
      </c>
      <c r="K71" s="52" t="str">
        <f ca="1">IFERROR(OFFSET(INDIRECT($H$3 &amp; "!A125"), 15, 0), "")</f>
        <v>아이큐</v>
      </c>
      <c r="L71" s="39">
        <f t="shared" ca="1" si="18"/>
        <v>7.7</v>
      </c>
      <c r="M71" s="70">
        <f t="shared" ca="1" si="19"/>
        <v>-2.5906736000000001E-3</v>
      </c>
      <c r="N71" s="89">
        <f t="shared" ca="1" si="23"/>
        <v>1143348605.6226602</v>
      </c>
      <c r="O71" s="52" t="str">
        <f ca="1">IFERROR(OFFSET(INDIRECT($H$3 &amp; "!A152"), 15, 0), "")</f>
        <v>코박토큰</v>
      </c>
      <c r="P71" s="39">
        <f t="shared" ca="1" si="20"/>
        <v>824</v>
      </c>
      <c r="Q71" s="70">
        <f t="shared" ca="1" si="21"/>
        <v>-1.4354067E-2</v>
      </c>
      <c r="R71" s="89">
        <f t="shared" ca="1" si="24"/>
        <v>7168921.3341296902</v>
      </c>
    </row>
    <row r="72" spans="1:18">
      <c r="A72" s="40" t="s">
        <v>168</v>
      </c>
      <c r="B72" s="11" t="s">
        <v>169</v>
      </c>
      <c r="C72" s="86">
        <v>282</v>
      </c>
      <c r="D72" s="34">
        <v>3.5587189000000001E-3</v>
      </c>
      <c r="E72" s="84">
        <v>4232433.6763084503</v>
      </c>
      <c r="F72" s="35"/>
      <c r="G72" s="52" t="str">
        <f ca="1">IFERROR(OFFSET(INDIRECT($H$3 &amp; "!A179"), 16, 0), "")</f>
        <v>디센트럴랜드</v>
      </c>
      <c r="H72" s="39">
        <f t="shared" ca="1" si="25"/>
        <v>934</v>
      </c>
      <c r="I72" s="70">
        <f t="shared" ca="1" si="26"/>
        <v>-1.58061117E-2</v>
      </c>
      <c r="J72" s="79">
        <f t="shared" ca="1" si="22"/>
        <v>41639645.312734284</v>
      </c>
      <c r="K72" s="52" t="str">
        <f ca="1">IFERROR(OFFSET(INDIRECT($H$3 &amp; "!A125"), 16, 0), "")</f>
        <v>스톰엑스</v>
      </c>
      <c r="L72" s="39">
        <f t="shared" ca="1" si="18"/>
        <v>6.89</v>
      </c>
      <c r="M72" s="70">
        <f t="shared" ca="1" si="19"/>
        <v>7.3099415000000001E-3</v>
      </c>
      <c r="N72" s="79">
        <f t="shared" ca="1" si="23"/>
        <v>382377249.93875182</v>
      </c>
      <c r="O72" s="52" t="str">
        <f ca="1">IFERROR(OFFSET(INDIRECT($H$3 &amp; "!A152"), 16, 0), "")</f>
        <v>온톨로지가스</v>
      </c>
      <c r="P72" s="39">
        <f t="shared" ca="1" si="20"/>
        <v>366</v>
      </c>
      <c r="Q72" s="70">
        <f t="shared" ca="1" si="21"/>
        <v>-1.6129032299999999E-2</v>
      </c>
      <c r="R72" s="79">
        <f t="shared" ca="1" si="24"/>
        <v>9971496.0833685398</v>
      </c>
    </row>
    <row r="73" spans="1:18">
      <c r="A73" s="40" t="s">
        <v>325</v>
      </c>
      <c r="B73" s="11" t="s">
        <v>326</v>
      </c>
      <c r="C73" s="86">
        <v>302</v>
      </c>
      <c r="D73" s="34">
        <v>3.3222591000000002E-3</v>
      </c>
      <c r="E73" s="84">
        <v>12920085.687234599</v>
      </c>
      <c r="F73" s="35"/>
      <c r="G73" s="52" t="str">
        <f ca="1">IFERROR(OFFSET(INDIRECT($H$3 &amp; "!A179"), 17, 0), "")</f>
        <v>아르고</v>
      </c>
      <c r="H73" s="39">
        <f t="shared" ca="1" si="25"/>
        <v>174</v>
      </c>
      <c r="I73" s="70">
        <f t="shared" ca="1" si="26"/>
        <v>-1.6949152499999998E-2</v>
      </c>
      <c r="J73" s="79">
        <f t="shared" ca="1" si="22"/>
        <v>93263393.064208195</v>
      </c>
      <c r="K73" s="52" t="str">
        <f ca="1">IFERROR(OFFSET(INDIRECT($H$3 &amp; "!A125"), 17, 0), "")</f>
        <v>스테이터스네트워크토큰</v>
      </c>
      <c r="L73" s="39">
        <f t="shared" ca="1" si="18"/>
        <v>32.1</v>
      </c>
      <c r="M73" s="70">
        <f t="shared" ca="1" si="19"/>
        <v>0</v>
      </c>
      <c r="N73" s="79">
        <f t="shared" ca="1" si="23"/>
        <v>30450335.658121578</v>
      </c>
      <c r="O73" s="52" t="str">
        <f ca="1">IFERROR(OFFSET(INDIRECT($H$3 &amp; "!A152"), 17, 0), "")</f>
        <v>던프로토콜</v>
      </c>
      <c r="P73" s="39">
        <f t="shared" ca="1" si="20"/>
        <v>900</v>
      </c>
      <c r="Q73" s="70">
        <f t="shared" ca="1" si="21"/>
        <v>-1.7467248899999999E-2</v>
      </c>
      <c r="R73" s="79">
        <f t="shared" ca="1" si="24"/>
        <v>3920968.1270434</v>
      </c>
    </row>
    <row r="74" spans="1:18">
      <c r="A74" s="40" t="s">
        <v>177</v>
      </c>
      <c r="B74" s="11" t="s">
        <v>178</v>
      </c>
      <c r="C74" s="86">
        <v>1730</v>
      </c>
      <c r="D74" s="34">
        <v>2.8985507E-3</v>
      </c>
      <c r="E74" s="84">
        <v>710693.99571479997</v>
      </c>
      <c r="F74" s="35"/>
      <c r="G74" s="52" t="str">
        <f ca="1">IFERROR(OFFSET(INDIRECT($H$3 &amp; "!A179"), 18, 0), "")</f>
        <v>앱토스</v>
      </c>
      <c r="H74" s="39">
        <f t="shared" ca="1" si="25"/>
        <v>21220</v>
      </c>
      <c r="I74" s="70">
        <f t="shared" ca="1" si="26"/>
        <v>-2.16689719E-2</v>
      </c>
      <c r="J74" s="79">
        <f t="shared" ca="1" si="22"/>
        <v>16400224.338116949</v>
      </c>
      <c r="K74" s="52" t="str">
        <f ca="1">IFERROR(OFFSET(INDIRECT($H$3 &amp; "!A125"), 18, 0), "")</f>
        <v>썸씽</v>
      </c>
      <c r="L74" s="39">
        <f t="shared" ca="1" si="18"/>
        <v>22.8</v>
      </c>
      <c r="M74" s="70">
        <f t="shared" ca="1" si="19"/>
        <v>8.8495575000000007E-3</v>
      </c>
      <c r="N74" s="79">
        <f t="shared" ca="1" si="23"/>
        <v>112154253.40842284</v>
      </c>
      <c r="O74" s="52" t="str">
        <f ca="1">IFERROR(OFFSET(INDIRECT($H$3 &amp; "!A152"), 18, 0), "")</f>
        <v>디센트럴랜드</v>
      </c>
      <c r="P74" s="39">
        <f t="shared" ca="1" si="20"/>
        <v>934</v>
      </c>
      <c r="Q74" s="70">
        <f t="shared" ca="1" si="21"/>
        <v>-1.58061117E-2</v>
      </c>
      <c r="R74" s="79">
        <f t="shared" ca="1" si="24"/>
        <v>41639645.312734284</v>
      </c>
    </row>
    <row r="75" spans="1:18" ht="17.25" thickBot="1">
      <c r="A75" s="40" t="s">
        <v>346</v>
      </c>
      <c r="B75" s="11" t="s">
        <v>347</v>
      </c>
      <c r="C75" s="86">
        <v>24900</v>
      </c>
      <c r="D75" s="34">
        <v>2.8191703999999999E-3</v>
      </c>
      <c r="E75" s="84">
        <v>315520.35261914</v>
      </c>
      <c r="F75" s="35"/>
      <c r="G75" s="53" t="str">
        <f ca="1">IFERROR(OFFSET(INDIRECT($H$3 &amp; "!A179"), 19, 0), "")</f>
        <v>퀀텀</v>
      </c>
      <c r="H75" s="37">
        <f t="shared" ca="1" si="25"/>
        <v>3360</v>
      </c>
      <c r="I75" s="72">
        <f t="shared" ca="1" si="26"/>
        <v>-2.89017341E-2</v>
      </c>
      <c r="J75" s="80">
        <f t="shared" ca="1" si="22"/>
        <v>3399711.0412932602</v>
      </c>
      <c r="K75" s="53" t="str">
        <f ca="1">IFERROR(OFFSET(INDIRECT($H$3 &amp; "!A125"), 19, 0), "")</f>
        <v>모스코인</v>
      </c>
      <c r="L75" s="37">
        <f t="shared" ca="1" si="18"/>
        <v>91.9</v>
      </c>
      <c r="M75" s="72">
        <f t="shared" ca="1" si="19"/>
        <v>0</v>
      </c>
      <c r="N75" s="80">
        <f t="shared" ca="1" si="23"/>
        <v>28376882.452276438</v>
      </c>
      <c r="O75" s="53" t="str">
        <f ca="1">IFERROR(OFFSET(INDIRECT($H$3 &amp; "!A152"), 19, 0), "")</f>
        <v>아르고</v>
      </c>
      <c r="P75" s="37">
        <f t="shared" ca="1" si="20"/>
        <v>174</v>
      </c>
      <c r="Q75" s="72">
        <f t="shared" ca="1" si="21"/>
        <v>-1.6949152499999998E-2</v>
      </c>
      <c r="R75" s="80">
        <f t="shared" ca="1" si="24"/>
        <v>93263393.064208195</v>
      </c>
    </row>
    <row r="76" spans="1:18">
      <c r="A76" s="40" t="s">
        <v>342</v>
      </c>
      <c r="B76" s="11" t="s">
        <v>343</v>
      </c>
      <c r="C76" s="86">
        <v>30250</v>
      </c>
      <c r="D76" s="34">
        <v>2.3194168000000002E-3</v>
      </c>
      <c r="E76" s="84">
        <v>1896954.8281948001</v>
      </c>
      <c r="F76" s="35"/>
      <c r="G76" s="35"/>
      <c r="H76" s="35"/>
      <c r="I76" s="35"/>
    </row>
    <row r="77" spans="1:18">
      <c r="A77" s="40" t="s">
        <v>240</v>
      </c>
      <c r="B77" s="11" t="s">
        <v>241</v>
      </c>
      <c r="C77" s="86">
        <v>109</v>
      </c>
      <c r="D77" s="34">
        <v>0</v>
      </c>
      <c r="E77" s="84">
        <v>18306768.58877144</v>
      </c>
      <c r="F77" s="35"/>
      <c r="G77" s="35"/>
      <c r="H77" s="35"/>
      <c r="I77" s="35"/>
    </row>
    <row r="78" spans="1:18">
      <c r="A78" s="40" t="s">
        <v>230</v>
      </c>
      <c r="B78" s="11" t="s">
        <v>231</v>
      </c>
      <c r="C78" s="86">
        <v>385</v>
      </c>
      <c r="D78" s="34">
        <v>0</v>
      </c>
      <c r="E78" s="84">
        <v>7007018.3388579404</v>
      </c>
      <c r="F78" s="35"/>
      <c r="G78" s="35"/>
      <c r="H78" s="35"/>
      <c r="I78" s="35"/>
    </row>
    <row r="79" spans="1:18">
      <c r="A79" s="40" t="s">
        <v>96</v>
      </c>
      <c r="B79" s="11" t="s">
        <v>97</v>
      </c>
      <c r="C79" s="86">
        <v>8.9999999999999998E-4</v>
      </c>
      <c r="D79" s="34">
        <v>0</v>
      </c>
      <c r="E79" s="84">
        <v>989247508993.15906</v>
      </c>
      <c r="F79" s="35"/>
      <c r="G79" s="35"/>
      <c r="H79" s="35"/>
      <c r="I79" s="35"/>
    </row>
    <row r="80" spans="1:18">
      <c r="A80" s="40" t="s">
        <v>119</v>
      </c>
      <c r="B80" s="11" t="s">
        <v>120</v>
      </c>
      <c r="C80" s="86">
        <v>131</v>
      </c>
      <c r="D80" s="34">
        <v>0</v>
      </c>
      <c r="E80" s="84">
        <v>14779601.62400848</v>
      </c>
      <c r="F80" s="35"/>
      <c r="G80" s="35"/>
      <c r="H80" s="35"/>
      <c r="I80" s="35"/>
    </row>
    <row r="81" spans="1:9">
      <c r="A81" s="40" t="s">
        <v>228</v>
      </c>
      <c r="B81" s="11" t="s">
        <v>229</v>
      </c>
      <c r="C81" s="86">
        <v>293</v>
      </c>
      <c r="D81" s="34">
        <v>0</v>
      </c>
      <c r="E81" s="84">
        <v>4410848.2066833302</v>
      </c>
      <c r="F81" s="35"/>
      <c r="G81" s="35"/>
      <c r="H81" s="35"/>
      <c r="I81" s="35"/>
    </row>
    <row r="82" spans="1:9">
      <c r="A82" s="40" t="s">
        <v>104</v>
      </c>
      <c r="B82" s="11" t="s">
        <v>105</v>
      </c>
      <c r="C82" s="86">
        <v>256</v>
      </c>
      <c r="D82" s="34">
        <v>0</v>
      </c>
      <c r="E82" s="84">
        <v>8630349.5265015196</v>
      </c>
      <c r="F82" s="35"/>
      <c r="G82" s="35"/>
      <c r="H82" s="35"/>
      <c r="I82" s="35"/>
    </row>
    <row r="83" spans="1:9">
      <c r="A83" s="40" t="s">
        <v>208</v>
      </c>
      <c r="B83" s="11" t="s">
        <v>209</v>
      </c>
      <c r="C83" s="86">
        <v>91.9</v>
      </c>
      <c r="D83" s="34">
        <v>0</v>
      </c>
      <c r="E83" s="84">
        <v>28376882.452276438</v>
      </c>
      <c r="F83" s="35"/>
      <c r="G83" s="35"/>
      <c r="H83" s="35"/>
      <c r="I83" s="35"/>
    </row>
    <row r="84" spans="1:9">
      <c r="A84" s="40" t="s">
        <v>180</v>
      </c>
      <c r="B84" s="11" t="s">
        <v>181</v>
      </c>
      <c r="C84" s="86">
        <v>4.75</v>
      </c>
      <c r="D84" s="34">
        <v>0</v>
      </c>
      <c r="E84" s="84">
        <v>389677295.14329219</v>
      </c>
      <c r="F84" s="35"/>
      <c r="G84" s="35"/>
      <c r="H84" s="35"/>
      <c r="I84" s="35"/>
    </row>
    <row r="85" spans="1:9">
      <c r="A85" s="40" t="s">
        <v>100</v>
      </c>
      <c r="B85" s="11" t="s">
        <v>101</v>
      </c>
      <c r="C85" s="86">
        <v>261</v>
      </c>
      <c r="D85" s="34">
        <v>0</v>
      </c>
      <c r="E85" s="84">
        <v>4493543.7282861704</v>
      </c>
      <c r="F85" s="35"/>
      <c r="G85" s="35"/>
      <c r="H85" s="35"/>
      <c r="I85" s="35"/>
    </row>
    <row r="86" spans="1:9">
      <c r="A86" s="40" t="s">
        <v>123</v>
      </c>
      <c r="B86" s="11" t="s">
        <v>124</v>
      </c>
      <c r="C86" s="86">
        <v>35.4</v>
      </c>
      <c r="D86" s="34">
        <v>0</v>
      </c>
      <c r="E86" s="84">
        <v>42977497.4811517</v>
      </c>
      <c r="F86" s="35"/>
      <c r="G86" s="35"/>
      <c r="H86" s="35"/>
      <c r="I86" s="35"/>
    </row>
    <row r="87" spans="1:9">
      <c r="A87" s="40" t="s">
        <v>200</v>
      </c>
      <c r="B87" s="11" t="s">
        <v>201</v>
      </c>
      <c r="C87" s="86">
        <v>283</v>
      </c>
      <c r="D87" s="34">
        <v>0</v>
      </c>
      <c r="E87" s="84">
        <v>17169674.150677331</v>
      </c>
      <c r="F87" s="35"/>
      <c r="G87" s="35"/>
      <c r="H87" s="35"/>
      <c r="I87" s="35"/>
    </row>
    <row r="88" spans="1:9">
      <c r="A88" s="40" t="s">
        <v>70</v>
      </c>
      <c r="B88" s="11" t="s">
        <v>71</v>
      </c>
      <c r="C88" s="86">
        <v>12.5</v>
      </c>
      <c r="D88" s="34">
        <v>0</v>
      </c>
      <c r="E88" s="84">
        <v>149130556.51724085</v>
      </c>
      <c r="F88" s="35"/>
      <c r="G88" s="35"/>
      <c r="H88" s="35"/>
      <c r="I88" s="35"/>
    </row>
    <row r="89" spans="1:9">
      <c r="A89" s="40" t="s">
        <v>154</v>
      </c>
      <c r="B89" s="11" t="s">
        <v>155</v>
      </c>
      <c r="C89" s="86">
        <v>32.1</v>
      </c>
      <c r="D89" s="34">
        <v>0</v>
      </c>
      <c r="E89" s="84">
        <v>30450335.658121578</v>
      </c>
      <c r="F89" s="35"/>
      <c r="G89" s="35"/>
      <c r="H89" s="35"/>
      <c r="I89" s="35"/>
    </row>
    <row r="90" spans="1:9">
      <c r="A90" s="40" t="s">
        <v>222</v>
      </c>
      <c r="B90" s="11" t="s">
        <v>223</v>
      </c>
      <c r="C90" s="86">
        <v>238</v>
      </c>
      <c r="D90" s="34">
        <v>0</v>
      </c>
      <c r="E90" s="84">
        <v>8642112.2299589608</v>
      </c>
      <c r="F90" s="35"/>
      <c r="G90" s="35"/>
      <c r="H90" s="35"/>
      <c r="I90" s="35"/>
    </row>
    <row r="91" spans="1:9">
      <c r="A91" s="40" t="s">
        <v>216</v>
      </c>
      <c r="B91" s="11" t="s">
        <v>217</v>
      </c>
      <c r="C91" s="86">
        <v>83.7</v>
      </c>
      <c r="D91" s="34">
        <v>0</v>
      </c>
      <c r="E91" s="84">
        <v>44569203.61374905</v>
      </c>
      <c r="F91" s="35"/>
      <c r="G91" s="35"/>
      <c r="H91" s="35"/>
      <c r="I91" s="35"/>
    </row>
    <row r="92" spans="1:9">
      <c r="A92" s="40" t="s">
        <v>55</v>
      </c>
      <c r="B92" s="11" t="s">
        <v>56</v>
      </c>
      <c r="C92" s="86">
        <v>45.7</v>
      </c>
      <c r="D92" s="34">
        <v>0</v>
      </c>
      <c r="E92" s="84">
        <v>41133688.696665891</v>
      </c>
      <c r="F92" s="35"/>
      <c r="G92" s="35"/>
      <c r="H92" s="35"/>
      <c r="I92" s="35"/>
    </row>
    <row r="93" spans="1:9">
      <c r="A93" s="40" t="s">
        <v>144</v>
      </c>
      <c r="B93" s="11" t="s">
        <v>145</v>
      </c>
      <c r="C93" s="86">
        <v>78.400000000000006</v>
      </c>
      <c r="D93" s="34">
        <v>-1.2738853999999999E-3</v>
      </c>
      <c r="E93" s="84">
        <v>107470225.62096247</v>
      </c>
      <c r="F93" s="35"/>
      <c r="G93" s="35"/>
      <c r="H93" s="35"/>
      <c r="I93" s="35"/>
    </row>
    <row r="94" spans="1:9">
      <c r="A94" s="40" t="s">
        <v>67</v>
      </c>
      <c r="B94" s="11" t="s">
        <v>68</v>
      </c>
      <c r="C94" s="86">
        <v>633</v>
      </c>
      <c r="D94" s="34">
        <v>-1.5772871E-3</v>
      </c>
      <c r="E94" s="84">
        <v>18080203.10452009</v>
      </c>
      <c r="F94" s="35"/>
      <c r="G94" s="35"/>
      <c r="H94" s="35"/>
      <c r="I94" s="35"/>
    </row>
    <row r="95" spans="1:9">
      <c r="A95" s="40" t="s">
        <v>170</v>
      </c>
      <c r="B95" s="11" t="s">
        <v>350</v>
      </c>
      <c r="C95" s="86">
        <v>7.7</v>
      </c>
      <c r="D95" s="34">
        <v>-2.5906736000000001E-3</v>
      </c>
      <c r="E95" s="84">
        <v>1143348605.6226602</v>
      </c>
      <c r="F95" s="35"/>
      <c r="G95" s="35"/>
      <c r="H95" s="35"/>
      <c r="I95" s="35"/>
    </row>
    <row r="96" spans="1:9">
      <c r="A96" s="40" t="s">
        <v>198</v>
      </c>
      <c r="B96" s="11" t="s">
        <v>199</v>
      </c>
      <c r="C96" s="86">
        <v>345</v>
      </c>
      <c r="D96" s="34">
        <v>-2.8901733999999999E-3</v>
      </c>
      <c r="E96" s="84">
        <v>5792837.6464253301</v>
      </c>
      <c r="F96" s="35"/>
      <c r="G96" s="35"/>
      <c r="H96" s="35"/>
      <c r="I96" s="35"/>
    </row>
    <row r="97" spans="1:9">
      <c r="A97" s="40" t="s">
        <v>232</v>
      </c>
      <c r="B97" s="11" t="s">
        <v>233</v>
      </c>
      <c r="C97" s="86">
        <v>3115</v>
      </c>
      <c r="D97" s="34">
        <v>-3.2000000000000002E-3</v>
      </c>
      <c r="E97" s="84">
        <v>397863.61780523998</v>
      </c>
      <c r="F97" s="35"/>
      <c r="G97" s="35"/>
      <c r="H97" s="35"/>
      <c r="I97" s="35"/>
    </row>
    <row r="98" spans="1:9">
      <c r="A98" s="40" t="s">
        <v>212</v>
      </c>
      <c r="B98" s="11" t="s">
        <v>213</v>
      </c>
      <c r="C98" s="86">
        <v>562</v>
      </c>
      <c r="D98" s="34">
        <v>-3.5460993000000001E-3</v>
      </c>
      <c r="E98" s="84">
        <v>17221218.726032112</v>
      </c>
      <c r="F98" s="35"/>
      <c r="G98" s="35"/>
      <c r="H98" s="35"/>
      <c r="I98" s="35"/>
    </row>
    <row r="99" spans="1:9">
      <c r="A99" s="40" t="s">
        <v>115</v>
      </c>
      <c r="B99" s="11" t="s">
        <v>116</v>
      </c>
      <c r="C99" s="86">
        <v>1210</v>
      </c>
      <c r="D99" s="34">
        <v>-4.1152263000000001E-3</v>
      </c>
      <c r="E99" s="84">
        <v>2114312.4925051802</v>
      </c>
      <c r="F99" s="35"/>
      <c r="G99" s="35"/>
      <c r="H99" s="35"/>
      <c r="I99" s="35"/>
    </row>
    <row r="100" spans="1:9">
      <c r="A100" s="40" t="s">
        <v>158</v>
      </c>
      <c r="B100" s="11" t="s">
        <v>159</v>
      </c>
      <c r="C100" s="86">
        <v>229</v>
      </c>
      <c r="D100" s="34">
        <v>-4.3478261000000004E-3</v>
      </c>
      <c r="E100" s="84">
        <v>43296248.43815957</v>
      </c>
      <c r="F100" s="35"/>
      <c r="G100" s="35"/>
      <c r="H100" s="35"/>
      <c r="I100" s="35"/>
    </row>
    <row r="101" spans="1:9">
      <c r="A101" s="40" t="s">
        <v>320</v>
      </c>
      <c r="B101" s="11" t="s">
        <v>321</v>
      </c>
      <c r="C101" s="86">
        <v>227</v>
      </c>
      <c r="D101" s="34">
        <v>-4.3859648999999999E-3</v>
      </c>
      <c r="E101" s="84">
        <v>29551370.164541051</v>
      </c>
      <c r="F101" s="35"/>
      <c r="G101" s="35"/>
      <c r="H101" s="35"/>
      <c r="I101" s="35"/>
    </row>
    <row r="102" spans="1:9">
      <c r="A102" s="40" t="s">
        <v>162</v>
      </c>
      <c r="B102" s="11" t="s">
        <v>163</v>
      </c>
      <c r="C102" s="86">
        <v>7220</v>
      </c>
      <c r="D102" s="34">
        <v>-4.8242590999999996E-3</v>
      </c>
      <c r="E102" s="84">
        <v>353197.63717693998</v>
      </c>
      <c r="F102" s="35"/>
      <c r="G102" s="35"/>
      <c r="H102" s="35"/>
      <c r="I102" s="35"/>
    </row>
    <row r="103" spans="1:9">
      <c r="A103" s="40" t="s">
        <v>135</v>
      </c>
      <c r="B103" s="11" t="s">
        <v>136</v>
      </c>
      <c r="C103" s="86">
        <v>3060</v>
      </c>
      <c r="D103" s="34">
        <v>-4.8780487999999997E-3</v>
      </c>
      <c r="E103" s="84">
        <v>621121.35931066005</v>
      </c>
      <c r="F103" s="35"/>
      <c r="G103" s="35"/>
      <c r="H103" s="35"/>
      <c r="I103" s="35"/>
    </row>
    <row r="104" spans="1:9">
      <c r="A104" s="40" t="s">
        <v>112</v>
      </c>
      <c r="B104" s="11" t="s">
        <v>113</v>
      </c>
      <c r="C104" s="86">
        <v>1955</v>
      </c>
      <c r="D104" s="34">
        <v>-5.0890585000000002E-3</v>
      </c>
      <c r="E104" s="84">
        <v>5359470.3254055902</v>
      </c>
      <c r="F104" s="35"/>
      <c r="G104" s="35"/>
      <c r="H104" s="35"/>
      <c r="I104" s="35"/>
    </row>
    <row r="105" spans="1:9">
      <c r="A105" s="40" t="s">
        <v>214</v>
      </c>
      <c r="B105" s="11" t="s">
        <v>215</v>
      </c>
      <c r="C105" s="86">
        <v>382</v>
      </c>
      <c r="D105" s="34">
        <v>-5.2083333000000004E-3</v>
      </c>
      <c r="E105" s="84">
        <v>6031324.7806725996</v>
      </c>
      <c r="F105" s="35"/>
      <c r="G105" s="35"/>
      <c r="H105" s="35"/>
      <c r="I105" s="35"/>
    </row>
    <row r="106" spans="1:9">
      <c r="A106" s="40" t="s">
        <v>173</v>
      </c>
      <c r="B106" s="11" t="s">
        <v>174</v>
      </c>
      <c r="C106" s="86">
        <v>15710</v>
      </c>
      <c r="D106" s="34">
        <v>-5.6962024999999998E-3</v>
      </c>
      <c r="E106" s="84">
        <v>148262.65824342001</v>
      </c>
      <c r="F106" s="35"/>
      <c r="G106" s="35"/>
      <c r="H106" s="35"/>
      <c r="I106" s="35"/>
    </row>
    <row r="107" spans="1:9">
      <c r="A107" s="40" t="s">
        <v>156</v>
      </c>
      <c r="B107" s="11" t="s">
        <v>157</v>
      </c>
      <c r="C107" s="86">
        <v>221</v>
      </c>
      <c r="D107" s="34">
        <v>-8.9686099000000005E-3</v>
      </c>
      <c r="E107" s="84">
        <v>6646925.7116704304</v>
      </c>
      <c r="F107" s="35"/>
      <c r="G107" s="35"/>
      <c r="H107" s="35"/>
      <c r="I107" s="35"/>
    </row>
    <row r="108" spans="1:9">
      <c r="A108" s="40" t="s">
        <v>146</v>
      </c>
      <c r="B108" s="11" t="s">
        <v>147</v>
      </c>
      <c r="C108" s="86">
        <v>13570</v>
      </c>
      <c r="D108" s="34">
        <v>-1.0932944599999999E-2</v>
      </c>
      <c r="E108" s="84">
        <v>2389790.4849713501</v>
      </c>
      <c r="F108" s="35"/>
      <c r="G108" s="35"/>
      <c r="H108" s="35"/>
      <c r="I108" s="35"/>
    </row>
    <row r="109" spans="1:9">
      <c r="A109" s="40" t="s">
        <v>65</v>
      </c>
      <c r="B109" s="11" t="s">
        <v>66</v>
      </c>
      <c r="C109" s="86">
        <v>824</v>
      </c>
      <c r="D109" s="34">
        <v>-1.4354067E-2</v>
      </c>
      <c r="E109" s="41">
        <v>7168921.3341296902</v>
      </c>
    </row>
    <row r="110" spans="1:9">
      <c r="A110" s="40" t="s">
        <v>59</v>
      </c>
      <c r="B110" s="11" t="s">
        <v>60</v>
      </c>
      <c r="C110" s="86">
        <v>934</v>
      </c>
      <c r="D110" s="34">
        <v>-1.58061117E-2</v>
      </c>
      <c r="E110" s="41">
        <v>41639645.312734284</v>
      </c>
    </row>
    <row r="111" spans="1:9">
      <c r="A111" s="40" t="s">
        <v>175</v>
      </c>
      <c r="B111" s="11" t="s">
        <v>176</v>
      </c>
      <c r="C111" s="86">
        <v>366</v>
      </c>
      <c r="D111" s="34">
        <v>-1.6129032299999999E-2</v>
      </c>
      <c r="E111" s="41">
        <v>9971496.0833685398</v>
      </c>
    </row>
    <row r="112" spans="1:9">
      <c r="A112" s="40" t="s">
        <v>182</v>
      </c>
      <c r="B112" s="11" t="s">
        <v>183</v>
      </c>
      <c r="C112" s="86">
        <v>174</v>
      </c>
      <c r="D112" s="34">
        <v>-1.6949152499999998E-2</v>
      </c>
      <c r="E112" s="41">
        <v>93263393.064208195</v>
      </c>
    </row>
    <row r="113" spans="1:5">
      <c r="A113" s="40" t="s">
        <v>186</v>
      </c>
      <c r="B113" s="11" t="s">
        <v>187</v>
      </c>
      <c r="C113" s="86">
        <v>900</v>
      </c>
      <c r="D113" s="34">
        <v>-1.7467248899999999E-2</v>
      </c>
      <c r="E113" s="41">
        <v>3920968.1270434</v>
      </c>
    </row>
    <row r="114" spans="1:5">
      <c r="A114" s="40" t="s">
        <v>327</v>
      </c>
      <c r="B114" s="11" t="s">
        <v>328</v>
      </c>
      <c r="C114" s="86">
        <v>21220</v>
      </c>
      <c r="D114" s="34">
        <v>-2.16689719E-2</v>
      </c>
      <c r="E114" s="41">
        <v>16400224.338116949</v>
      </c>
    </row>
    <row r="115" spans="1:5">
      <c r="A115" s="40" t="s">
        <v>171</v>
      </c>
      <c r="B115" s="11" t="s">
        <v>172</v>
      </c>
      <c r="C115" s="86">
        <v>3360</v>
      </c>
      <c r="D115" s="34">
        <v>-2.89017341E-2</v>
      </c>
      <c r="E115" s="41">
        <v>3399711.0412932602</v>
      </c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B199" s="1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68"/>
    <col min="11" max="11" width="17.375" customWidth="1"/>
    <col min="12" max="12" width="17.5" bestFit="1" customWidth="1"/>
    <col min="14" max="14" width="9" style="68"/>
    <col min="15" max="15" width="17.375" customWidth="1"/>
    <col min="16" max="16" width="17.5" bestFit="1" customWidth="1"/>
    <col min="18" max="18" width="9" style="68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348</v>
      </c>
      <c r="B2" s="11" t="s">
        <v>349</v>
      </c>
      <c r="C2" s="86">
        <v>66.7</v>
      </c>
      <c r="D2" s="34">
        <v>0.24672897199999999</v>
      </c>
      <c r="E2" s="84">
        <v>3323611821.2693067</v>
      </c>
      <c r="F2" s="35"/>
      <c r="G2" s="50"/>
      <c r="H2" s="35"/>
      <c r="I2" s="35"/>
    </row>
    <row r="3" spans="1:18" ht="17.25" thickBot="1">
      <c r="A3" s="40" t="s">
        <v>344</v>
      </c>
      <c r="B3" s="11" t="s">
        <v>345</v>
      </c>
      <c r="C3" s="86">
        <v>227</v>
      </c>
      <c r="D3" s="34">
        <v>0.118226601</v>
      </c>
      <c r="E3" s="84">
        <v>111556811.4518811</v>
      </c>
      <c r="F3" s="35"/>
      <c r="G3" s="201" t="s">
        <v>247</v>
      </c>
      <c r="H3" s="213" t="s">
        <v>353</v>
      </c>
      <c r="I3" s="213"/>
      <c r="K3" s="157" t="s">
        <v>34</v>
      </c>
      <c r="L3" s="158"/>
      <c r="M3" s="158"/>
      <c r="N3" s="159"/>
      <c r="O3" s="157" t="s">
        <v>248</v>
      </c>
      <c r="P3" s="158"/>
      <c r="Q3" s="158"/>
      <c r="R3" s="159"/>
    </row>
    <row r="4" spans="1:18" ht="17.25" thickBot="1">
      <c r="A4" s="40" t="s">
        <v>131</v>
      </c>
      <c r="B4" s="11" t="s">
        <v>132</v>
      </c>
      <c r="C4" s="86">
        <v>68.599999999999994</v>
      </c>
      <c r="D4" s="34">
        <v>4.7328244300000002E-2</v>
      </c>
      <c r="E4" s="84">
        <v>625137889.11207044</v>
      </c>
      <c r="F4" s="35"/>
      <c r="G4" s="202"/>
      <c r="H4" s="214"/>
      <c r="I4" s="214"/>
      <c r="K4" s="194" t="s">
        <v>54</v>
      </c>
      <c r="L4" s="210">
        <f ca="1">NOW()</f>
        <v>44958.006751620371</v>
      </c>
      <c r="M4" s="211"/>
      <c r="N4" s="212"/>
      <c r="O4" s="209" t="s">
        <v>54</v>
      </c>
      <c r="P4" s="210">
        <f ca="1">NOW()</f>
        <v>44958.006751620371</v>
      </c>
      <c r="Q4" s="211"/>
      <c r="R4" s="212"/>
    </row>
    <row r="5" spans="1:18" ht="17.25" thickBot="1">
      <c r="A5" s="40" t="s">
        <v>190</v>
      </c>
      <c r="B5" s="11" t="s">
        <v>191</v>
      </c>
      <c r="C5" s="86">
        <v>70</v>
      </c>
      <c r="D5" s="34">
        <v>4.4776119400000002E-2</v>
      </c>
      <c r="E5" s="84">
        <v>177829086.51581225</v>
      </c>
      <c r="F5" s="35"/>
      <c r="K5" s="202"/>
      <c r="L5" s="36" t="s">
        <v>57</v>
      </c>
      <c r="M5" s="36" t="s">
        <v>58</v>
      </c>
      <c r="N5" s="64" t="s">
        <v>251</v>
      </c>
      <c r="O5" s="180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196</v>
      </c>
      <c r="B6" s="11" t="s">
        <v>197</v>
      </c>
      <c r="C6" s="86">
        <v>7.95</v>
      </c>
      <c r="D6" s="34">
        <v>3.9215686299999997E-2</v>
      </c>
      <c r="E6" s="84">
        <v>1636429082.6433766</v>
      </c>
      <c r="F6" s="35"/>
      <c r="G6" s="157" t="s">
        <v>52</v>
      </c>
      <c r="H6" s="158"/>
      <c r="I6" s="159"/>
      <c r="K6" s="51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69" t="str">
        <f t="shared" ref="M6:M25" ca="1" si="1">_xlfn.IFNA(VLOOKUP(K6, $B$2:$D$200, 3, FALSE), "")</f>
        <v/>
      </c>
      <c r="N6" s="78" t="str">
        <f ca="1">_xlfn.IFNA(VLOOKUP(K6, $B$2:$E$200, 4, FALSE), "")</f>
        <v/>
      </c>
      <c r="O6" s="66" t="s">
        <v>349</v>
      </c>
      <c r="P6" s="38">
        <f t="shared" ref="P6:P25" si="2">_xlfn.IFNA(VLOOKUP(O6, $B$2:$D$200, 2, FALSE), "")</f>
        <v>66.7</v>
      </c>
      <c r="Q6" s="69">
        <f t="shared" ref="Q6:Q25" si="3">_xlfn.IFNA(VLOOKUP(O6, $B$2:$D$200, 3, FALSE), "")</f>
        <v>0.24672897199999999</v>
      </c>
      <c r="R6" s="78">
        <f>_xlfn.IFNA(VLOOKUP(O6, $B$2:$E$200, 4, FALSE), "")</f>
        <v>3323611821.2693067</v>
      </c>
    </row>
    <row r="7" spans="1:18">
      <c r="A7" s="40" t="s">
        <v>252</v>
      </c>
      <c r="B7" s="11" t="s">
        <v>253</v>
      </c>
      <c r="C7" s="86">
        <v>115</v>
      </c>
      <c r="D7" s="34">
        <v>3.6036036E-2</v>
      </c>
      <c r="E7" s="84">
        <v>1475512344.8645208</v>
      </c>
      <c r="F7" s="35"/>
      <c r="G7" s="185" t="s">
        <v>36</v>
      </c>
      <c r="H7" s="186"/>
      <c r="I7" s="187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81" t="s">
        <v>345</v>
      </c>
      <c r="P7" s="39">
        <f t="shared" si="2"/>
        <v>227</v>
      </c>
      <c r="Q7" s="70">
        <f t="shared" si="3"/>
        <v>0.118226601</v>
      </c>
      <c r="R7" s="79">
        <f t="shared" ref="R7:R25" si="5">_xlfn.IFNA(VLOOKUP(O7, $B$2:$E$200, 4, FALSE), "")</f>
        <v>111556811.4518811</v>
      </c>
    </row>
    <row r="8" spans="1:18" ht="17.25" thickBot="1">
      <c r="A8" s="40" t="s">
        <v>322</v>
      </c>
      <c r="B8" s="11" t="s">
        <v>323</v>
      </c>
      <c r="C8" s="86">
        <v>4.4699999999999997E-2</v>
      </c>
      <c r="D8" s="34">
        <v>3.2332563500000001E-2</v>
      </c>
      <c r="E8" s="84">
        <v>391057226513.53143</v>
      </c>
      <c r="F8" s="35"/>
      <c r="G8" s="178"/>
      <c r="H8" s="179"/>
      <c r="I8" s="180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81" t="s">
        <v>132</v>
      </c>
      <c r="P8" s="39">
        <f t="shared" si="2"/>
        <v>68.599999999999994</v>
      </c>
      <c r="Q8" s="70">
        <f t="shared" si="3"/>
        <v>4.7328244300000002E-2</v>
      </c>
      <c r="R8" s="79">
        <f t="shared" si="5"/>
        <v>625137889.11207044</v>
      </c>
    </row>
    <row r="9" spans="1:18" ht="17.25" thickBot="1">
      <c r="A9" s="40" t="s">
        <v>142</v>
      </c>
      <c r="B9" s="11" t="s">
        <v>143</v>
      </c>
      <c r="C9" s="86">
        <v>4.3600000000000003</v>
      </c>
      <c r="D9" s="34">
        <v>3.07328605E-2</v>
      </c>
      <c r="E9" s="84">
        <v>946760946.81233084</v>
      </c>
      <c r="F9" s="35"/>
      <c r="G9" s="9" t="s">
        <v>38</v>
      </c>
      <c r="H9" s="158" t="s">
        <v>37</v>
      </c>
      <c r="I9" s="159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81" t="s">
        <v>191</v>
      </c>
      <c r="P9" s="39">
        <f t="shared" si="2"/>
        <v>70</v>
      </c>
      <c r="Q9" s="70">
        <f t="shared" si="3"/>
        <v>4.4776119400000002E-2</v>
      </c>
      <c r="R9" s="79">
        <f t="shared" si="5"/>
        <v>177829086.51581225</v>
      </c>
    </row>
    <row r="10" spans="1:18">
      <c r="A10" s="40" t="s">
        <v>316</v>
      </c>
      <c r="B10" s="11" t="s">
        <v>317</v>
      </c>
      <c r="C10" s="86">
        <v>620</v>
      </c>
      <c r="D10" s="34">
        <v>2.6490066199999999E-2</v>
      </c>
      <c r="E10" s="84">
        <v>36959458.631669663</v>
      </c>
      <c r="F10" s="35"/>
      <c r="G10" s="203">
        <f>_xlfn.IFNA(VLOOKUP(G7, $B$2:$D$200, 3, FALSE), "-")</f>
        <v>5.9221070000000005E-4</v>
      </c>
      <c r="H10" s="205">
        <f>_xlfn.IFNA(VLOOKUP(G7, $B$2:$D$200, 2, FALSE), "-")</f>
        <v>28723000</v>
      </c>
      <c r="I10" s="206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81" t="s">
        <v>197</v>
      </c>
      <c r="P10" s="39">
        <f t="shared" si="2"/>
        <v>7.95</v>
      </c>
      <c r="Q10" s="70">
        <f t="shared" si="3"/>
        <v>3.9215686299999997E-2</v>
      </c>
      <c r="R10" s="83">
        <f t="shared" si="5"/>
        <v>1636429082.6433766</v>
      </c>
    </row>
    <row r="11" spans="1:18" ht="17.25" thickBot="1">
      <c r="A11" s="40" t="s">
        <v>236</v>
      </c>
      <c r="B11" s="11" t="s">
        <v>237</v>
      </c>
      <c r="C11" s="86">
        <v>32.799999999999997</v>
      </c>
      <c r="D11" s="34">
        <v>2.5000000000000001E-2</v>
      </c>
      <c r="E11" s="84">
        <v>94152069.023919359</v>
      </c>
      <c r="F11" s="35"/>
      <c r="G11" s="204"/>
      <c r="H11" s="207"/>
      <c r="I11" s="208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82" t="s">
        <v>253</v>
      </c>
      <c r="P11" s="45">
        <f t="shared" si="2"/>
        <v>115</v>
      </c>
      <c r="Q11" s="73">
        <f t="shared" si="3"/>
        <v>3.6036036E-2</v>
      </c>
      <c r="R11" s="89">
        <f t="shared" si="5"/>
        <v>1475512344.8645208</v>
      </c>
    </row>
    <row r="12" spans="1:18" ht="17.25" thickBot="1">
      <c r="A12" s="40" t="s">
        <v>224</v>
      </c>
      <c r="B12" s="11" t="s">
        <v>225</v>
      </c>
      <c r="C12" s="86">
        <v>63.2</v>
      </c>
      <c r="D12" s="34">
        <v>1.7713365500000001E-2</v>
      </c>
      <c r="E12" s="84">
        <v>153038643.7472609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81" t="s">
        <v>323</v>
      </c>
      <c r="P12" s="39">
        <f t="shared" si="2"/>
        <v>4.4699999999999997E-2</v>
      </c>
      <c r="Q12" s="70">
        <f t="shared" si="3"/>
        <v>3.2332563500000001E-2</v>
      </c>
      <c r="R12" s="79">
        <f t="shared" si="5"/>
        <v>391057226513.53143</v>
      </c>
    </row>
    <row r="13" spans="1:18" ht="17.25" thickBot="1">
      <c r="A13" s="40" t="s">
        <v>88</v>
      </c>
      <c r="B13" s="11" t="s">
        <v>89</v>
      </c>
      <c r="C13" s="86">
        <v>503</v>
      </c>
      <c r="D13" s="34">
        <v>1.6161616199999999E-2</v>
      </c>
      <c r="E13" s="84">
        <v>164144286.15200001</v>
      </c>
      <c r="F13" s="35"/>
      <c r="G13" s="157" t="s">
        <v>69</v>
      </c>
      <c r="H13" s="158"/>
      <c r="I13" s="159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81" t="s">
        <v>143</v>
      </c>
      <c r="P13" s="39">
        <f t="shared" si="2"/>
        <v>4.3600000000000003</v>
      </c>
      <c r="Q13" s="70">
        <f t="shared" si="3"/>
        <v>3.07328605E-2</v>
      </c>
      <c r="R13" s="79">
        <f t="shared" si="5"/>
        <v>946760946.81233084</v>
      </c>
    </row>
    <row r="14" spans="1:18">
      <c r="A14" s="40" t="s">
        <v>234</v>
      </c>
      <c r="B14" s="11" t="s">
        <v>235</v>
      </c>
      <c r="C14" s="86">
        <v>696</v>
      </c>
      <c r="D14" s="34">
        <v>1.6058394199999999E-2</v>
      </c>
      <c r="E14" s="84">
        <v>7414864.8402619399</v>
      </c>
      <c r="F14" s="35"/>
      <c r="G14" s="185" t="s">
        <v>36</v>
      </c>
      <c r="H14" s="186"/>
      <c r="I14" s="187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81" t="s">
        <v>317</v>
      </c>
      <c r="P14" s="39">
        <f t="shared" si="2"/>
        <v>620</v>
      </c>
      <c r="Q14" s="70">
        <f t="shared" si="3"/>
        <v>2.6490066199999999E-2</v>
      </c>
      <c r="R14" s="79">
        <f t="shared" si="5"/>
        <v>36959458.631669663</v>
      </c>
    </row>
    <row r="15" spans="1:18" ht="17.25" thickBot="1">
      <c r="A15" s="40" t="s">
        <v>351</v>
      </c>
      <c r="B15" s="11" t="s">
        <v>352</v>
      </c>
      <c r="C15" s="86">
        <v>1.47E-2</v>
      </c>
      <c r="D15" s="34">
        <v>1.3793103399999999E-2</v>
      </c>
      <c r="E15" s="84">
        <v>967446537145.29626</v>
      </c>
      <c r="F15" s="35"/>
      <c r="G15" s="178"/>
      <c r="H15" s="179"/>
      <c r="I15" s="180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67" t="s">
        <v>237</v>
      </c>
      <c r="P15" s="37">
        <f t="shared" si="2"/>
        <v>32.799999999999997</v>
      </c>
      <c r="Q15" s="72">
        <f t="shared" si="3"/>
        <v>2.5000000000000001E-2</v>
      </c>
      <c r="R15" s="80">
        <f t="shared" si="5"/>
        <v>94152069.023919359</v>
      </c>
    </row>
    <row r="16" spans="1:18" ht="17.25" thickBot="1">
      <c r="A16" s="40" t="s">
        <v>206</v>
      </c>
      <c r="B16" s="11" t="s">
        <v>207</v>
      </c>
      <c r="C16" s="86">
        <v>73.599999999999994</v>
      </c>
      <c r="D16" s="34">
        <v>1.3774104699999999E-2</v>
      </c>
      <c r="E16" s="84">
        <v>23168253.475481719</v>
      </c>
      <c r="F16" s="35"/>
      <c r="G16" s="9" t="s">
        <v>38</v>
      </c>
      <c r="H16" s="158" t="s">
        <v>37</v>
      </c>
      <c r="I16" s="159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66" t="s">
        <v>225</v>
      </c>
      <c r="P16" s="38">
        <f t="shared" si="2"/>
        <v>63.2</v>
      </c>
      <c r="Q16" s="69">
        <f t="shared" si="3"/>
        <v>1.7713365500000001E-2</v>
      </c>
      <c r="R16" s="78">
        <f t="shared" si="5"/>
        <v>153038643.7472609</v>
      </c>
    </row>
    <row r="17" spans="1:18">
      <c r="A17" s="40" t="s">
        <v>184</v>
      </c>
      <c r="B17" s="11" t="s">
        <v>185</v>
      </c>
      <c r="C17" s="86">
        <v>36.299999999999997</v>
      </c>
      <c r="D17" s="34">
        <v>1.1142061300000001E-2</v>
      </c>
      <c r="E17" s="84">
        <v>86562106.744085535</v>
      </c>
      <c r="F17" s="35"/>
      <c r="G17" s="203">
        <f>_xlfn.IFNA(VLOOKUP(G14, $B$2:$D$200, 3, FALSE), "-")</f>
        <v>5.9221070000000005E-4</v>
      </c>
      <c r="H17" s="205">
        <f>_xlfn.IFNA(VLOOKUP(G14, $B$2:$D$200, 2, FALSE), "-")</f>
        <v>28723000</v>
      </c>
      <c r="I17" s="206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81" t="s">
        <v>89</v>
      </c>
      <c r="P17" s="39">
        <f t="shared" si="2"/>
        <v>503</v>
      </c>
      <c r="Q17" s="70">
        <f t="shared" si="3"/>
        <v>1.6161616199999999E-2</v>
      </c>
      <c r="R17" s="79">
        <f t="shared" si="5"/>
        <v>164144286.15200001</v>
      </c>
    </row>
    <row r="18" spans="1:18" ht="17.25" thickBot="1">
      <c r="A18" s="40" t="s">
        <v>76</v>
      </c>
      <c r="B18" s="11" t="s">
        <v>77</v>
      </c>
      <c r="C18" s="86">
        <v>166750</v>
      </c>
      <c r="D18" s="34">
        <v>1.06060606E-2</v>
      </c>
      <c r="E18" s="84">
        <v>19857.4890347</v>
      </c>
      <c r="F18" s="35"/>
      <c r="G18" s="204"/>
      <c r="H18" s="207"/>
      <c r="I18" s="208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81" t="s">
        <v>235</v>
      </c>
      <c r="P18" s="39">
        <f t="shared" si="2"/>
        <v>696</v>
      </c>
      <c r="Q18" s="70">
        <f t="shared" si="3"/>
        <v>1.6058394199999999E-2</v>
      </c>
      <c r="R18" s="79">
        <f t="shared" si="5"/>
        <v>7414864.8402619399</v>
      </c>
    </row>
    <row r="19" spans="1:18" ht="17.25" thickBot="1">
      <c r="A19" s="40" t="s">
        <v>226</v>
      </c>
      <c r="B19" s="11" t="s">
        <v>227</v>
      </c>
      <c r="C19" s="86">
        <v>50.2</v>
      </c>
      <c r="D19" s="34">
        <v>1.0060362200000001E-2</v>
      </c>
      <c r="E19" s="84">
        <v>52942226.920753501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81" t="s">
        <v>352</v>
      </c>
      <c r="P19" s="39">
        <f t="shared" si="2"/>
        <v>1.47E-2</v>
      </c>
      <c r="Q19" s="70">
        <f t="shared" si="3"/>
        <v>1.3793103399999999E-2</v>
      </c>
      <c r="R19" s="79">
        <f t="shared" si="5"/>
        <v>967446537145.29626</v>
      </c>
    </row>
    <row r="20" spans="1:18" ht="17.25" thickBot="1">
      <c r="A20" s="40" t="s">
        <v>137</v>
      </c>
      <c r="B20" s="11" t="s">
        <v>138</v>
      </c>
      <c r="C20" s="86">
        <v>31.8</v>
      </c>
      <c r="D20" s="34">
        <v>9.5238094999999991E-3</v>
      </c>
      <c r="E20" s="84">
        <v>67638163.528995201</v>
      </c>
      <c r="F20" s="35"/>
      <c r="G20" s="157" t="s">
        <v>243</v>
      </c>
      <c r="H20" s="158"/>
      <c r="I20" s="159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81" t="s">
        <v>207</v>
      </c>
      <c r="P20" s="39">
        <f t="shared" si="2"/>
        <v>73.599999999999994</v>
      </c>
      <c r="Q20" s="70">
        <f t="shared" si="3"/>
        <v>1.3774104699999999E-2</v>
      </c>
      <c r="R20" s="83">
        <f t="shared" si="5"/>
        <v>23168253.475481719</v>
      </c>
    </row>
    <row r="21" spans="1:18">
      <c r="A21" s="40" t="s">
        <v>139</v>
      </c>
      <c r="B21" s="11" t="s">
        <v>330</v>
      </c>
      <c r="C21" s="86">
        <v>348</v>
      </c>
      <c r="D21" s="34">
        <v>8.6956522000000008E-3</v>
      </c>
      <c r="E21" s="84">
        <v>9029766.4042466301</v>
      </c>
      <c r="F21" s="35"/>
      <c r="G21" s="185" t="s">
        <v>36</v>
      </c>
      <c r="H21" s="186"/>
      <c r="I21" s="187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82" t="s">
        <v>185</v>
      </c>
      <c r="P21" s="45">
        <f t="shared" si="2"/>
        <v>36.299999999999997</v>
      </c>
      <c r="Q21" s="73">
        <f t="shared" si="3"/>
        <v>1.1142061300000001E-2</v>
      </c>
      <c r="R21" s="89">
        <f t="shared" si="5"/>
        <v>86562106.744085535</v>
      </c>
    </row>
    <row r="22" spans="1:18" ht="17.25" thickBot="1">
      <c r="A22" s="40" t="s">
        <v>94</v>
      </c>
      <c r="B22" s="11" t="s">
        <v>95</v>
      </c>
      <c r="C22" s="86">
        <v>1335</v>
      </c>
      <c r="D22" s="34">
        <v>7.5471697999999997E-3</v>
      </c>
      <c r="E22" s="84">
        <v>1357609.59550136</v>
      </c>
      <c r="F22" s="35"/>
      <c r="G22" s="178"/>
      <c r="H22" s="179"/>
      <c r="I22" s="180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81" t="s">
        <v>77</v>
      </c>
      <c r="P22" s="39">
        <f t="shared" si="2"/>
        <v>166750</v>
      </c>
      <c r="Q22" s="70">
        <f t="shared" si="3"/>
        <v>1.06060606E-2</v>
      </c>
      <c r="R22" s="79">
        <f t="shared" si="5"/>
        <v>19857.4890347</v>
      </c>
    </row>
    <row r="23" spans="1:18" ht="17.25" thickBot="1">
      <c r="A23" s="40" t="s">
        <v>150</v>
      </c>
      <c r="B23" s="11" t="s">
        <v>151</v>
      </c>
      <c r="C23" s="86">
        <v>3175</v>
      </c>
      <c r="D23" s="34">
        <v>6.3391441999999998E-3</v>
      </c>
      <c r="E23" s="84">
        <v>8949087.8762714192</v>
      </c>
      <c r="F23" s="35"/>
      <c r="G23" s="9" t="s">
        <v>38</v>
      </c>
      <c r="H23" s="158" t="s">
        <v>37</v>
      </c>
      <c r="I23" s="159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81" t="s">
        <v>227</v>
      </c>
      <c r="P23" s="39">
        <f t="shared" si="2"/>
        <v>50.2</v>
      </c>
      <c r="Q23" s="70">
        <f t="shared" si="3"/>
        <v>1.0060362200000001E-2</v>
      </c>
      <c r="R23" s="79">
        <f t="shared" si="5"/>
        <v>52942226.920753501</v>
      </c>
    </row>
    <row r="24" spans="1:18">
      <c r="A24" s="40" t="s">
        <v>53</v>
      </c>
      <c r="B24" s="11" t="s">
        <v>329</v>
      </c>
      <c r="C24" s="86">
        <v>80.900000000000006</v>
      </c>
      <c r="D24" s="34">
        <v>6.2189055E-3</v>
      </c>
      <c r="E24" s="84">
        <v>30985568.202791769</v>
      </c>
      <c r="F24" s="35"/>
      <c r="G24" s="203">
        <f>_xlfn.IFNA(VLOOKUP(G21, $B$2:$D$200, 3, FALSE), "-")</f>
        <v>5.9221070000000005E-4</v>
      </c>
      <c r="H24" s="205">
        <f>_xlfn.IFNA(VLOOKUP(G21, $B$2:$D$200, 2, FALSE), "-")</f>
        <v>28723000</v>
      </c>
      <c r="I24" s="206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81" t="s">
        <v>138</v>
      </c>
      <c r="P24" s="39">
        <f t="shared" si="2"/>
        <v>31.8</v>
      </c>
      <c r="Q24" s="70">
        <f t="shared" si="3"/>
        <v>9.5238094999999991E-3</v>
      </c>
      <c r="R24" s="79">
        <f t="shared" si="5"/>
        <v>67638163.528995201</v>
      </c>
    </row>
    <row r="25" spans="1:18" ht="17.25" thickBot="1">
      <c r="A25" s="40" t="s">
        <v>84</v>
      </c>
      <c r="B25" s="11" t="s">
        <v>85</v>
      </c>
      <c r="C25" s="86">
        <v>166</v>
      </c>
      <c r="D25" s="34">
        <v>6.0606061000000001E-3</v>
      </c>
      <c r="E25" s="84">
        <v>44222461.146277152</v>
      </c>
      <c r="F25" s="35"/>
      <c r="G25" s="204"/>
      <c r="H25" s="207"/>
      <c r="I25" s="208"/>
      <c r="K25" s="53">
        <f ca="1">IFERROR(OFFSET(INDIRECT($H$3 &amp; "!A17"), 19, 0), "")</f>
        <v>0</v>
      </c>
      <c r="L25" s="37" t="str">
        <f t="shared" ca="1" si="0"/>
        <v/>
      </c>
      <c r="M25" s="72" t="str">
        <f t="shared" ca="1" si="1"/>
        <v/>
      </c>
      <c r="N25" s="80" t="str">
        <f t="shared" ca="1" si="4"/>
        <v/>
      </c>
      <c r="O25" s="67" t="s">
        <v>330</v>
      </c>
      <c r="P25" s="37">
        <f t="shared" si="2"/>
        <v>348</v>
      </c>
      <c r="Q25" s="72">
        <f t="shared" si="3"/>
        <v>8.6956522000000008E-3</v>
      </c>
      <c r="R25" s="80">
        <f t="shared" si="5"/>
        <v>9029766.4042466301</v>
      </c>
    </row>
    <row r="26" spans="1:18">
      <c r="A26" s="40" t="s">
        <v>194</v>
      </c>
      <c r="B26" s="11" t="s">
        <v>195</v>
      </c>
      <c r="C26" s="86">
        <v>6.99</v>
      </c>
      <c r="D26" s="34">
        <v>5.7553956999999998E-3</v>
      </c>
      <c r="E26" s="84">
        <v>245703013.56318575</v>
      </c>
      <c r="F26" s="35"/>
    </row>
    <row r="27" spans="1:18" ht="17.25" thickBot="1">
      <c r="A27" s="40" t="s">
        <v>140</v>
      </c>
      <c r="B27" s="11" t="s">
        <v>141</v>
      </c>
      <c r="C27" s="86">
        <v>3.83</v>
      </c>
      <c r="D27" s="34">
        <v>5.2493438000000003E-3</v>
      </c>
      <c r="E27" s="84">
        <v>338701059.26772034</v>
      </c>
      <c r="F27" s="35"/>
    </row>
    <row r="28" spans="1:18" ht="17.25" thickBot="1">
      <c r="A28" s="40" t="s">
        <v>192</v>
      </c>
      <c r="B28" s="11" t="s">
        <v>193</v>
      </c>
      <c r="C28" s="86">
        <v>20.7</v>
      </c>
      <c r="D28" s="34">
        <v>4.8543689000000003E-3</v>
      </c>
      <c r="E28" s="84">
        <v>55511947.937449709</v>
      </c>
      <c r="F28" s="35"/>
      <c r="G28" s="157" t="s">
        <v>46</v>
      </c>
      <c r="H28" s="158"/>
      <c r="I28" s="158"/>
      <c r="J28" s="159"/>
      <c r="K28" s="157" t="s">
        <v>44</v>
      </c>
      <c r="L28" s="158"/>
      <c r="M28" s="158"/>
      <c r="N28" s="159"/>
      <c r="O28" s="157" t="s">
        <v>45</v>
      </c>
      <c r="P28" s="158"/>
      <c r="Q28" s="158"/>
      <c r="R28" s="159"/>
    </row>
    <row r="29" spans="1:18" ht="17.25" thickBot="1">
      <c r="A29" s="40" t="s">
        <v>61</v>
      </c>
      <c r="B29" s="11" t="s">
        <v>62</v>
      </c>
      <c r="C29" s="86">
        <v>10170</v>
      </c>
      <c r="D29" s="34">
        <v>3.9486673E-3</v>
      </c>
      <c r="E29" s="84">
        <v>289183.04027381999</v>
      </c>
      <c r="F29" s="35"/>
      <c r="G29" s="194" t="s">
        <v>54</v>
      </c>
      <c r="H29" s="210">
        <f ca="1">NOW()</f>
        <v>44958.006751620371</v>
      </c>
      <c r="I29" s="211"/>
      <c r="J29" s="212"/>
      <c r="K29" s="209" t="s">
        <v>54</v>
      </c>
      <c r="L29" s="210">
        <f ca="1">NOW()</f>
        <v>44958.006751620371</v>
      </c>
      <c r="M29" s="211"/>
      <c r="N29" s="212"/>
      <c r="O29" s="209" t="s">
        <v>54</v>
      </c>
      <c r="P29" s="210">
        <f ca="1">NOW()</f>
        <v>44958.006751620371</v>
      </c>
      <c r="Q29" s="211"/>
      <c r="R29" s="212"/>
    </row>
    <row r="30" spans="1:18" ht="17.25" thickBot="1">
      <c r="A30" s="40" t="s">
        <v>338</v>
      </c>
      <c r="B30" s="11" t="s">
        <v>339</v>
      </c>
      <c r="C30" s="86">
        <v>1370</v>
      </c>
      <c r="D30" s="34">
        <v>3.6630037E-3</v>
      </c>
      <c r="E30" s="84">
        <v>6757263.3103259299</v>
      </c>
      <c r="F30" s="35"/>
      <c r="G30" s="202"/>
      <c r="H30" s="36" t="s">
        <v>57</v>
      </c>
      <c r="I30" s="36" t="s">
        <v>58</v>
      </c>
      <c r="J30" s="64" t="s">
        <v>251</v>
      </c>
      <c r="K30" s="180"/>
      <c r="L30" s="36" t="s">
        <v>57</v>
      </c>
      <c r="M30" s="36" t="s">
        <v>58</v>
      </c>
      <c r="N30" s="64" t="s">
        <v>251</v>
      </c>
      <c r="O30" s="180"/>
      <c r="P30" s="36" t="s">
        <v>57</v>
      </c>
      <c r="Q30" s="36" t="s">
        <v>58</v>
      </c>
      <c r="R30" s="64" t="s">
        <v>251</v>
      </c>
    </row>
    <row r="31" spans="1:18">
      <c r="A31" s="40" t="s">
        <v>98</v>
      </c>
      <c r="B31" s="11" t="s">
        <v>99</v>
      </c>
      <c r="C31" s="86">
        <v>26970</v>
      </c>
      <c r="D31" s="34">
        <v>3.3482143000000001E-3</v>
      </c>
      <c r="E31" s="84">
        <v>960355.14854427997</v>
      </c>
      <c r="F31" s="35"/>
      <c r="G31" s="46" t="s">
        <v>349</v>
      </c>
      <c r="H31" s="38">
        <f t="shared" ref="H31:H50" si="6">_xlfn.IFNA(VLOOKUP(G31, $B$2:$D$200, 2, FALSE), "")</f>
        <v>66.7</v>
      </c>
      <c r="I31" s="69">
        <f t="shared" ref="I31:I50" si="7">_xlfn.IFNA(VLOOKUP(G31, $B$2:$D$200, 3, FALSE), "")</f>
        <v>0.24672897199999999</v>
      </c>
      <c r="J31" s="78">
        <f>_xlfn.IFNA(VLOOKUP(G31, $B$2:$E$200, 4, FALSE), "")</f>
        <v>3323611821.2693067</v>
      </c>
      <c r="K31" s="74" t="s">
        <v>349</v>
      </c>
      <c r="L31" s="38">
        <f t="shared" ref="L31:L50" si="8">_xlfn.IFNA(VLOOKUP(K31, $B$2:$D$200, 2, FALSE), "")</f>
        <v>66.7</v>
      </c>
      <c r="M31" s="69">
        <f t="shared" ref="M31:M50" si="9">_xlfn.IFNA(VLOOKUP(K31, $B$2:$D$200, 3, FALSE), "")</f>
        <v>0.24672897199999999</v>
      </c>
      <c r="N31" s="78">
        <f>_xlfn.IFNA(VLOOKUP(K31, $B$2:$E$200, 4, FALSE), "")</f>
        <v>3323611821.2693067</v>
      </c>
      <c r="O31" s="74" t="s">
        <v>345</v>
      </c>
      <c r="P31" s="38">
        <f t="shared" ref="P31:P50" si="10">_xlfn.IFNA(VLOOKUP(O31, $B$2:$D$200, 2, FALSE), "")</f>
        <v>227</v>
      </c>
      <c r="Q31" s="69">
        <f t="shared" ref="Q31:Q50" si="11">_xlfn.IFNA(VLOOKUP(O31, $B$2:$D$200, 3, FALSE), "")</f>
        <v>0.118226601</v>
      </c>
      <c r="R31" s="78">
        <f>_xlfn.IFNA(VLOOKUP(O31, $B$2:$E$200, 4, FALSE), "")</f>
        <v>111556811.4518811</v>
      </c>
    </row>
    <row r="32" spans="1:18">
      <c r="A32" s="40" t="s">
        <v>72</v>
      </c>
      <c r="B32" s="11" t="s">
        <v>73</v>
      </c>
      <c r="C32" s="86">
        <v>16490</v>
      </c>
      <c r="D32" s="34">
        <v>3.0413624999999999E-3</v>
      </c>
      <c r="E32" s="84">
        <v>261021.49862981</v>
      </c>
      <c r="F32" s="35"/>
      <c r="G32" s="47" t="s">
        <v>345</v>
      </c>
      <c r="H32" s="39">
        <f t="shared" si="6"/>
        <v>227</v>
      </c>
      <c r="I32" s="70">
        <f t="shared" si="7"/>
        <v>0.118226601</v>
      </c>
      <c r="J32" s="79">
        <f t="shared" ref="J32:J50" si="12">_xlfn.IFNA(VLOOKUP(G32, $B$2:$E$200, 4, FALSE), "")</f>
        <v>111556811.4518811</v>
      </c>
      <c r="K32" s="75" t="s">
        <v>132</v>
      </c>
      <c r="L32" s="39">
        <f t="shared" si="8"/>
        <v>68.599999999999994</v>
      </c>
      <c r="M32" s="70">
        <f t="shared" si="9"/>
        <v>4.7328244300000002E-2</v>
      </c>
      <c r="N32" s="79">
        <f t="shared" ref="N32:N50" si="13">_xlfn.IFNA(VLOOKUP(K32, $B$2:$E$200, 4, FALSE), "")</f>
        <v>625137889.11207044</v>
      </c>
      <c r="O32" s="75" t="s">
        <v>253</v>
      </c>
      <c r="P32" s="39">
        <f t="shared" si="10"/>
        <v>115</v>
      </c>
      <c r="Q32" s="70">
        <f t="shared" si="11"/>
        <v>3.6036036E-2</v>
      </c>
      <c r="R32" s="79">
        <f t="shared" ref="R32:R50" si="14">_xlfn.IFNA(VLOOKUP(O32, $B$2:$E$200, 4, FALSE), "")</f>
        <v>1475512344.8645208</v>
      </c>
    </row>
    <row r="33" spans="1:18">
      <c r="A33" s="40" t="s">
        <v>92</v>
      </c>
      <c r="B33" s="11" t="s">
        <v>93</v>
      </c>
      <c r="C33" s="86">
        <v>1973500</v>
      </c>
      <c r="D33" s="34">
        <v>2.0309722999999999E-3</v>
      </c>
      <c r="E33" s="84">
        <v>10921.094339470001</v>
      </c>
      <c r="F33" s="35"/>
      <c r="G33" s="47" t="s">
        <v>132</v>
      </c>
      <c r="H33" s="39">
        <f t="shared" si="6"/>
        <v>68.599999999999994</v>
      </c>
      <c r="I33" s="70">
        <f t="shared" si="7"/>
        <v>4.7328244300000002E-2</v>
      </c>
      <c r="J33" s="79">
        <f t="shared" si="12"/>
        <v>625137889.11207044</v>
      </c>
      <c r="K33" s="75" t="s">
        <v>191</v>
      </c>
      <c r="L33" s="39">
        <f t="shared" si="8"/>
        <v>70</v>
      </c>
      <c r="M33" s="70">
        <f t="shared" si="9"/>
        <v>4.4776119400000002E-2</v>
      </c>
      <c r="N33" s="79">
        <f t="shared" si="13"/>
        <v>177829086.51581225</v>
      </c>
      <c r="O33" s="75" t="s">
        <v>317</v>
      </c>
      <c r="P33" s="39">
        <f t="shared" si="10"/>
        <v>620</v>
      </c>
      <c r="Q33" s="70">
        <f t="shared" si="11"/>
        <v>2.6490066199999999E-2</v>
      </c>
      <c r="R33" s="79">
        <f t="shared" si="14"/>
        <v>36959458.631669663</v>
      </c>
    </row>
    <row r="34" spans="1:18">
      <c r="A34" s="40" t="s">
        <v>127</v>
      </c>
      <c r="B34" s="11" t="s">
        <v>128</v>
      </c>
      <c r="C34" s="86">
        <v>7795</v>
      </c>
      <c r="D34" s="34">
        <v>1.2845215E-3</v>
      </c>
      <c r="E34" s="84">
        <v>158740.58359172</v>
      </c>
      <c r="F34" s="35"/>
      <c r="G34" s="47" t="s">
        <v>191</v>
      </c>
      <c r="H34" s="39">
        <f t="shared" si="6"/>
        <v>70</v>
      </c>
      <c r="I34" s="70">
        <f t="shared" si="7"/>
        <v>4.4776119400000002E-2</v>
      </c>
      <c r="J34" s="79">
        <f t="shared" si="12"/>
        <v>177829086.51581225</v>
      </c>
      <c r="K34" s="75" t="s">
        <v>197</v>
      </c>
      <c r="L34" s="39">
        <f t="shared" si="8"/>
        <v>7.95</v>
      </c>
      <c r="M34" s="70">
        <f t="shared" si="9"/>
        <v>3.9215686299999997E-2</v>
      </c>
      <c r="N34" s="79">
        <f t="shared" si="13"/>
        <v>1636429082.6433766</v>
      </c>
      <c r="O34" s="75" t="s">
        <v>89</v>
      </c>
      <c r="P34" s="39">
        <f t="shared" si="10"/>
        <v>503</v>
      </c>
      <c r="Q34" s="70">
        <f t="shared" si="11"/>
        <v>1.6161616199999999E-2</v>
      </c>
      <c r="R34" s="79">
        <f t="shared" si="14"/>
        <v>164144286.15200001</v>
      </c>
    </row>
    <row r="35" spans="1:18">
      <c r="A35" s="40" t="s">
        <v>48</v>
      </c>
      <c r="B35" s="11" t="s">
        <v>49</v>
      </c>
      <c r="C35" s="86">
        <v>28723000</v>
      </c>
      <c r="D35" s="34">
        <v>5.9221070000000005E-4</v>
      </c>
      <c r="E35" s="84">
        <v>2477.7828586599999</v>
      </c>
      <c r="F35" s="35"/>
      <c r="G35" s="47" t="s">
        <v>197</v>
      </c>
      <c r="H35" s="44">
        <f t="shared" si="6"/>
        <v>7.95</v>
      </c>
      <c r="I35" s="71">
        <f t="shared" si="7"/>
        <v>3.9215686299999997E-2</v>
      </c>
      <c r="J35" s="83">
        <f t="shared" si="12"/>
        <v>1636429082.6433766</v>
      </c>
      <c r="K35" s="76" t="s">
        <v>323</v>
      </c>
      <c r="L35" s="44">
        <f t="shared" si="8"/>
        <v>4.4699999999999997E-2</v>
      </c>
      <c r="M35" s="71">
        <f t="shared" si="9"/>
        <v>3.2332563500000001E-2</v>
      </c>
      <c r="N35" s="83">
        <f t="shared" si="13"/>
        <v>391057226513.53143</v>
      </c>
      <c r="O35" s="76" t="s">
        <v>235</v>
      </c>
      <c r="P35" s="44">
        <f t="shared" si="10"/>
        <v>696</v>
      </c>
      <c r="Q35" s="71">
        <f t="shared" si="11"/>
        <v>1.6058394199999999E-2</v>
      </c>
      <c r="R35" s="83">
        <f t="shared" si="14"/>
        <v>7414864.8402619399</v>
      </c>
    </row>
    <row r="36" spans="1:18">
      <c r="A36" s="40" t="s">
        <v>74</v>
      </c>
      <c r="B36" s="11" t="s">
        <v>75</v>
      </c>
      <c r="C36" s="86">
        <v>8705</v>
      </c>
      <c r="D36" s="34">
        <v>5.747126E-4</v>
      </c>
      <c r="E36" s="84">
        <v>276966.15856086998</v>
      </c>
      <c r="F36" s="35"/>
      <c r="G36" s="49" t="s">
        <v>253</v>
      </c>
      <c r="H36" s="39">
        <f t="shared" si="6"/>
        <v>115</v>
      </c>
      <c r="I36" s="70">
        <f t="shared" si="7"/>
        <v>3.6036036E-2</v>
      </c>
      <c r="J36" s="89">
        <f t="shared" si="12"/>
        <v>1475512344.8645208</v>
      </c>
      <c r="K36" s="75" t="s">
        <v>143</v>
      </c>
      <c r="L36" s="39">
        <f t="shared" si="8"/>
        <v>4.3600000000000003</v>
      </c>
      <c r="M36" s="70">
        <f t="shared" si="9"/>
        <v>3.07328605E-2</v>
      </c>
      <c r="N36" s="89">
        <f t="shared" si="13"/>
        <v>946760946.81233084</v>
      </c>
      <c r="O36" s="75" t="s">
        <v>330</v>
      </c>
      <c r="P36" s="39">
        <f t="shared" si="10"/>
        <v>348</v>
      </c>
      <c r="Q36" s="70">
        <f t="shared" si="11"/>
        <v>8.6956522000000008E-3</v>
      </c>
      <c r="R36" s="89">
        <f t="shared" si="14"/>
        <v>9029766.4042466301</v>
      </c>
    </row>
    <row r="37" spans="1:18">
      <c r="A37" s="40" t="s">
        <v>80</v>
      </c>
      <c r="B37" s="11" t="s">
        <v>81</v>
      </c>
      <c r="C37" s="86">
        <v>468</v>
      </c>
      <c r="D37" s="34">
        <v>0</v>
      </c>
      <c r="E37" s="84">
        <v>10354996.69915135</v>
      </c>
      <c r="F37" s="35"/>
      <c r="G37" s="47" t="s">
        <v>323</v>
      </c>
      <c r="H37" s="39">
        <f t="shared" si="6"/>
        <v>4.4699999999999997E-2</v>
      </c>
      <c r="I37" s="70">
        <f t="shared" si="7"/>
        <v>3.2332563500000001E-2</v>
      </c>
      <c r="J37" s="79">
        <f t="shared" si="12"/>
        <v>391057226513.53143</v>
      </c>
      <c r="K37" s="75" t="s">
        <v>237</v>
      </c>
      <c r="L37" s="39">
        <f t="shared" si="8"/>
        <v>32.799999999999997</v>
      </c>
      <c r="M37" s="70">
        <f t="shared" si="9"/>
        <v>2.5000000000000001E-2</v>
      </c>
      <c r="N37" s="79">
        <f t="shared" si="13"/>
        <v>94152069.023919359</v>
      </c>
      <c r="O37" s="75" t="s">
        <v>85</v>
      </c>
      <c r="P37" s="39">
        <f t="shared" si="10"/>
        <v>166</v>
      </c>
      <c r="Q37" s="70">
        <f t="shared" si="11"/>
        <v>6.0606061000000001E-3</v>
      </c>
      <c r="R37" s="79">
        <f t="shared" si="14"/>
        <v>44222461.146277152</v>
      </c>
    </row>
    <row r="38" spans="1:18">
      <c r="A38" s="40" t="s">
        <v>96</v>
      </c>
      <c r="B38" s="11" t="s">
        <v>97</v>
      </c>
      <c r="C38" s="86">
        <v>8.9999999999999998E-4</v>
      </c>
      <c r="D38" s="34">
        <v>0</v>
      </c>
      <c r="E38" s="84">
        <v>565938548813.42419</v>
      </c>
      <c r="F38" s="35"/>
      <c r="G38" s="47" t="s">
        <v>143</v>
      </c>
      <c r="H38" s="39">
        <f t="shared" si="6"/>
        <v>4.3600000000000003</v>
      </c>
      <c r="I38" s="70">
        <f t="shared" si="7"/>
        <v>3.07328605E-2</v>
      </c>
      <c r="J38" s="79">
        <f t="shared" si="12"/>
        <v>946760946.81233084</v>
      </c>
      <c r="K38" s="75" t="s">
        <v>225</v>
      </c>
      <c r="L38" s="39">
        <f t="shared" si="8"/>
        <v>63.2</v>
      </c>
      <c r="M38" s="70">
        <f t="shared" si="9"/>
        <v>1.7713365500000001E-2</v>
      </c>
      <c r="N38" s="79">
        <f t="shared" si="13"/>
        <v>153038643.7472609</v>
      </c>
      <c r="O38" s="75" t="s">
        <v>81</v>
      </c>
      <c r="P38" s="39">
        <f t="shared" si="10"/>
        <v>468</v>
      </c>
      <c r="Q38" s="70">
        <f t="shared" si="11"/>
        <v>0</v>
      </c>
      <c r="R38" s="79">
        <f t="shared" si="14"/>
        <v>10354996.69915135</v>
      </c>
    </row>
    <row r="39" spans="1:18">
      <c r="A39" s="40" t="s">
        <v>114</v>
      </c>
      <c r="B39" s="11" t="s">
        <v>324</v>
      </c>
      <c r="C39" s="86">
        <v>97.5</v>
      </c>
      <c r="D39" s="34">
        <v>0</v>
      </c>
      <c r="E39" s="84">
        <v>14943318.786406521</v>
      </c>
      <c r="F39" s="35"/>
      <c r="G39" s="47" t="s">
        <v>317</v>
      </c>
      <c r="H39" s="39">
        <f t="shared" si="6"/>
        <v>620</v>
      </c>
      <c r="I39" s="70">
        <f t="shared" si="7"/>
        <v>2.6490066199999999E-2</v>
      </c>
      <c r="J39" s="79">
        <f t="shared" si="12"/>
        <v>36959458.631669663</v>
      </c>
      <c r="K39" s="75" t="s">
        <v>352</v>
      </c>
      <c r="L39" s="39">
        <f t="shared" si="8"/>
        <v>1.47E-2</v>
      </c>
      <c r="M39" s="70">
        <f t="shared" si="9"/>
        <v>1.3793103399999999E-2</v>
      </c>
      <c r="N39" s="79">
        <f t="shared" si="13"/>
        <v>967446537145.29626</v>
      </c>
      <c r="O39" s="75" t="s">
        <v>161</v>
      </c>
      <c r="P39" s="39">
        <f t="shared" si="10"/>
        <v>339</v>
      </c>
      <c r="Q39" s="70">
        <f t="shared" si="11"/>
        <v>0</v>
      </c>
      <c r="R39" s="79">
        <f t="shared" si="14"/>
        <v>12542485.72527414</v>
      </c>
    </row>
    <row r="40" spans="1:18" ht="17.25" thickBot="1">
      <c r="A40" s="40" t="s">
        <v>82</v>
      </c>
      <c r="B40" s="11" t="s">
        <v>83</v>
      </c>
      <c r="C40" s="86">
        <v>1320</v>
      </c>
      <c r="D40" s="34">
        <v>0</v>
      </c>
      <c r="E40" s="84">
        <v>2443232.1457390301</v>
      </c>
      <c r="F40" s="35"/>
      <c r="G40" s="48" t="s">
        <v>237</v>
      </c>
      <c r="H40" s="37">
        <f t="shared" si="6"/>
        <v>32.799999999999997</v>
      </c>
      <c r="I40" s="72">
        <f t="shared" si="7"/>
        <v>2.5000000000000001E-2</v>
      </c>
      <c r="J40" s="80">
        <f t="shared" si="12"/>
        <v>94152069.023919359</v>
      </c>
      <c r="K40" s="77" t="s">
        <v>207</v>
      </c>
      <c r="L40" s="37">
        <f t="shared" si="8"/>
        <v>73.599999999999994</v>
      </c>
      <c r="M40" s="72">
        <f t="shared" si="9"/>
        <v>1.3774104699999999E-2</v>
      </c>
      <c r="N40" s="80">
        <f t="shared" si="13"/>
        <v>23168253.475481719</v>
      </c>
      <c r="O40" s="77" t="s">
        <v>51</v>
      </c>
      <c r="P40" s="37">
        <f t="shared" si="10"/>
        <v>113</v>
      </c>
      <c r="Q40" s="72">
        <f t="shared" si="11"/>
        <v>0</v>
      </c>
      <c r="R40" s="80">
        <f t="shared" si="14"/>
        <v>14151412.087369479</v>
      </c>
    </row>
    <row r="41" spans="1:18">
      <c r="A41" s="40" t="s">
        <v>63</v>
      </c>
      <c r="B41" s="11" t="s">
        <v>64</v>
      </c>
      <c r="C41" s="86">
        <v>11.8</v>
      </c>
      <c r="D41" s="34">
        <v>0</v>
      </c>
      <c r="E41" s="84">
        <v>70549882.883153647</v>
      </c>
      <c r="F41" s="35"/>
      <c r="G41" s="46" t="s">
        <v>225</v>
      </c>
      <c r="H41" s="38">
        <f t="shared" si="6"/>
        <v>63.2</v>
      </c>
      <c r="I41" s="69">
        <f t="shared" si="7"/>
        <v>1.7713365500000001E-2</v>
      </c>
      <c r="J41" s="78">
        <f t="shared" si="12"/>
        <v>153038643.7472609</v>
      </c>
      <c r="K41" s="74" t="s">
        <v>185</v>
      </c>
      <c r="L41" s="38">
        <f t="shared" si="8"/>
        <v>36.299999999999997</v>
      </c>
      <c r="M41" s="69">
        <f t="shared" si="9"/>
        <v>1.1142061300000001E-2</v>
      </c>
      <c r="N41" s="78">
        <f t="shared" si="13"/>
        <v>86562106.744085535</v>
      </c>
      <c r="O41" s="74" t="s">
        <v>103</v>
      </c>
      <c r="P41" s="38">
        <f t="shared" si="10"/>
        <v>269</v>
      </c>
      <c r="Q41" s="69">
        <f t="shared" si="11"/>
        <v>0</v>
      </c>
      <c r="R41" s="78">
        <f t="shared" si="14"/>
        <v>4417453.9383517997</v>
      </c>
    </row>
    <row r="42" spans="1:18">
      <c r="A42" s="40" t="s">
        <v>112</v>
      </c>
      <c r="B42" s="11" t="s">
        <v>113</v>
      </c>
      <c r="C42" s="86">
        <v>1965</v>
      </c>
      <c r="D42" s="34">
        <v>0</v>
      </c>
      <c r="E42" s="84">
        <v>4762993.3559377398</v>
      </c>
      <c r="F42" s="35"/>
      <c r="G42" s="47" t="s">
        <v>89</v>
      </c>
      <c r="H42" s="39">
        <f t="shared" si="6"/>
        <v>503</v>
      </c>
      <c r="I42" s="70">
        <f t="shared" si="7"/>
        <v>1.6161616199999999E-2</v>
      </c>
      <c r="J42" s="79">
        <f t="shared" si="12"/>
        <v>164144286.15200001</v>
      </c>
      <c r="K42" s="75" t="s">
        <v>227</v>
      </c>
      <c r="L42" s="39">
        <f t="shared" si="8"/>
        <v>50.2</v>
      </c>
      <c r="M42" s="70">
        <f t="shared" si="9"/>
        <v>1.0060362200000001E-2</v>
      </c>
      <c r="N42" s="79">
        <f t="shared" si="13"/>
        <v>52942226.920753501</v>
      </c>
      <c r="O42" s="75" t="s">
        <v>332</v>
      </c>
      <c r="P42" s="39">
        <f t="shared" si="10"/>
        <v>640</v>
      </c>
      <c r="Q42" s="70">
        <f t="shared" si="11"/>
        <v>-1.5600624E-3</v>
      </c>
      <c r="R42" s="79">
        <f t="shared" si="14"/>
        <v>2734792.8786074799</v>
      </c>
    </row>
    <row r="43" spans="1:18">
      <c r="A43" s="40" t="s">
        <v>202</v>
      </c>
      <c r="B43" s="11" t="s">
        <v>203</v>
      </c>
      <c r="C43" s="86">
        <v>3.76</v>
      </c>
      <c r="D43" s="34">
        <v>0</v>
      </c>
      <c r="E43" s="84">
        <v>589019087.8660363</v>
      </c>
      <c r="F43" s="35"/>
      <c r="G43" s="47" t="s">
        <v>235</v>
      </c>
      <c r="H43" s="39">
        <f t="shared" si="6"/>
        <v>696</v>
      </c>
      <c r="I43" s="70">
        <f t="shared" si="7"/>
        <v>1.6058394199999999E-2</v>
      </c>
      <c r="J43" s="79">
        <f t="shared" si="12"/>
        <v>7414864.8402619399</v>
      </c>
      <c r="K43" s="75" t="s">
        <v>138</v>
      </c>
      <c r="L43" s="39">
        <f t="shared" si="8"/>
        <v>31.8</v>
      </c>
      <c r="M43" s="70">
        <f t="shared" si="9"/>
        <v>9.5238094999999991E-3</v>
      </c>
      <c r="N43" s="79">
        <f t="shared" si="13"/>
        <v>67638163.528995201</v>
      </c>
      <c r="O43" s="75" t="s">
        <v>153</v>
      </c>
      <c r="P43" s="39">
        <f t="shared" si="10"/>
        <v>447</v>
      </c>
      <c r="Q43" s="70">
        <f t="shared" si="11"/>
        <v>-2.2321429000000002E-3</v>
      </c>
      <c r="R43" s="79">
        <f t="shared" si="14"/>
        <v>8789666.7385873795</v>
      </c>
    </row>
    <row r="44" spans="1:18">
      <c r="A44" s="40" t="s">
        <v>160</v>
      </c>
      <c r="B44" s="11" t="s">
        <v>161</v>
      </c>
      <c r="C44" s="86">
        <v>339</v>
      </c>
      <c r="D44" s="34">
        <v>0</v>
      </c>
      <c r="E44" s="84">
        <v>12542485.72527414</v>
      </c>
      <c r="F44" s="35"/>
      <c r="G44" s="47" t="s">
        <v>352</v>
      </c>
      <c r="H44" s="39">
        <f t="shared" si="6"/>
        <v>1.47E-2</v>
      </c>
      <c r="I44" s="70">
        <f t="shared" si="7"/>
        <v>1.3793103399999999E-2</v>
      </c>
      <c r="J44" s="79">
        <f t="shared" si="12"/>
        <v>967446537145.29626</v>
      </c>
      <c r="K44" s="75" t="s">
        <v>329</v>
      </c>
      <c r="L44" s="39">
        <f t="shared" si="8"/>
        <v>80.900000000000006</v>
      </c>
      <c r="M44" s="70">
        <f t="shared" si="9"/>
        <v>6.2189055E-3</v>
      </c>
      <c r="N44" s="79">
        <f t="shared" si="13"/>
        <v>30985568.202791769</v>
      </c>
      <c r="O44" s="75" t="s">
        <v>341</v>
      </c>
      <c r="P44" s="39">
        <f t="shared" si="10"/>
        <v>886</v>
      </c>
      <c r="Q44" s="70">
        <f t="shared" si="11"/>
        <v>-2.2522522999999998E-3</v>
      </c>
      <c r="R44" s="79">
        <f t="shared" si="14"/>
        <v>6441159.4946672805</v>
      </c>
    </row>
    <row r="45" spans="1:18">
      <c r="A45" s="40" t="s">
        <v>121</v>
      </c>
      <c r="B45" s="11" t="s">
        <v>122</v>
      </c>
      <c r="C45" s="86">
        <v>29</v>
      </c>
      <c r="D45" s="34">
        <v>0</v>
      </c>
      <c r="E45" s="84">
        <v>64501121.033801958</v>
      </c>
      <c r="F45" s="35"/>
      <c r="G45" s="47" t="s">
        <v>207</v>
      </c>
      <c r="H45" s="44">
        <f t="shared" si="6"/>
        <v>73.599999999999994</v>
      </c>
      <c r="I45" s="71">
        <f t="shared" si="7"/>
        <v>1.3774104699999999E-2</v>
      </c>
      <c r="J45" s="83">
        <f t="shared" si="12"/>
        <v>23168253.475481719</v>
      </c>
      <c r="K45" s="76" t="s">
        <v>195</v>
      </c>
      <c r="L45" s="44">
        <f t="shared" si="8"/>
        <v>6.99</v>
      </c>
      <c r="M45" s="71">
        <f t="shared" si="9"/>
        <v>5.7553956999999998E-3</v>
      </c>
      <c r="N45" s="83">
        <f t="shared" si="13"/>
        <v>245703013.56318575</v>
      </c>
      <c r="O45" s="76" t="s">
        <v>79</v>
      </c>
      <c r="P45" s="44">
        <f t="shared" si="10"/>
        <v>310</v>
      </c>
      <c r="Q45" s="71">
        <f t="shared" si="11"/>
        <v>-3.2154341000000001E-3</v>
      </c>
      <c r="R45" s="83">
        <f t="shared" si="14"/>
        <v>5496685.99162139</v>
      </c>
    </row>
    <row r="46" spans="1:18">
      <c r="A46" s="40" t="s">
        <v>50</v>
      </c>
      <c r="B46" s="11" t="s">
        <v>51</v>
      </c>
      <c r="C46" s="86">
        <v>113</v>
      </c>
      <c r="D46" s="34">
        <v>0</v>
      </c>
      <c r="E46" s="84">
        <v>14151412.087369479</v>
      </c>
      <c r="F46" s="35"/>
      <c r="G46" s="49" t="s">
        <v>185</v>
      </c>
      <c r="H46" s="39">
        <f t="shared" si="6"/>
        <v>36.299999999999997</v>
      </c>
      <c r="I46" s="70">
        <f t="shared" si="7"/>
        <v>1.1142061300000001E-2</v>
      </c>
      <c r="J46" s="89">
        <f t="shared" si="12"/>
        <v>86562106.744085535</v>
      </c>
      <c r="K46" s="75" t="s">
        <v>141</v>
      </c>
      <c r="L46" s="39">
        <f t="shared" si="8"/>
        <v>3.83</v>
      </c>
      <c r="M46" s="70">
        <f t="shared" si="9"/>
        <v>5.2493438000000003E-3</v>
      </c>
      <c r="N46" s="89">
        <f t="shared" si="13"/>
        <v>338701059.26772034</v>
      </c>
      <c r="O46" s="75" t="s">
        <v>111</v>
      </c>
      <c r="P46" s="39">
        <f t="shared" si="10"/>
        <v>905</v>
      </c>
      <c r="Q46" s="70">
        <f t="shared" si="11"/>
        <v>-3.3039647999999998E-3</v>
      </c>
      <c r="R46" s="89">
        <f t="shared" si="14"/>
        <v>18467855.214354452</v>
      </c>
    </row>
    <row r="47" spans="1:18">
      <c r="A47" s="40" t="s">
        <v>102</v>
      </c>
      <c r="B47" s="11" t="s">
        <v>103</v>
      </c>
      <c r="C47" s="86">
        <v>269</v>
      </c>
      <c r="D47" s="34">
        <v>0</v>
      </c>
      <c r="E47" s="84">
        <v>4417453.9383517997</v>
      </c>
      <c r="F47" s="35"/>
      <c r="G47" s="47" t="s">
        <v>77</v>
      </c>
      <c r="H47" s="39">
        <f t="shared" si="6"/>
        <v>166750</v>
      </c>
      <c r="I47" s="70">
        <f t="shared" si="7"/>
        <v>1.06060606E-2</v>
      </c>
      <c r="J47" s="79">
        <f t="shared" si="12"/>
        <v>19857.4890347</v>
      </c>
      <c r="K47" s="75" t="s">
        <v>193</v>
      </c>
      <c r="L47" s="39">
        <f t="shared" si="8"/>
        <v>20.7</v>
      </c>
      <c r="M47" s="70">
        <f t="shared" si="9"/>
        <v>4.8543689000000003E-3</v>
      </c>
      <c r="N47" s="79">
        <f t="shared" si="13"/>
        <v>55511947.937449709</v>
      </c>
      <c r="O47" s="75" t="s">
        <v>239</v>
      </c>
      <c r="P47" s="39">
        <f t="shared" si="10"/>
        <v>472</v>
      </c>
      <c r="Q47" s="70">
        <f t="shared" si="11"/>
        <v>-4.2194093E-3</v>
      </c>
      <c r="R47" s="79">
        <f t="shared" si="14"/>
        <v>3157585.3650763598</v>
      </c>
    </row>
    <row r="48" spans="1:18">
      <c r="A48" s="40" t="s">
        <v>86</v>
      </c>
      <c r="B48" s="11" t="s">
        <v>87</v>
      </c>
      <c r="C48" s="86">
        <v>53330</v>
      </c>
      <c r="D48" s="34">
        <v>-5.6221890000000005E-4</v>
      </c>
      <c r="E48" s="84">
        <v>69044.380286879998</v>
      </c>
      <c r="F48" s="35"/>
      <c r="G48" s="47" t="s">
        <v>227</v>
      </c>
      <c r="H48" s="39">
        <f t="shared" si="6"/>
        <v>50.2</v>
      </c>
      <c r="I48" s="70">
        <f t="shared" si="7"/>
        <v>1.0060362200000001E-2</v>
      </c>
      <c r="J48" s="79">
        <f t="shared" si="12"/>
        <v>52942226.920753501</v>
      </c>
      <c r="K48" s="75" t="s">
        <v>97</v>
      </c>
      <c r="L48" s="39">
        <f t="shared" si="8"/>
        <v>8.9999999999999998E-4</v>
      </c>
      <c r="M48" s="70">
        <f t="shared" si="9"/>
        <v>0</v>
      </c>
      <c r="N48" s="79">
        <f t="shared" si="13"/>
        <v>565938548813.42419</v>
      </c>
      <c r="O48" s="75" t="s">
        <v>319</v>
      </c>
      <c r="P48" s="39">
        <f t="shared" si="10"/>
        <v>688</v>
      </c>
      <c r="Q48" s="70">
        <f t="shared" si="11"/>
        <v>-4.3415340000000002E-3</v>
      </c>
      <c r="R48" s="79">
        <f t="shared" si="14"/>
        <v>36599368.02021084</v>
      </c>
    </row>
    <row r="49" spans="1:18">
      <c r="A49" s="40" t="s">
        <v>336</v>
      </c>
      <c r="B49" s="11" t="s">
        <v>337</v>
      </c>
      <c r="C49" s="86">
        <v>101900</v>
      </c>
      <c r="D49" s="34">
        <v>-9.8039219999999992E-4</v>
      </c>
      <c r="E49" s="84">
        <v>10305.495160959999</v>
      </c>
      <c r="F49" s="35"/>
      <c r="G49" s="47" t="s">
        <v>138</v>
      </c>
      <c r="H49" s="39">
        <f t="shared" si="6"/>
        <v>31.8</v>
      </c>
      <c r="I49" s="70">
        <f t="shared" si="7"/>
        <v>9.5238094999999991E-3</v>
      </c>
      <c r="J49" s="79">
        <f t="shared" si="12"/>
        <v>67638163.528995201</v>
      </c>
      <c r="K49" s="75" t="s">
        <v>324</v>
      </c>
      <c r="L49" s="39">
        <f t="shared" si="8"/>
        <v>97.5</v>
      </c>
      <c r="M49" s="70">
        <f t="shared" si="9"/>
        <v>0</v>
      </c>
      <c r="N49" s="79">
        <f t="shared" si="13"/>
        <v>14943318.786406521</v>
      </c>
      <c r="O49" s="75" t="s">
        <v>167</v>
      </c>
      <c r="P49" s="39">
        <f t="shared" si="10"/>
        <v>213</v>
      </c>
      <c r="Q49" s="70">
        <f t="shared" si="11"/>
        <v>-4.6728971999999997E-3</v>
      </c>
      <c r="R49" s="79">
        <f t="shared" si="14"/>
        <v>10068404.245555701</v>
      </c>
    </row>
    <row r="50" spans="1:18" ht="17.25" thickBot="1">
      <c r="A50" s="40" t="s">
        <v>331</v>
      </c>
      <c r="B50" s="11" t="s">
        <v>332</v>
      </c>
      <c r="C50" s="86">
        <v>640</v>
      </c>
      <c r="D50" s="34">
        <v>-1.5600624E-3</v>
      </c>
      <c r="E50" s="84">
        <v>2734792.8786074799</v>
      </c>
      <c r="F50" s="35"/>
      <c r="G50" s="48" t="s">
        <v>330</v>
      </c>
      <c r="H50" s="37">
        <f t="shared" si="6"/>
        <v>348</v>
      </c>
      <c r="I50" s="72">
        <f t="shared" si="7"/>
        <v>8.6956522000000008E-3</v>
      </c>
      <c r="J50" s="80">
        <f t="shared" si="12"/>
        <v>9029766.4042466301</v>
      </c>
      <c r="K50" s="77" t="s">
        <v>64</v>
      </c>
      <c r="L50" s="37">
        <f t="shared" si="8"/>
        <v>11.8</v>
      </c>
      <c r="M50" s="72">
        <f t="shared" si="9"/>
        <v>0</v>
      </c>
      <c r="N50" s="80">
        <f t="shared" si="13"/>
        <v>70549882.883153647</v>
      </c>
      <c r="O50" s="77" t="s">
        <v>130</v>
      </c>
      <c r="P50" s="37">
        <f t="shared" si="10"/>
        <v>924</v>
      </c>
      <c r="Q50" s="72">
        <f t="shared" si="11"/>
        <v>-6.4516128999999997E-3</v>
      </c>
      <c r="R50" s="80">
        <f t="shared" si="14"/>
        <v>4663479.7829228397</v>
      </c>
    </row>
    <row r="51" spans="1:18">
      <c r="A51" s="40" t="s">
        <v>152</v>
      </c>
      <c r="B51" s="11" t="s">
        <v>153</v>
      </c>
      <c r="C51" s="86">
        <v>447</v>
      </c>
      <c r="D51" s="34">
        <v>-2.2321429000000002E-3</v>
      </c>
      <c r="E51" s="84">
        <v>8789666.7385873795</v>
      </c>
      <c r="F51" s="35"/>
    </row>
    <row r="52" spans="1:18" ht="17.25" thickBot="1">
      <c r="A52" s="40" t="s">
        <v>340</v>
      </c>
      <c r="B52" s="11" t="s">
        <v>341</v>
      </c>
      <c r="C52" s="86">
        <v>886</v>
      </c>
      <c r="D52" s="34">
        <v>-2.2522522999999998E-3</v>
      </c>
      <c r="E52" s="84">
        <v>6441159.4946672805</v>
      </c>
      <c r="F52" s="35"/>
    </row>
    <row r="53" spans="1:18" ht="17.25" thickBot="1">
      <c r="A53" s="40" t="s">
        <v>125</v>
      </c>
      <c r="B53" s="11" t="s">
        <v>126</v>
      </c>
      <c r="C53" s="86">
        <v>33.4</v>
      </c>
      <c r="D53" s="34">
        <v>-2.9850746000000001E-3</v>
      </c>
      <c r="E53" s="84">
        <v>150910845.0281052</v>
      </c>
      <c r="F53" s="35"/>
      <c r="G53" s="157" t="s">
        <v>242</v>
      </c>
      <c r="H53" s="158"/>
      <c r="I53" s="158"/>
      <c r="J53" s="159"/>
      <c r="K53" s="157" t="s">
        <v>245</v>
      </c>
      <c r="L53" s="158"/>
      <c r="M53" s="158"/>
      <c r="N53" s="159"/>
      <c r="O53" s="157" t="s">
        <v>246</v>
      </c>
      <c r="P53" s="158"/>
      <c r="Q53" s="158"/>
      <c r="R53" s="159"/>
    </row>
    <row r="54" spans="1:18" ht="17.25" thickBot="1">
      <c r="A54" s="40" t="s">
        <v>78</v>
      </c>
      <c r="B54" s="11" t="s">
        <v>79</v>
      </c>
      <c r="C54" s="86">
        <v>310</v>
      </c>
      <c r="D54" s="34">
        <v>-3.2154341000000001E-3</v>
      </c>
      <c r="E54" s="84">
        <v>5496685.99162139</v>
      </c>
      <c r="F54" s="35"/>
      <c r="G54" s="194" t="s">
        <v>54</v>
      </c>
      <c r="H54" s="210">
        <f ca="1">NOW()</f>
        <v>44958.006751620371</v>
      </c>
      <c r="I54" s="211"/>
      <c r="J54" s="212"/>
      <c r="K54" s="209" t="s">
        <v>54</v>
      </c>
      <c r="L54" s="210">
        <f ca="1">NOW()</f>
        <v>44958.006751620371</v>
      </c>
      <c r="M54" s="211"/>
      <c r="N54" s="212"/>
      <c r="O54" s="209" t="s">
        <v>54</v>
      </c>
      <c r="P54" s="210">
        <f ca="1">NOW()</f>
        <v>44958.006751620371</v>
      </c>
      <c r="Q54" s="211"/>
      <c r="R54" s="212"/>
    </row>
    <row r="55" spans="1:18" ht="17.25" thickBot="1">
      <c r="A55" s="40" t="s">
        <v>110</v>
      </c>
      <c r="B55" s="11" t="s">
        <v>111</v>
      </c>
      <c r="C55" s="86">
        <v>905</v>
      </c>
      <c r="D55" s="34">
        <v>-3.3039647999999998E-3</v>
      </c>
      <c r="E55" s="84">
        <v>18467855.214354452</v>
      </c>
      <c r="F55" s="35"/>
      <c r="G55" s="202"/>
      <c r="H55" s="36" t="s">
        <v>57</v>
      </c>
      <c r="I55" s="36" t="s">
        <v>58</v>
      </c>
      <c r="J55" s="64" t="s">
        <v>251</v>
      </c>
      <c r="K55" s="180"/>
      <c r="L55" s="36" t="s">
        <v>57</v>
      </c>
      <c r="M55" s="36" t="s">
        <v>58</v>
      </c>
      <c r="N55" s="64" t="s">
        <v>251</v>
      </c>
      <c r="O55" s="180"/>
      <c r="P55" s="36" t="s">
        <v>57</v>
      </c>
      <c r="Q55" s="36" t="s">
        <v>58</v>
      </c>
      <c r="R55" s="64" t="s">
        <v>251</v>
      </c>
    </row>
    <row r="56" spans="1:18">
      <c r="A56" s="40" t="s">
        <v>334</v>
      </c>
      <c r="B56" s="11" t="s">
        <v>335</v>
      </c>
      <c r="C56" s="86">
        <v>2895</v>
      </c>
      <c r="D56" s="34">
        <v>-3.4423408000000002E-3</v>
      </c>
      <c r="E56" s="84">
        <v>2509942.2195724901</v>
      </c>
      <c r="F56" s="35"/>
      <c r="G56" s="51" t="s">
        <v>233</v>
      </c>
      <c r="H56" s="38">
        <f t="shared" ref="H56:H75" si="15">_xlfn.IFNA(VLOOKUP(G56, $B$2:$D$200, 2, FALSE), "")</f>
        <v>3080</v>
      </c>
      <c r="I56" s="69">
        <f t="shared" ref="I56:I65" si="16">_xlfn.IFNA(VLOOKUP(G56, $B$2:$D$200, 3, FALSE), "")</f>
        <v>-1.44E-2</v>
      </c>
      <c r="J56" s="78">
        <f>_xlfn.IFNA(VLOOKUP(G56, $B$2:$E$200, 4, FALSE), "")</f>
        <v>329609.28098407999</v>
      </c>
      <c r="K56" s="74" t="s">
        <v>193</v>
      </c>
      <c r="L56" s="38">
        <f t="shared" ref="L56:L75" si="17">_xlfn.IFNA(VLOOKUP(K56, $B$2:$D$200, 2, FALSE), "")</f>
        <v>20.7</v>
      </c>
      <c r="M56" s="69">
        <f t="shared" ref="M56:M75" si="18">_xlfn.IFNA(VLOOKUP(K56, $B$2:$D$200, 3, FALSE), "")</f>
        <v>4.8543689000000003E-3</v>
      </c>
      <c r="N56" s="78">
        <f>_xlfn.IFNA(VLOOKUP(K56, $B$2:$E$200, 4, FALSE), "")</f>
        <v>55511947.937449709</v>
      </c>
      <c r="O56" s="74" t="s">
        <v>231</v>
      </c>
      <c r="P56" s="38">
        <f t="shared" ref="P56:P75" si="19">_xlfn.IFNA(VLOOKUP(O56, $B$2:$D$200, 2, FALSE), "")</f>
        <v>381</v>
      </c>
      <c r="Q56" s="69">
        <f t="shared" ref="Q56:Q75" si="20">_xlfn.IFNA(VLOOKUP(O56, $B$2:$D$200, 3, FALSE), "")</f>
        <v>-1.0389610400000001E-2</v>
      </c>
      <c r="R56" s="78">
        <f>_xlfn.IFNA(VLOOKUP(O56, $B$2:$E$200, 4, FALSE), "")</f>
        <v>5886183.3221701104</v>
      </c>
    </row>
    <row r="57" spans="1:18">
      <c r="A57" s="40" t="s">
        <v>179</v>
      </c>
      <c r="B57" s="11" t="s">
        <v>333</v>
      </c>
      <c r="C57" s="86">
        <v>5.0199999999999996</v>
      </c>
      <c r="D57" s="34">
        <v>-3.9682540000000001E-3</v>
      </c>
      <c r="E57" s="84">
        <v>365152107.82151532</v>
      </c>
      <c r="F57" s="35"/>
      <c r="G57" s="52" t="s">
        <v>149</v>
      </c>
      <c r="H57" s="39">
        <f t="shared" si="15"/>
        <v>542</v>
      </c>
      <c r="I57" s="70">
        <f t="shared" si="16"/>
        <v>-1.4545454500000001E-2</v>
      </c>
      <c r="J57" s="79">
        <f t="shared" ref="J57:J75" si="21">_xlfn.IFNA(VLOOKUP(G57, $B$2:$E$200, 4, FALSE), "")</f>
        <v>2631830.46639464</v>
      </c>
      <c r="K57" s="75" t="s">
        <v>97</v>
      </c>
      <c r="L57" s="39">
        <f t="shared" si="17"/>
        <v>8.9999999999999998E-4</v>
      </c>
      <c r="M57" s="70">
        <f t="shared" si="18"/>
        <v>0</v>
      </c>
      <c r="N57" s="79">
        <f t="shared" ref="N57:N75" si="22">_xlfn.IFNA(VLOOKUP(K57, $B$2:$E$200, 4, FALSE), "")</f>
        <v>565938548813.42419</v>
      </c>
      <c r="O57" s="75" t="s">
        <v>201</v>
      </c>
      <c r="P57" s="39">
        <f t="shared" si="19"/>
        <v>280</v>
      </c>
      <c r="Q57" s="70">
        <f t="shared" si="20"/>
        <v>-1.06007067E-2</v>
      </c>
      <c r="R57" s="79">
        <f t="shared" ref="R57:R75" si="23">_xlfn.IFNA(VLOOKUP(O57, $B$2:$E$200, 4, FALSE), "")</f>
        <v>14599336.342918411</v>
      </c>
    </row>
    <row r="58" spans="1:18">
      <c r="A58" s="40" t="s">
        <v>238</v>
      </c>
      <c r="B58" s="11" t="s">
        <v>239</v>
      </c>
      <c r="C58" s="86">
        <v>472</v>
      </c>
      <c r="D58" s="34">
        <v>-4.2194093E-3</v>
      </c>
      <c r="E58" s="84">
        <v>3157585.3650763598</v>
      </c>
      <c r="F58" s="35"/>
      <c r="G58" s="52" t="s">
        <v>120</v>
      </c>
      <c r="H58" s="39">
        <f t="shared" si="15"/>
        <v>129</v>
      </c>
      <c r="I58" s="70">
        <f t="shared" si="16"/>
        <v>-1.52671756E-2</v>
      </c>
      <c r="J58" s="79">
        <f t="shared" si="21"/>
        <v>12608974.946139</v>
      </c>
      <c r="K58" s="75" t="s">
        <v>324</v>
      </c>
      <c r="L58" s="39">
        <f t="shared" si="17"/>
        <v>97.5</v>
      </c>
      <c r="M58" s="70">
        <f t="shared" si="18"/>
        <v>0</v>
      </c>
      <c r="N58" s="79">
        <f t="shared" si="22"/>
        <v>14943318.786406521</v>
      </c>
      <c r="O58" s="75" t="s">
        <v>68</v>
      </c>
      <c r="P58" s="39">
        <f t="shared" si="19"/>
        <v>627</v>
      </c>
      <c r="Q58" s="70">
        <f t="shared" si="20"/>
        <v>-1.1041009500000001E-2</v>
      </c>
      <c r="R58" s="79">
        <f t="shared" si="23"/>
        <v>14162416.993049789</v>
      </c>
    </row>
    <row r="59" spans="1:18">
      <c r="A59" s="40" t="s">
        <v>318</v>
      </c>
      <c r="B59" s="11" t="s">
        <v>319</v>
      </c>
      <c r="C59" s="86">
        <v>688</v>
      </c>
      <c r="D59" s="34">
        <v>-4.3415340000000002E-3</v>
      </c>
      <c r="E59" s="84">
        <v>36599368.02021084</v>
      </c>
      <c r="F59" s="35"/>
      <c r="G59" s="52" t="s">
        <v>163</v>
      </c>
      <c r="H59" s="39">
        <f t="shared" si="15"/>
        <v>7140</v>
      </c>
      <c r="I59" s="70">
        <f t="shared" si="16"/>
        <v>-1.5851137099999999E-2</v>
      </c>
      <c r="J59" s="79">
        <f t="shared" si="21"/>
        <v>304731.84805854002</v>
      </c>
      <c r="K59" s="75" t="s">
        <v>64</v>
      </c>
      <c r="L59" s="39">
        <f t="shared" si="17"/>
        <v>11.8</v>
      </c>
      <c r="M59" s="70">
        <f t="shared" si="18"/>
        <v>0</v>
      </c>
      <c r="N59" s="79">
        <f t="shared" si="22"/>
        <v>70549882.883153647</v>
      </c>
      <c r="O59" s="75" t="s">
        <v>219</v>
      </c>
      <c r="P59" s="39">
        <f t="shared" si="19"/>
        <v>479</v>
      </c>
      <c r="Q59" s="70">
        <f t="shared" si="20"/>
        <v>-1.2371134000000001E-2</v>
      </c>
      <c r="R59" s="79">
        <f t="shared" si="23"/>
        <v>4703167.0781457201</v>
      </c>
    </row>
    <row r="60" spans="1:18">
      <c r="A60" s="40" t="s">
        <v>55</v>
      </c>
      <c r="B60" s="11" t="s">
        <v>56</v>
      </c>
      <c r="C60" s="86">
        <v>45.5</v>
      </c>
      <c r="D60" s="34">
        <v>-4.3763676000000001E-3</v>
      </c>
      <c r="E60" s="84">
        <v>38283477.794670731</v>
      </c>
      <c r="F60" s="35"/>
      <c r="G60" s="52" t="s">
        <v>213</v>
      </c>
      <c r="H60" s="39">
        <f t="shared" si="15"/>
        <v>555</v>
      </c>
      <c r="I60" s="70">
        <f t="shared" si="16"/>
        <v>-1.59574468E-2</v>
      </c>
      <c r="J60" s="83">
        <f t="shared" si="21"/>
        <v>16048854.552607611</v>
      </c>
      <c r="K60" s="76" t="s">
        <v>203</v>
      </c>
      <c r="L60" s="44">
        <f t="shared" si="17"/>
        <v>3.76</v>
      </c>
      <c r="M60" s="71">
        <f t="shared" si="18"/>
        <v>0</v>
      </c>
      <c r="N60" s="83">
        <f t="shared" si="22"/>
        <v>589019087.8660363</v>
      </c>
      <c r="O60" s="76" t="s">
        <v>159</v>
      </c>
      <c r="P60" s="44">
        <f t="shared" si="19"/>
        <v>227</v>
      </c>
      <c r="Q60" s="71">
        <f t="shared" si="20"/>
        <v>-1.30434783E-2</v>
      </c>
      <c r="R60" s="83">
        <f t="shared" si="23"/>
        <v>37452426.824151859</v>
      </c>
    </row>
    <row r="61" spans="1:18">
      <c r="A61" s="40" t="s">
        <v>106</v>
      </c>
      <c r="B61" s="11" t="s">
        <v>107</v>
      </c>
      <c r="C61" s="86">
        <v>43.8</v>
      </c>
      <c r="D61" s="34">
        <v>-4.5454544999999997E-3</v>
      </c>
      <c r="E61" s="84">
        <v>44340354.188798137</v>
      </c>
      <c r="F61" s="35"/>
      <c r="G61" s="56" t="s">
        <v>209</v>
      </c>
      <c r="H61" s="45">
        <f t="shared" si="15"/>
        <v>90.4</v>
      </c>
      <c r="I61" s="73">
        <f t="shared" si="16"/>
        <v>-1.6322089200000001E-2</v>
      </c>
      <c r="J61" s="89">
        <f t="shared" si="21"/>
        <v>25238614.435128711</v>
      </c>
      <c r="K61" s="75" t="s">
        <v>122</v>
      </c>
      <c r="L61" s="39">
        <f t="shared" si="17"/>
        <v>29</v>
      </c>
      <c r="M61" s="70">
        <f t="shared" si="18"/>
        <v>0</v>
      </c>
      <c r="N61" s="89">
        <f t="shared" si="22"/>
        <v>64501121.033801958</v>
      </c>
      <c r="O61" s="75" t="s">
        <v>157</v>
      </c>
      <c r="P61" s="39">
        <f t="shared" si="19"/>
        <v>220</v>
      </c>
      <c r="Q61" s="70">
        <f t="shared" si="20"/>
        <v>-1.34529148E-2</v>
      </c>
      <c r="R61" s="89">
        <f t="shared" si="23"/>
        <v>4673013.7932808502</v>
      </c>
    </row>
    <row r="62" spans="1:18">
      <c r="A62" s="40" t="s">
        <v>166</v>
      </c>
      <c r="B62" s="11" t="s">
        <v>167</v>
      </c>
      <c r="C62" s="86">
        <v>213</v>
      </c>
      <c r="D62" s="34">
        <v>-4.6728971999999997E-3</v>
      </c>
      <c r="E62" s="84">
        <v>10068404.245555701</v>
      </c>
      <c r="F62" s="35"/>
      <c r="G62" s="52" t="s">
        <v>205</v>
      </c>
      <c r="H62" s="39">
        <f t="shared" si="15"/>
        <v>119</v>
      </c>
      <c r="I62" s="70">
        <f t="shared" si="16"/>
        <v>-1.6528925600000001E-2</v>
      </c>
      <c r="J62" s="79">
        <f t="shared" si="21"/>
        <v>12094699.8539015</v>
      </c>
      <c r="K62" s="75" t="s">
        <v>126</v>
      </c>
      <c r="L62" s="39">
        <f t="shared" si="17"/>
        <v>33.4</v>
      </c>
      <c r="M62" s="70">
        <f t="shared" si="18"/>
        <v>-2.9850746000000001E-3</v>
      </c>
      <c r="N62" s="79">
        <f t="shared" si="22"/>
        <v>150910845.0281052</v>
      </c>
      <c r="O62" s="75" t="s">
        <v>229</v>
      </c>
      <c r="P62" s="39">
        <f t="shared" si="19"/>
        <v>289</v>
      </c>
      <c r="Q62" s="70">
        <f t="shared" si="20"/>
        <v>-1.3651877099999999E-2</v>
      </c>
      <c r="R62" s="79">
        <f t="shared" si="23"/>
        <v>3675747.6651160098</v>
      </c>
    </row>
    <row r="63" spans="1:18">
      <c r="A63" s="40" t="s">
        <v>129</v>
      </c>
      <c r="B63" s="11" t="s">
        <v>130</v>
      </c>
      <c r="C63" s="86">
        <v>924</v>
      </c>
      <c r="D63" s="34">
        <v>-6.4516128999999997E-3</v>
      </c>
      <c r="E63" s="84">
        <v>4663479.7829228397</v>
      </c>
      <c r="F63" s="35"/>
      <c r="G63" s="52" t="s">
        <v>199</v>
      </c>
      <c r="H63" s="39">
        <f t="shared" si="15"/>
        <v>340</v>
      </c>
      <c r="I63" s="70">
        <f t="shared" si="16"/>
        <v>-1.7341040499999998E-2</v>
      </c>
      <c r="J63" s="79">
        <f t="shared" si="21"/>
        <v>5103404.7425198201</v>
      </c>
      <c r="K63" s="75" t="s">
        <v>333</v>
      </c>
      <c r="L63" s="39">
        <f t="shared" si="17"/>
        <v>5.0199999999999996</v>
      </c>
      <c r="M63" s="70">
        <f t="shared" si="18"/>
        <v>-3.9682540000000001E-3</v>
      </c>
      <c r="N63" s="79">
        <f t="shared" si="22"/>
        <v>365152107.82151532</v>
      </c>
      <c r="O63" s="75" t="s">
        <v>149</v>
      </c>
      <c r="P63" s="39">
        <f t="shared" si="19"/>
        <v>542</v>
      </c>
      <c r="Q63" s="70">
        <f t="shared" si="20"/>
        <v>-1.4545454500000001E-2</v>
      </c>
      <c r="R63" s="79">
        <f t="shared" si="23"/>
        <v>2631830.46639464</v>
      </c>
    </row>
    <row r="64" spans="1:18">
      <c r="A64" s="40" t="s">
        <v>325</v>
      </c>
      <c r="B64" s="11" t="s">
        <v>326</v>
      </c>
      <c r="C64" s="86">
        <v>299</v>
      </c>
      <c r="D64" s="34">
        <v>-6.6445183E-3</v>
      </c>
      <c r="E64" s="84">
        <v>9868826.1925834194</v>
      </c>
      <c r="F64" s="35"/>
      <c r="G64" s="52" t="s">
        <v>321</v>
      </c>
      <c r="H64" s="39">
        <f t="shared" si="15"/>
        <v>224</v>
      </c>
      <c r="I64" s="70">
        <f t="shared" si="16"/>
        <v>-1.75438596E-2</v>
      </c>
      <c r="J64" s="79">
        <f t="shared" si="21"/>
        <v>26505154.192279048</v>
      </c>
      <c r="K64" s="75" t="s">
        <v>56</v>
      </c>
      <c r="L64" s="39">
        <f t="shared" si="17"/>
        <v>45.5</v>
      </c>
      <c r="M64" s="70">
        <f t="shared" si="18"/>
        <v>-4.3763676000000001E-3</v>
      </c>
      <c r="N64" s="79">
        <f t="shared" si="22"/>
        <v>38283477.794670731</v>
      </c>
      <c r="O64" s="75" t="s">
        <v>120</v>
      </c>
      <c r="P64" s="39">
        <f t="shared" si="19"/>
        <v>129</v>
      </c>
      <c r="Q64" s="70">
        <f t="shared" si="20"/>
        <v>-1.52671756E-2</v>
      </c>
      <c r="R64" s="79">
        <f t="shared" si="23"/>
        <v>12608974.946139</v>
      </c>
    </row>
    <row r="65" spans="1:18" ht="17.25" thickBot="1">
      <c r="A65" s="40" t="s">
        <v>168</v>
      </c>
      <c r="B65" s="11" t="s">
        <v>169</v>
      </c>
      <c r="C65" s="86">
        <v>279</v>
      </c>
      <c r="D65" s="34">
        <v>-7.1174376999999997E-3</v>
      </c>
      <c r="E65" s="84">
        <v>3442693.53879009</v>
      </c>
      <c r="F65" s="35"/>
      <c r="G65" s="53" t="s">
        <v>215</v>
      </c>
      <c r="H65" s="37">
        <f t="shared" si="15"/>
        <v>377</v>
      </c>
      <c r="I65" s="72">
        <f t="shared" si="16"/>
        <v>-1.82291667E-2</v>
      </c>
      <c r="J65" s="80">
        <f t="shared" si="21"/>
        <v>4972250.9555768296</v>
      </c>
      <c r="K65" s="77" t="s">
        <v>107</v>
      </c>
      <c r="L65" s="37">
        <f t="shared" si="17"/>
        <v>43.8</v>
      </c>
      <c r="M65" s="72">
        <f t="shared" si="18"/>
        <v>-4.5454544999999997E-3</v>
      </c>
      <c r="N65" s="80">
        <f t="shared" si="22"/>
        <v>44340354.188798137</v>
      </c>
      <c r="O65" s="77" t="s">
        <v>213</v>
      </c>
      <c r="P65" s="37">
        <f t="shared" si="19"/>
        <v>555</v>
      </c>
      <c r="Q65" s="72">
        <f t="shared" si="20"/>
        <v>-1.59574468E-2</v>
      </c>
      <c r="R65" s="80">
        <f t="shared" si="23"/>
        <v>16048854.552607611</v>
      </c>
    </row>
    <row r="66" spans="1:18">
      <c r="A66" s="40" t="s">
        <v>144</v>
      </c>
      <c r="B66" s="11" t="s">
        <v>145</v>
      </c>
      <c r="C66" s="86">
        <v>77.900000000000006</v>
      </c>
      <c r="D66" s="34">
        <v>-7.6433120999999998E-3</v>
      </c>
      <c r="E66" s="84">
        <v>83427679.6110522</v>
      </c>
      <c r="F66" s="35"/>
      <c r="G66" s="52" t="s">
        <v>241</v>
      </c>
      <c r="H66" s="38">
        <f t="shared" si="15"/>
        <v>107</v>
      </c>
      <c r="I66" s="69">
        <f t="shared" ref="I66:I75" si="24">_xlfn.IFNA(VLOOKUP(G66, $B$2:$D$200, 3, FALSE), "")</f>
        <v>-1.83486239E-2</v>
      </c>
      <c r="J66" s="78">
        <f t="shared" si="21"/>
        <v>15297063.963161319</v>
      </c>
      <c r="K66" s="74" t="s">
        <v>145</v>
      </c>
      <c r="L66" s="38">
        <f t="shared" si="17"/>
        <v>77.900000000000006</v>
      </c>
      <c r="M66" s="69">
        <f t="shared" si="18"/>
        <v>-7.6433120999999998E-3</v>
      </c>
      <c r="N66" s="78">
        <f t="shared" si="22"/>
        <v>83427679.6110522</v>
      </c>
      <c r="O66" s="74" t="s">
        <v>205</v>
      </c>
      <c r="P66" s="38">
        <f t="shared" si="19"/>
        <v>119</v>
      </c>
      <c r="Q66" s="69">
        <f t="shared" si="20"/>
        <v>-1.6528925600000001E-2</v>
      </c>
      <c r="R66" s="78">
        <f t="shared" si="23"/>
        <v>12094699.8539015</v>
      </c>
    </row>
    <row r="67" spans="1:18">
      <c r="A67" s="40" t="s">
        <v>100</v>
      </c>
      <c r="B67" s="11" t="s">
        <v>101</v>
      </c>
      <c r="C67" s="86">
        <v>259</v>
      </c>
      <c r="D67" s="34">
        <v>-7.6628351999999999E-3</v>
      </c>
      <c r="E67" s="84">
        <v>3851147.2125172298</v>
      </c>
      <c r="F67" s="35"/>
      <c r="G67" s="52" t="s">
        <v>116</v>
      </c>
      <c r="H67" s="39">
        <f t="shared" si="15"/>
        <v>1190</v>
      </c>
      <c r="I67" s="70">
        <f t="shared" si="24"/>
        <v>-2.05761317E-2</v>
      </c>
      <c r="J67" s="79">
        <f t="shared" si="21"/>
        <v>1786481.1798509599</v>
      </c>
      <c r="K67" s="75" t="s">
        <v>71</v>
      </c>
      <c r="L67" s="39">
        <f t="shared" si="17"/>
        <v>12.4</v>
      </c>
      <c r="M67" s="70">
        <f t="shared" si="18"/>
        <v>-8.0000000000000002E-3</v>
      </c>
      <c r="N67" s="79">
        <f t="shared" si="22"/>
        <v>127535906.31252795</v>
      </c>
      <c r="O67" s="75" t="s">
        <v>199</v>
      </c>
      <c r="P67" s="39">
        <f t="shared" si="19"/>
        <v>340</v>
      </c>
      <c r="Q67" s="70">
        <f t="shared" si="20"/>
        <v>-1.7341040499999998E-2</v>
      </c>
      <c r="R67" s="79">
        <f t="shared" si="23"/>
        <v>5103404.7425198201</v>
      </c>
    </row>
    <row r="68" spans="1:18">
      <c r="A68" s="40" t="s">
        <v>104</v>
      </c>
      <c r="B68" s="11" t="s">
        <v>105</v>
      </c>
      <c r="C68" s="86">
        <v>254</v>
      </c>
      <c r="D68" s="34">
        <v>-7.8125E-3</v>
      </c>
      <c r="E68" s="84">
        <v>6765131.0311367204</v>
      </c>
      <c r="F68" s="35"/>
      <c r="G68" s="52" t="s">
        <v>66</v>
      </c>
      <c r="H68" s="39">
        <f t="shared" si="15"/>
        <v>816</v>
      </c>
      <c r="I68" s="70">
        <f t="shared" si="24"/>
        <v>-2.3923445000000002E-2</v>
      </c>
      <c r="J68" s="79">
        <f t="shared" si="21"/>
        <v>6487756.5965063404</v>
      </c>
      <c r="K68" s="75" t="s">
        <v>181</v>
      </c>
      <c r="L68" s="39">
        <f t="shared" si="17"/>
        <v>4.7</v>
      </c>
      <c r="M68" s="70">
        <f t="shared" si="18"/>
        <v>-1.05263158E-2</v>
      </c>
      <c r="N68" s="79">
        <f t="shared" si="22"/>
        <v>319018936.60867512</v>
      </c>
      <c r="O68" s="75" t="s">
        <v>321</v>
      </c>
      <c r="P68" s="39">
        <f t="shared" si="19"/>
        <v>224</v>
      </c>
      <c r="Q68" s="70">
        <f t="shared" si="20"/>
        <v>-1.75438596E-2</v>
      </c>
      <c r="R68" s="79">
        <f t="shared" si="23"/>
        <v>26505154.192279048</v>
      </c>
    </row>
    <row r="69" spans="1:18">
      <c r="A69" s="40" t="s">
        <v>108</v>
      </c>
      <c r="B69" s="11" t="s">
        <v>109</v>
      </c>
      <c r="C69" s="86">
        <v>1270</v>
      </c>
      <c r="D69" s="34">
        <v>-7.8125E-3</v>
      </c>
      <c r="E69" s="84">
        <v>870195.33220258995</v>
      </c>
      <c r="F69" s="35"/>
      <c r="G69" s="52" t="s">
        <v>147</v>
      </c>
      <c r="H69" s="39">
        <f t="shared" si="15"/>
        <v>13370</v>
      </c>
      <c r="I69" s="70">
        <f t="shared" si="24"/>
        <v>-2.5510204099999999E-2</v>
      </c>
      <c r="J69" s="79">
        <f t="shared" si="21"/>
        <v>1739946.02993219</v>
      </c>
      <c r="K69" s="75" t="s">
        <v>217</v>
      </c>
      <c r="L69" s="39">
        <f t="shared" si="17"/>
        <v>82.8</v>
      </c>
      <c r="M69" s="70">
        <f t="shared" si="18"/>
        <v>-1.0752688200000001E-2</v>
      </c>
      <c r="N69" s="79">
        <f t="shared" si="22"/>
        <v>36584064.941035546</v>
      </c>
      <c r="O69" s="75" t="s">
        <v>215</v>
      </c>
      <c r="P69" s="39">
        <f t="shared" si="19"/>
        <v>377</v>
      </c>
      <c r="Q69" s="70">
        <f t="shared" si="20"/>
        <v>-1.82291667E-2</v>
      </c>
      <c r="R69" s="79">
        <f t="shared" si="23"/>
        <v>4972250.9555768296</v>
      </c>
    </row>
    <row r="70" spans="1:18">
      <c r="A70" s="40" t="s">
        <v>70</v>
      </c>
      <c r="B70" s="11" t="s">
        <v>71</v>
      </c>
      <c r="C70" s="86">
        <v>12.4</v>
      </c>
      <c r="D70" s="34">
        <v>-8.0000000000000002E-3</v>
      </c>
      <c r="E70" s="84">
        <v>127535906.31252795</v>
      </c>
      <c r="F70" s="35"/>
      <c r="G70" s="52" t="s">
        <v>176</v>
      </c>
      <c r="H70" s="39">
        <f t="shared" si="15"/>
        <v>362</v>
      </c>
      <c r="I70" s="70">
        <f t="shared" si="24"/>
        <v>-2.68817204E-2</v>
      </c>
      <c r="J70" s="83">
        <f t="shared" si="21"/>
        <v>7978943.0308662299</v>
      </c>
      <c r="K70" s="76" t="s">
        <v>124</v>
      </c>
      <c r="L70" s="44">
        <f t="shared" si="17"/>
        <v>35</v>
      </c>
      <c r="M70" s="71">
        <f t="shared" si="18"/>
        <v>-1.1299435E-2</v>
      </c>
      <c r="N70" s="83">
        <f t="shared" si="22"/>
        <v>37107021.806773737</v>
      </c>
      <c r="O70" s="76" t="s">
        <v>241</v>
      </c>
      <c r="P70" s="44">
        <f t="shared" si="19"/>
        <v>107</v>
      </c>
      <c r="Q70" s="71">
        <f t="shared" si="20"/>
        <v>-1.83486239E-2</v>
      </c>
      <c r="R70" s="83">
        <f t="shared" si="23"/>
        <v>15297063.963161319</v>
      </c>
    </row>
    <row r="71" spans="1:18">
      <c r="A71" s="40" t="s">
        <v>222</v>
      </c>
      <c r="B71" s="11" t="s">
        <v>223</v>
      </c>
      <c r="C71" s="86">
        <v>236</v>
      </c>
      <c r="D71" s="34">
        <v>-8.4033613000000004E-3</v>
      </c>
      <c r="E71" s="84">
        <v>6734702.27830642</v>
      </c>
      <c r="F71" s="35"/>
      <c r="G71" s="56" t="s">
        <v>187</v>
      </c>
      <c r="H71" s="45">
        <f t="shared" si="15"/>
        <v>891</v>
      </c>
      <c r="I71" s="73">
        <f t="shared" si="24"/>
        <v>-2.7292576400000001E-2</v>
      </c>
      <c r="J71" s="89">
        <f t="shared" si="21"/>
        <v>3337502.2084098901</v>
      </c>
      <c r="K71" s="75" t="s">
        <v>350</v>
      </c>
      <c r="L71" s="39">
        <f t="shared" si="17"/>
        <v>7.63</v>
      </c>
      <c r="M71" s="70">
        <f t="shared" si="18"/>
        <v>-1.1658031100000001E-2</v>
      </c>
      <c r="N71" s="89">
        <f t="shared" si="22"/>
        <v>968688173.66133237</v>
      </c>
      <c r="O71" s="75" t="s">
        <v>66</v>
      </c>
      <c r="P71" s="39">
        <f t="shared" si="19"/>
        <v>816</v>
      </c>
      <c r="Q71" s="70">
        <f t="shared" si="20"/>
        <v>-2.3923445000000002E-2</v>
      </c>
      <c r="R71" s="89">
        <f t="shared" si="23"/>
        <v>6487756.5965063404</v>
      </c>
    </row>
    <row r="72" spans="1:18">
      <c r="A72" s="40" t="s">
        <v>133</v>
      </c>
      <c r="B72" s="11" t="s">
        <v>134</v>
      </c>
      <c r="C72" s="86">
        <v>1720</v>
      </c>
      <c r="D72" s="34">
        <v>-8.6455331E-3</v>
      </c>
      <c r="E72" s="84">
        <v>606549.20419147995</v>
      </c>
      <c r="F72" s="35"/>
      <c r="G72" s="52" t="s">
        <v>60</v>
      </c>
      <c r="H72" s="39">
        <f t="shared" si="15"/>
        <v>923</v>
      </c>
      <c r="I72" s="70">
        <f t="shared" si="24"/>
        <v>-2.73972603E-2</v>
      </c>
      <c r="J72" s="79">
        <f t="shared" si="21"/>
        <v>31466155.591356169</v>
      </c>
      <c r="K72" s="75" t="s">
        <v>118</v>
      </c>
      <c r="L72" s="39">
        <f t="shared" si="17"/>
        <v>6.76</v>
      </c>
      <c r="M72" s="70">
        <f t="shared" si="18"/>
        <v>-1.1695906400000001E-2</v>
      </c>
      <c r="N72" s="79">
        <f t="shared" si="22"/>
        <v>311683159.29132771</v>
      </c>
      <c r="O72" s="75" t="s">
        <v>176</v>
      </c>
      <c r="P72" s="39">
        <f t="shared" si="19"/>
        <v>362</v>
      </c>
      <c r="Q72" s="70">
        <f t="shared" si="20"/>
        <v>-2.68817204E-2</v>
      </c>
      <c r="R72" s="79">
        <f t="shared" si="23"/>
        <v>7978943.0308662299</v>
      </c>
    </row>
    <row r="73" spans="1:18">
      <c r="A73" s="40" t="s">
        <v>177</v>
      </c>
      <c r="B73" s="11" t="s">
        <v>178</v>
      </c>
      <c r="C73" s="86">
        <v>1710</v>
      </c>
      <c r="D73" s="34">
        <v>-8.6956522000000008E-3</v>
      </c>
      <c r="E73" s="84">
        <v>616530.50336774997</v>
      </c>
      <c r="F73" s="35"/>
      <c r="G73" s="52" t="s">
        <v>183</v>
      </c>
      <c r="H73" s="39">
        <f t="shared" si="15"/>
        <v>172</v>
      </c>
      <c r="I73" s="70">
        <f t="shared" si="24"/>
        <v>-2.82485876E-2</v>
      </c>
      <c r="J73" s="79">
        <f t="shared" si="21"/>
        <v>87415012.935862213</v>
      </c>
      <c r="K73" s="75" t="s">
        <v>155</v>
      </c>
      <c r="L73" s="39">
        <f t="shared" si="17"/>
        <v>31.7</v>
      </c>
      <c r="M73" s="70">
        <f t="shared" si="18"/>
        <v>-1.2461059199999999E-2</v>
      </c>
      <c r="N73" s="79">
        <f t="shared" si="22"/>
        <v>22311392.373919372</v>
      </c>
      <c r="O73" s="75" t="s">
        <v>187</v>
      </c>
      <c r="P73" s="39">
        <f t="shared" si="19"/>
        <v>891</v>
      </c>
      <c r="Q73" s="70">
        <f t="shared" si="20"/>
        <v>-2.7292576400000001E-2</v>
      </c>
      <c r="R73" s="79">
        <f t="shared" si="23"/>
        <v>3337502.2084098901</v>
      </c>
    </row>
    <row r="74" spans="1:18">
      <c r="A74" s="40" t="s">
        <v>210</v>
      </c>
      <c r="B74" s="11" t="s">
        <v>211</v>
      </c>
      <c r="C74" s="86">
        <v>1130</v>
      </c>
      <c r="D74" s="34">
        <v>-8.7719297999999998E-3</v>
      </c>
      <c r="E74" s="84">
        <v>886261.63082204002</v>
      </c>
      <c r="F74" s="35"/>
      <c r="G74" s="52" t="s">
        <v>328</v>
      </c>
      <c r="H74" s="39">
        <f t="shared" si="15"/>
        <v>20830</v>
      </c>
      <c r="I74" s="70">
        <f t="shared" si="24"/>
        <v>-3.9649608099999997E-2</v>
      </c>
      <c r="J74" s="79">
        <f t="shared" si="21"/>
        <v>11958496.126389779</v>
      </c>
      <c r="K74" s="75" t="s">
        <v>221</v>
      </c>
      <c r="L74" s="39">
        <f t="shared" si="17"/>
        <v>22.3</v>
      </c>
      <c r="M74" s="70">
        <f t="shared" si="18"/>
        <v>-1.32743363E-2</v>
      </c>
      <c r="N74" s="79">
        <f t="shared" si="22"/>
        <v>89712045.249598503</v>
      </c>
      <c r="O74" s="75" t="s">
        <v>60</v>
      </c>
      <c r="P74" s="39">
        <f t="shared" si="19"/>
        <v>923</v>
      </c>
      <c r="Q74" s="70">
        <f t="shared" si="20"/>
        <v>-2.73972603E-2</v>
      </c>
      <c r="R74" s="79">
        <f t="shared" si="23"/>
        <v>31466155.591356169</v>
      </c>
    </row>
    <row r="75" spans="1:18" ht="17.25" thickBot="1">
      <c r="A75" s="40" t="s">
        <v>164</v>
      </c>
      <c r="B75" s="11" t="s">
        <v>165</v>
      </c>
      <c r="C75" s="86">
        <v>1125</v>
      </c>
      <c r="D75" s="34">
        <v>-8.8105726999999998E-3</v>
      </c>
      <c r="E75" s="84">
        <v>2595209.78390607</v>
      </c>
      <c r="F75" s="35"/>
      <c r="G75" s="53" t="s">
        <v>172</v>
      </c>
      <c r="H75" s="37">
        <f t="shared" si="15"/>
        <v>3300</v>
      </c>
      <c r="I75" s="72">
        <f t="shared" si="24"/>
        <v>-4.6242774600000001E-2</v>
      </c>
      <c r="J75" s="80">
        <f t="shared" si="21"/>
        <v>2882671.5891338401</v>
      </c>
      <c r="K75" s="77" t="s">
        <v>209</v>
      </c>
      <c r="L75" s="37">
        <f t="shared" si="17"/>
        <v>90.4</v>
      </c>
      <c r="M75" s="72">
        <f t="shared" si="18"/>
        <v>-1.6322089200000001E-2</v>
      </c>
      <c r="N75" s="80">
        <f t="shared" si="22"/>
        <v>25238614.435128711</v>
      </c>
      <c r="O75" s="77" t="s">
        <v>183</v>
      </c>
      <c r="P75" s="37">
        <f t="shared" si="19"/>
        <v>172</v>
      </c>
      <c r="Q75" s="72">
        <f t="shared" si="20"/>
        <v>-2.82485876E-2</v>
      </c>
      <c r="R75" s="80">
        <f t="shared" si="23"/>
        <v>87415012.935862213</v>
      </c>
    </row>
    <row r="76" spans="1:18">
      <c r="A76" s="40" t="s">
        <v>90</v>
      </c>
      <c r="B76" s="11" t="s">
        <v>91</v>
      </c>
      <c r="C76" s="86">
        <v>20350</v>
      </c>
      <c r="D76" s="34">
        <v>-9.2502434000000001E-3</v>
      </c>
      <c r="E76" s="84">
        <v>367824.92883107002</v>
      </c>
      <c r="F76" s="35"/>
      <c r="G76" s="35"/>
      <c r="H76" s="35"/>
      <c r="I76" s="35"/>
    </row>
    <row r="77" spans="1:18">
      <c r="A77" s="40" t="s">
        <v>230</v>
      </c>
      <c r="B77" s="11" t="s">
        <v>231</v>
      </c>
      <c r="C77" s="86">
        <v>381</v>
      </c>
      <c r="D77" s="34">
        <v>-1.0389610400000001E-2</v>
      </c>
      <c r="E77" s="84">
        <v>5886183.3221701104</v>
      </c>
      <c r="F77" s="35"/>
      <c r="G77" s="35"/>
      <c r="H77" s="35"/>
      <c r="I77" s="35"/>
    </row>
    <row r="78" spans="1:18">
      <c r="A78" s="40" t="s">
        <v>180</v>
      </c>
      <c r="B78" s="11" t="s">
        <v>181</v>
      </c>
      <c r="C78" s="86">
        <v>4.7</v>
      </c>
      <c r="D78" s="34">
        <v>-1.05263158E-2</v>
      </c>
      <c r="E78" s="84">
        <v>319018936.60867512</v>
      </c>
      <c r="F78" s="35"/>
      <c r="G78" s="35"/>
      <c r="H78" s="35"/>
      <c r="I78" s="35"/>
    </row>
    <row r="79" spans="1:18">
      <c r="A79" s="40" t="s">
        <v>200</v>
      </c>
      <c r="B79" s="11" t="s">
        <v>201</v>
      </c>
      <c r="C79" s="86">
        <v>280</v>
      </c>
      <c r="D79" s="34">
        <v>-1.06007067E-2</v>
      </c>
      <c r="E79" s="84">
        <v>14599336.342918411</v>
      </c>
      <c r="F79" s="35"/>
      <c r="G79" s="35"/>
      <c r="H79" s="35"/>
      <c r="I79" s="35"/>
    </row>
    <row r="80" spans="1:18">
      <c r="A80" s="40" t="s">
        <v>216</v>
      </c>
      <c r="B80" s="11" t="s">
        <v>217</v>
      </c>
      <c r="C80" s="86">
        <v>82.8</v>
      </c>
      <c r="D80" s="34">
        <v>-1.0752688200000001E-2</v>
      </c>
      <c r="E80" s="84">
        <v>36584064.941035546</v>
      </c>
      <c r="F80" s="35"/>
      <c r="G80" s="35"/>
      <c r="H80" s="35"/>
      <c r="I80" s="35"/>
    </row>
    <row r="81" spans="1:9">
      <c r="A81" s="40" t="s">
        <v>342</v>
      </c>
      <c r="B81" s="11" t="s">
        <v>343</v>
      </c>
      <c r="C81" s="86">
        <v>29850</v>
      </c>
      <c r="D81" s="34">
        <v>-1.09343936E-2</v>
      </c>
      <c r="E81" s="84">
        <v>1389272.87383065</v>
      </c>
      <c r="F81" s="35"/>
      <c r="G81" s="35"/>
      <c r="H81" s="35"/>
      <c r="I81" s="35"/>
    </row>
    <row r="82" spans="1:9">
      <c r="A82" s="40" t="s">
        <v>67</v>
      </c>
      <c r="B82" s="11" t="s">
        <v>68</v>
      </c>
      <c r="C82" s="86">
        <v>627</v>
      </c>
      <c r="D82" s="34">
        <v>-1.1041009500000001E-2</v>
      </c>
      <c r="E82" s="84">
        <v>14162416.993049789</v>
      </c>
      <c r="F82" s="35"/>
      <c r="G82" s="35"/>
      <c r="H82" s="35"/>
      <c r="I82" s="35"/>
    </row>
    <row r="83" spans="1:9">
      <c r="A83" s="40" t="s">
        <v>123</v>
      </c>
      <c r="B83" s="11" t="s">
        <v>124</v>
      </c>
      <c r="C83" s="86">
        <v>35</v>
      </c>
      <c r="D83" s="34">
        <v>-1.1299435E-2</v>
      </c>
      <c r="E83" s="84">
        <v>37107021.806773737</v>
      </c>
      <c r="F83" s="35"/>
      <c r="G83" s="35"/>
      <c r="H83" s="35"/>
      <c r="I83" s="35"/>
    </row>
    <row r="84" spans="1:9">
      <c r="A84" s="40" t="s">
        <v>188</v>
      </c>
      <c r="B84" s="11" t="s">
        <v>189</v>
      </c>
      <c r="C84" s="86">
        <v>1285</v>
      </c>
      <c r="D84" s="34">
        <v>-1.15384615E-2</v>
      </c>
      <c r="E84" s="84">
        <v>5345264.3542430298</v>
      </c>
      <c r="F84" s="35"/>
      <c r="G84" s="35"/>
      <c r="H84" s="35"/>
      <c r="I84" s="35"/>
    </row>
    <row r="85" spans="1:9">
      <c r="A85" s="40" t="s">
        <v>170</v>
      </c>
      <c r="B85" s="11" t="s">
        <v>350</v>
      </c>
      <c r="C85" s="86">
        <v>7.63</v>
      </c>
      <c r="D85" s="34">
        <v>-1.1658031100000001E-2</v>
      </c>
      <c r="E85" s="84">
        <v>968688173.66133237</v>
      </c>
      <c r="F85" s="35"/>
      <c r="G85" s="35"/>
      <c r="H85" s="35"/>
      <c r="I85" s="35"/>
    </row>
    <row r="86" spans="1:9">
      <c r="A86" s="40" t="s">
        <v>117</v>
      </c>
      <c r="B86" s="11" t="s">
        <v>118</v>
      </c>
      <c r="C86" s="86">
        <v>6.76</v>
      </c>
      <c r="D86" s="34">
        <v>-1.1695906400000001E-2</v>
      </c>
      <c r="E86" s="84">
        <v>311683159.29132771</v>
      </c>
      <c r="F86" s="35"/>
      <c r="G86" s="35"/>
      <c r="H86" s="35"/>
      <c r="I86" s="35"/>
    </row>
    <row r="87" spans="1:9">
      <c r="A87" s="40" t="s">
        <v>218</v>
      </c>
      <c r="B87" s="11" t="s">
        <v>219</v>
      </c>
      <c r="C87" s="86">
        <v>479</v>
      </c>
      <c r="D87" s="34">
        <v>-1.2371134000000001E-2</v>
      </c>
      <c r="E87" s="84">
        <v>4703167.0781457201</v>
      </c>
      <c r="F87" s="35"/>
      <c r="G87" s="35"/>
      <c r="H87" s="35"/>
      <c r="I87" s="35"/>
    </row>
    <row r="88" spans="1:9">
      <c r="A88" s="40" t="s">
        <v>154</v>
      </c>
      <c r="B88" s="11" t="s">
        <v>155</v>
      </c>
      <c r="C88" s="86">
        <v>31.7</v>
      </c>
      <c r="D88" s="34">
        <v>-1.2461059199999999E-2</v>
      </c>
      <c r="E88" s="84">
        <v>22311392.373919372</v>
      </c>
      <c r="F88" s="35"/>
      <c r="G88" s="35"/>
      <c r="H88" s="35"/>
      <c r="I88" s="35"/>
    </row>
    <row r="89" spans="1:9">
      <c r="A89" s="40" t="s">
        <v>346</v>
      </c>
      <c r="B89" s="11" t="s">
        <v>347</v>
      </c>
      <c r="C89" s="86">
        <v>24510</v>
      </c>
      <c r="D89" s="34">
        <v>-1.28876359E-2</v>
      </c>
      <c r="E89" s="84">
        <v>234132.38807074999</v>
      </c>
      <c r="F89" s="35"/>
      <c r="G89" s="35"/>
      <c r="H89" s="35"/>
      <c r="I89" s="35"/>
    </row>
    <row r="90" spans="1:9">
      <c r="A90" s="40" t="s">
        <v>135</v>
      </c>
      <c r="B90" s="11" t="s">
        <v>136</v>
      </c>
      <c r="C90" s="86">
        <v>3035</v>
      </c>
      <c r="D90" s="34">
        <v>-1.3008130099999999E-2</v>
      </c>
      <c r="E90" s="84">
        <v>508003.26553152001</v>
      </c>
      <c r="F90" s="35"/>
      <c r="G90" s="35"/>
      <c r="H90" s="35"/>
      <c r="I90" s="35"/>
    </row>
    <row r="91" spans="1:9">
      <c r="A91" s="40" t="s">
        <v>158</v>
      </c>
      <c r="B91" s="11" t="s">
        <v>159</v>
      </c>
      <c r="C91" s="86">
        <v>227</v>
      </c>
      <c r="D91" s="34">
        <v>-1.30434783E-2</v>
      </c>
      <c r="E91" s="84">
        <v>37452426.824151859</v>
      </c>
      <c r="F91" s="35"/>
      <c r="G91" s="35"/>
      <c r="H91" s="35"/>
      <c r="I91" s="35"/>
    </row>
    <row r="92" spans="1:9">
      <c r="A92" s="40" t="s">
        <v>220</v>
      </c>
      <c r="B92" s="11" t="s">
        <v>221</v>
      </c>
      <c r="C92" s="86">
        <v>22.3</v>
      </c>
      <c r="D92" s="34">
        <v>-1.32743363E-2</v>
      </c>
      <c r="E92" s="84">
        <v>89712045.249598503</v>
      </c>
      <c r="F92" s="35"/>
      <c r="G92" s="35"/>
      <c r="H92" s="35"/>
      <c r="I92" s="35"/>
    </row>
    <row r="93" spans="1:9">
      <c r="A93" s="40" t="s">
        <v>156</v>
      </c>
      <c r="B93" s="11" t="s">
        <v>157</v>
      </c>
      <c r="C93" s="86">
        <v>220</v>
      </c>
      <c r="D93" s="34">
        <v>-1.34529148E-2</v>
      </c>
      <c r="E93" s="84">
        <v>4673013.7932808502</v>
      </c>
      <c r="F93" s="35"/>
      <c r="G93" s="35"/>
      <c r="H93" s="35"/>
      <c r="I93" s="35"/>
    </row>
    <row r="94" spans="1:9">
      <c r="A94" s="40" t="s">
        <v>228</v>
      </c>
      <c r="B94" s="11" t="s">
        <v>229</v>
      </c>
      <c r="C94" s="86">
        <v>289</v>
      </c>
      <c r="D94" s="34">
        <v>-1.3651877099999999E-2</v>
      </c>
      <c r="E94" s="84">
        <v>3675747.6651160098</v>
      </c>
      <c r="F94" s="35"/>
      <c r="G94" s="35"/>
      <c r="H94" s="35"/>
      <c r="I94" s="35"/>
    </row>
    <row r="95" spans="1:9">
      <c r="A95" s="40" t="s">
        <v>173</v>
      </c>
      <c r="B95" s="11" t="s">
        <v>174</v>
      </c>
      <c r="C95" s="86">
        <v>15580</v>
      </c>
      <c r="D95" s="34">
        <v>-1.39240506E-2</v>
      </c>
      <c r="E95" s="84">
        <v>120368.88709041</v>
      </c>
      <c r="F95" s="35"/>
      <c r="G95" s="35"/>
      <c r="H95" s="35"/>
      <c r="I95" s="35"/>
    </row>
    <row r="96" spans="1:9">
      <c r="A96" s="40" t="s">
        <v>232</v>
      </c>
      <c r="B96" s="11" t="s">
        <v>233</v>
      </c>
      <c r="C96" s="86">
        <v>3080</v>
      </c>
      <c r="D96" s="34">
        <v>-1.44E-2</v>
      </c>
      <c r="E96" s="84">
        <v>329609.28098407999</v>
      </c>
      <c r="F96" s="35"/>
      <c r="G96" s="35"/>
      <c r="H96" s="35"/>
      <c r="I96" s="35"/>
    </row>
    <row r="97" spans="1:9">
      <c r="A97" s="40" t="s">
        <v>148</v>
      </c>
      <c r="B97" s="11" t="s">
        <v>149</v>
      </c>
      <c r="C97" s="86">
        <v>542</v>
      </c>
      <c r="D97" s="34">
        <v>-1.4545454500000001E-2</v>
      </c>
      <c r="E97" s="84">
        <v>2631830.46639464</v>
      </c>
      <c r="F97" s="35"/>
      <c r="G97" s="35"/>
      <c r="H97" s="35"/>
      <c r="I97" s="35"/>
    </row>
    <row r="98" spans="1:9">
      <c r="A98" s="40" t="s">
        <v>119</v>
      </c>
      <c r="B98" s="11" t="s">
        <v>120</v>
      </c>
      <c r="C98" s="86">
        <v>129</v>
      </c>
      <c r="D98" s="34">
        <v>-1.52671756E-2</v>
      </c>
      <c r="E98" s="84">
        <v>12608974.946139</v>
      </c>
      <c r="F98" s="35"/>
      <c r="G98" s="35"/>
      <c r="H98" s="35"/>
      <c r="I98" s="35"/>
    </row>
    <row r="99" spans="1:9">
      <c r="A99" s="40" t="s">
        <v>162</v>
      </c>
      <c r="B99" s="11" t="s">
        <v>163</v>
      </c>
      <c r="C99" s="86">
        <v>7140</v>
      </c>
      <c r="D99" s="34">
        <v>-1.5851137099999999E-2</v>
      </c>
      <c r="E99" s="84">
        <v>304731.84805854002</v>
      </c>
      <c r="F99" s="35"/>
      <c r="G99" s="35"/>
      <c r="H99" s="35"/>
      <c r="I99" s="35"/>
    </row>
    <row r="100" spans="1:9">
      <c r="A100" s="40" t="s">
        <v>212</v>
      </c>
      <c r="B100" s="11" t="s">
        <v>213</v>
      </c>
      <c r="C100" s="86">
        <v>555</v>
      </c>
      <c r="D100" s="34">
        <v>-1.59574468E-2</v>
      </c>
      <c r="E100" s="84">
        <v>16048854.552607611</v>
      </c>
      <c r="F100" s="35"/>
      <c r="G100" s="35"/>
      <c r="H100" s="35"/>
      <c r="I100" s="35"/>
    </row>
    <row r="101" spans="1:9">
      <c r="A101" s="40" t="s">
        <v>208</v>
      </c>
      <c r="B101" s="11" t="s">
        <v>209</v>
      </c>
      <c r="C101" s="86">
        <v>90.4</v>
      </c>
      <c r="D101" s="34">
        <v>-1.6322089200000001E-2</v>
      </c>
      <c r="E101" s="84">
        <v>25238614.435128711</v>
      </c>
      <c r="F101" s="35"/>
      <c r="G101" s="35"/>
      <c r="H101" s="35"/>
      <c r="I101" s="35"/>
    </row>
    <row r="102" spans="1:9">
      <c r="A102" s="40" t="s">
        <v>204</v>
      </c>
      <c r="B102" s="11" t="s">
        <v>205</v>
      </c>
      <c r="C102" s="86">
        <v>119</v>
      </c>
      <c r="D102" s="34">
        <v>-1.6528925600000001E-2</v>
      </c>
      <c r="E102" s="84">
        <v>12094699.8539015</v>
      </c>
      <c r="F102" s="35"/>
      <c r="G102" s="35"/>
      <c r="H102" s="35"/>
      <c r="I102" s="35"/>
    </row>
    <row r="103" spans="1:9">
      <c r="A103" s="40" t="s">
        <v>198</v>
      </c>
      <c r="B103" s="11" t="s">
        <v>199</v>
      </c>
      <c r="C103" s="86">
        <v>340</v>
      </c>
      <c r="D103" s="34">
        <v>-1.7341040499999998E-2</v>
      </c>
      <c r="E103" s="84">
        <v>5103404.7425198201</v>
      </c>
      <c r="F103" s="35"/>
      <c r="G103" s="35"/>
      <c r="H103" s="35"/>
      <c r="I103" s="35"/>
    </row>
    <row r="104" spans="1:9">
      <c r="A104" s="40" t="s">
        <v>320</v>
      </c>
      <c r="B104" s="11" t="s">
        <v>321</v>
      </c>
      <c r="C104" s="86">
        <v>224</v>
      </c>
      <c r="D104" s="34">
        <v>-1.75438596E-2</v>
      </c>
      <c r="E104" s="84">
        <v>26505154.192279048</v>
      </c>
      <c r="F104" s="35"/>
      <c r="G104" s="35"/>
      <c r="H104" s="35"/>
      <c r="I104" s="35"/>
    </row>
    <row r="105" spans="1:9">
      <c r="A105" s="40" t="s">
        <v>214</v>
      </c>
      <c r="B105" s="11" t="s">
        <v>215</v>
      </c>
      <c r="C105" s="86">
        <v>377</v>
      </c>
      <c r="D105" s="34">
        <v>-1.82291667E-2</v>
      </c>
      <c r="E105" s="84">
        <v>4972250.9555768296</v>
      </c>
      <c r="F105" s="35"/>
      <c r="G105" s="35"/>
      <c r="H105" s="35"/>
      <c r="I105" s="35"/>
    </row>
    <row r="106" spans="1:9">
      <c r="A106" s="40" t="s">
        <v>240</v>
      </c>
      <c r="B106" s="11" t="s">
        <v>241</v>
      </c>
      <c r="C106" s="86">
        <v>107</v>
      </c>
      <c r="D106" s="34">
        <v>-1.83486239E-2</v>
      </c>
      <c r="E106" s="84">
        <v>15297063.963161319</v>
      </c>
      <c r="F106" s="35"/>
      <c r="G106" s="35"/>
      <c r="H106" s="35"/>
      <c r="I106" s="35"/>
    </row>
    <row r="107" spans="1:9">
      <c r="A107" s="40" t="s">
        <v>115</v>
      </c>
      <c r="B107" s="11" t="s">
        <v>116</v>
      </c>
      <c r="C107" s="86">
        <v>1190</v>
      </c>
      <c r="D107" s="34">
        <v>-2.05761317E-2</v>
      </c>
      <c r="E107" s="84">
        <v>1786481.1798509599</v>
      </c>
      <c r="F107" s="35"/>
      <c r="G107" s="35"/>
      <c r="H107" s="35"/>
      <c r="I107" s="35"/>
    </row>
    <row r="108" spans="1:9">
      <c r="A108" s="40" t="s">
        <v>65</v>
      </c>
      <c r="B108" s="11" t="s">
        <v>66</v>
      </c>
      <c r="C108" s="86">
        <v>816</v>
      </c>
      <c r="D108" s="34">
        <v>-2.3923445000000002E-2</v>
      </c>
      <c r="E108" s="84">
        <v>6487756.5965063404</v>
      </c>
      <c r="F108" s="35"/>
      <c r="G108" s="35"/>
      <c r="H108" s="35"/>
      <c r="I108" s="35"/>
    </row>
    <row r="109" spans="1:9">
      <c r="A109" s="40" t="s">
        <v>146</v>
      </c>
      <c r="B109" s="11" t="s">
        <v>147</v>
      </c>
      <c r="C109" s="86">
        <v>13370</v>
      </c>
      <c r="D109" s="34">
        <v>-2.5510204099999999E-2</v>
      </c>
      <c r="E109" s="41">
        <v>1739946.02993219</v>
      </c>
    </row>
    <row r="110" spans="1:9">
      <c r="A110" s="40" t="s">
        <v>175</v>
      </c>
      <c r="B110" s="11" t="s">
        <v>176</v>
      </c>
      <c r="C110" s="86">
        <v>362</v>
      </c>
      <c r="D110" s="34">
        <v>-2.68817204E-2</v>
      </c>
      <c r="E110" s="41">
        <v>7978943.0308662299</v>
      </c>
    </row>
    <row r="111" spans="1:9">
      <c r="A111" s="40" t="s">
        <v>186</v>
      </c>
      <c r="B111" s="11" t="s">
        <v>187</v>
      </c>
      <c r="C111" s="86">
        <v>891</v>
      </c>
      <c r="D111" s="34">
        <v>-2.7292576400000001E-2</v>
      </c>
      <c r="E111" s="41">
        <v>3337502.2084098901</v>
      </c>
    </row>
    <row r="112" spans="1:9">
      <c r="A112" s="40" t="s">
        <v>59</v>
      </c>
      <c r="B112" s="11" t="s">
        <v>60</v>
      </c>
      <c r="C112" s="86">
        <v>923</v>
      </c>
      <c r="D112" s="34">
        <v>-2.73972603E-2</v>
      </c>
      <c r="E112" s="41">
        <v>31466155.591356169</v>
      </c>
    </row>
    <row r="113" spans="1:5">
      <c r="A113" s="40" t="s">
        <v>182</v>
      </c>
      <c r="B113" s="11" t="s">
        <v>183</v>
      </c>
      <c r="C113" s="86">
        <v>172</v>
      </c>
      <c r="D113" s="34">
        <v>-2.82485876E-2</v>
      </c>
      <c r="E113" s="41">
        <v>87415012.935862213</v>
      </c>
    </row>
    <row r="114" spans="1:5">
      <c r="A114" s="40" t="s">
        <v>327</v>
      </c>
      <c r="B114" s="11" t="s">
        <v>328</v>
      </c>
      <c r="C114" s="86">
        <v>20830</v>
      </c>
      <c r="D114" s="34">
        <v>-3.9649608099999997E-2</v>
      </c>
      <c r="E114" s="41">
        <v>11958496.126389779</v>
      </c>
    </row>
    <row r="115" spans="1:5">
      <c r="A115" s="40" t="s">
        <v>171</v>
      </c>
      <c r="B115" s="11" t="s">
        <v>172</v>
      </c>
      <c r="C115" s="86">
        <v>3300</v>
      </c>
      <c r="D115" s="34">
        <v>-4.6242774600000001E-2</v>
      </c>
      <c r="E115" s="41">
        <v>2882671.5891338401</v>
      </c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25" workbookViewId="0">
      <selection activeCell="B52" sqref="B52"/>
    </sheetView>
  </sheetViews>
  <sheetFormatPr defaultRowHeight="16.5" customHeight="1"/>
  <cols>
    <col min="1" max="1" width="9" style="106"/>
    <col min="2" max="2" width="11.875" style="106" bestFit="1" customWidth="1"/>
    <col min="3" max="3" width="21.25" style="106" customWidth="1"/>
    <col min="4" max="4" width="16.25" style="106" bestFit="1" customWidth="1"/>
    <col min="5" max="5" width="9" style="106"/>
    <col min="6" max="6" width="14.375" style="106" bestFit="1" customWidth="1"/>
    <col min="7" max="7" width="16.25" style="106" bestFit="1" customWidth="1"/>
    <col min="8" max="8" width="9" style="106"/>
    <col min="9" max="9" width="14.5" style="106" customWidth="1"/>
    <col min="10" max="10" width="16.25" style="106" bestFit="1" customWidth="1"/>
    <col min="11" max="11" width="9" style="106"/>
    <col min="12" max="13" width="16.25" style="106" bestFit="1" customWidth="1"/>
    <col min="14" max="14" width="9" style="106"/>
    <col min="15" max="15" width="15.25" style="106" bestFit="1" customWidth="1"/>
    <col min="16" max="16" width="9" style="106" customWidth="1"/>
    <col min="17" max="19" width="12.125" style="106" customWidth="1"/>
    <col min="20" max="16384" width="9" style="106"/>
  </cols>
  <sheetData>
    <row r="1" spans="1:15" ht="16.5" customHeight="1" thickBot="1">
      <c r="A1" s="188" t="str">
        <f>TEXT(투자전략!$G$1, "[$-ko-KR]yyyy년 mm월") &amp; " 총결산"</f>
        <v>2023년 01월 총결산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</row>
    <row r="2" spans="1:15" ht="16.5" customHeight="1" thickBot="1">
      <c r="A2" s="185" t="s">
        <v>276</v>
      </c>
      <c r="B2" s="186"/>
      <c r="C2" s="186"/>
      <c r="D2" s="158" t="s">
        <v>272</v>
      </c>
      <c r="E2" s="158"/>
      <c r="F2" s="159"/>
      <c r="G2" s="188" t="s">
        <v>273</v>
      </c>
      <c r="H2" s="189"/>
      <c r="I2" s="190"/>
      <c r="J2" s="157" t="s">
        <v>274</v>
      </c>
      <c r="K2" s="158"/>
      <c r="L2" s="158"/>
      <c r="M2" s="158" t="s">
        <v>275</v>
      </c>
      <c r="N2" s="158"/>
      <c r="O2" s="159"/>
    </row>
    <row r="3" spans="1:15" ht="16.5" customHeight="1">
      <c r="A3" s="215">
        <v>1</v>
      </c>
      <c r="B3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Bottom20</v>
      </c>
      <c r="C3" s="187"/>
      <c r="D3" s="185" t="s">
        <v>277</v>
      </c>
      <c r="E3" s="186"/>
      <c r="F3" s="187"/>
      <c r="G3" s="185" t="s">
        <v>284</v>
      </c>
      <c r="H3" s="186"/>
      <c r="I3" s="187"/>
      <c r="J3" s="185" t="s">
        <v>291</v>
      </c>
      <c r="K3" s="186"/>
      <c r="L3" s="187"/>
      <c r="M3" s="185" t="s">
        <v>298</v>
      </c>
      <c r="N3" s="186"/>
      <c r="O3" s="187"/>
    </row>
    <row r="4" spans="1:15" ht="16.5" customHeight="1" thickBot="1">
      <c r="A4" s="216"/>
      <c r="B4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1,346,885 KRW (44.90%)</v>
      </c>
      <c r="C4" s="180"/>
      <c r="D4" s="178" t="str">
        <f ca="1" xml:space="preserve"> TEXT($F$92, "#,##0") &amp; " KRW (" &amp; TEXT($E$92, "0.00%)")</f>
        <v>966,165 KRW (32.21%)</v>
      </c>
      <c r="E4" s="179"/>
      <c r="F4" s="180"/>
      <c r="G4" s="178" t="str">
        <f ca="1" xml:space="preserve"> TEXT($I$92, "#,##0") &amp; " KRW (" &amp; TEXT($H$92, "0.00%)")</f>
        <v>825,567 KRW (27.52%)</v>
      </c>
      <c r="H4" s="179"/>
      <c r="I4" s="180"/>
      <c r="J4" s="178" t="str">
        <f ca="1" xml:space="preserve"> TEXT($L$92, "#,##0") &amp; " KRW (" &amp; TEXT($K$92, "0.00%)")</f>
        <v>1,092,128 KRW (36.40%)</v>
      </c>
      <c r="K4" s="179"/>
      <c r="L4" s="180"/>
      <c r="M4" s="178" t="str">
        <f ca="1" xml:space="preserve"> TEXT($O$92, "#,##0") &amp; " KRW (" &amp; TEXT($N$92, "0.00%)")</f>
        <v>847,674 KRW (28.26%)</v>
      </c>
      <c r="N4" s="179"/>
      <c r="O4" s="180"/>
    </row>
    <row r="5" spans="1:15" ht="16.5" customHeight="1">
      <c r="A5" s="215">
        <v>2</v>
      </c>
      <c r="B5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전일대비 상승률 Bottom20</v>
      </c>
      <c r="C5" s="187"/>
      <c r="D5" s="185" t="s">
        <v>278</v>
      </c>
      <c r="E5" s="186"/>
      <c r="F5" s="187"/>
      <c r="G5" s="185" t="s">
        <v>285</v>
      </c>
      <c r="H5" s="186"/>
      <c r="I5" s="187"/>
      <c r="J5" s="185" t="s">
        <v>292</v>
      </c>
      <c r="K5" s="186"/>
      <c r="L5" s="187"/>
      <c r="M5" s="185" t="s">
        <v>299</v>
      </c>
      <c r="N5" s="186"/>
      <c r="O5" s="187"/>
    </row>
    <row r="6" spans="1:15" ht="16.5" customHeight="1" thickBot="1">
      <c r="A6" s="216"/>
      <c r="B6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1,309,367 KRW (43.65%)</v>
      </c>
      <c r="C6" s="180"/>
      <c r="D6" s="178" t="str">
        <f ca="1" xml:space="preserve"> TEXT($F$130, "#,##0") &amp; " KRW (" &amp; TEXT($E$130, "0.00%)")</f>
        <v>982,081 KRW (32.74%)</v>
      </c>
      <c r="E6" s="179"/>
      <c r="F6" s="180"/>
      <c r="G6" s="178" t="str">
        <f ca="1" xml:space="preserve"> TEXT($I$130, "#,##0") &amp; " KRW (" &amp; TEXT($H$130, "0.00%)")</f>
        <v>890,278 KRW (29.68%)</v>
      </c>
      <c r="H6" s="179"/>
      <c r="I6" s="180"/>
      <c r="J6" s="178" t="str">
        <f ca="1" xml:space="preserve"> TEXT($L$130, "#,##0") &amp; " KRW (" &amp; TEXT($K$130, "0.00%)")</f>
        <v>998,016 KRW (33.27%)</v>
      </c>
      <c r="K6" s="179"/>
      <c r="L6" s="180"/>
      <c r="M6" s="178" t="str">
        <f ca="1" xml:space="preserve"> TEXT($O$130, "#,##0") &amp; " KRW (" &amp; TEXT($N$130, "0.00%)")</f>
        <v>986,481 KRW (32.88%)</v>
      </c>
      <c r="N6" s="179"/>
      <c r="O6" s="180"/>
    </row>
    <row r="7" spans="1:15" ht="16.5" customHeight="1">
      <c r="A7" s="215">
        <v>3</v>
      </c>
      <c r="B7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Bottom20</v>
      </c>
      <c r="C7" s="187"/>
      <c r="D7" s="185" t="s">
        <v>279</v>
      </c>
      <c r="E7" s="186"/>
      <c r="F7" s="187"/>
      <c r="G7" s="185" t="s">
        <v>286</v>
      </c>
      <c r="H7" s="186"/>
      <c r="I7" s="187"/>
      <c r="J7" s="185" t="s">
        <v>293</v>
      </c>
      <c r="K7" s="186"/>
      <c r="L7" s="187"/>
      <c r="M7" s="185" t="s">
        <v>300</v>
      </c>
      <c r="N7" s="186"/>
      <c r="O7" s="187"/>
    </row>
    <row r="8" spans="1:15" ht="16.5" customHeight="1" thickBot="1">
      <c r="A8" s="216"/>
      <c r="B8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1,276,400 KRW (42.55%)</v>
      </c>
      <c r="C8" s="180"/>
      <c r="D8" s="178" t="str">
        <f ca="1" xml:space="preserve"> TEXT($F$206, "#,##0") &amp; " KRW (" &amp; TEXT($E$206, "0.00%)")</f>
        <v>1,162,163 KRW (38.74%)</v>
      </c>
      <c r="E8" s="179"/>
      <c r="F8" s="180"/>
      <c r="G8" s="178" t="str">
        <f ca="1" xml:space="preserve"> TEXT($I$206, "#,##0") &amp; " KRW (" &amp; TEXT($H$206, "0.00%)")</f>
        <v>950,940 KRW (31.70%)</v>
      </c>
      <c r="H8" s="179"/>
      <c r="I8" s="180"/>
      <c r="J8" s="178" t="str">
        <f ca="1" xml:space="preserve"> TEXT($L$206, "#,##0") &amp; " KRW (" &amp; TEXT($K$206, "0.00%)")</f>
        <v>1,236,145 KRW (41.20%)</v>
      </c>
      <c r="K8" s="179"/>
      <c r="L8" s="180"/>
      <c r="M8" s="178" t="str">
        <f ca="1" xml:space="preserve"> TEXT($O$206, "#,##0") &amp; " KRW (" &amp; TEXT($N$206, "0.00%)")</f>
        <v>1,112,894 KRW (37.10%)</v>
      </c>
      <c r="N8" s="179"/>
      <c r="O8" s="180"/>
    </row>
    <row r="9" spans="1:15" ht="16.5" customHeight="1">
      <c r="A9" s="215">
        <v>4</v>
      </c>
      <c r="B9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187"/>
      <c r="D9" s="185" t="s">
        <v>280</v>
      </c>
      <c r="E9" s="186"/>
      <c r="F9" s="187"/>
      <c r="G9" s="185" t="s">
        <v>287</v>
      </c>
      <c r="H9" s="186"/>
      <c r="I9" s="187"/>
      <c r="J9" s="185" t="s">
        <v>294</v>
      </c>
      <c r="K9" s="186"/>
      <c r="L9" s="187"/>
      <c r="M9" s="185" t="s">
        <v>301</v>
      </c>
      <c r="N9" s="186"/>
      <c r="O9" s="187"/>
    </row>
    <row r="10" spans="1:15" ht="16.5" customHeight="1" thickBot="1">
      <c r="A10" s="216"/>
      <c r="B10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1,242,856 KRW (41.43%)</v>
      </c>
      <c r="C10" s="180"/>
      <c r="D10" s="178" t="str">
        <f ca="1" xml:space="preserve"> TEXT($F$244, "#,##0") &amp; " KRW (" &amp; TEXT($E$244, "0.00%)")</f>
        <v>1,242,856 KRW (41.43%)</v>
      </c>
      <c r="E10" s="179"/>
      <c r="F10" s="180"/>
      <c r="G10" s="178" t="str">
        <f ca="1" xml:space="preserve"> TEXT($I$244, "#,##0") &amp; " KRW (" &amp; TEXT($H$244, "0.00%)")</f>
        <v>933,621 KRW (31.12%)</v>
      </c>
      <c r="H10" s="179"/>
      <c r="I10" s="180"/>
      <c r="J10" s="178" t="str">
        <f ca="1" xml:space="preserve"> TEXT($L$244, "#,##0") &amp; " KRW (" &amp; TEXT($K$244, "0.00%)")</f>
        <v>1,099,337 KRW (36.64%)</v>
      </c>
      <c r="K10" s="179"/>
      <c r="L10" s="180"/>
      <c r="M10" s="178" t="str">
        <f ca="1" xml:space="preserve"> TEXT($O$244, "#,##0") &amp; " KRW (" &amp; TEXT($N$244, "0.00%)")</f>
        <v>1,112,835 KRW (37.09%)</v>
      </c>
      <c r="N10" s="179"/>
      <c r="O10" s="180"/>
    </row>
    <row r="11" spans="1:15" ht="16.5" customHeight="1">
      <c r="A11" s="215">
        <v>5</v>
      </c>
      <c r="B11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Bottom20</v>
      </c>
      <c r="C11" s="187"/>
      <c r="D11" s="185" t="s">
        <v>281</v>
      </c>
      <c r="E11" s="186"/>
      <c r="F11" s="187"/>
      <c r="G11" s="185" t="s">
        <v>288</v>
      </c>
      <c r="H11" s="186"/>
      <c r="I11" s="187"/>
      <c r="J11" s="185" t="s">
        <v>295</v>
      </c>
      <c r="K11" s="186"/>
      <c r="L11" s="187"/>
      <c r="M11" s="185" t="s">
        <v>302</v>
      </c>
      <c r="N11" s="186"/>
      <c r="O11" s="187"/>
    </row>
    <row r="12" spans="1:15" ht="16.5" customHeight="1" thickBot="1">
      <c r="A12" s="216"/>
      <c r="B12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1,236,145 KRW (41.20%)</v>
      </c>
      <c r="C12" s="180"/>
      <c r="D12" s="178" t="str">
        <f ca="1" xml:space="preserve"> TEXT($F$168, "#,##0") &amp; " KRW (" &amp; TEXT($E$168, "0.00%)")</f>
        <v>673,735 KRW (22.46%)</v>
      </c>
      <c r="E12" s="179"/>
      <c r="F12" s="180"/>
      <c r="G12" s="178" t="str">
        <f ca="1" xml:space="preserve"> TEXT($I$168, "#,##0") &amp; " KRW (" &amp; TEXT($H$168, "0.00%)")</f>
        <v>501,723 KRW (16.72%)</v>
      </c>
      <c r="H12" s="179"/>
      <c r="I12" s="180"/>
      <c r="J12" s="178" t="str">
        <f ca="1" xml:space="preserve"> TEXT($L$168, "#,##0") &amp; " KRW (" &amp; TEXT($K$168, "0.00%)")</f>
        <v>545,680 KRW (18.19%)</v>
      </c>
      <c r="K12" s="179"/>
      <c r="L12" s="180"/>
      <c r="M12" s="178" t="str">
        <f ca="1" xml:space="preserve"> TEXT($O$168, "#,##0") &amp; " KRW (" &amp; TEXT($N$168, "0.00%)")</f>
        <v>478,919 KRW (15.96%)</v>
      </c>
      <c r="N12" s="179"/>
      <c r="O12" s="180"/>
    </row>
    <row r="13" spans="1:15" ht="16.5" customHeight="1">
      <c r="A13" s="215">
        <v>6</v>
      </c>
      <c r="B13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187"/>
      <c r="D13" s="185" t="s">
        <v>282</v>
      </c>
      <c r="E13" s="186"/>
      <c r="F13" s="187"/>
      <c r="G13" s="185" t="s">
        <v>289</v>
      </c>
      <c r="H13" s="186"/>
      <c r="I13" s="187"/>
      <c r="J13" s="185" t="s">
        <v>296</v>
      </c>
      <c r="K13" s="186"/>
      <c r="L13" s="187"/>
      <c r="M13" s="185" t="s">
        <v>303</v>
      </c>
      <c r="N13" s="186"/>
      <c r="O13" s="187"/>
    </row>
    <row r="14" spans="1:15" ht="16.5" customHeight="1" thickBot="1">
      <c r="A14" s="216"/>
      <c r="B14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1,162,163 KRW (38.74%)</v>
      </c>
      <c r="C14" s="180"/>
      <c r="D14" s="178" t="str">
        <f ca="1" xml:space="preserve"> TEXT($F$282, "#,##0") &amp; " KRW (" &amp; TEXT($E$282, "0.00%)")</f>
        <v>1,346,885 KRW (44.90%)</v>
      </c>
      <c r="E14" s="179"/>
      <c r="F14" s="180"/>
      <c r="G14" s="178" t="str">
        <f ca="1" xml:space="preserve"> TEXT($I$282, "#,##0") &amp; " KRW (" &amp; TEXT($H$282, "0.00%)")</f>
        <v>1,077,864 KRW (35.93%)</v>
      </c>
      <c r="H14" s="179"/>
      <c r="I14" s="180"/>
      <c r="J14" s="178" t="str">
        <f ca="1" xml:space="preserve"> TEXT($L$282, "#,##0") &amp; " KRW (" &amp; TEXT($K$282, "0.00%)")</f>
        <v>1,309,367 KRW (43.65%)</v>
      </c>
      <c r="K14" s="179"/>
      <c r="L14" s="180"/>
      <c r="M14" s="178" t="str">
        <f ca="1" xml:space="preserve"> TEXT($O$282, "#,##0") &amp; " KRW (" &amp; TEXT($N$282, "0.00%)")</f>
        <v>1,276,400 KRW (42.55%)</v>
      </c>
      <c r="N14" s="179"/>
      <c r="O14" s="180"/>
    </row>
    <row r="15" spans="1:15" ht="16.5" customHeight="1">
      <c r="A15" s="215">
        <v>7</v>
      </c>
      <c r="B15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Bottom20</v>
      </c>
      <c r="C15" s="187"/>
      <c r="D15" s="185" t="s">
        <v>283</v>
      </c>
      <c r="E15" s="186"/>
      <c r="F15" s="187"/>
      <c r="G15" s="185" t="s">
        <v>290</v>
      </c>
      <c r="H15" s="186"/>
      <c r="I15" s="187"/>
      <c r="J15" s="185" t="s">
        <v>297</v>
      </c>
      <c r="K15" s="186"/>
      <c r="L15" s="187"/>
      <c r="M15" s="185" t="s">
        <v>304</v>
      </c>
      <c r="N15" s="186"/>
      <c r="O15" s="187"/>
    </row>
    <row r="16" spans="1:15" ht="16.5" customHeight="1" thickBot="1">
      <c r="A16" s="216"/>
      <c r="B16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1,112,894 KRW (37.10%)</v>
      </c>
      <c r="C16" s="180"/>
      <c r="D16" s="178" t="str">
        <f ca="1" xml:space="preserve"> TEXT($F$54, "#,##0") &amp; " KRW (" &amp; TEXT($E$54, "0.00%)")</f>
        <v>0 KRW (0.00%)</v>
      </c>
      <c r="E16" s="179"/>
      <c r="F16" s="180"/>
      <c r="G16" s="178" t="str">
        <f ca="1" xml:space="preserve"> TEXT($I$54, "#,##0") &amp; " KRW (" &amp; TEXT($H$54, "0.00%)")</f>
        <v>0 KRW (0.00%)</v>
      </c>
      <c r="H16" s="179"/>
      <c r="I16" s="180"/>
      <c r="J16" s="178" t="str">
        <f ca="1" xml:space="preserve"> TEXT($L$54, "#,##0") &amp; " KRW (" &amp; TEXT($K$54, "0.00%)")</f>
        <v>0 KRW (0.00%)</v>
      </c>
      <c r="K16" s="179"/>
      <c r="L16" s="180"/>
      <c r="M16" s="178" t="str">
        <f ca="1" xml:space="preserve"> TEXT($O$54, "#,##0") &amp; " KRW (" &amp; TEXT($N$54, "0.00%)")</f>
        <v>0 KRW (0.00%)</v>
      </c>
      <c r="N16" s="179"/>
      <c r="O16" s="180"/>
    </row>
    <row r="18" spans="1:15" ht="16.5" customHeight="1" thickBot="1"/>
    <row r="19" spans="1:15" ht="16.5" customHeight="1" thickBot="1">
      <c r="A19" s="157" t="str">
        <f>TEXT(투자전략!$G$1, "[$-ko-KR]yyyy년 mm월 ") &amp; "실거래 월말결산"</f>
        <v>2023년 01월 실거래 월말결산</v>
      </c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9"/>
    </row>
    <row r="20" spans="1:15" ht="16.5" customHeight="1" thickBot="1">
      <c r="A20" s="201" t="s">
        <v>271</v>
      </c>
      <c r="B20" s="178" t="s">
        <v>269</v>
      </c>
      <c r="C20" s="180"/>
      <c r="D20" s="178" t="s">
        <v>261</v>
      </c>
      <c r="E20" s="179"/>
      <c r="F20" s="180"/>
      <c r="G20" s="178" t="s">
        <v>262</v>
      </c>
      <c r="H20" s="179"/>
      <c r="I20" s="180"/>
      <c r="J20" s="178" t="s">
        <v>263</v>
      </c>
      <c r="K20" s="179"/>
      <c r="L20" s="180"/>
      <c r="M20" s="178" t="s">
        <v>264</v>
      </c>
      <c r="N20" s="179"/>
      <c r="O20" s="180"/>
    </row>
    <row r="21" spans="1:15" ht="16.5" customHeight="1" thickBot="1">
      <c r="A21" s="194"/>
      <c r="B21" s="46" t="s">
        <v>259</v>
      </c>
      <c r="C21" s="46" t="s">
        <v>42</v>
      </c>
      <c r="D21" s="105" t="s">
        <v>260</v>
      </c>
      <c r="E21" s="106" t="s">
        <v>40</v>
      </c>
      <c r="F21" s="81" t="s">
        <v>41</v>
      </c>
      <c r="G21" s="105" t="s">
        <v>260</v>
      </c>
      <c r="H21" s="106" t="s">
        <v>40</v>
      </c>
      <c r="I21" s="81" t="s">
        <v>41</v>
      </c>
      <c r="J21" s="105" t="s">
        <v>260</v>
      </c>
      <c r="K21" s="106" t="s">
        <v>40</v>
      </c>
      <c r="L21" s="81" t="s">
        <v>41</v>
      </c>
      <c r="M21" s="105" t="s">
        <v>260</v>
      </c>
      <c r="N21" s="106" t="s">
        <v>40</v>
      </c>
      <c r="O21" s="81" t="s">
        <v>41</v>
      </c>
    </row>
    <row r="22" spans="1:15" ht="16.5" customHeight="1">
      <c r="A22" s="46">
        <v>1</v>
      </c>
      <c r="B22" s="126" t="str">
        <f>HYPERLINK("#'" &amp; TEXT(투자전략!$G$1+0, "[$-ko-KR]yyyy.mm.dd") &amp; "'!A13:O37", TEXT(투자전략!$G$1+0, "[$-ko-KR]yyyy.mm.dd"))</f>
        <v>2023.01.01</v>
      </c>
      <c r="C22" s="117">
        <f ca="1">IFERROR(COUNTA(INDIRECT($B22&amp;"!A17:A36")) * INDIRECT($B22&amp;"!B37"), "")</f>
        <v>0</v>
      </c>
      <c r="D22" s="125">
        <f ca="1">IFERROR($C22 * (1 + E22), "")</f>
        <v>0</v>
      </c>
      <c r="E22" s="69">
        <f ca="1">IFERROR(INDIRECT($B22&amp;"!E37"), "")</f>
        <v>0</v>
      </c>
      <c r="F22" s="124">
        <f ca="1">IFERROR(INDIRECT($B22&amp;"!F37"), "")</f>
        <v>0</v>
      </c>
      <c r="G22" s="125">
        <f ca="1">IFERROR($C22 * (1 + H22), "")</f>
        <v>0</v>
      </c>
      <c r="H22" s="69">
        <f ca="1">IFERROR(INDIRECT($B22&amp;"!H37"), "")</f>
        <v>0</v>
      </c>
      <c r="I22" s="124">
        <f ca="1">IFERROR(INDIRECT($B22&amp;"!I37"), "")</f>
        <v>0</v>
      </c>
      <c r="J22" s="125">
        <f ca="1">IFERROR($C22 * (1 + K22), "")</f>
        <v>0</v>
      </c>
      <c r="K22" s="69">
        <f ca="1">IFERROR(INDIRECT($B22&amp;"!K37"), "")</f>
        <v>0</v>
      </c>
      <c r="L22" s="124">
        <f ca="1">IFERROR(INDIRECT($B22&amp;"!L37"), "")</f>
        <v>0</v>
      </c>
      <c r="M22" s="125">
        <f ca="1">IFERROR($C22 * (1 + N22), "")</f>
        <v>0</v>
      </c>
      <c r="N22" s="69">
        <f ca="1">IFERROR(INDIRECT($B22&amp;"!N37"), "")</f>
        <v>0</v>
      </c>
      <c r="O22" s="124">
        <f ca="1">IFERROR(INDIRECT($B22&amp;"!O37"), "")</f>
        <v>0</v>
      </c>
    </row>
    <row r="23" spans="1:15" ht="16.5" customHeight="1">
      <c r="A23" s="47">
        <v>2</v>
      </c>
      <c r="B23" s="127" t="str">
        <f>HYPERLINK("#'" &amp; TEXT(투자전략!$G$1+1, "[$-ko-KR]yyyy.mm.dd") &amp; "'!A13:O37", TEXT(투자전략!$G$1+1, "[$-ko-KR]yyyy.mm.dd"))</f>
        <v>2023.01.02</v>
      </c>
      <c r="C23" s="118">
        <f t="shared" ref="C23:C52" ca="1" si="0">IFERROR(COUNTA(INDIRECT($B23&amp;"!A17:A36")) * INDIRECT($B23&amp;"!B37"), "")</f>
        <v>0</v>
      </c>
      <c r="D23" s="122">
        <f t="shared" ref="D23:D52" ca="1" si="1">IFERROR($C23 * (1 + E23), "")</f>
        <v>0</v>
      </c>
      <c r="E23" s="70">
        <f t="shared" ref="E23:E52" ca="1" si="2">IFERROR(INDIRECT($B23&amp;"!E37"), "")</f>
        <v>0</v>
      </c>
      <c r="F23" s="120">
        <f t="shared" ref="F23:F52" ca="1" si="3">IFERROR(INDIRECT($B23&amp;"!F37"), "")</f>
        <v>0</v>
      </c>
      <c r="G23" s="122">
        <f t="shared" ref="G23:G52" ca="1" si="4">IFERROR($C23 * (1 + H23), "")</f>
        <v>0</v>
      </c>
      <c r="H23" s="70">
        <f t="shared" ref="H23:H52" ca="1" si="5">IFERROR(INDIRECT($B23&amp;"!H37"), "")</f>
        <v>0</v>
      </c>
      <c r="I23" s="120">
        <f t="shared" ref="I23:I52" ca="1" si="6">IFERROR(INDIRECT($B23&amp;"!I37"), "")</f>
        <v>0</v>
      </c>
      <c r="J23" s="122">
        <f t="shared" ref="J23:J52" ca="1" si="7">IFERROR($C23 * (1 + K23), "")</f>
        <v>0</v>
      </c>
      <c r="K23" s="70">
        <f t="shared" ref="K23:K52" ca="1" si="8">IFERROR(INDIRECT($B23&amp;"!K37"), "")</f>
        <v>0</v>
      </c>
      <c r="L23" s="120">
        <f t="shared" ref="L23:L52" ca="1" si="9">IFERROR(INDIRECT($B23&amp;"!L37"), "")</f>
        <v>0</v>
      </c>
      <c r="M23" s="122">
        <f t="shared" ref="M23:M52" ca="1" si="10">IFERROR($C23 * (1 + N23), "")</f>
        <v>0</v>
      </c>
      <c r="N23" s="70">
        <f t="shared" ref="N23:N52" ca="1" si="11">IFERROR(INDIRECT($B23&amp;"!N37"), "")</f>
        <v>0</v>
      </c>
      <c r="O23" s="120">
        <f t="shared" ref="O23:O52" ca="1" si="12">IFERROR(INDIRECT($B23&amp;"!O37"), "")</f>
        <v>0</v>
      </c>
    </row>
    <row r="24" spans="1:15" ht="16.5" customHeight="1">
      <c r="A24" s="47">
        <v>3</v>
      </c>
      <c r="B24" s="127" t="str">
        <f>HYPERLINK("#'" &amp; TEXT(투자전략!$G$1+2, "[$-ko-KR]yyyy.mm.dd") &amp; "'!A13:O37", TEXT(투자전략!$G$1+2, "[$-ko-KR]yyyy.mm.dd"))</f>
        <v>2023.01.03</v>
      </c>
      <c r="C24" s="118">
        <f t="shared" ca="1" si="0"/>
        <v>0</v>
      </c>
      <c r="D24" s="122">
        <f t="shared" ca="1" si="1"/>
        <v>0</v>
      </c>
      <c r="E24" s="70">
        <f t="shared" ca="1" si="2"/>
        <v>0</v>
      </c>
      <c r="F24" s="120">
        <f t="shared" ca="1" si="3"/>
        <v>0</v>
      </c>
      <c r="G24" s="122">
        <f t="shared" ca="1" si="4"/>
        <v>0</v>
      </c>
      <c r="H24" s="70">
        <f t="shared" ca="1" si="5"/>
        <v>0</v>
      </c>
      <c r="I24" s="120">
        <f t="shared" ca="1" si="6"/>
        <v>0</v>
      </c>
      <c r="J24" s="122">
        <f t="shared" ca="1" si="7"/>
        <v>0</v>
      </c>
      <c r="K24" s="70">
        <f t="shared" ca="1" si="8"/>
        <v>0</v>
      </c>
      <c r="L24" s="120">
        <f t="shared" ca="1" si="9"/>
        <v>0</v>
      </c>
      <c r="M24" s="122">
        <f t="shared" ca="1" si="10"/>
        <v>0</v>
      </c>
      <c r="N24" s="70">
        <f t="shared" ca="1" si="11"/>
        <v>0</v>
      </c>
      <c r="O24" s="120">
        <f t="shared" ca="1" si="12"/>
        <v>0</v>
      </c>
    </row>
    <row r="25" spans="1:15" ht="16.5" customHeight="1">
      <c r="A25" s="47">
        <v>4</v>
      </c>
      <c r="B25" s="127" t="str">
        <f>HYPERLINK("#'" &amp; TEXT(투자전략!$G$1+3, "[$-ko-KR]yyyy.mm.dd") &amp; "'!A13:O37", TEXT(투자전략!$G$1+3, "[$-ko-KR]yyyy.mm.dd"))</f>
        <v>2023.01.04</v>
      </c>
      <c r="C25" s="118">
        <f t="shared" ca="1" si="0"/>
        <v>0</v>
      </c>
      <c r="D25" s="122">
        <f t="shared" ca="1" si="1"/>
        <v>0</v>
      </c>
      <c r="E25" s="70">
        <f t="shared" ca="1" si="2"/>
        <v>0</v>
      </c>
      <c r="F25" s="120">
        <f t="shared" ca="1" si="3"/>
        <v>0</v>
      </c>
      <c r="G25" s="122">
        <f t="shared" ca="1" si="4"/>
        <v>0</v>
      </c>
      <c r="H25" s="70">
        <f t="shared" ca="1" si="5"/>
        <v>0</v>
      </c>
      <c r="I25" s="120">
        <f t="shared" ca="1" si="6"/>
        <v>0</v>
      </c>
      <c r="J25" s="122">
        <f t="shared" ca="1" si="7"/>
        <v>0</v>
      </c>
      <c r="K25" s="70">
        <f t="shared" ca="1" si="8"/>
        <v>0</v>
      </c>
      <c r="L25" s="120">
        <f t="shared" ca="1" si="9"/>
        <v>0</v>
      </c>
      <c r="M25" s="122">
        <f t="shared" ca="1" si="10"/>
        <v>0</v>
      </c>
      <c r="N25" s="70">
        <f t="shared" ca="1" si="11"/>
        <v>0</v>
      </c>
      <c r="O25" s="120">
        <f t="shared" ca="1" si="12"/>
        <v>0</v>
      </c>
    </row>
    <row r="26" spans="1:15" ht="16.5" customHeight="1">
      <c r="A26" s="47">
        <v>5</v>
      </c>
      <c r="B26" s="127" t="str">
        <f>HYPERLINK("#'" &amp; TEXT(투자전략!$G$1+4, "[$-ko-KR]yyyy.mm.dd") &amp; "'!A13:O37", TEXT(투자전략!$G$1+4, "[$-ko-KR]yyyy.mm.dd"))</f>
        <v>2023.01.05</v>
      </c>
      <c r="C26" s="118">
        <f t="shared" ca="1" si="0"/>
        <v>0</v>
      </c>
      <c r="D26" s="122">
        <f t="shared" ca="1" si="1"/>
        <v>0</v>
      </c>
      <c r="E26" s="70">
        <f t="shared" ca="1" si="2"/>
        <v>0</v>
      </c>
      <c r="F26" s="120">
        <f t="shared" ca="1" si="3"/>
        <v>0</v>
      </c>
      <c r="G26" s="122">
        <f t="shared" ca="1" si="4"/>
        <v>0</v>
      </c>
      <c r="H26" s="70">
        <f t="shared" ca="1" si="5"/>
        <v>0</v>
      </c>
      <c r="I26" s="120">
        <f t="shared" ca="1" si="6"/>
        <v>0</v>
      </c>
      <c r="J26" s="122">
        <f t="shared" ca="1" si="7"/>
        <v>0</v>
      </c>
      <c r="K26" s="70">
        <f t="shared" ca="1" si="8"/>
        <v>0</v>
      </c>
      <c r="L26" s="120">
        <f t="shared" ca="1" si="9"/>
        <v>0</v>
      </c>
      <c r="M26" s="122">
        <f t="shared" ca="1" si="10"/>
        <v>0</v>
      </c>
      <c r="N26" s="70">
        <f t="shared" ca="1" si="11"/>
        <v>0</v>
      </c>
      <c r="O26" s="120">
        <f t="shared" ca="1" si="12"/>
        <v>0</v>
      </c>
    </row>
    <row r="27" spans="1:15" ht="16.5" customHeight="1">
      <c r="A27" s="47">
        <v>6</v>
      </c>
      <c r="B27" s="127" t="str">
        <f>HYPERLINK("#'" &amp; TEXT(투자전략!$G$1+5, "[$-ko-KR]yyyy.mm.dd") &amp; "'!A13:O37", TEXT(투자전략!$G$1+5, "[$-ko-KR]yyyy.mm.dd"))</f>
        <v>2023.01.06</v>
      </c>
      <c r="C27" s="118">
        <f t="shared" ca="1" si="0"/>
        <v>0</v>
      </c>
      <c r="D27" s="122">
        <f t="shared" ca="1" si="1"/>
        <v>0</v>
      </c>
      <c r="E27" s="70">
        <f t="shared" ca="1" si="2"/>
        <v>0</v>
      </c>
      <c r="F27" s="120">
        <f t="shared" ca="1" si="3"/>
        <v>0</v>
      </c>
      <c r="G27" s="122">
        <f t="shared" ca="1" si="4"/>
        <v>0</v>
      </c>
      <c r="H27" s="70">
        <f t="shared" ca="1" si="5"/>
        <v>0</v>
      </c>
      <c r="I27" s="120">
        <f t="shared" ca="1" si="6"/>
        <v>0</v>
      </c>
      <c r="J27" s="122">
        <f t="shared" ca="1" si="7"/>
        <v>0</v>
      </c>
      <c r="K27" s="70">
        <f t="shared" ca="1" si="8"/>
        <v>0</v>
      </c>
      <c r="L27" s="120">
        <f t="shared" ca="1" si="9"/>
        <v>0</v>
      </c>
      <c r="M27" s="122">
        <f t="shared" ca="1" si="10"/>
        <v>0</v>
      </c>
      <c r="N27" s="70">
        <f t="shared" ca="1" si="11"/>
        <v>0</v>
      </c>
      <c r="O27" s="120">
        <f t="shared" ca="1" si="12"/>
        <v>0</v>
      </c>
    </row>
    <row r="28" spans="1:15" ht="16.5" customHeight="1" thickBot="1">
      <c r="A28" s="48">
        <v>7</v>
      </c>
      <c r="B28" s="128" t="str">
        <f>HYPERLINK("#'" &amp; TEXT(투자전략!$G$1+6, "[$-ko-KR]yyyy.mm.dd") &amp; "'!A13:O37", TEXT(투자전략!$G$1+6, "[$-ko-KR]yyyy.mm.dd"))</f>
        <v>2023.01.07</v>
      </c>
      <c r="C28" s="119">
        <f t="shared" ca="1" si="0"/>
        <v>0</v>
      </c>
      <c r="D28" s="123">
        <f t="shared" ca="1" si="1"/>
        <v>0</v>
      </c>
      <c r="E28" s="72">
        <f t="shared" ca="1" si="2"/>
        <v>0</v>
      </c>
      <c r="F28" s="121">
        <f t="shared" ca="1" si="3"/>
        <v>0</v>
      </c>
      <c r="G28" s="123">
        <f t="shared" ca="1" si="4"/>
        <v>0</v>
      </c>
      <c r="H28" s="72">
        <f t="shared" ca="1" si="5"/>
        <v>0</v>
      </c>
      <c r="I28" s="121">
        <f t="shared" ca="1" si="6"/>
        <v>0</v>
      </c>
      <c r="J28" s="123">
        <f t="shared" ca="1" si="7"/>
        <v>0</v>
      </c>
      <c r="K28" s="72">
        <f t="shared" ca="1" si="8"/>
        <v>0</v>
      </c>
      <c r="L28" s="121">
        <f t="shared" ca="1" si="9"/>
        <v>0</v>
      </c>
      <c r="M28" s="123">
        <f t="shared" ca="1" si="10"/>
        <v>0</v>
      </c>
      <c r="N28" s="72">
        <f t="shared" ca="1" si="11"/>
        <v>0</v>
      </c>
      <c r="O28" s="121">
        <f t="shared" ca="1" si="12"/>
        <v>0</v>
      </c>
    </row>
    <row r="29" spans="1:15" ht="16.5" customHeight="1">
      <c r="A29" s="46">
        <v>8</v>
      </c>
      <c r="B29" s="126" t="str">
        <f>HYPERLINK("#'" &amp; TEXT(투자전략!$G$1+7, "[$-ko-KR]yyyy.mm.dd") &amp; "'!A13:O37", TEXT(투자전략!$G$1+7, "[$-ko-KR]yyyy.mm.dd"))</f>
        <v>2023.01.08</v>
      </c>
      <c r="C29" s="117">
        <f t="shared" ca="1" si="0"/>
        <v>0</v>
      </c>
      <c r="D29" s="125">
        <f t="shared" ca="1" si="1"/>
        <v>0</v>
      </c>
      <c r="E29" s="69">
        <f t="shared" ca="1" si="2"/>
        <v>0</v>
      </c>
      <c r="F29" s="124">
        <f t="shared" ca="1" si="3"/>
        <v>0</v>
      </c>
      <c r="G29" s="125">
        <f t="shared" ca="1" si="4"/>
        <v>0</v>
      </c>
      <c r="H29" s="69">
        <f t="shared" ca="1" si="5"/>
        <v>0</v>
      </c>
      <c r="I29" s="124">
        <f t="shared" ca="1" si="6"/>
        <v>0</v>
      </c>
      <c r="J29" s="125">
        <f t="shared" ca="1" si="7"/>
        <v>0</v>
      </c>
      <c r="K29" s="69">
        <f t="shared" ca="1" si="8"/>
        <v>0</v>
      </c>
      <c r="L29" s="124">
        <f t="shared" ca="1" si="9"/>
        <v>0</v>
      </c>
      <c r="M29" s="125">
        <f t="shared" ca="1" si="10"/>
        <v>0</v>
      </c>
      <c r="N29" s="69">
        <f t="shared" ca="1" si="11"/>
        <v>0</v>
      </c>
      <c r="O29" s="124">
        <f t="shared" ca="1" si="12"/>
        <v>0</v>
      </c>
    </row>
    <row r="30" spans="1:15" ht="16.5" customHeight="1">
      <c r="A30" s="47">
        <v>9</v>
      </c>
      <c r="B30" s="127" t="str">
        <f>HYPERLINK("#'" &amp; TEXT(투자전략!$G$1+8, "[$-ko-KR]yyyy.mm.dd") &amp; "'!A13:O37", TEXT(투자전략!$G$1+8, "[$-ko-KR]yyyy.mm.dd"))</f>
        <v>2023.01.09</v>
      </c>
      <c r="C30" s="118" t="str">
        <f t="shared" ca="1" si="0"/>
        <v/>
      </c>
      <c r="D30" s="122" t="str">
        <f t="shared" ca="1" si="1"/>
        <v/>
      </c>
      <c r="E30" s="70" t="str">
        <f t="shared" ca="1" si="2"/>
        <v/>
      </c>
      <c r="F30" s="120" t="str">
        <f t="shared" ca="1" si="3"/>
        <v/>
      </c>
      <c r="G30" s="122" t="str">
        <f t="shared" ca="1" si="4"/>
        <v/>
      </c>
      <c r="H30" s="70" t="str">
        <f t="shared" ca="1" si="5"/>
        <v/>
      </c>
      <c r="I30" s="120" t="str">
        <f t="shared" ca="1" si="6"/>
        <v/>
      </c>
      <c r="J30" s="122" t="str">
        <f t="shared" ca="1" si="7"/>
        <v/>
      </c>
      <c r="K30" s="70" t="str">
        <f t="shared" ca="1" si="8"/>
        <v/>
      </c>
      <c r="L30" s="120" t="str">
        <f t="shared" ca="1" si="9"/>
        <v/>
      </c>
      <c r="M30" s="122" t="str">
        <f t="shared" ca="1" si="10"/>
        <v/>
      </c>
      <c r="N30" s="70" t="str">
        <f t="shared" ca="1" si="11"/>
        <v/>
      </c>
      <c r="O30" s="120" t="str">
        <f t="shared" ca="1" si="12"/>
        <v/>
      </c>
    </row>
    <row r="31" spans="1:15" ht="16.5" customHeight="1">
      <c r="A31" s="47">
        <v>10</v>
      </c>
      <c r="B31" s="127" t="str">
        <f>HYPERLINK("#'" &amp; TEXT(투자전략!$G$1+9, "[$-ko-KR]yyyy.mm.dd") &amp; "'!A13:O37", TEXT(투자전략!$G$1+9, "[$-ko-KR]yyyy.mm.dd"))</f>
        <v>2023.01.10</v>
      </c>
      <c r="C31" s="118" t="str">
        <f t="shared" ca="1" si="0"/>
        <v/>
      </c>
      <c r="D31" s="122" t="str">
        <f t="shared" ca="1" si="1"/>
        <v/>
      </c>
      <c r="E31" s="70" t="str">
        <f t="shared" ca="1" si="2"/>
        <v/>
      </c>
      <c r="F31" s="120" t="str">
        <f t="shared" ca="1" si="3"/>
        <v/>
      </c>
      <c r="G31" s="122" t="str">
        <f t="shared" ca="1" si="4"/>
        <v/>
      </c>
      <c r="H31" s="70" t="str">
        <f t="shared" ca="1" si="5"/>
        <v/>
      </c>
      <c r="I31" s="120" t="str">
        <f t="shared" ca="1" si="6"/>
        <v/>
      </c>
      <c r="J31" s="122" t="str">
        <f t="shared" ca="1" si="7"/>
        <v/>
      </c>
      <c r="K31" s="70" t="str">
        <f t="shared" ca="1" si="8"/>
        <v/>
      </c>
      <c r="L31" s="120" t="str">
        <f t="shared" ca="1" si="9"/>
        <v/>
      </c>
      <c r="M31" s="122" t="str">
        <f t="shared" ca="1" si="10"/>
        <v/>
      </c>
      <c r="N31" s="70" t="str">
        <f t="shared" ca="1" si="11"/>
        <v/>
      </c>
      <c r="O31" s="120" t="str">
        <f t="shared" ca="1" si="12"/>
        <v/>
      </c>
    </row>
    <row r="32" spans="1:15" ht="16.5" customHeight="1">
      <c r="A32" s="47">
        <v>11</v>
      </c>
      <c r="B32" s="127" t="str">
        <f>HYPERLINK("#'" &amp; TEXT(투자전략!$G$1+10, "[$-ko-KR]yyyy.mm.dd") &amp; "'!A13:O37", TEXT(투자전략!$G$1+10, "[$-ko-KR]yyyy.mm.dd"))</f>
        <v>2023.01.11</v>
      </c>
      <c r="C32" s="118" t="str">
        <f t="shared" ca="1" si="0"/>
        <v/>
      </c>
      <c r="D32" s="122" t="str">
        <f t="shared" ca="1" si="1"/>
        <v/>
      </c>
      <c r="E32" s="70" t="str">
        <f t="shared" ca="1" si="2"/>
        <v/>
      </c>
      <c r="F32" s="120" t="str">
        <f t="shared" ca="1" si="3"/>
        <v/>
      </c>
      <c r="G32" s="122" t="str">
        <f t="shared" ca="1" si="4"/>
        <v/>
      </c>
      <c r="H32" s="70" t="str">
        <f t="shared" ca="1" si="5"/>
        <v/>
      </c>
      <c r="I32" s="120" t="str">
        <f t="shared" ca="1" si="6"/>
        <v/>
      </c>
      <c r="J32" s="122" t="str">
        <f t="shared" ca="1" si="7"/>
        <v/>
      </c>
      <c r="K32" s="70" t="str">
        <f t="shared" ca="1" si="8"/>
        <v/>
      </c>
      <c r="L32" s="120" t="str">
        <f t="shared" ca="1" si="9"/>
        <v/>
      </c>
      <c r="M32" s="122" t="str">
        <f t="shared" ca="1" si="10"/>
        <v/>
      </c>
      <c r="N32" s="70" t="str">
        <f t="shared" ca="1" si="11"/>
        <v/>
      </c>
      <c r="O32" s="120" t="str">
        <f t="shared" ca="1" si="12"/>
        <v/>
      </c>
    </row>
    <row r="33" spans="1:15" ht="16.5" customHeight="1">
      <c r="A33" s="47">
        <v>12</v>
      </c>
      <c r="B33" s="127" t="str">
        <f>HYPERLINK("#'" &amp; TEXT(투자전략!$G$1+11, "[$-ko-KR]yyyy.mm.dd") &amp; "'!A13:O37", TEXT(투자전략!$G$1+11, "[$-ko-KR]yyyy.mm.dd"))</f>
        <v>2023.01.12</v>
      </c>
      <c r="C33" s="118" t="str">
        <f t="shared" ca="1" si="0"/>
        <v/>
      </c>
      <c r="D33" s="122" t="str">
        <f t="shared" ca="1" si="1"/>
        <v/>
      </c>
      <c r="E33" s="70" t="str">
        <f t="shared" ca="1" si="2"/>
        <v/>
      </c>
      <c r="F33" s="120" t="str">
        <f t="shared" ca="1" si="3"/>
        <v/>
      </c>
      <c r="G33" s="122" t="str">
        <f t="shared" ca="1" si="4"/>
        <v/>
      </c>
      <c r="H33" s="70" t="str">
        <f t="shared" ca="1" si="5"/>
        <v/>
      </c>
      <c r="I33" s="120" t="str">
        <f t="shared" ca="1" si="6"/>
        <v/>
      </c>
      <c r="J33" s="122" t="str">
        <f t="shared" ca="1" si="7"/>
        <v/>
      </c>
      <c r="K33" s="70" t="str">
        <f t="shared" ca="1" si="8"/>
        <v/>
      </c>
      <c r="L33" s="120" t="str">
        <f t="shared" ca="1" si="9"/>
        <v/>
      </c>
      <c r="M33" s="122" t="str">
        <f t="shared" ca="1" si="10"/>
        <v/>
      </c>
      <c r="N33" s="70" t="str">
        <f t="shared" ca="1" si="11"/>
        <v/>
      </c>
      <c r="O33" s="120" t="str">
        <f t="shared" ca="1" si="12"/>
        <v/>
      </c>
    </row>
    <row r="34" spans="1:15" ht="16.5" customHeight="1">
      <c r="A34" s="47">
        <v>13</v>
      </c>
      <c r="B34" s="127" t="str">
        <f>HYPERLINK("#'" &amp; TEXT(투자전략!$G$1+12, "[$-ko-KR]yyyy.mm.dd") &amp; "'!A13:O37", TEXT(투자전략!$G$1+12, "[$-ko-KR]yyyy.mm.dd"))</f>
        <v>2023.01.13</v>
      </c>
      <c r="C34" s="118">
        <f t="shared" ca="1" si="0"/>
        <v>0</v>
      </c>
      <c r="D34" s="122">
        <f t="shared" ca="1" si="1"/>
        <v>0</v>
      </c>
      <c r="E34" s="70">
        <f t="shared" ca="1" si="2"/>
        <v>0</v>
      </c>
      <c r="F34" s="120">
        <f t="shared" ca="1" si="3"/>
        <v>0</v>
      </c>
      <c r="G34" s="122">
        <f t="shared" ca="1" si="4"/>
        <v>0</v>
      </c>
      <c r="H34" s="70">
        <f t="shared" ca="1" si="5"/>
        <v>0</v>
      </c>
      <c r="I34" s="120">
        <f t="shared" ca="1" si="6"/>
        <v>0</v>
      </c>
      <c r="J34" s="122">
        <f t="shared" ca="1" si="7"/>
        <v>0</v>
      </c>
      <c r="K34" s="70">
        <f t="shared" ca="1" si="8"/>
        <v>0</v>
      </c>
      <c r="L34" s="120">
        <f t="shared" ca="1" si="9"/>
        <v>0</v>
      </c>
      <c r="M34" s="122">
        <f t="shared" ca="1" si="10"/>
        <v>0</v>
      </c>
      <c r="N34" s="70">
        <f t="shared" ca="1" si="11"/>
        <v>0</v>
      </c>
      <c r="O34" s="120">
        <f t="shared" ca="1" si="12"/>
        <v>0</v>
      </c>
    </row>
    <row r="35" spans="1:15" ht="16.5" customHeight="1" thickBot="1">
      <c r="A35" s="48">
        <v>14</v>
      </c>
      <c r="B35" s="128" t="str">
        <f>HYPERLINK("#'" &amp; TEXT(투자전략!$G$1+13, "[$-ko-KR]yyyy.mm.dd") &amp; "'!A13:O37", TEXT(투자전략!$G$1+13, "[$-ko-KR]yyyy.mm.dd"))</f>
        <v>2023.01.14</v>
      </c>
      <c r="C35" s="119">
        <f t="shared" ca="1" si="0"/>
        <v>0</v>
      </c>
      <c r="D35" s="123">
        <f t="shared" ca="1" si="1"/>
        <v>0</v>
      </c>
      <c r="E35" s="72">
        <f t="shared" ca="1" si="2"/>
        <v>0</v>
      </c>
      <c r="F35" s="121">
        <f t="shared" ca="1" si="3"/>
        <v>0</v>
      </c>
      <c r="G35" s="123">
        <f t="shared" ca="1" si="4"/>
        <v>0</v>
      </c>
      <c r="H35" s="72">
        <f t="shared" ca="1" si="5"/>
        <v>0</v>
      </c>
      <c r="I35" s="121">
        <f t="shared" ca="1" si="6"/>
        <v>0</v>
      </c>
      <c r="J35" s="123">
        <f t="shared" ca="1" si="7"/>
        <v>0</v>
      </c>
      <c r="K35" s="72">
        <f t="shared" ca="1" si="8"/>
        <v>0</v>
      </c>
      <c r="L35" s="121">
        <f t="shared" ca="1" si="9"/>
        <v>0</v>
      </c>
      <c r="M35" s="123">
        <f t="shared" ca="1" si="10"/>
        <v>0</v>
      </c>
      <c r="N35" s="72">
        <f t="shared" ca="1" si="11"/>
        <v>0</v>
      </c>
      <c r="O35" s="121">
        <f t="shared" ca="1" si="12"/>
        <v>0</v>
      </c>
    </row>
    <row r="36" spans="1:15" ht="16.5" customHeight="1">
      <c r="A36" s="46">
        <v>15</v>
      </c>
      <c r="B36" s="126" t="str">
        <f>HYPERLINK("#'" &amp; TEXT(투자전략!$G$1+14, "[$-ko-KR]yyyy.mm.dd") &amp; "'!A13:O37", TEXT(투자전략!$G$1+14, "[$-ko-KR]yyyy.mm.dd"))</f>
        <v>2023.01.15</v>
      </c>
      <c r="C36" s="117">
        <f t="shared" ca="1" si="0"/>
        <v>0</v>
      </c>
      <c r="D36" s="125">
        <f t="shared" ca="1" si="1"/>
        <v>0</v>
      </c>
      <c r="E36" s="69">
        <f t="shared" ca="1" si="2"/>
        <v>0</v>
      </c>
      <c r="F36" s="124">
        <f t="shared" ca="1" si="3"/>
        <v>0</v>
      </c>
      <c r="G36" s="125">
        <f t="shared" ca="1" si="4"/>
        <v>0</v>
      </c>
      <c r="H36" s="69">
        <f t="shared" ca="1" si="5"/>
        <v>0</v>
      </c>
      <c r="I36" s="124">
        <f t="shared" ca="1" si="6"/>
        <v>0</v>
      </c>
      <c r="J36" s="125">
        <f t="shared" ca="1" si="7"/>
        <v>0</v>
      </c>
      <c r="K36" s="69">
        <f t="shared" ca="1" si="8"/>
        <v>0</v>
      </c>
      <c r="L36" s="124">
        <f t="shared" ca="1" si="9"/>
        <v>0</v>
      </c>
      <c r="M36" s="125">
        <f t="shared" ca="1" si="10"/>
        <v>0</v>
      </c>
      <c r="N36" s="69">
        <f t="shared" ca="1" si="11"/>
        <v>0</v>
      </c>
      <c r="O36" s="124">
        <f t="shared" ca="1" si="12"/>
        <v>0</v>
      </c>
    </row>
    <row r="37" spans="1:15" ht="16.5" customHeight="1">
      <c r="A37" s="47">
        <v>16</v>
      </c>
      <c r="B37" s="127" t="str">
        <f>HYPERLINK("#'" &amp; TEXT(투자전략!$G$1+15, "[$-ko-KR]yyyy.mm.dd") &amp; "'!A13:O37", TEXT(투자전략!$G$1+15, "[$-ko-KR]yyyy.mm.dd"))</f>
        <v>2023.01.16</v>
      </c>
      <c r="C37" s="118">
        <f t="shared" ca="1" si="0"/>
        <v>0</v>
      </c>
      <c r="D37" s="122">
        <f t="shared" ca="1" si="1"/>
        <v>0</v>
      </c>
      <c r="E37" s="70">
        <f t="shared" ca="1" si="2"/>
        <v>0</v>
      </c>
      <c r="F37" s="120">
        <f t="shared" ca="1" si="3"/>
        <v>0</v>
      </c>
      <c r="G37" s="122">
        <f t="shared" ca="1" si="4"/>
        <v>0</v>
      </c>
      <c r="H37" s="70">
        <f t="shared" ca="1" si="5"/>
        <v>0</v>
      </c>
      <c r="I37" s="120">
        <f t="shared" ca="1" si="6"/>
        <v>0</v>
      </c>
      <c r="J37" s="122">
        <f t="shared" ca="1" si="7"/>
        <v>0</v>
      </c>
      <c r="K37" s="70">
        <f t="shared" ca="1" si="8"/>
        <v>0</v>
      </c>
      <c r="L37" s="120">
        <f t="shared" ca="1" si="9"/>
        <v>0</v>
      </c>
      <c r="M37" s="122">
        <f t="shared" ca="1" si="10"/>
        <v>0</v>
      </c>
      <c r="N37" s="70">
        <f t="shared" ca="1" si="11"/>
        <v>0</v>
      </c>
      <c r="O37" s="120">
        <f t="shared" ca="1" si="12"/>
        <v>0</v>
      </c>
    </row>
    <row r="38" spans="1:15" ht="16.5" customHeight="1">
      <c r="A38" s="47">
        <v>17</v>
      </c>
      <c r="B38" s="127" t="str">
        <f>HYPERLINK("#'" &amp; TEXT(투자전략!$G$1+16, "[$-ko-KR]yyyy.mm.dd") &amp; "'!A13:O37", TEXT(투자전략!$G$1+16, "[$-ko-KR]yyyy.mm.dd"))</f>
        <v>2023.01.17</v>
      </c>
      <c r="C38" s="118">
        <f t="shared" ca="1" si="0"/>
        <v>0</v>
      </c>
      <c r="D38" s="122">
        <f t="shared" ca="1" si="1"/>
        <v>0</v>
      </c>
      <c r="E38" s="70">
        <f t="shared" ca="1" si="2"/>
        <v>0</v>
      </c>
      <c r="F38" s="120">
        <f t="shared" ca="1" si="3"/>
        <v>0</v>
      </c>
      <c r="G38" s="122">
        <f t="shared" ca="1" si="4"/>
        <v>0</v>
      </c>
      <c r="H38" s="70">
        <f t="shared" ca="1" si="5"/>
        <v>0</v>
      </c>
      <c r="I38" s="120">
        <f t="shared" ca="1" si="6"/>
        <v>0</v>
      </c>
      <c r="J38" s="122">
        <f t="shared" ca="1" si="7"/>
        <v>0</v>
      </c>
      <c r="K38" s="70">
        <f t="shared" ca="1" si="8"/>
        <v>0</v>
      </c>
      <c r="L38" s="120">
        <f t="shared" ca="1" si="9"/>
        <v>0</v>
      </c>
      <c r="M38" s="122">
        <f t="shared" ca="1" si="10"/>
        <v>0</v>
      </c>
      <c r="N38" s="70">
        <f t="shared" ca="1" si="11"/>
        <v>0</v>
      </c>
      <c r="O38" s="120">
        <f t="shared" ca="1" si="12"/>
        <v>0</v>
      </c>
    </row>
    <row r="39" spans="1:15" ht="16.5" customHeight="1">
      <c r="A39" s="47">
        <v>18</v>
      </c>
      <c r="B39" s="127" t="str">
        <f>HYPERLINK("#'" &amp; TEXT(투자전략!$G$1+17, "[$-ko-KR]yyyy.mm.dd") &amp; "'!A13:O37", TEXT(투자전략!$G$1+17, "[$-ko-KR]yyyy.mm.dd"))</f>
        <v>2023.01.18</v>
      </c>
      <c r="C39" s="118">
        <f t="shared" ca="1" si="0"/>
        <v>0</v>
      </c>
      <c r="D39" s="122">
        <f t="shared" ca="1" si="1"/>
        <v>0</v>
      </c>
      <c r="E39" s="70">
        <f t="shared" ca="1" si="2"/>
        <v>0</v>
      </c>
      <c r="F39" s="120">
        <f t="shared" ca="1" si="3"/>
        <v>0</v>
      </c>
      <c r="G39" s="122">
        <f t="shared" ca="1" si="4"/>
        <v>0</v>
      </c>
      <c r="H39" s="70">
        <f t="shared" ca="1" si="5"/>
        <v>0</v>
      </c>
      <c r="I39" s="120">
        <f t="shared" ca="1" si="6"/>
        <v>0</v>
      </c>
      <c r="J39" s="122">
        <f t="shared" ca="1" si="7"/>
        <v>0</v>
      </c>
      <c r="K39" s="70">
        <f t="shared" ca="1" si="8"/>
        <v>0</v>
      </c>
      <c r="L39" s="120">
        <f t="shared" ca="1" si="9"/>
        <v>0</v>
      </c>
      <c r="M39" s="122">
        <f t="shared" ca="1" si="10"/>
        <v>0</v>
      </c>
      <c r="N39" s="70">
        <f t="shared" ca="1" si="11"/>
        <v>0</v>
      </c>
      <c r="O39" s="120">
        <f t="shared" ca="1" si="12"/>
        <v>0</v>
      </c>
    </row>
    <row r="40" spans="1:15" ht="16.5" customHeight="1">
      <c r="A40" s="47">
        <v>19</v>
      </c>
      <c r="B40" s="127" t="str">
        <f>HYPERLINK("#'" &amp; TEXT(투자전략!$G$1+18, "[$-ko-KR]yyyy.mm.dd") &amp; "'!A13:O37", TEXT(투자전략!$G$1+18, "[$-ko-KR]yyyy.mm.dd"))</f>
        <v>2023.01.19</v>
      </c>
      <c r="C40" s="118">
        <f t="shared" ca="1" si="0"/>
        <v>0</v>
      </c>
      <c r="D40" s="122">
        <f t="shared" ca="1" si="1"/>
        <v>0</v>
      </c>
      <c r="E40" s="70">
        <f t="shared" ca="1" si="2"/>
        <v>0</v>
      </c>
      <c r="F40" s="120">
        <f t="shared" ca="1" si="3"/>
        <v>0</v>
      </c>
      <c r="G40" s="122">
        <f t="shared" ca="1" si="4"/>
        <v>0</v>
      </c>
      <c r="H40" s="70">
        <f t="shared" ca="1" si="5"/>
        <v>0</v>
      </c>
      <c r="I40" s="120">
        <f t="shared" ca="1" si="6"/>
        <v>0</v>
      </c>
      <c r="J40" s="122">
        <f t="shared" ca="1" si="7"/>
        <v>0</v>
      </c>
      <c r="K40" s="70">
        <f t="shared" ca="1" si="8"/>
        <v>0</v>
      </c>
      <c r="L40" s="120">
        <f t="shared" ca="1" si="9"/>
        <v>0</v>
      </c>
      <c r="M40" s="122">
        <f t="shared" ca="1" si="10"/>
        <v>0</v>
      </c>
      <c r="N40" s="70">
        <f t="shared" ca="1" si="11"/>
        <v>0</v>
      </c>
      <c r="O40" s="120">
        <f t="shared" ca="1" si="12"/>
        <v>0</v>
      </c>
    </row>
    <row r="41" spans="1:15" ht="16.5" customHeight="1">
      <c r="A41" s="47">
        <v>20</v>
      </c>
      <c r="B41" s="127" t="str">
        <f>HYPERLINK("#'" &amp; TEXT(투자전략!$G$1+19, "[$-ko-KR]yyyy.mm.dd") &amp; "'!A13:O37", TEXT(투자전략!$G$1+19, "[$-ko-KR]yyyy.mm.dd"))</f>
        <v>2023.01.20</v>
      </c>
      <c r="C41" s="118">
        <f t="shared" ca="1" si="0"/>
        <v>0</v>
      </c>
      <c r="D41" s="122">
        <f t="shared" ca="1" si="1"/>
        <v>0</v>
      </c>
      <c r="E41" s="70">
        <f t="shared" ca="1" si="2"/>
        <v>0</v>
      </c>
      <c r="F41" s="120">
        <f t="shared" ca="1" si="3"/>
        <v>0</v>
      </c>
      <c r="G41" s="122">
        <f t="shared" ca="1" si="4"/>
        <v>0</v>
      </c>
      <c r="H41" s="70">
        <f t="shared" ca="1" si="5"/>
        <v>0</v>
      </c>
      <c r="I41" s="120">
        <f t="shared" ca="1" si="6"/>
        <v>0</v>
      </c>
      <c r="J41" s="122">
        <f t="shared" ca="1" si="7"/>
        <v>0</v>
      </c>
      <c r="K41" s="70">
        <f t="shared" ca="1" si="8"/>
        <v>0</v>
      </c>
      <c r="L41" s="120">
        <f t="shared" ca="1" si="9"/>
        <v>0</v>
      </c>
      <c r="M41" s="122">
        <f t="shared" ca="1" si="10"/>
        <v>0</v>
      </c>
      <c r="N41" s="70">
        <f t="shared" ca="1" si="11"/>
        <v>0</v>
      </c>
      <c r="O41" s="120">
        <f t="shared" ca="1" si="12"/>
        <v>0</v>
      </c>
    </row>
    <row r="42" spans="1:15" ht="16.5" customHeight="1" thickBot="1">
      <c r="A42" s="48">
        <v>21</v>
      </c>
      <c r="B42" s="128" t="str">
        <f>HYPERLINK("#'" &amp; TEXT(투자전략!$G$1+20, "[$-ko-KR]yyyy.mm.dd") &amp; "'!A13:O37", TEXT(투자전략!$G$1+20, "[$-ko-KR]yyyy.mm.dd"))</f>
        <v>2023.01.21</v>
      </c>
      <c r="C42" s="119">
        <f t="shared" ca="1" si="0"/>
        <v>0</v>
      </c>
      <c r="D42" s="123">
        <f t="shared" ca="1" si="1"/>
        <v>0</v>
      </c>
      <c r="E42" s="72">
        <f t="shared" ca="1" si="2"/>
        <v>0</v>
      </c>
      <c r="F42" s="121">
        <f t="shared" ca="1" si="3"/>
        <v>0</v>
      </c>
      <c r="G42" s="123">
        <f t="shared" ca="1" si="4"/>
        <v>0</v>
      </c>
      <c r="H42" s="72">
        <f t="shared" ca="1" si="5"/>
        <v>0</v>
      </c>
      <c r="I42" s="121">
        <f t="shared" ca="1" si="6"/>
        <v>0</v>
      </c>
      <c r="J42" s="123">
        <f t="shared" ca="1" si="7"/>
        <v>0</v>
      </c>
      <c r="K42" s="72">
        <f t="shared" ca="1" si="8"/>
        <v>0</v>
      </c>
      <c r="L42" s="121">
        <f t="shared" ca="1" si="9"/>
        <v>0</v>
      </c>
      <c r="M42" s="123">
        <f t="shared" ca="1" si="10"/>
        <v>0</v>
      </c>
      <c r="N42" s="72">
        <f t="shared" ca="1" si="11"/>
        <v>0</v>
      </c>
      <c r="O42" s="121">
        <f t="shared" ca="1" si="12"/>
        <v>0</v>
      </c>
    </row>
    <row r="43" spans="1:15" ht="16.5" customHeight="1">
      <c r="A43" s="46">
        <v>22</v>
      </c>
      <c r="B43" s="126" t="str">
        <f>HYPERLINK("#'" &amp; TEXT(투자전략!$G$1+21, "[$-ko-KR]yyyy.mm.dd") &amp; "'!A13:O37", TEXT(투자전략!$G$1+21, "[$-ko-KR]yyyy.mm.dd"))</f>
        <v>2023.01.22</v>
      </c>
      <c r="C43" s="117">
        <f t="shared" ca="1" si="0"/>
        <v>0</v>
      </c>
      <c r="D43" s="125">
        <f t="shared" ca="1" si="1"/>
        <v>0</v>
      </c>
      <c r="E43" s="69">
        <f t="shared" ca="1" si="2"/>
        <v>0</v>
      </c>
      <c r="F43" s="124">
        <f t="shared" ca="1" si="3"/>
        <v>0</v>
      </c>
      <c r="G43" s="125">
        <f t="shared" ca="1" si="4"/>
        <v>0</v>
      </c>
      <c r="H43" s="69">
        <f t="shared" ca="1" si="5"/>
        <v>0</v>
      </c>
      <c r="I43" s="124">
        <f t="shared" ca="1" si="6"/>
        <v>0</v>
      </c>
      <c r="J43" s="125">
        <f t="shared" ca="1" si="7"/>
        <v>0</v>
      </c>
      <c r="K43" s="69">
        <f t="shared" ca="1" si="8"/>
        <v>0</v>
      </c>
      <c r="L43" s="124">
        <f t="shared" ca="1" si="9"/>
        <v>0</v>
      </c>
      <c r="M43" s="125">
        <f t="shared" ca="1" si="10"/>
        <v>0</v>
      </c>
      <c r="N43" s="69">
        <f t="shared" ca="1" si="11"/>
        <v>0</v>
      </c>
      <c r="O43" s="124">
        <f t="shared" ca="1" si="12"/>
        <v>0</v>
      </c>
    </row>
    <row r="44" spans="1:15" ht="16.5" customHeight="1">
      <c r="A44" s="47">
        <v>23</v>
      </c>
      <c r="B44" s="127" t="str">
        <f>HYPERLINK("#'" &amp; TEXT(투자전략!$G$1+22, "[$-ko-KR]yyyy.mm.dd") &amp; "'!A13:O37", TEXT(투자전략!$G$1+22, "[$-ko-KR]yyyy.mm.dd"))</f>
        <v>2023.01.23</v>
      </c>
      <c r="C44" s="118">
        <f t="shared" ca="1" si="0"/>
        <v>0</v>
      </c>
      <c r="D44" s="122">
        <f t="shared" ca="1" si="1"/>
        <v>0</v>
      </c>
      <c r="E44" s="70">
        <f t="shared" ca="1" si="2"/>
        <v>0</v>
      </c>
      <c r="F44" s="120">
        <f t="shared" ca="1" si="3"/>
        <v>0</v>
      </c>
      <c r="G44" s="122">
        <f t="shared" ca="1" si="4"/>
        <v>0</v>
      </c>
      <c r="H44" s="70">
        <f t="shared" ca="1" si="5"/>
        <v>0</v>
      </c>
      <c r="I44" s="120">
        <f t="shared" ca="1" si="6"/>
        <v>0</v>
      </c>
      <c r="J44" s="122">
        <f t="shared" ca="1" si="7"/>
        <v>0</v>
      </c>
      <c r="K44" s="70">
        <f t="shared" ca="1" si="8"/>
        <v>0</v>
      </c>
      <c r="L44" s="120">
        <f t="shared" ca="1" si="9"/>
        <v>0</v>
      </c>
      <c r="M44" s="122">
        <f t="shared" ca="1" si="10"/>
        <v>0</v>
      </c>
      <c r="N44" s="70">
        <f t="shared" ca="1" si="11"/>
        <v>0</v>
      </c>
      <c r="O44" s="120">
        <f t="shared" ca="1" si="12"/>
        <v>0</v>
      </c>
    </row>
    <row r="45" spans="1:15" ht="16.5" customHeight="1">
      <c r="A45" s="47">
        <v>24</v>
      </c>
      <c r="B45" s="127" t="str">
        <f>HYPERLINK("#'" &amp; TEXT(투자전략!$G$1+23, "[$-ko-KR]yyyy.mm.dd") &amp; "'!A13:O37", TEXT(투자전략!$G$1+23, "[$-ko-KR]yyyy.mm.dd"))</f>
        <v>2023.01.24</v>
      </c>
      <c r="C45" s="118">
        <f t="shared" ca="1" si="0"/>
        <v>0</v>
      </c>
      <c r="D45" s="122">
        <f t="shared" ca="1" si="1"/>
        <v>0</v>
      </c>
      <c r="E45" s="70">
        <f t="shared" ca="1" si="2"/>
        <v>0</v>
      </c>
      <c r="F45" s="120">
        <f t="shared" ca="1" si="3"/>
        <v>0</v>
      </c>
      <c r="G45" s="122">
        <f t="shared" ca="1" si="4"/>
        <v>0</v>
      </c>
      <c r="H45" s="70">
        <f t="shared" ca="1" si="5"/>
        <v>0</v>
      </c>
      <c r="I45" s="120">
        <f t="shared" ca="1" si="6"/>
        <v>0</v>
      </c>
      <c r="J45" s="122">
        <f t="shared" ca="1" si="7"/>
        <v>0</v>
      </c>
      <c r="K45" s="70">
        <f t="shared" ca="1" si="8"/>
        <v>0</v>
      </c>
      <c r="L45" s="120">
        <f t="shared" ca="1" si="9"/>
        <v>0</v>
      </c>
      <c r="M45" s="122">
        <f t="shared" ca="1" si="10"/>
        <v>0</v>
      </c>
      <c r="N45" s="70">
        <f t="shared" ca="1" si="11"/>
        <v>0</v>
      </c>
      <c r="O45" s="120">
        <f t="shared" ca="1" si="12"/>
        <v>0</v>
      </c>
    </row>
    <row r="46" spans="1:15" ht="16.5" customHeight="1">
      <c r="A46" s="47">
        <v>25</v>
      </c>
      <c r="B46" s="127" t="str">
        <f>HYPERLINK("#'" &amp; TEXT(투자전략!$G$1+24, "[$-ko-KR]yyyy.mm.dd") &amp; "'!A13:O37", TEXT(투자전략!$G$1+24, "[$-ko-KR]yyyy.mm.dd"))</f>
        <v>2023.01.25</v>
      </c>
      <c r="C46" s="118">
        <f t="shared" ca="1" si="0"/>
        <v>0</v>
      </c>
      <c r="D46" s="122">
        <f t="shared" ca="1" si="1"/>
        <v>0</v>
      </c>
      <c r="E46" s="70">
        <f t="shared" ca="1" si="2"/>
        <v>0</v>
      </c>
      <c r="F46" s="120">
        <f t="shared" ca="1" si="3"/>
        <v>0</v>
      </c>
      <c r="G46" s="122">
        <f t="shared" ca="1" si="4"/>
        <v>0</v>
      </c>
      <c r="H46" s="70">
        <f t="shared" ca="1" si="5"/>
        <v>0</v>
      </c>
      <c r="I46" s="120">
        <f t="shared" ca="1" si="6"/>
        <v>0</v>
      </c>
      <c r="J46" s="122">
        <f t="shared" ca="1" si="7"/>
        <v>0</v>
      </c>
      <c r="K46" s="70">
        <f t="shared" ca="1" si="8"/>
        <v>0</v>
      </c>
      <c r="L46" s="120">
        <f t="shared" ca="1" si="9"/>
        <v>0</v>
      </c>
      <c r="M46" s="122">
        <f t="shared" ca="1" si="10"/>
        <v>0</v>
      </c>
      <c r="N46" s="70">
        <f t="shared" ca="1" si="11"/>
        <v>0</v>
      </c>
      <c r="O46" s="120">
        <f t="shared" ca="1" si="12"/>
        <v>0</v>
      </c>
    </row>
    <row r="47" spans="1:15" ht="16.5" customHeight="1">
      <c r="A47" s="47">
        <v>26</v>
      </c>
      <c r="B47" s="127" t="str">
        <f>HYPERLINK("#'" &amp; TEXT(투자전략!$G$1+25, "[$-ko-KR]yyyy.mm.dd") &amp; "'!A13:O37", TEXT(투자전략!$G$1+25, "[$-ko-KR]yyyy.mm.dd"))</f>
        <v>2023.01.26</v>
      </c>
      <c r="C47" s="118">
        <f t="shared" ca="1" si="0"/>
        <v>0</v>
      </c>
      <c r="D47" s="122">
        <f t="shared" ca="1" si="1"/>
        <v>0</v>
      </c>
      <c r="E47" s="70">
        <f t="shared" ca="1" si="2"/>
        <v>0</v>
      </c>
      <c r="F47" s="120">
        <f t="shared" ca="1" si="3"/>
        <v>0</v>
      </c>
      <c r="G47" s="122">
        <f t="shared" ca="1" si="4"/>
        <v>0</v>
      </c>
      <c r="H47" s="70">
        <f t="shared" ca="1" si="5"/>
        <v>0</v>
      </c>
      <c r="I47" s="120">
        <f t="shared" ca="1" si="6"/>
        <v>0</v>
      </c>
      <c r="J47" s="122">
        <f t="shared" ca="1" si="7"/>
        <v>0</v>
      </c>
      <c r="K47" s="70">
        <f t="shared" ca="1" si="8"/>
        <v>0</v>
      </c>
      <c r="L47" s="120">
        <f t="shared" ca="1" si="9"/>
        <v>0</v>
      </c>
      <c r="M47" s="122">
        <f t="shared" ca="1" si="10"/>
        <v>0</v>
      </c>
      <c r="N47" s="70">
        <f t="shared" ca="1" si="11"/>
        <v>0</v>
      </c>
      <c r="O47" s="120">
        <f t="shared" ca="1" si="12"/>
        <v>0</v>
      </c>
    </row>
    <row r="48" spans="1:15" ht="16.5" customHeight="1">
      <c r="A48" s="47">
        <v>27</v>
      </c>
      <c r="B48" s="127" t="str">
        <f>HYPERLINK("#'" &amp; TEXT(투자전략!$G$1+26, "[$-ko-KR]yyyy.mm.dd") &amp; "'!A13:O37", TEXT(투자전략!$G$1+26, "[$-ko-KR]yyyy.mm.dd"))</f>
        <v>2023.01.27</v>
      </c>
      <c r="C48" s="118">
        <f t="shared" ca="1" si="0"/>
        <v>0</v>
      </c>
      <c r="D48" s="122">
        <f t="shared" ca="1" si="1"/>
        <v>0</v>
      </c>
      <c r="E48" s="70">
        <f t="shared" ca="1" si="2"/>
        <v>0</v>
      </c>
      <c r="F48" s="120">
        <f t="shared" ca="1" si="3"/>
        <v>0</v>
      </c>
      <c r="G48" s="122">
        <f t="shared" ca="1" si="4"/>
        <v>0</v>
      </c>
      <c r="H48" s="70">
        <f t="shared" ca="1" si="5"/>
        <v>0</v>
      </c>
      <c r="I48" s="120">
        <f t="shared" ca="1" si="6"/>
        <v>0</v>
      </c>
      <c r="J48" s="122">
        <f t="shared" ca="1" si="7"/>
        <v>0</v>
      </c>
      <c r="K48" s="70">
        <f t="shared" ca="1" si="8"/>
        <v>0</v>
      </c>
      <c r="L48" s="120">
        <f t="shared" ca="1" si="9"/>
        <v>0</v>
      </c>
      <c r="M48" s="122">
        <f t="shared" ca="1" si="10"/>
        <v>0</v>
      </c>
      <c r="N48" s="70">
        <f t="shared" ca="1" si="11"/>
        <v>0</v>
      </c>
      <c r="O48" s="120">
        <f t="shared" ca="1" si="12"/>
        <v>0</v>
      </c>
    </row>
    <row r="49" spans="1:15" ht="16.5" customHeight="1" thickBot="1">
      <c r="A49" s="48">
        <v>28</v>
      </c>
      <c r="B49" s="128" t="str">
        <f>HYPERLINK("#'" &amp; TEXT(투자전략!$G$1+27, "[$-ko-KR]yyyy.mm.dd") &amp; "'!A13:O37", TEXT(투자전략!$G$1+27, "[$-ko-KR]yyyy.mm.dd"))</f>
        <v>2023.01.28</v>
      </c>
      <c r="C49" s="119">
        <f t="shared" ca="1" si="0"/>
        <v>0</v>
      </c>
      <c r="D49" s="123">
        <f t="shared" ca="1" si="1"/>
        <v>0</v>
      </c>
      <c r="E49" s="72">
        <f t="shared" ca="1" si="2"/>
        <v>0</v>
      </c>
      <c r="F49" s="121">
        <f t="shared" ca="1" si="3"/>
        <v>0</v>
      </c>
      <c r="G49" s="123">
        <f t="shared" ca="1" si="4"/>
        <v>0</v>
      </c>
      <c r="H49" s="72">
        <f t="shared" ca="1" si="5"/>
        <v>0</v>
      </c>
      <c r="I49" s="121">
        <f t="shared" ca="1" si="6"/>
        <v>0</v>
      </c>
      <c r="J49" s="123">
        <f t="shared" ca="1" si="7"/>
        <v>0</v>
      </c>
      <c r="K49" s="72">
        <f t="shared" ca="1" si="8"/>
        <v>0</v>
      </c>
      <c r="L49" s="121">
        <f t="shared" ca="1" si="9"/>
        <v>0</v>
      </c>
      <c r="M49" s="123">
        <f t="shared" ca="1" si="10"/>
        <v>0</v>
      </c>
      <c r="N49" s="72">
        <f t="shared" ca="1" si="11"/>
        <v>0</v>
      </c>
      <c r="O49" s="121">
        <f t="shared" ca="1" si="12"/>
        <v>0</v>
      </c>
    </row>
    <row r="50" spans="1:15" ht="16.5" customHeight="1">
      <c r="A50" s="105">
        <v>29</v>
      </c>
      <c r="B50" s="126" t="str">
        <f>HYPERLINK("#'" &amp; TEXT(투자전략!$G$1+28, "[$-ko-KR]yyyy.mm.dd") &amp; "'!A13:O37", TEXT(투자전략!$G$1+28, "[$-ko-KR]yyyy.mm.dd"))</f>
        <v>2023.01.29</v>
      </c>
      <c r="C50" s="118">
        <f t="shared" ca="1" si="0"/>
        <v>0</v>
      </c>
      <c r="D50" s="122">
        <f t="shared" ca="1" si="1"/>
        <v>0</v>
      </c>
      <c r="E50" s="70">
        <f t="shared" ca="1" si="2"/>
        <v>0</v>
      </c>
      <c r="F50" s="120">
        <f t="shared" ca="1" si="3"/>
        <v>0</v>
      </c>
      <c r="G50" s="122">
        <f t="shared" ca="1" si="4"/>
        <v>0</v>
      </c>
      <c r="H50" s="70">
        <f t="shared" ca="1" si="5"/>
        <v>0</v>
      </c>
      <c r="I50" s="120">
        <f t="shared" ca="1" si="6"/>
        <v>0</v>
      </c>
      <c r="J50" s="122">
        <f t="shared" ca="1" si="7"/>
        <v>0</v>
      </c>
      <c r="K50" s="70">
        <f t="shared" ca="1" si="8"/>
        <v>0</v>
      </c>
      <c r="L50" s="120">
        <f t="shared" ca="1" si="9"/>
        <v>0</v>
      </c>
      <c r="M50" s="122">
        <f t="shared" ca="1" si="10"/>
        <v>0</v>
      </c>
      <c r="N50" s="70">
        <f t="shared" ca="1" si="11"/>
        <v>0</v>
      </c>
      <c r="O50" s="120">
        <f t="shared" ca="1" si="12"/>
        <v>0</v>
      </c>
    </row>
    <row r="51" spans="1:15" ht="16.5" customHeight="1">
      <c r="A51" s="105">
        <v>30</v>
      </c>
      <c r="B51" s="127" t="str">
        <f>HYPERLINK("#'" &amp; TEXT(투자전략!$G$1+29, "[$-ko-KR]yyyy.mm.dd") &amp; "'!A13:O37", TEXT(투자전략!$G$1+29, "[$-ko-KR]yyyy.mm.dd"))</f>
        <v>2023.01.30</v>
      </c>
      <c r="C51" s="118" t="str">
        <f t="shared" ca="1" si="0"/>
        <v/>
      </c>
      <c r="D51" s="122" t="str">
        <f t="shared" ca="1" si="1"/>
        <v/>
      </c>
      <c r="E51" s="70" t="str">
        <f t="shared" ca="1" si="2"/>
        <v/>
      </c>
      <c r="F51" s="120" t="str">
        <f t="shared" ca="1" si="3"/>
        <v/>
      </c>
      <c r="G51" s="122" t="str">
        <f t="shared" ca="1" si="4"/>
        <v/>
      </c>
      <c r="H51" s="70" t="str">
        <f t="shared" ca="1" si="5"/>
        <v/>
      </c>
      <c r="I51" s="120" t="str">
        <f t="shared" ca="1" si="6"/>
        <v/>
      </c>
      <c r="J51" s="122" t="str">
        <f t="shared" ca="1" si="7"/>
        <v/>
      </c>
      <c r="K51" s="70" t="str">
        <f t="shared" ca="1" si="8"/>
        <v/>
      </c>
      <c r="L51" s="120" t="str">
        <f t="shared" ca="1" si="9"/>
        <v/>
      </c>
      <c r="M51" s="122" t="str">
        <f t="shared" ca="1" si="10"/>
        <v/>
      </c>
      <c r="N51" s="70" t="str">
        <f t="shared" ca="1" si="11"/>
        <v/>
      </c>
      <c r="O51" s="120" t="str">
        <f t="shared" ca="1" si="12"/>
        <v/>
      </c>
    </row>
    <row r="52" spans="1:15" ht="16.5" customHeight="1" thickBot="1">
      <c r="A52" s="105">
        <v>31</v>
      </c>
      <c r="B52" s="127" t="str">
        <f>HYPERLINK("#'" &amp; TEXT(투자전략!$G$1+30, "[$-ko-KR]yyyy.mm.dd") &amp; "'!A13:O37", TEXT(투자전략!$G$1+30, "[$-ko-KR]yyyy.mm.dd"))</f>
        <v>2023.01.31</v>
      </c>
      <c r="C52" s="118">
        <f t="shared" ca="1" si="0"/>
        <v>0</v>
      </c>
      <c r="D52" s="122">
        <f t="shared" ca="1" si="1"/>
        <v>0</v>
      </c>
      <c r="E52" s="70">
        <f t="shared" ca="1" si="2"/>
        <v>0</v>
      </c>
      <c r="F52" s="120">
        <f t="shared" ca="1" si="3"/>
        <v>0</v>
      </c>
      <c r="G52" s="122">
        <f t="shared" ca="1" si="4"/>
        <v>0</v>
      </c>
      <c r="H52" s="70">
        <f t="shared" ca="1" si="5"/>
        <v>0</v>
      </c>
      <c r="I52" s="120">
        <f t="shared" ca="1" si="6"/>
        <v>0</v>
      </c>
      <c r="J52" s="122">
        <f t="shared" ca="1" si="7"/>
        <v>0</v>
      </c>
      <c r="K52" s="70">
        <f t="shared" ca="1" si="8"/>
        <v>0</v>
      </c>
      <c r="L52" s="120">
        <f t="shared" ca="1" si="9"/>
        <v>0</v>
      </c>
      <c r="M52" s="122">
        <f t="shared" ca="1" si="10"/>
        <v>0</v>
      </c>
      <c r="N52" s="70">
        <f t="shared" ca="1" si="11"/>
        <v>0</v>
      </c>
      <c r="O52" s="120">
        <f t="shared" ca="1" si="12"/>
        <v>0</v>
      </c>
    </row>
    <row r="53" spans="1:15" ht="16.5" customHeight="1" thickBot="1">
      <c r="A53" s="185" t="s">
        <v>270</v>
      </c>
      <c r="B53" s="187"/>
      <c r="C53" s="116" t="s">
        <v>265</v>
      </c>
      <c r="D53" s="9" t="s">
        <v>266</v>
      </c>
      <c r="E53" s="63" t="s">
        <v>267</v>
      </c>
      <c r="F53" s="64" t="s">
        <v>268</v>
      </c>
      <c r="G53" s="9" t="s">
        <v>266</v>
      </c>
      <c r="H53" s="63" t="s">
        <v>267</v>
      </c>
      <c r="I53" s="64" t="s">
        <v>268</v>
      </c>
      <c r="J53" s="9" t="s">
        <v>266</v>
      </c>
      <c r="K53" s="63" t="s">
        <v>267</v>
      </c>
      <c r="L53" s="64" t="s">
        <v>268</v>
      </c>
      <c r="M53" s="9" t="s">
        <v>266</v>
      </c>
      <c r="N53" s="63" t="s">
        <v>267</v>
      </c>
      <c r="O53" s="64" t="s">
        <v>268</v>
      </c>
    </row>
    <row r="54" spans="1:15" ht="16.5" customHeight="1" thickBot="1">
      <c r="A54" s="178"/>
      <c r="B54" s="180"/>
      <c r="C54" s="119">
        <f ca="1">SUM(C22:C52)</f>
        <v>0</v>
      </c>
      <c r="D54" s="123">
        <f ca="1">SUM(D22:D52)</f>
        <v>0</v>
      </c>
      <c r="E54" s="72">
        <f ca="1">IFERROR(F54 / (SUM($C22:$C52) / COUNT($C22:$C52)), 0)</f>
        <v>0</v>
      </c>
      <c r="F54" s="121">
        <f ca="1">SUM(F22:F52)</f>
        <v>0</v>
      </c>
      <c r="G54" s="123">
        <f ca="1">SUM(G22:G52)</f>
        <v>0</v>
      </c>
      <c r="H54" s="72">
        <f ca="1">IFERROR(I54 / (SUM($C22:$C52) / COUNT($C22:$C52)), 0)</f>
        <v>0</v>
      </c>
      <c r="I54" s="121">
        <f ca="1">SUM(I22:I52)</f>
        <v>0</v>
      </c>
      <c r="J54" s="123">
        <f ca="1">SUM(J22:J52)</f>
        <v>0</v>
      </c>
      <c r="K54" s="72">
        <f ca="1">IFERROR(L54 / (SUM($C22:$C52) / COUNT($C22:$C52)), 0)</f>
        <v>0</v>
      </c>
      <c r="L54" s="121">
        <f ca="1">SUM(L22:L52)</f>
        <v>0</v>
      </c>
      <c r="M54" s="123">
        <f ca="1">SUM(M22:M52)</f>
        <v>0</v>
      </c>
      <c r="N54" s="72">
        <f ca="1">IFERROR(O54 / (SUM($C22:$C52) / COUNT($C22:$C52)), 0)</f>
        <v>0</v>
      </c>
      <c r="O54" s="121">
        <f ca="1">SUM(O22:O52)</f>
        <v>0</v>
      </c>
    </row>
    <row r="56" spans="1:15" ht="16.5" customHeight="1" thickBot="1"/>
    <row r="57" spans="1:15" ht="16.5" customHeight="1" thickBot="1">
      <c r="A57" s="157" t="str">
        <f>TEXT(투자전략!$G$1, "[$-ko-KR]yyyy년 mm월 ") &amp; "[엽전코인] 전일대비 상승률 Top20 월말결산"</f>
        <v>2023년 01월 [엽전코인] 전일대비 상승률 Top20 월말결산</v>
      </c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9"/>
    </row>
    <row r="58" spans="1:15" ht="16.5" customHeight="1" thickBot="1">
      <c r="A58" s="201" t="s">
        <v>271</v>
      </c>
      <c r="B58" s="178" t="s">
        <v>269</v>
      </c>
      <c r="C58" s="180"/>
      <c r="D58" s="178" t="s">
        <v>261</v>
      </c>
      <c r="E58" s="179"/>
      <c r="F58" s="180"/>
      <c r="G58" s="178" t="s">
        <v>262</v>
      </c>
      <c r="H58" s="179"/>
      <c r="I58" s="180"/>
      <c r="J58" s="178" t="s">
        <v>263</v>
      </c>
      <c r="K58" s="179"/>
      <c r="L58" s="180"/>
      <c r="M58" s="178" t="s">
        <v>264</v>
      </c>
      <c r="N58" s="179"/>
      <c r="O58" s="180"/>
    </row>
    <row r="59" spans="1:15" ht="16.5" customHeight="1" thickBot="1">
      <c r="A59" s="194"/>
      <c r="B59" s="46" t="s">
        <v>259</v>
      </c>
      <c r="C59" s="46" t="s">
        <v>42</v>
      </c>
      <c r="D59" s="105" t="s">
        <v>260</v>
      </c>
      <c r="E59" s="106" t="s">
        <v>40</v>
      </c>
      <c r="F59" s="81" t="s">
        <v>41</v>
      </c>
      <c r="G59" s="105" t="s">
        <v>260</v>
      </c>
      <c r="H59" s="106" t="s">
        <v>40</v>
      </c>
      <c r="I59" s="81" t="s">
        <v>41</v>
      </c>
      <c r="J59" s="105" t="s">
        <v>260</v>
      </c>
      <c r="K59" s="106" t="s">
        <v>40</v>
      </c>
      <c r="L59" s="81" t="s">
        <v>41</v>
      </c>
      <c r="M59" s="105" t="s">
        <v>260</v>
      </c>
      <c r="N59" s="106" t="s">
        <v>40</v>
      </c>
      <c r="O59" s="81" t="s">
        <v>41</v>
      </c>
    </row>
    <row r="60" spans="1:15" ht="16.5" customHeight="1">
      <c r="A60" s="46">
        <v>1</v>
      </c>
      <c r="B60" s="129" t="str">
        <f>HYPERLINK("#'" &amp; TEXT(투자전략!$G$1+0, "[$-ko-KR]yyyy.mm.dd") &amp; "'!A40:O64", TEXT(투자전략!$G$1+0, "[$-ko-KR]yyyy.mm.dd"))</f>
        <v>2023.01.01</v>
      </c>
      <c r="C60" s="117">
        <f ca="1">IFERROR(COUNTA(INDIRECT($B60&amp;"!A44:A63")) * INDIRECT($B60&amp;"!B64"), "")</f>
        <v>3000000</v>
      </c>
      <c r="D60" s="125">
        <f ca="1">IFERROR($C60 * (1 + E60), "")</f>
        <v>3002324.2297785319</v>
      </c>
      <c r="E60" s="69">
        <f ca="1">IFERROR(INDIRECT($B60&amp;"!E64"), "")</f>
        <v>7.7474325951062408E-4</v>
      </c>
      <c r="F60" s="124">
        <f ca="1">IFERROR(INDIRECT($B60&amp;"!F64"), "")</f>
        <v>2324.2297785318719</v>
      </c>
      <c r="G60" s="125">
        <f ca="1">IFERROR($C60 * (1 + H60), "")</f>
        <v>3024763.9445851906</v>
      </c>
      <c r="H60" s="69">
        <f ca="1">IFERROR(INDIRECT($B60&amp;"!H64"), "")</f>
        <v>8.2546481950637081E-3</v>
      </c>
      <c r="I60" s="124">
        <f ca="1">IFERROR(INDIRECT($B60&amp;"!I64"), "")</f>
        <v>24763.944585191119</v>
      </c>
      <c r="J60" s="125">
        <f ca="1">IFERROR($C60 * (1 + K60), "")</f>
        <v>3024763.9445851906</v>
      </c>
      <c r="K60" s="69">
        <f ca="1">IFERROR(INDIRECT($B60&amp;"!K64"), "")</f>
        <v>8.2546481950637081E-3</v>
      </c>
      <c r="L60" s="124">
        <f ca="1">IFERROR(INDIRECT($B60&amp;"!L64"), "")</f>
        <v>24763.944585191119</v>
      </c>
      <c r="M60" s="125">
        <f ca="1">IFERROR($C60 * (1 + N60), "")</f>
        <v>3009464.9377325815</v>
      </c>
      <c r="N60" s="69">
        <f ca="1">IFERROR(INDIRECT($B60&amp;"!N64"), "")</f>
        <v>3.1549792441937273E-3</v>
      </c>
      <c r="O60" s="124">
        <f ca="1">IFERROR(INDIRECT($B60&amp;"!O64"), "")</f>
        <v>9464.9377325811802</v>
      </c>
    </row>
    <row r="61" spans="1:15" ht="16.5" customHeight="1">
      <c r="A61" s="47">
        <v>2</v>
      </c>
      <c r="B61" s="130" t="str">
        <f>HYPERLINK("#'" &amp; TEXT(투자전략!$G$1+1, "[$-ko-KR]yyyy.mm.dd") &amp; "'!A40:O64", TEXT(투자전략!$G$1+1, "[$-ko-KR]yyyy.mm.dd"))</f>
        <v>2023.01.02</v>
      </c>
      <c r="C61" s="118">
        <f t="shared" ref="C61:C90" ca="1" si="13">IFERROR(COUNTA(INDIRECT($B61&amp;"!A44:A63")) * INDIRECT($B61&amp;"!B64"), "")</f>
        <v>3000000</v>
      </c>
      <c r="D61" s="122">
        <f t="shared" ref="D61:D90" ca="1" si="14">IFERROR($C61 * (1 + E61), "")</f>
        <v>3031190.3179476871</v>
      </c>
      <c r="E61" s="70">
        <f t="shared" ref="E61:E90" ca="1" si="15">IFERROR(INDIRECT($B61&amp;"!E64"), "")</f>
        <v>1.0396772649229141E-2</v>
      </c>
      <c r="F61" s="120">
        <f t="shared" ref="F61:F90" ca="1" si="16">IFERROR(INDIRECT($B61&amp;"!F64"), "")</f>
        <v>31190.317947687414</v>
      </c>
      <c r="G61" s="122">
        <f t="shared" ref="G61:G90" ca="1" si="17">IFERROR($C61 * (1 + H61), "")</f>
        <v>3030308.9178138301</v>
      </c>
      <c r="H61" s="70">
        <f t="shared" ref="H61:H90" ca="1" si="18">IFERROR(INDIRECT($B61&amp;"!H64"), "")</f>
        <v>1.010297260461011E-2</v>
      </c>
      <c r="I61" s="120">
        <f t="shared" ref="I61:I90" ca="1" si="19">IFERROR(INDIRECT($B61&amp;"!I64"), "")</f>
        <v>30308.917813830354</v>
      </c>
      <c r="J61" s="122">
        <f t="shared" ref="J61:J90" ca="1" si="20">IFERROR($C61 * (1 + K61), "")</f>
        <v>3043015.3335894672</v>
      </c>
      <c r="K61" s="70">
        <f t="shared" ref="K61:K90" ca="1" si="21">IFERROR(INDIRECT($B61&amp;"!K64"), "")</f>
        <v>1.4338444529822464E-2</v>
      </c>
      <c r="L61" s="120">
        <f t="shared" ref="L61:L90" ca="1" si="22">IFERROR(INDIRECT($B61&amp;"!L64"), "")</f>
        <v>43015.333589467395</v>
      </c>
      <c r="M61" s="122">
        <f t="shared" ref="M61:M90" ca="1" si="23">IFERROR($C61 * (1 + N61), "")</f>
        <v>3037540.9081327007</v>
      </c>
      <c r="N61" s="70">
        <f t="shared" ref="N61:N90" ca="1" si="24">IFERROR(INDIRECT($B61&amp;"!N64"), "")</f>
        <v>1.2513636044233455E-2</v>
      </c>
      <c r="O61" s="120">
        <f t="shared" ref="O61:O90" ca="1" si="25">IFERROR(INDIRECT($B61&amp;"!O64"), "")</f>
        <v>37540.908132700366</v>
      </c>
    </row>
    <row r="62" spans="1:15" ht="16.5" customHeight="1">
      <c r="A62" s="47">
        <v>3</v>
      </c>
      <c r="B62" s="130" t="str">
        <f>HYPERLINK("#'" &amp; TEXT(투자전략!$G$1+2, "[$-ko-KR]yyyy.mm.dd") &amp; "'!A40:O64", TEXT(투자전략!$G$1+2, "[$-ko-KR]yyyy.mm.dd"))</f>
        <v>2023.01.03</v>
      </c>
      <c r="C62" s="118">
        <f t="shared" ca="1" si="13"/>
        <v>3000000</v>
      </c>
      <c r="D62" s="122">
        <f t="shared" ca="1" si="14"/>
        <v>3009910.7165266862</v>
      </c>
      <c r="E62" s="70">
        <f t="shared" ca="1" si="15"/>
        <v>3.3035721755620335E-3</v>
      </c>
      <c r="F62" s="120">
        <f t="shared" ca="1" si="16"/>
        <v>9910.7165266860993</v>
      </c>
      <c r="G62" s="122">
        <f t="shared" ca="1" si="17"/>
        <v>3029945.1708567585</v>
      </c>
      <c r="H62" s="70">
        <f t="shared" ca="1" si="18"/>
        <v>9.9817236189194327E-3</v>
      </c>
      <c r="I62" s="120">
        <f t="shared" ca="1" si="19"/>
        <v>29945.170856758297</v>
      </c>
      <c r="J62" s="122">
        <f t="shared" ca="1" si="20"/>
        <v>3027932.8838856933</v>
      </c>
      <c r="K62" s="70">
        <f t="shared" ca="1" si="21"/>
        <v>9.3109612952310995E-3</v>
      </c>
      <c r="L62" s="120">
        <f t="shared" ca="1" si="22"/>
        <v>27932.8838856933</v>
      </c>
      <c r="M62" s="122">
        <f t="shared" ca="1" si="23"/>
        <v>3006422.419002064</v>
      </c>
      <c r="N62" s="70">
        <f t="shared" ca="1" si="24"/>
        <v>2.1408063340214657E-3</v>
      </c>
      <c r="O62" s="120">
        <f t="shared" ca="1" si="25"/>
        <v>6422.4190020643973</v>
      </c>
    </row>
    <row r="63" spans="1:15" ht="16.5" customHeight="1">
      <c r="A63" s="47">
        <v>4</v>
      </c>
      <c r="B63" s="130" t="str">
        <f>HYPERLINK("#'" &amp; TEXT(투자전략!$G$1+3, "[$-ko-KR]yyyy.mm.dd") &amp; "'!A40:O64", TEXT(투자전략!$G$1+3, "[$-ko-KR]yyyy.mm.dd"))</f>
        <v>2023.01.04</v>
      </c>
      <c r="C63" s="118">
        <f t="shared" ca="1" si="13"/>
        <v>3000000</v>
      </c>
      <c r="D63" s="122">
        <f t="shared" ca="1" si="14"/>
        <v>3046005.4521626905</v>
      </c>
      <c r="E63" s="70">
        <f t="shared" ca="1" si="15"/>
        <v>1.5335150720896831E-2</v>
      </c>
      <c r="F63" s="120">
        <f t="shared" ca="1" si="16"/>
        <v>46005.452162690512</v>
      </c>
      <c r="G63" s="122">
        <f t="shared" ca="1" si="17"/>
        <v>3056967.7670113822</v>
      </c>
      <c r="H63" s="70">
        <f t="shared" ca="1" si="18"/>
        <v>1.898925567046076E-2</v>
      </c>
      <c r="I63" s="120">
        <f t="shared" ca="1" si="19"/>
        <v>56967.767011382268</v>
      </c>
      <c r="J63" s="122">
        <f t="shared" ca="1" si="20"/>
        <v>3040056.0992262727</v>
      </c>
      <c r="K63" s="70">
        <f t="shared" ca="1" si="21"/>
        <v>1.3352033075424282E-2</v>
      </c>
      <c r="L63" s="120">
        <f t="shared" ca="1" si="22"/>
        <v>40056.09922627284</v>
      </c>
      <c r="M63" s="122">
        <f t="shared" ca="1" si="23"/>
        <v>3059106.9492027825</v>
      </c>
      <c r="N63" s="70">
        <f t="shared" ca="1" si="24"/>
        <v>1.9702316400927664E-2</v>
      </c>
      <c r="O63" s="120">
        <f t="shared" ca="1" si="25"/>
        <v>59106.949202782991</v>
      </c>
    </row>
    <row r="64" spans="1:15" ht="16.5" customHeight="1">
      <c r="A64" s="47">
        <v>5</v>
      </c>
      <c r="B64" s="130" t="str">
        <f>HYPERLINK("#'" &amp; TEXT(투자전략!$G$1+4, "[$-ko-KR]yyyy.mm.dd") &amp; "'!A40:O64", TEXT(투자전략!$G$1+4, "[$-ko-KR]yyyy.mm.dd"))</f>
        <v>2023.01.05</v>
      </c>
      <c r="C64" s="118">
        <f t="shared" ca="1" si="13"/>
        <v>3000000</v>
      </c>
      <c r="D64" s="122">
        <f t="shared" ca="1" si="14"/>
        <v>3048951.4788662032</v>
      </c>
      <c r="E64" s="70">
        <f t="shared" ca="1" si="15"/>
        <v>1.6317159622067638E-2</v>
      </c>
      <c r="F64" s="120">
        <f t="shared" ca="1" si="16"/>
        <v>48951.478866202931</v>
      </c>
      <c r="G64" s="122">
        <f t="shared" ca="1" si="17"/>
        <v>3018122.7388987984</v>
      </c>
      <c r="H64" s="70">
        <f t="shared" ca="1" si="18"/>
        <v>6.0409129662661416E-3</v>
      </c>
      <c r="I64" s="120">
        <f t="shared" ca="1" si="19"/>
        <v>18122.738898798427</v>
      </c>
      <c r="J64" s="122">
        <f t="shared" ca="1" si="20"/>
        <v>3050326.3811159329</v>
      </c>
      <c r="K64" s="70">
        <f t="shared" ca="1" si="21"/>
        <v>1.6775460371977614E-2</v>
      </c>
      <c r="L64" s="120">
        <f t="shared" ca="1" si="22"/>
        <v>50326.381115932847</v>
      </c>
      <c r="M64" s="122">
        <f t="shared" ca="1" si="23"/>
        <v>3010680.8567798724</v>
      </c>
      <c r="N64" s="70">
        <f t="shared" ca="1" si="24"/>
        <v>3.5602855932908906E-3</v>
      </c>
      <c r="O64" s="120">
        <f t="shared" ca="1" si="25"/>
        <v>10680.856779872674</v>
      </c>
    </row>
    <row r="65" spans="1:15" ht="16.5" customHeight="1">
      <c r="A65" s="47">
        <v>6</v>
      </c>
      <c r="B65" s="130" t="str">
        <f>HYPERLINK("#'" &amp; TEXT(투자전략!$G$1+5, "[$-ko-KR]yyyy.mm.dd") &amp; "'!A40:O64", TEXT(투자전략!$G$1+5, "[$-ko-KR]yyyy.mm.dd"))</f>
        <v>2023.01.06</v>
      </c>
      <c r="C65" s="118">
        <f t="shared" ca="1" si="13"/>
        <v>3000000</v>
      </c>
      <c r="D65" s="122">
        <f t="shared" ca="1" si="14"/>
        <v>2951969.5721657467</v>
      </c>
      <c r="E65" s="70">
        <f t="shared" ca="1" si="15"/>
        <v>-1.6010142611417751E-2</v>
      </c>
      <c r="F65" s="120">
        <f t="shared" ca="1" si="16"/>
        <v>-48030.427834253249</v>
      </c>
      <c r="G65" s="122">
        <f t="shared" ca="1" si="17"/>
        <v>2935951.7111413856</v>
      </c>
      <c r="H65" s="70">
        <f t="shared" ca="1" si="18"/>
        <v>-2.1349429619538125E-2</v>
      </c>
      <c r="I65" s="120">
        <f t="shared" ca="1" si="19"/>
        <v>-64048.288858614396</v>
      </c>
      <c r="J65" s="122">
        <f t="shared" ca="1" si="20"/>
        <v>2936097.7020276948</v>
      </c>
      <c r="K65" s="70">
        <f t="shared" ca="1" si="21"/>
        <v>-2.1300765990768328E-2</v>
      </c>
      <c r="L65" s="120">
        <f t="shared" ca="1" si="22"/>
        <v>-63902.297972304972</v>
      </c>
      <c r="M65" s="122">
        <f t="shared" ca="1" si="23"/>
        <v>2924229.8911225856</v>
      </c>
      <c r="N65" s="70">
        <f t="shared" ca="1" si="24"/>
        <v>-2.5256702959138077E-2</v>
      </c>
      <c r="O65" s="120">
        <f t="shared" ca="1" si="25"/>
        <v>-75770.108877414241</v>
      </c>
    </row>
    <row r="66" spans="1:15" ht="16.5" customHeight="1" thickBot="1">
      <c r="A66" s="48">
        <v>7</v>
      </c>
      <c r="B66" s="131" t="str">
        <f>HYPERLINK("#'" &amp; TEXT(투자전략!$G$1+6, "[$-ko-KR]yyyy.mm.dd") &amp; "'!A40:O64", TEXT(투자전략!$G$1+6, "[$-ko-KR]yyyy.mm.dd"))</f>
        <v>2023.01.07</v>
      </c>
      <c r="C66" s="118">
        <f t="shared" ca="1" si="13"/>
        <v>3000000</v>
      </c>
      <c r="D66" s="122">
        <f t="shared" ca="1" si="14"/>
        <v>3052227.7827589735</v>
      </c>
      <c r="E66" s="70">
        <f t="shared" ca="1" si="15"/>
        <v>1.7409260919657825E-2</v>
      </c>
      <c r="F66" s="120">
        <f t="shared" ca="1" si="16"/>
        <v>52227.782758973502</v>
      </c>
      <c r="G66" s="122">
        <f t="shared" ca="1" si="17"/>
        <v>3046119.0085750874</v>
      </c>
      <c r="H66" s="70">
        <f t="shared" ca="1" si="18"/>
        <v>1.5373002858362581E-2</v>
      </c>
      <c r="I66" s="120">
        <f t="shared" ca="1" si="19"/>
        <v>46119.008575087748</v>
      </c>
      <c r="J66" s="122">
        <f t="shared" ca="1" si="20"/>
        <v>3047816.690402525</v>
      </c>
      <c r="K66" s="70">
        <f t="shared" ca="1" si="21"/>
        <v>1.5938896800841564E-2</v>
      </c>
      <c r="L66" s="120">
        <f t="shared" ca="1" si="22"/>
        <v>47816.690402524691</v>
      </c>
      <c r="M66" s="122">
        <f t="shared" ca="1" si="23"/>
        <v>3053597.8314119005</v>
      </c>
      <c r="N66" s="70">
        <f t="shared" ca="1" si="24"/>
        <v>1.7865943803966739E-2</v>
      </c>
      <c r="O66" s="120">
        <f t="shared" ca="1" si="25"/>
        <v>53597.831411900232</v>
      </c>
    </row>
    <row r="67" spans="1:15" ht="16.5" customHeight="1">
      <c r="A67" s="46">
        <v>8</v>
      </c>
      <c r="B67" s="129" t="str">
        <f>HYPERLINK("#'" &amp; TEXT(투자전략!$G$1+7, "[$-ko-KR]yyyy.mm.dd") &amp; "'!A40:O64", TEXT(투자전략!$G$1+7, "[$-ko-KR]yyyy.mm.dd"))</f>
        <v>2023.01.08</v>
      </c>
      <c r="C67" s="117">
        <f t="shared" ca="1" si="13"/>
        <v>3000000</v>
      </c>
      <c r="D67" s="125">
        <f t="shared" ca="1" si="14"/>
        <v>3000000</v>
      </c>
      <c r="E67" s="69">
        <f t="shared" ca="1" si="15"/>
        <v>0</v>
      </c>
      <c r="F67" s="124">
        <f t="shared" ca="1" si="16"/>
        <v>0</v>
      </c>
      <c r="G67" s="125">
        <f t="shared" ca="1" si="17"/>
        <v>3000000</v>
      </c>
      <c r="H67" s="69">
        <f t="shared" ca="1" si="18"/>
        <v>0</v>
      </c>
      <c r="I67" s="124">
        <f t="shared" ca="1" si="19"/>
        <v>0</v>
      </c>
      <c r="J67" s="125">
        <f t="shared" ca="1" si="20"/>
        <v>3000000</v>
      </c>
      <c r="K67" s="69">
        <f t="shared" ca="1" si="21"/>
        <v>0</v>
      </c>
      <c r="L67" s="124">
        <f t="shared" ca="1" si="22"/>
        <v>0</v>
      </c>
      <c r="M67" s="125">
        <f t="shared" ca="1" si="23"/>
        <v>3000000</v>
      </c>
      <c r="N67" s="69">
        <f t="shared" ca="1" si="24"/>
        <v>0</v>
      </c>
      <c r="O67" s="124">
        <f t="shared" ca="1" si="25"/>
        <v>0</v>
      </c>
    </row>
    <row r="68" spans="1:15" ht="16.5" customHeight="1">
      <c r="A68" s="47">
        <v>9</v>
      </c>
      <c r="B68" s="130" t="str">
        <f>HYPERLINK("#'" &amp; TEXT(투자전략!$G$1+8, "[$-ko-KR]yyyy.mm.dd") &amp; "'!A40:O64", TEXT(투자전략!$G$1+8, "[$-ko-KR]yyyy.mm.dd"))</f>
        <v>2023.01.09</v>
      </c>
      <c r="C68" s="118" t="str">
        <f t="shared" ca="1" si="13"/>
        <v/>
      </c>
      <c r="D68" s="122" t="str">
        <f t="shared" ca="1" si="14"/>
        <v/>
      </c>
      <c r="E68" s="70" t="str">
        <f t="shared" ca="1" si="15"/>
        <v/>
      </c>
      <c r="F68" s="120" t="str">
        <f t="shared" ca="1" si="16"/>
        <v/>
      </c>
      <c r="G68" s="122" t="str">
        <f t="shared" ca="1" si="17"/>
        <v/>
      </c>
      <c r="H68" s="70" t="str">
        <f t="shared" ca="1" si="18"/>
        <v/>
      </c>
      <c r="I68" s="120" t="str">
        <f t="shared" ca="1" si="19"/>
        <v/>
      </c>
      <c r="J68" s="122" t="str">
        <f t="shared" ca="1" si="20"/>
        <v/>
      </c>
      <c r="K68" s="70" t="str">
        <f t="shared" ca="1" si="21"/>
        <v/>
      </c>
      <c r="L68" s="120" t="str">
        <f t="shared" ca="1" si="22"/>
        <v/>
      </c>
      <c r="M68" s="122" t="str">
        <f t="shared" ca="1" si="23"/>
        <v/>
      </c>
      <c r="N68" s="70" t="str">
        <f t="shared" ca="1" si="24"/>
        <v/>
      </c>
      <c r="O68" s="120" t="str">
        <f t="shared" ca="1" si="25"/>
        <v/>
      </c>
    </row>
    <row r="69" spans="1:15" ht="16.5" customHeight="1">
      <c r="A69" s="47">
        <v>10</v>
      </c>
      <c r="B69" s="130" t="str">
        <f>HYPERLINK("#'" &amp; TEXT(투자전략!$G$1+9, "[$-ko-KR]yyyy.mm.dd") &amp; "'!A40:O64", TEXT(투자전략!$G$1+9, "[$-ko-KR]yyyy.mm.dd"))</f>
        <v>2023.01.10</v>
      </c>
      <c r="C69" s="118" t="str">
        <f t="shared" ca="1" si="13"/>
        <v/>
      </c>
      <c r="D69" s="122" t="str">
        <f t="shared" ca="1" si="14"/>
        <v/>
      </c>
      <c r="E69" s="70" t="str">
        <f t="shared" ca="1" si="15"/>
        <v/>
      </c>
      <c r="F69" s="120" t="str">
        <f t="shared" ca="1" si="16"/>
        <v/>
      </c>
      <c r="G69" s="122" t="str">
        <f t="shared" ca="1" si="17"/>
        <v/>
      </c>
      <c r="H69" s="70" t="str">
        <f t="shared" ca="1" si="18"/>
        <v/>
      </c>
      <c r="I69" s="120" t="str">
        <f t="shared" ca="1" si="19"/>
        <v/>
      </c>
      <c r="J69" s="122" t="str">
        <f t="shared" ca="1" si="20"/>
        <v/>
      </c>
      <c r="K69" s="70" t="str">
        <f t="shared" ca="1" si="21"/>
        <v/>
      </c>
      <c r="L69" s="120" t="str">
        <f t="shared" ca="1" si="22"/>
        <v/>
      </c>
      <c r="M69" s="122" t="str">
        <f t="shared" ca="1" si="23"/>
        <v/>
      </c>
      <c r="N69" s="70" t="str">
        <f t="shared" ca="1" si="24"/>
        <v/>
      </c>
      <c r="O69" s="120" t="str">
        <f t="shared" ca="1" si="25"/>
        <v/>
      </c>
    </row>
    <row r="70" spans="1:15" ht="16.5" customHeight="1">
      <c r="A70" s="47">
        <v>11</v>
      </c>
      <c r="B70" s="130" t="str">
        <f>HYPERLINK("#'" &amp; TEXT(투자전략!$G$1+10, "[$-ko-KR]yyyy.mm.dd") &amp; "'!A40:O64", TEXT(투자전략!$G$1+10, "[$-ko-KR]yyyy.mm.dd"))</f>
        <v>2023.01.11</v>
      </c>
      <c r="C70" s="118" t="str">
        <f t="shared" ca="1" si="13"/>
        <v/>
      </c>
      <c r="D70" s="122" t="str">
        <f t="shared" ca="1" si="14"/>
        <v/>
      </c>
      <c r="E70" s="70" t="str">
        <f t="shared" ca="1" si="15"/>
        <v/>
      </c>
      <c r="F70" s="120" t="str">
        <f t="shared" ca="1" si="16"/>
        <v/>
      </c>
      <c r="G70" s="122" t="str">
        <f t="shared" ca="1" si="17"/>
        <v/>
      </c>
      <c r="H70" s="70" t="str">
        <f t="shared" ca="1" si="18"/>
        <v/>
      </c>
      <c r="I70" s="120" t="str">
        <f t="shared" ca="1" si="19"/>
        <v/>
      </c>
      <c r="J70" s="122" t="str">
        <f t="shared" ca="1" si="20"/>
        <v/>
      </c>
      <c r="K70" s="70" t="str">
        <f t="shared" ca="1" si="21"/>
        <v/>
      </c>
      <c r="L70" s="120" t="str">
        <f t="shared" ca="1" si="22"/>
        <v/>
      </c>
      <c r="M70" s="122" t="str">
        <f t="shared" ca="1" si="23"/>
        <v/>
      </c>
      <c r="N70" s="70" t="str">
        <f t="shared" ca="1" si="24"/>
        <v/>
      </c>
      <c r="O70" s="120" t="str">
        <f t="shared" ca="1" si="25"/>
        <v/>
      </c>
    </row>
    <row r="71" spans="1:15" ht="16.5" customHeight="1">
      <c r="A71" s="47">
        <v>12</v>
      </c>
      <c r="B71" s="130" t="str">
        <f>HYPERLINK("#'" &amp; TEXT(투자전략!$G$1+11, "[$-ko-KR]yyyy.mm.dd") &amp; "'!A40:O64", TEXT(투자전략!$G$1+11, "[$-ko-KR]yyyy.mm.dd"))</f>
        <v>2023.01.12</v>
      </c>
      <c r="C71" s="118" t="str">
        <f t="shared" ca="1" si="13"/>
        <v/>
      </c>
      <c r="D71" s="122" t="str">
        <f t="shared" ca="1" si="14"/>
        <v/>
      </c>
      <c r="E71" s="70" t="str">
        <f t="shared" ca="1" si="15"/>
        <v/>
      </c>
      <c r="F71" s="120" t="str">
        <f t="shared" ca="1" si="16"/>
        <v/>
      </c>
      <c r="G71" s="122" t="str">
        <f t="shared" ca="1" si="17"/>
        <v/>
      </c>
      <c r="H71" s="70" t="str">
        <f t="shared" ca="1" si="18"/>
        <v/>
      </c>
      <c r="I71" s="120" t="str">
        <f t="shared" ca="1" si="19"/>
        <v/>
      </c>
      <c r="J71" s="122" t="str">
        <f t="shared" ca="1" si="20"/>
        <v/>
      </c>
      <c r="K71" s="70" t="str">
        <f t="shared" ca="1" si="21"/>
        <v/>
      </c>
      <c r="L71" s="120" t="str">
        <f t="shared" ca="1" si="22"/>
        <v/>
      </c>
      <c r="M71" s="122" t="str">
        <f t="shared" ca="1" si="23"/>
        <v/>
      </c>
      <c r="N71" s="70" t="str">
        <f t="shared" ca="1" si="24"/>
        <v/>
      </c>
      <c r="O71" s="120" t="str">
        <f t="shared" ca="1" si="25"/>
        <v/>
      </c>
    </row>
    <row r="72" spans="1:15" ht="16.5" customHeight="1">
      <c r="A72" s="47">
        <v>13</v>
      </c>
      <c r="B72" s="130" t="str">
        <f>HYPERLINK("#'" &amp; TEXT(투자전략!$G$1+12, "[$-ko-KR]yyyy.mm.dd") &amp; "'!A40:O64", TEXT(투자전략!$G$1+12, "[$-ko-KR]yyyy.mm.dd"))</f>
        <v>2023.01.13</v>
      </c>
      <c r="C72" s="118">
        <f t="shared" ca="1" si="13"/>
        <v>3000000</v>
      </c>
      <c r="D72" s="122">
        <f t="shared" ca="1" si="14"/>
        <v>3000000</v>
      </c>
      <c r="E72" s="70">
        <f t="shared" ca="1" si="15"/>
        <v>0</v>
      </c>
      <c r="F72" s="120">
        <f t="shared" ca="1" si="16"/>
        <v>0</v>
      </c>
      <c r="G72" s="122">
        <f t="shared" ca="1" si="17"/>
        <v>3022634.8345369487</v>
      </c>
      <c r="H72" s="70">
        <f t="shared" ca="1" si="18"/>
        <v>7.5449448456494025E-3</v>
      </c>
      <c r="I72" s="120">
        <f t="shared" ca="1" si="19"/>
        <v>22634.834536948209</v>
      </c>
      <c r="J72" s="122">
        <f t="shared" ca="1" si="20"/>
        <v>3022251.2265751469</v>
      </c>
      <c r="K72" s="70">
        <f t="shared" ca="1" si="21"/>
        <v>7.4170755250489977E-3</v>
      </c>
      <c r="L72" s="120">
        <f t="shared" ca="1" si="22"/>
        <v>22251.226575146989</v>
      </c>
      <c r="M72" s="122">
        <f t="shared" ca="1" si="23"/>
        <v>3012495.8524006945</v>
      </c>
      <c r="N72" s="70">
        <f t="shared" ca="1" si="24"/>
        <v>4.1652841335649473E-3</v>
      </c>
      <c r="O72" s="120">
        <f t="shared" ca="1" si="25"/>
        <v>12495.852400694843</v>
      </c>
    </row>
    <row r="73" spans="1:15" ht="16.5" customHeight="1" thickBot="1">
      <c r="A73" s="48">
        <v>14</v>
      </c>
      <c r="B73" s="131" t="str">
        <f>HYPERLINK("#'" &amp; TEXT(투자전략!$G$1+13, "[$-ko-KR]yyyy.mm.dd") &amp; "'!A40:O64", TEXT(투자전략!$G$1+13, "[$-ko-KR]yyyy.mm.dd"))</f>
        <v>2023.01.14</v>
      </c>
      <c r="C73" s="119">
        <f t="shared" ca="1" si="13"/>
        <v>3000000</v>
      </c>
      <c r="D73" s="123">
        <f t="shared" ca="1" si="14"/>
        <v>3171047.0955984574</v>
      </c>
      <c r="E73" s="72">
        <f t="shared" ca="1" si="15"/>
        <v>5.7015698532819251E-2</v>
      </c>
      <c r="F73" s="121">
        <f t="shared" ca="1" si="16"/>
        <v>171047.09559845773</v>
      </c>
      <c r="G73" s="123">
        <f t="shared" ca="1" si="17"/>
        <v>3116042.8854102409</v>
      </c>
      <c r="H73" s="72">
        <f t="shared" ca="1" si="18"/>
        <v>3.8680961803413585E-2</v>
      </c>
      <c r="I73" s="121">
        <f t="shared" ca="1" si="19"/>
        <v>116042.88541024076</v>
      </c>
      <c r="J73" s="123">
        <f t="shared" ca="1" si="20"/>
        <v>3155372.0642042509</v>
      </c>
      <c r="K73" s="72">
        <f t="shared" ca="1" si="21"/>
        <v>5.1790688068083623E-2</v>
      </c>
      <c r="L73" s="121">
        <f t="shared" ca="1" si="22"/>
        <v>155372.06420425087</v>
      </c>
      <c r="M73" s="123">
        <f t="shared" ca="1" si="23"/>
        <v>3163459.6679694667</v>
      </c>
      <c r="N73" s="72">
        <f t="shared" ca="1" si="24"/>
        <v>5.4486555989822195E-2</v>
      </c>
      <c r="O73" s="121">
        <f t="shared" ca="1" si="25"/>
        <v>163459.66796946659</v>
      </c>
    </row>
    <row r="74" spans="1:15" ht="16.5" customHeight="1">
      <c r="A74" s="46">
        <v>15</v>
      </c>
      <c r="B74" s="129" t="str">
        <f>HYPERLINK("#'" &amp; TEXT(투자전략!$G$1+14, "[$-ko-KR]yyyy.mm.dd") &amp; "'!A40:O64", TEXT(투자전략!$G$1+14, "[$-ko-KR]yyyy.mm.dd"))</f>
        <v>2023.01.15</v>
      </c>
      <c r="C74" s="118">
        <f t="shared" ca="1" si="13"/>
        <v>3000000</v>
      </c>
      <c r="D74" s="122">
        <f t="shared" ca="1" si="14"/>
        <v>3159803.8570094677</v>
      </c>
      <c r="E74" s="70">
        <f t="shared" ca="1" si="15"/>
        <v>5.3267952336489233E-2</v>
      </c>
      <c r="F74" s="120">
        <f t="shared" ca="1" si="16"/>
        <v>159803.8570094677</v>
      </c>
      <c r="G74" s="122">
        <f t="shared" ca="1" si="17"/>
        <v>3077909.6840749965</v>
      </c>
      <c r="H74" s="70">
        <f t="shared" ca="1" si="18"/>
        <v>2.5969894691665628E-2</v>
      </c>
      <c r="I74" s="120">
        <f t="shared" ca="1" si="19"/>
        <v>77909.684074996883</v>
      </c>
      <c r="J74" s="122">
        <f t="shared" ca="1" si="20"/>
        <v>3073608.2657238059</v>
      </c>
      <c r="K74" s="70">
        <f t="shared" ca="1" si="21"/>
        <v>2.4536088574601999E-2</v>
      </c>
      <c r="L74" s="120">
        <f t="shared" ca="1" si="22"/>
        <v>73608.265723805991</v>
      </c>
      <c r="M74" s="122">
        <f t="shared" ca="1" si="23"/>
        <v>3082035.2471851064</v>
      </c>
      <c r="N74" s="70">
        <f t="shared" ca="1" si="24"/>
        <v>2.7345082395035487E-2</v>
      </c>
      <c r="O74" s="120">
        <f t="shared" ca="1" si="25"/>
        <v>82035.247185106462</v>
      </c>
    </row>
    <row r="75" spans="1:15" ht="16.5" customHeight="1">
      <c r="A75" s="47">
        <v>16</v>
      </c>
      <c r="B75" s="130" t="str">
        <f>HYPERLINK("#'" &amp; TEXT(투자전략!$G$1+15, "[$-ko-KR]yyyy.mm.dd") &amp; "'!A40:O64", TEXT(투자전략!$G$1+15, "[$-ko-KR]yyyy.mm.dd"))</f>
        <v>2023.01.16</v>
      </c>
      <c r="C75" s="118">
        <f t="shared" ca="1" si="13"/>
        <v>3000000</v>
      </c>
      <c r="D75" s="122">
        <f t="shared" ca="1" si="14"/>
        <v>3028294.8669153689</v>
      </c>
      <c r="E75" s="70">
        <f t="shared" ca="1" si="15"/>
        <v>9.4316223051230091E-3</v>
      </c>
      <c r="F75" s="120">
        <f t="shared" ca="1" si="16"/>
        <v>28294.866915369028</v>
      </c>
      <c r="G75" s="122">
        <f t="shared" ca="1" si="17"/>
        <v>2957984.1114183166</v>
      </c>
      <c r="H75" s="70">
        <f t="shared" ca="1" si="18"/>
        <v>-1.4005296193894423E-2</v>
      </c>
      <c r="I75" s="120">
        <f t="shared" ca="1" si="19"/>
        <v>-42015.88858168327</v>
      </c>
      <c r="J75" s="122">
        <f t="shared" ca="1" si="20"/>
        <v>2971582.2983510979</v>
      </c>
      <c r="K75" s="70">
        <f t="shared" ca="1" si="21"/>
        <v>-9.4725672163007459E-3</v>
      </c>
      <c r="L75" s="120">
        <f t="shared" ca="1" si="22"/>
        <v>-28417.701648902228</v>
      </c>
      <c r="M75" s="122">
        <f t="shared" ca="1" si="23"/>
        <v>2973947.573584998</v>
      </c>
      <c r="N75" s="70">
        <f t="shared" ca="1" si="24"/>
        <v>-8.6841421383339838E-3</v>
      </c>
      <c r="O75" s="120">
        <f t="shared" ca="1" si="25"/>
        <v>-26052.426415001952</v>
      </c>
    </row>
    <row r="76" spans="1:15" ht="16.5" customHeight="1">
      <c r="A76" s="47">
        <v>17</v>
      </c>
      <c r="B76" s="130" t="str">
        <f>HYPERLINK("#'" &amp; TEXT(투자전략!$G$1+16, "[$-ko-KR]yyyy.mm.dd") &amp; "'!A40:O64", TEXT(투자전략!$G$1+16, "[$-ko-KR]yyyy.mm.dd"))</f>
        <v>2023.01.17</v>
      </c>
      <c r="C76" s="118">
        <f t="shared" ca="1" si="13"/>
        <v>3000000</v>
      </c>
      <c r="D76" s="122">
        <f t="shared" ca="1" si="14"/>
        <v>3070165.1376536423</v>
      </c>
      <c r="E76" s="70">
        <f t="shared" ca="1" si="15"/>
        <v>2.3388379217880811E-2</v>
      </c>
      <c r="F76" s="120">
        <f t="shared" ca="1" si="16"/>
        <v>70165.13765364245</v>
      </c>
      <c r="G76" s="122">
        <f t="shared" ca="1" si="17"/>
        <v>3138109.2238621335</v>
      </c>
      <c r="H76" s="70">
        <f t="shared" ca="1" si="18"/>
        <v>4.6036407954044581E-2</v>
      </c>
      <c r="I76" s="120">
        <f t="shared" ca="1" si="19"/>
        <v>138109.22386213375</v>
      </c>
      <c r="J76" s="122">
        <f t="shared" ca="1" si="20"/>
        <v>3216889.6763774888</v>
      </c>
      <c r="K76" s="70">
        <f t="shared" ca="1" si="21"/>
        <v>7.2296558792496232E-2</v>
      </c>
      <c r="L76" s="120">
        <f t="shared" ca="1" si="22"/>
        <v>216889.67637748874</v>
      </c>
      <c r="M76" s="122">
        <f t="shared" ca="1" si="23"/>
        <v>3165410.2470735274</v>
      </c>
      <c r="N76" s="70">
        <f t="shared" ca="1" si="24"/>
        <v>5.5136749024509067E-2</v>
      </c>
      <c r="O76" s="120">
        <f t="shared" ca="1" si="25"/>
        <v>165410.24707352722</v>
      </c>
    </row>
    <row r="77" spans="1:15" ht="16.5" customHeight="1">
      <c r="A77" s="47">
        <v>18</v>
      </c>
      <c r="B77" s="130" t="str">
        <f>HYPERLINK("#'" &amp; TEXT(투자전략!$G$1+17, "[$-ko-KR]yyyy.mm.dd") &amp; "'!A40:O64", TEXT(투자전략!$G$1+17, "[$-ko-KR]yyyy.mm.dd"))</f>
        <v>2023.01.18</v>
      </c>
      <c r="C77" s="118">
        <f t="shared" ca="1" si="13"/>
        <v>3000000</v>
      </c>
      <c r="D77" s="122">
        <f t="shared" ca="1" si="14"/>
        <v>2926201.7876247666</v>
      </c>
      <c r="E77" s="70">
        <f t="shared" ca="1" si="15"/>
        <v>-2.4599404125077752E-2</v>
      </c>
      <c r="F77" s="120">
        <f t="shared" ca="1" si="16"/>
        <v>-73798.212375233241</v>
      </c>
      <c r="G77" s="122">
        <f t="shared" ca="1" si="17"/>
        <v>2874589.357205126</v>
      </c>
      <c r="H77" s="70">
        <f t="shared" ca="1" si="18"/>
        <v>-4.1803547598291302E-2</v>
      </c>
      <c r="I77" s="120">
        <f t="shared" ca="1" si="19"/>
        <v>-125410.64279487393</v>
      </c>
      <c r="J77" s="122">
        <f t="shared" ca="1" si="20"/>
        <v>2885768.9544134219</v>
      </c>
      <c r="K77" s="70">
        <f t="shared" ca="1" si="21"/>
        <v>-3.8077015195526046E-2</v>
      </c>
      <c r="L77" s="120">
        <f t="shared" ca="1" si="22"/>
        <v>-114231.04558657818</v>
      </c>
      <c r="M77" s="122">
        <f t="shared" ca="1" si="23"/>
        <v>2914805.7354441294</v>
      </c>
      <c r="N77" s="70">
        <f t="shared" ca="1" si="24"/>
        <v>-2.8398088185290198E-2</v>
      </c>
      <c r="O77" s="120">
        <f t="shared" ca="1" si="25"/>
        <v>-85194.264555870614</v>
      </c>
    </row>
    <row r="78" spans="1:15" ht="16.5" customHeight="1">
      <c r="A78" s="47">
        <v>19</v>
      </c>
      <c r="B78" s="130" t="str">
        <f>HYPERLINK("#'" &amp; TEXT(투자전략!$G$1+18, "[$-ko-KR]yyyy.mm.dd") &amp; "'!A40:O64", TEXT(투자전략!$G$1+18, "[$-ko-KR]yyyy.mm.dd"))</f>
        <v>2023.01.19</v>
      </c>
      <c r="C78" s="118">
        <f t="shared" ca="1" si="13"/>
        <v>3000000</v>
      </c>
      <c r="D78" s="122">
        <f t="shared" ca="1" si="14"/>
        <v>2864589.8298910954</v>
      </c>
      <c r="E78" s="70">
        <f t="shared" ca="1" si="15"/>
        <v>-4.5136723369634923E-2</v>
      </c>
      <c r="F78" s="120">
        <f t="shared" ca="1" si="16"/>
        <v>-135410.1701089048</v>
      </c>
      <c r="G78" s="122">
        <f t="shared" ca="1" si="17"/>
        <v>2883442.2185228723</v>
      </c>
      <c r="H78" s="70">
        <f t="shared" ca="1" si="18"/>
        <v>-3.8852593825709117E-2</v>
      </c>
      <c r="I78" s="120">
        <f t="shared" ca="1" si="19"/>
        <v>-116557.78147712737</v>
      </c>
      <c r="J78" s="122">
        <f t="shared" ca="1" si="20"/>
        <v>2860189.7779897032</v>
      </c>
      <c r="K78" s="70">
        <f t="shared" ca="1" si="21"/>
        <v>-4.6603407336765615E-2</v>
      </c>
      <c r="L78" s="120">
        <f t="shared" ca="1" si="22"/>
        <v>-139810.22201029686</v>
      </c>
      <c r="M78" s="122">
        <f t="shared" ca="1" si="23"/>
        <v>2866240.4046860808</v>
      </c>
      <c r="N78" s="70">
        <f t="shared" ca="1" si="24"/>
        <v>-4.4586531771306406E-2</v>
      </c>
      <c r="O78" s="120">
        <f t="shared" ca="1" si="25"/>
        <v>-133759.59531391927</v>
      </c>
    </row>
    <row r="79" spans="1:15" ht="16.5" customHeight="1">
      <c r="A79" s="47">
        <v>20</v>
      </c>
      <c r="B79" s="130" t="str">
        <f>HYPERLINK("#'" &amp; TEXT(투자전략!$G$1+19, "[$-ko-KR]yyyy.mm.dd") &amp; "'!A40:O64", TEXT(투자전략!$G$1+19, "[$-ko-KR]yyyy.mm.dd"))</f>
        <v>2023.01.20</v>
      </c>
      <c r="C79" s="118">
        <f t="shared" ca="1" si="13"/>
        <v>3000000</v>
      </c>
      <c r="D79" s="122">
        <f t="shared" ca="1" si="14"/>
        <v>3097030.6343629304</v>
      </c>
      <c r="E79" s="70">
        <f t="shared" ca="1" si="15"/>
        <v>3.2343544787643522E-2</v>
      </c>
      <c r="F79" s="120">
        <f t="shared" ca="1" si="16"/>
        <v>97030.634362930592</v>
      </c>
      <c r="G79" s="122">
        <f t="shared" ca="1" si="17"/>
        <v>3093185.0022482844</v>
      </c>
      <c r="H79" s="70">
        <f t="shared" ca="1" si="18"/>
        <v>3.106166741609474E-2</v>
      </c>
      <c r="I79" s="120">
        <f t="shared" ca="1" si="19"/>
        <v>93185.002248284261</v>
      </c>
      <c r="J79" s="122">
        <f t="shared" ca="1" si="20"/>
        <v>3108004.0318072913</v>
      </c>
      <c r="K79" s="70">
        <f t="shared" ca="1" si="21"/>
        <v>3.6001343935763756E-2</v>
      </c>
      <c r="L79" s="120">
        <f t="shared" ca="1" si="22"/>
        <v>108004.03180729129</v>
      </c>
      <c r="M79" s="122">
        <f t="shared" ca="1" si="23"/>
        <v>3108844.9696298908</v>
      </c>
      <c r="N79" s="70">
        <f t="shared" ca="1" si="24"/>
        <v>3.6281656543296958E-2</v>
      </c>
      <c r="O79" s="120">
        <f t="shared" ca="1" si="25"/>
        <v>108844.96962989087</v>
      </c>
    </row>
    <row r="80" spans="1:15" ht="16.5" customHeight="1" thickBot="1">
      <c r="A80" s="48">
        <v>21</v>
      </c>
      <c r="B80" s="131" t="str">
        <f>HYPERLINK("#'" &amp; TEXT(투자전략!$G$1+20, "[$-ko-KR]yyyy.mm.dd") &amp; "'!A40:O64", TEXT(투자전략!$G$1+20, "[$-ko-KR]yyyy.mm.dd"))</f>
        <v>2023.01.21</v>
      </c>
      <c r="C80" s="118">
        <f t="shared" ca="1" si="13"/>
        <v>3000000</v>
      </c>
      <c r="D80" s="122">
        <f t="shared" ca="1" si="14"/>
        <v>3185411.1919563008</v>
      </c>
      <c r="E80" s="70">
        <f t="shared" ca="1" si="15"/>
        <v>6.1803730652100229E-2</v>
      </c>
      <c r="F80" s="120">
        <f t="shared" ca="1" si="16"/>
        <v>185411.19195630072</v>
      </c>
      <c r="G80" s="122">
        <f t="shared" ca="1" si="17"/>
        <v>3206246.6361485235</v>
      </c>
      <c r="H80" s="70">
        <f t="shared" ca="1" si="18"/>
        <v>6.8748878716174439E-2</v>
      </c>
      <c r="I80" s="120">
        <f t="shared" ca="1" si="19"/>
        <v>206246.63614852334</v>
      </c>
      <c r="J80" s="122">
        <f t="shared" ca="1" si="20"/>
        <v>3175396.0216216519</v>
      </c>
      <c r="K80" s="70">
        <f t="shared" ca="1" si="21"/>
        <v>5.8465340540550671E-2</v>
      </c>
      <c r="L80" s="120">
        <f t="shared" ca="1" si="22"/>
        <v>175396.02162165203</v>
      </c>
      <c r="M80" s="122">
        <f t="shared" ca="1" si="23"/>
        <v>3197352.3215293428</v>
      </c>
      <c r="N80" s="70">
        <f t="shared" ca="1" si="24"/>
        <v>6.5784107176447601E-2</v>
      </c>
      <c r="O80" s="120">
        <f t="shared" ca="1" si="25"/>
        <v>197352.32152934282</v>
      </c>
    </row>
    <row r="81" spans="1:15" ht="16.5" customHeight="1">
      <c r="A81" s="46">
        <v>22</v>
      </c>
      <c r="B81" s="129" t="str">
        <f>HYPERLINK("#'" &amp; TEXT(투자전략!$G$1+21, "[$-ko-KR]yyyy.mm.dd") &amp; "'!A40:O64", TEXT(투자전략!$G$1+21, "[$-ko-KR]yyyy.mm.dd"))</f>
        <v>2023.01.22</v>
      </c>
      <c r="C81" s="117">
        <f t="shared" ca="1" si="13"/>
        <v>3000000</v>
      </c>
      <c r="D81" s="125">
        <f t="shared" ca="1" si="14"/>
        <v>2952016.9881800585</v>
      </c>
      <c r="E81" s="69">
        <f t="shared" ca="1" si="15"/>
        <v>-1.5994337273313734E-2</v>
      </c>
      <c r="F81" s="124">
        <f t="shared" ca="1" si="16"/>
        <v>-47983.011819941195</v>
      </c>
      <c r="G81" s="125">
        <f t="shared" ca="1" si="17"/>
        <v>2965612.0296532321</v>
      </c>
      <c r="H81" s="69">
        <f t="shared" ca="1" si="18"/>
        <v>-1.1462656782255979E-2</v>
      </c>
      <c r="I81" s="124">
        <f t="shared" ca="1" si="19"/>
        <v>-34387.970346767936</v>
      </c>
      <c r="J81" s="125">
        <f t="shared" ca="1" si="20"/>
        <v>2961336.3643464511</v>
      </c>
      <c r="K81" s="69">
        <f t="shared" ca="1" si="21"/>
        <v>-1.2887878551182851E-2</v>
      </c>
      <c r="L81" s="124">
        <f t="shared" ca="1" si="22"/>
        <v>-38663.635653548539</v>
      </c>
      <c r="M81" s="125">
        <f t="shared" ca="1" si="23"/>
        <v>2981516.288414415</v>
      </c>
      <c r="N81" s="69">
        <f t="shared" ca="1" si="24"/>
        <v>-6.1612371951950545E-3</v>
      </c>
      <c r="O81" s="124">
        <f t="shared" ca="1" si="25"/>
        <v>-18483.711585585166</v>
      </c>
    </row>
    <row r="82" spans="1:15" ht="16.5" customHeight="1">
      <c r="A82" s="47">
        <v>23</v>
      </c>
      <c r="B82" s="130" t="str">
        <f>HYPERLINK("#'" &amp; TEXT(투자전략!$G$1+22, "[$-ko-KR]yyyy.mm.dd") &amp; "'!A40:O64", TEXT(투자전략!$G$1+22, "[$-ko-KR]yyyy.mm.dd"))</f>
        <v>2023.01.23</v>
      </c>
      <c r="C82" s="118">
        <f t="shared" ca="1" si="13"/>
        <v>3000000</v>
      </c>
      <c r="D82" s="122">
        <f t="shared" ca="1" si="14"/>
        <v>2997857.5592695917</v>
      </c>
      <c r="E82" s="70">
        <f t="shared" ca="1" si="15"/>
        <v>-7.1414691013600793E-4</v>
      </c>
      <c r="F82" s="120">
        <f t="shared" ca="1" si="16"/>
        <v>-2142.4407304080232</v>
      </c>
      <c r="G82" s="122">
        <f t="shared" ca="1" si="17"/>
        <v>2990162.4630837175</v>
      </c>
      <c r="H82" s="70">
        <f t="shared" ca="1" si="18"/>
        <v>-3.2791789720942239E-3</v>
      </c>
      <c r="I82" s="120">
        <f t="shared" ca="1" si="19"/>
        <v>-9837.5369162826719</v>
      </c>
      <c r="J82" s="122">
        <f t="shared" ca="1" si="20"/>
        <v>3013794.1849614112</v>
      </c>
      <c r="K82" s="70">
        <f t="shared" ca="1" si="21"/>
        <v>4.5980616538038033E-3</v>
      </c>
      <c r="L82" s="120">
        <f t="shared" ca="1" si="22"/>
        <v>13794.184961411413</v>
      </c>
      <c r="M82" s="122">
        <f t="shared" ca="1" si="23"/>
        <v>2949523.3204166638</v>
      </c>
      <c r="N82" s="70">
        <f t="shared" ca="1" si="24"/>
        <v>-1.6825559861112133E-2</v>
      </c>
      <c r="O82" s="120">
        <f t="shared" ca="1" si="25"/>
        <v>-50476.679583336387</v>
      </c>
    </row>
    <row r="83" spans="1:15" ht="16.5" customHeight="1">
      <c r="A83" s="47">
        <v>24</v>
      </c>
      <c r="B83" s="130" t="str">
        <f>HYPERLINK("#'" &amp; TEXT(투자전략!$G$1+23, "[$-ko-KR]yyyy.mm.dd") &amp; "'!A40:O64", TEXT(투자전략!$G$1+23, "[$-ko-KR]yyyy.mm.dd"))</f>
        <v>2023.01.24</v>
      </c>
      <c r="C83" s="118">
        <f t="shared" ca="1" si="13"/>
        <v>3000000</v>
      </c>
      <c r="D83" s="122">
        <f t="shared" ca="1" si="14"/>
        <v>3277784.7378615611</v>
      </c>
      <c r="E83" s="70">
        <f t="shared" ca="1" si="15"/>
        <v>9.2594912620520303E-2</v>
      </c>
      <c r="F83" s="120">
        <f t="shared" ca="1" si="16"/>
        <v>277784.73786156101</v>
      </c>
      <c r="G83" s="122">
        <f t="shared" ca="1" si="17"/>
        <v>3247685.3620998794</v>
      </c>
      <c r="H83" s="70">
        <f t="shared" ca="1" si="18"/>
        <v>8.256178736662638E-2</v>
      </c>
      <c r="I83" s="120">
        <f t="shared" ca="1" si="19"/>
        <v>247685.36209987919</v>
      </c>
      <c r="J83" s="122">
        <f t="shared" ca="1" si="20"/>
        <v>3407382.8484005118</v>
      </c>
      <c r="K83" s="70">
        <f t="shared" ca="1" si="21"/>
        <v>0.13579428280017053</v>
      </c>
      <c r="L83" s="120">
        <f t="shared" ca="1" si="22"/>
        <v>407382.8484005116</v>
      </c>
      <c r="M83" s="122">
        <f t="shared" ca="1" si="23"/>
        <v>3351165.2711209361</v>
      </c>
      <c r="N83" s="70">
        <f t="shared" ca="1" si="24"/>
        <v>0.11705509037364532</v>
      </c>
      <c r="O83" s="120">
        <f t="shared" ca="1" si="25"/>
        <v>351165.27112093597</v>
      </c>
    </row>
    <row r="84" spans="1:15" ht="16.5" customHeight="1">
      <c r="A84" s="47">
        <v>25</v>
      </c>
      <c r="B84" s="130" t="str">
        <f>HYPERLINK("#'" &amp; TEXT(투자전략!$G$1+24, "[$-ko-KR]yyyy.mm.dd") &amp; "'!A40:O64", TEXT(투자전략!$G$1+24, "[$-ko-KR]yyyy.mm.dd"))</f>
        <v>2023.01.25</v>
      </c>
      <c r="C84" s="118">
        <f t="shared" ca="1" si="13"/>
        <v>3000000</v>
      </c>
      <c r="D84" s="122">
        <f t="shared" ca="1" si="14"/>
        <v>2880454.6874626623</v>
      </c>
      <c r="E84" s="70">
        <f t="shared" ca="1" si="15"/>
        <v>-3.9848437512445829E-2</v>
      </c>
      <c r="F84" s="120">
        <f t="shared" ca="1" si="16"/>
        <v>-119545.31253733746</v>
      </c>
      <c r="G84" s="122">
        <f t="shared" ca="1" si="17"/>
        <v>2952324.3090264462</v>
      </c>
      <c r="H84" s="70">
        <f t="shared" ca="1" si="18"/>
        <v>-1.5891896991184633E-2</v>
      </c>
      <c r="I84" s="120">
        <f t="shared" ca="1" si="19"/>
        <v>-47675.690973553908</v>
      </c>
      <c r="J84" s="122">
        <f t="shared" ca="1" si="20"/>
        <v>2940888.860986067</v>
      </c>
      <c r="K84" s="70">
        <f t="shared" ca="1" si="21"/>
        <v>-1.9703713004644328E-2</v>
      </c>
      <c r="L84" s="120">
        <f t="shared" ca="1" si="22"/>
        <v>-59111.139013932989</v>
      </c>
      <c r="M84" s="122">
        <f t="shared" ca="1" si="23"/>
        <v>2866045.4636486894</v>
      </c>
      <c r="N84" s="70">
        <f t="shared" ca="1" si="24"/>
        <v>-4.4651512117103463E-2</v>
      </c>
      <c r="O84" s="120">
        <f t="shared" ca="1" si="25"/>
        <v>-133954.53635131038</v>
      </c>
    </row>
    <row r="85" spans="1:15" ht="16.5" customHeight="1">
      <c r="A85" s="47">
        <v>26</v>
      </c>
      <c r="B85" s="130" t="str">
        <f>HYPERLINK("#'" &amp; TEXT(투자전략!$G$1+25, "[$-ko-KR]yyyy.mm.dd") &amp; "'!A40:O64", TEXT(투자전략!$G$1+25, "[$-ko-KR]yyyy.mm.dd"))</f>
        <v>2023.01.26</v>
      </c>
      <c r="C85" s="118">
        <f t="shared" ca="1" si="13"/>
        <v>3000000</v>
      </c>
      <c r="D85" s="122">
        <f t="shared" ca="1" si="14"/>
        <v>3135143.171784394</v>
      </c>
      <c r="E85" s="70">
        <f t="shared" ca="1" si="15"/>
        <v>4.504772392813132E-2</v>
      </c>
      <c r="F85" s="120">
        <f t="shared" ca="1" si="16"/>
        <v>135143.17178439393</v>
      </c>
      <c r="G85" s="122">
        <f t="shared" ca="1" si="17"/>
        <v>3102931.3409869689</v>
      </c>
      <c r="H85" s="70">
        <f t="shared" ca="1" si="18"/>
        <v>3.4310446995656281E-2</v>
      </c>
      <c r="I85" s="120">
        <f t="shared" ca="1" si="19"/>
        <v>102931.34098696885</v>
      </c>
      <c r="J85" s="122">
        <f t="shared" ca="1" si="20"/>
        <v>3088525.2477085195</v>
      </c>
      <c r="K85" s="70">
        <f t="shared" ca="1" si="21"/>
        <v>2.9508415902839796E-2</v>
      </c>
      <c r="L85" s="120">
        <f t="shared" ca="1" si="22"/>
        <v>88525.247708519368</v>
      </c>
      <c r="M85" s="122">
        <f t="shared" ca="1" si="23"/>
        <v>3098924.5802535359</v>
      </c>
      <c r="N85" s="70">
        <f t="shared" ca="1" si="24"/>
        <v>3.2974860084511934E-2</v>
      </c>
      <c r="O85" s="120">
        <f t="shared" ca="1" si="25"/>
        <v>98924.580253535809</v>
      </c>
    </row>
    <row r="86" spans="1:15" ht="16.5" customHeight="1">
      <c r="A86" s="47">
        <v>27</v>
      </c>
      <c r="B86" s="130" t="str">
        <f>HYPERLINK("#'" &amp; TEXT(투자전략!$G$1+26, "[$-ko-KR]yyyy.mm.dd") &amp; "'!A40:O64", TEXT(투자전략!$G$1+26, "[$-ko-KR]yyyy.mm.dd"))</f>
        <v>2023.01.27</v>
      </c>
      <c r="C86" s="118">
        <f t="shared" ca="1" si="13"/>
        <v>3000000</v>
      </c>
      <c r="D86" s="122">
        <f t="shared" ca="1" si="14"/>
        <v>3003875.2241755896</v>
      </c>
      <c r="E86" s="70">
        <f t="shared" ca="1" si="15"/>
        <v>1.2917413918630681E-3</v>
      </c>
      <c r="F86" s="120">
        <f t="shared" ca="1" si="16"/>
        <v>3875.2241755892046</v>
      </c>
      <c r="G86" s="122">
        <f t="shared" ca="1" si="17"/>
        <v>3028008.2669645878</v>
      </c>
      <c r="H86" s="70">
        <f t="shared" ca="1" si="18"/>
        <v>9.3360889881959411E-3</v>
      </c>
      <c r="I86" s="120">
        <f t="shared" ca="1" si="19"/>
        <v>28008.266964587823</v>
      </c>
      <c r="J86" s="122">
        <f t="shared" ca="1" si="20"/>
        <v>3022865.9475017758</v>
      </c>
      <c r="K86" s="70">
        <f t="shared" ca="1" si="21"/>
        <v>7.6219825005918408E-3</v>
      </c>
      <c r="L86" s="120">
        <f t="shared" ca="1" si="22"/>
        <v>22865.947501775518</v>
      </c>
      <c r="M86" s="122">
        <f t="shared" ca="1" si="23"/>
        <v>3036815.4497190621</v>
      </c>
      <c r="N86" s="70">
        <f t="shared" ca="1" si="24"/>
        <v>1.2271816573020598E-2</v>
      </c>
      <c r="O86" s="120">
        <f t="shared" ca="1" si="25"/>
        <v>36815.449719061791</v>
      </c>
    </row>
    <row r="87" spans="1:15" ht="16.5" customHeight="1" thickBot="1">
      <c r="A87" s="48">
        <v>28</v>
      </c>
      <c r="B87" s="131" t="str">
        <f>HYPERLINK("#'" &amp; TEXT(투자전략!$G$1+27, "[$-ko-KR]yyyy.mm.dd") &amp; "'!A40:O64", TEXT(투자전략!$G$1+27, "[$-ko-KR]yyyy.mm.dd"))</f>
        <v>2023.01.28</v>
      </c>
      <c r="C87" s="119">
        <f t="shared" ca="1" si="13"/>
        <v>3000000</v>
      </c>
      <c r="D87" s="123">
        <f t="shared" ca="1" si="14"/>
        <v>3063356.9723055027</v>
      </c>
      <c r="E87" s="72">
        <f t="shared" ca="1" si="15"/>
        <v>2.1118990768500899E-2</v>
      </c>
      <c r="F87" s="121">
        <f t="shared" ca="1" si="16"/>
        <v>63356.972305502706</v>
      </c>
      <c r="G87" s="123">
        <f t="shared" ca="1" si="17"/>
        <v>3037674.5529491841</v>
      </c>
      <c r="H87" s="72">
        <f t="shared" ca="1" si="18"/>
        <v>1.2558184316394671E-2</v>
      </c>
      <c r="I87" s="121">
        <f t="shared" ca="1" si="19"/>
        <v>37674.552949184021</v>
      </c>
      <c r="J87" s="123">
        <f t="shared" ca="1" si="20"/>
        <v>3029417.5693369829</v>
      </c>
      <c r="K87" s="72">
        <f t="shared" ca="1" si="21"/>
        <v>9.8058564456609716E-3</v>
      </c>
      <c r="L87" s="121">
        <f t="shared" ca="1" si="22"/>
        <v>29417.56933698291</v>
      </c>
      <c r="M87" s="123">
        <f t="shared" ca="1" si="23"/>
        <v>2989201.8912184415</v>
      </c>
      <c r="N87" s="72">
        <f t="shared" ca="1" si="24"/>
        <v>-3.5993695938528426E-3</v>
      </c>
      <c r="O87" s="121">
        <f t="shared" ca="1" si="25"/>
        <v>-10798.108781558531</v>
      </c>
    </row>
    <row r="88" spans="1:15" ht="16.5" customHeight="1">
      <c r="A88" s="105">
        <v>29</v>
      </c>
      <c r="B88" s="129" t="str">
        <f>HYPERLINK("#'" &amp; TEXT(투자전략!$G$1+28, "[$-ko-KR]yyyy.mm.dd") &amp; "'!A40:O64", TEXT(투자전략!$G$1+28, "[$-ko-KR]yyyy.mm.dd"))</f>
        <v>2023.01.29</v>
      </c>
      <c r="C88" s="118">
        <f t="shared" ca="1" si="13"/>
        <v>3000000</v>
      </c>
      <c r="D88" s="122">
        <f t="shared" ca="1" si="14"/>
        <v>3011624.3131579971</v>
      </c>
      <c r="E88" s="70">
        <f t="shared" ca="1" si="15"/>
        <v>3.8747710526656162E-3</v>
      </c>
      <c r="F88" s="120">
        <f t="shared" ca="1" si="16"/>
        <v>11624.313157996849</v>
      </c>
      <c r="G88" s="122">
        <f t="shared" ca="1" si="17"/>
        <v>2989918.9605918094</v>
      </c>
      <c r="H88" s="70">
        <f t="shared" ca="1" si="18"/>
        <v>-3.360346469396861E-3</v>
      </c>
      <c r="I88" s="120">
        <f t="shared" ca="1" si="19"/>
        <v>-10081.039408190587</v>
      </c>
      <c r="J88" s="122">
        <f t="shared" ca="1" si="20"/>
        <v>2989918.9605918094</v>
      </c>
      <c r="K88" s="70">
        <f t="shared" ca="1" si="21"/>
        <v>-3.360346469396861E-3</v>
      </c>
      <c r="L88" s="120">
        <f t="shared" ca="1" si="22"/>
        <v>-10081.039408190587</v>
      </c>
      <c r="M88" s="122">
        <f t="shared" ca="1" si="23"/>
        <v>2989918.9605918094</v>
      </c>
      <c r="N88" s="70">
        <f t="shared" ca="1" si="24"/>
        <v>-3.360346469396861E-3</v>
      </c>
      <c r="O88" s="120">
        <f t="shared" ca="1" si="25"/>
        <v>-10081.039408190587</v>
      </c>
    </row>
    <row r="89" spans="1:15" ht="16.5" customHeight="1">
      <c r="A89" s="105">
        <v>30</v>
      </c>
      <c r="B89" s="130" t="str">
        <f>HYPERLINK("#'" &amp; TEXT(투자전략!$G$1+29, "[$-ko-KR]yyyy.mm.dd") &amp; "'!A40:O64", TEXT(투자전략!$G$1+29, "[$-ko-KR]yyyy.mm.dd"))</f>
        <v>2023.01.30</v>
      </c>
      <c r="C89" s="118" t="str">
        <f t="shared" ca="1" si="13"/>
        <v/>
      </c>
      <c r="D89" s="122" t="str">
        <f t="shared" ca="1" si="14"/>
        <v/>
      </c>
      <c r="E89" s="70" t="str">
        <f t="shared" ca="1" si="15"/>
        <v/>
      </c>
      <c r="F89" s="120" t="str">
        <f t="shared" ca="1" si="16"/>
        <v/>
      </c>
      <c r="G89" s="122" t="str">
        <f t="shared" ca="1" si="17"/>
        <v/>
      </c>
      <c r="H89" s="70" t="str">
        <f t="shared" ca="1" si="18"/>
        <v/>
      </c>
      <c r="I89" s="120" t="str">
        <f t="shared" ca="1" si="19"/>
        <v/>
      </c>
      <c r="J89" s="122" t="str">
        <f t="shared" ca="1" si="20"/>
        <v/>
      </c>
      <c r="K89" s="70" t="str">
        <f t="shared" ca="1" si="21"/>
        <v/>
      </c>
      <c r="L89" s="120" t="str">
        <f t="shared" ca="1" si="22"/>
        <v/>
      </c>
      <c r="M89" s="122" t="str">
        <f t="shared" ca="1" si="23"/>
        <v/>
      </c>
      <c r="N89" s="70" t="str">
        <f t="shared" ca="1" si="24"/>
        <v/>
      </c>
      <c r="O89" s="120" t="str">
        <f t="shared" ca="1" si="25"/>
        <v/>
      </c>
    </row>
    <row r="90" spans="1:15" ht="16.5" customHeight="1" thickBot="1">
      <c r="A90" s="105">
        <v>31</v>
      </c>
      <c r="B90" s="130" t="str">
        <f>HYPERLINK("#'" &amp; TEXT(투자전략!$G$1+30, "[$-ko-KR]yyyy.mm.dd") &amp; "'!A40:O64", TEXT(투자전략!$G$1+30, "[$-ko-KR]yyyy.mm.dd"))</f>
        <v>2023.01.31</v>
      </c>
      <c r="C90" s="119">
        <f t="shared" ca="1" si="13"/>
        <v>3000000</v>
      </c>
      <c r="D90" s="123">
        <f t="shared" ca="1" si="14"/>
        <v>2998926.9956628787</v>
      </c>
      <c r="E90" s="72">
        <f t="shared" ca="1" si="15"/>
        <v>-3.5766811237378454E-4</v>
      </c>
      <c r="F90" s="121">
        <f t="shared" ca="1" si="16"/>
        <v>-1073.0043371213583</v>
      </c>
      <c r="G90" s="123">
        <f t="shared" ca="1" si="17"/>
        <v>2998926.9956628787</v>
      </c>
      <c r="H90" s="72">
        <f t="shared" ca="1" si="18"/>
        <v>-3.5766811237378454E-4</v>
      </c>
      <c r="I90" s="121">
        <f t="shared" ca="1" si="19"/>
        <v>-1073.0043371213583</v>
      </c>
      <c r="J90" s="123">
        <f t="shared" ca="1" si="20"/>
        <v>2998926.9956628787</v>
      </c>
      <c r="K90" s="72">
        <f t="shared" ca="1" si="21"/>
        <v>-3.5766811237378454E-4</v>
      </c>
      <c r="L90" s="121">
        <f t="shared" ca="1" si="22"/>
        <v>-1073.0043371213583</v>
      </c>
      <c r="M90" s="123">
        <f t="shared" ca="1" si="23"/>
        <v>2998926.9956628787</v>
      </c>
      <c r="N90" s="72">
        <f t="shared" ca="1" si="24"/>
        <v>-3.5766811237378454E-4</v>
      </c>
      <c r="O90" s="121">
        <f t="shared" ca="1" si="25"/>
        <v>-1073.0043371213583</v>
      </c>
    </row>
    <row r="91" spans="1:15" ht="16.5" customHeight="1" thickBot="1">
      <c r="A91" s="185" t="s">
        <v>270</v>
      </c>
      <c r="B91" s="187"/>
      <c r="C91" s="116" t="s">
        <v>265</v>
      </c>
      <c r="D91" s="9" t="s">
        <v>266</v>
      </c>
      <c r="E91" s="63" t="s">
        <v>267</v>
      </c>
      <c r="F91" s="64" t="s">
        <v>268</v>
      </c>
      <c r="G91" s="9" t="s">
        <v>266</v>
      </c>
      <c r="H91" s="63" t="s">
        <v>267</v>
      </c>
      <c r="I91" s="64" t="s">
        <v>268</v>
      </c>
      <c r="J91" s="9" t="s">
        <v>266</v>
      </c>
      <c r="K91" s="63" t="s">
        <v>267</v>
      </c>
      <c r="L91" s="64" t="s">
        <v>268</v>
      </c>
      <c r="M91" s="9" t="s">
        <v>266</v>
      </c>
      <c r="N91" s="63" t="s">
        <v>267</v>
      </c>
      <c r="O91" s="64" t="s">
        <v>268</v>
      </c>
    </row>
    <row r="92" spans="1:15" ht="16.5" customHeight="1" thickBot="1">
      <c r="A92" s="178"/>
      <c r="B92" s="180"/>
      <c r="C92" s="119">
        <f ca="1">SUM(C60:C90)</f>
        <v>78000000</v>
      </c>
      <c r="D92" s="123">
        <f ca="1">SUM(D60:D90)</f>
        <v>78966164.601078793</v>
      </c>
      <c r="E92" s="72">
        <f ca="1">IFERROR(F92 / (SUM($C60:$C90) / COUNT($C60:$C90)), 0)</f>
        <v>0.32205486702626163</v>
      </c>
      <c r="F92" s="121">
        <f ca="1">SUM(F60:F90)</f>
        <v>966164.60107878491</v>
      </c>
      <c r="G92" s="123">
        <f ca="1">SUM(G60:G90)</f>
        <v>78825567.493328571</v>
      </c>
      <c r="H92" s="72">
        <f ca="1">IFERROR(I92 / (SUM($C60:$C90) / COUNT($C60:$C90)), 0)</f>
        <v>0.2751891644428599</v>
      </c>
      <c r="I92" s="121">
        <f ca="1">SUM(I60:I90)</f>
        <v>825567.4933285797</v>
      </c>
      <c r="J92" s="123">
        <f ca="1">SUM(J60:J90)</f>
        <v>79092128.331393033</v>
      </c>
      <c r="K92" s="72">
        <f ca="1">IFERROR(L92 / (SUM($C60:$C90) / COUNT($C60:$C90)), 0)</f>
        <v>0.36404277713101441</v>
      </c>
      <c r="L92" s="121">
        <f ca="1">SUM(L60:L90)</f>
        <v>1092128.3313930433</v>
      </c>
      <c r="M92" s="123">
        <f ca="1">SUM(M60:M90)</f>
        <v>78847674.033934146</v>
      </c>
      <c r="N92" s="72">
        <f ca="1">IFERROR(O92 / (SUM($C60:$C90) / COUNT($C60:$C90)), 0)</f>
        <v>0.28255801131138519</v>
      </c>
      <c r="O92" s="121">
        <f ca="1">SUM(O60:O90)</f>
        <v>847674.0339341556</v>
      </c>
    </row>
    <row r="94" spans="1:15" ht="16.5" customHeight="1" thickBot="1"/>
    <row r="95" spans="1:15" ht="16.5" customHeight="1" thickBot="1">
      <c r="A95" s="157" t="str">
        <f>TEXT(투자전략!$G$1, "[$-ko-KR]yyyy년 mm월 ") &amp; "[동전코인] 전일대비 상승률 Top20 월말결산"</f>
        <v>2023년 01월 [동전코인] 전일대비 상승률 Top20 월말결산</v>
      </c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9"/>
    </row>
    <row r="96" spans="1:15" ht="16.5" customHeight="1" thickBot="1">
      <c r="A96" s="201" t="s">
        <v>271</v>
      </c>
      <c r="B96" s="178" t="s">
        <v>269</v>
      </c>
      <c r="C96" s="180"/>
      <c r="D96" s="178" t="s">
        <v>261</v>
      </c>
      <c r="E96" s="179"/>
      <c r="F96" s="180"/>
      <c r="G96" s="178" t="s">
        <v>262</v>
      </c>
      <c r="H96" s="179"/>
      <c r="I96" s="180"/>
      <c r="J96" s="178" t="s">
        <v>263</v>
      </c>
      <c r="K96" s="179"/>
      <c r="L96" s="180"/>
      <c r="M96" s="178" t="s">
        <v>264</v>
      </c>
      <c r="N96" s="179"/>
      <c r="O96" s="180"/>
    </row>
    <row r="97" spans="1:15" ht="16.5" customHeight="1" thickBot="1">
      <c r="A97" s="194"/>
      <c r="B97" s="46" t="s">
        <v>259</v>
      </c>
      <c r="C97" s="46" t="s">
        <v>42</v>
      </c>
      <c r="D97" s="105" t="s">
        <v>260</v>
      </c>
      <c r="E97" s="106" t="s">
        <v>40</v>
      </c>
      <c r="F97" s="81" t="s">
        <v>41</v>
      </c>
      <c r="G97" s="105" t="s">
        <v>260</v>
      </c>
      <c r="H97" s="106" t="s">
        <v>40</v>
      </c>
      <c r="I97" s="81" t="s">
        <v>41</v>
      </c>
      <c r="J97" s="105" t="s">
        <v>260</v>
      </c>
      <c r="K97" s="106" t="s">
        <v>40</v>
      </c>
      <c r="L97" s="81" t="s">
        <v>41</v>
      </c>
      <c r="M97" s="105" t="s">
        <v>260</v>
      </c>
      <c r="N97" s="106" t="s">
        <v>40</v>
      </c>
      <c r="O97" s="81" t="s">
        <v>41</v>
      </c>
    </row>
    <row r="98" spans="1:15" ht="16.5" customHeight="1">
      <c r="A98" s="46">
        <v>1</v>
      </c>
      <c r="B98" s="129" t="str">
        <f>HYPERLINK("#'" &amp; TEXT(투자전략!$G$1+0, "[$-ko-KR]yyyy.mm.dd") &amp; "'!A67:O91", TEXT(투자전략!$G$1+0, "[$-ko-KR]yyyy.mm.dd"))</f>
        <v>2023.01.01</v>
      </c>
      <c r="C98" s="117">
        <f ca="1">IFERROR(COUNTA(INDIRECT($B98&amp;"!A71:A90")) * INDIRECT($B98&amp;"!B91"), "")</f>
        <v>3000000</v>
      </c>
      <c r="D98" s="125">
        <f ca="1">IFERROR($C98 * (1 + E98), "")</f>
        <v>3003245.893571422</v>
      </c>
      <c r="E98" s="69">
        <f ca="1">IFERROR(INDIRECT($B98&amp;"!E91"), "")</f>
        <v>1.0819645238074088E-3</v>
      </c>
      <c r="F98" s="124">
        <f ca="1">IFERROR(INDIRECT($B98&amp;"!F91"), "")</f>
        <v>3245.8935714222266</v>
      </c>
      <c r="G98" s="125">
        <f ca="1">IFERROR($C98 * (1 + H98), "")</f>
        <v>2990808.3375537256</v>
      </c>
      <c r="H98" s="69">
        <f ca="1">IFERROR(INDIRECT($B98&amp;"!H91"), "")</f>
        <v>-3.0638874820915056E-3</v>
      </c>
      <c r="I98" s="124">
        <f ca="1">IFERROR(INDIRECT($B98&amp;"!I91"), "")</f>
        <v>-9191.6624462745167</v>
      </c>
      <c r="J98" s="125">
        <f ca="1">IFERROR($C98 * (1 + K98), "")</f>
        <v>2990808.3375537256</v>
      </c>
      <c r="K98" s="69">
        <f ca="1">IFERROR(INDIRECT($B98&amp;"!K91"), "")</f>
        <v>-3.0638874820915056E-3</v>
      </c>
      <c r="L98" s="124">
        <f ca="1">IFERROR(INDIRECT($B98&amp;"!L91"), "")</f>
        <v>-9191.6624462745167</v>
      </c>
      <c r="M98" s="125">
        <f ca="1">IFERROR($C98 * (1 + N98), "")</f>
        <v>2995021.8196425945</v>
      </c>
      <c r="N98" s="69">
        <f ca="1">IFERROR(INDIRECT($B98&amp;"!N91"), "")</f>
        <v>-1.6593934524684558E-3</v>
      </c>
      <c r="O98" s="124">
        <f ca="1">IFERROR(INDIRECT($B98&amp;"!O91"), "")</f>
        <v>-4978.1803574053665</v>
      </c>
    </row>
    <row r="99" spans="1:15" ht="16.5" customHeight="1">
      <c r="A99" s="47">
        <v>2</v>
      </c>
      <c r="B99" s="130" t="str">
        <f>HYPERLINK("#'" &amp; TEXT(투자전략!$G$1+1, "[$-ko-KR]yyyy.mm.dd") &amp; "'!A67:O91", TEXT(투자전략!$G$1+1, "[$-ko-KR]yyyy.mm.dd"))</f>
        <v>2023.01.02</v>
      </c>
      <c r="C99" s="118">
        <f t="shared" ref="C99:C128" ca="1" si="26">IFERROR(COUNTA(INDIRECT($B99&amp;"!A71:A90")) * INDIRECT($B99&amp;"!B91"), "")</f>
        <v>3000000</v>
      </c>
      <c r="D99" s="122">
        <f t="shared" ref="D99:D128" ca="1" si="27">IFERROR($C99 * (1 + E99), "")</f>
        <v>3005665.4151366241</v>
      </c>
      <c r="E99" s="70">
        <f t="shared" ref="E99:E128" ca="1" si="28">IFERROR(INDIRECT($B99&amp;"!E91"), "")</f>
        <v>1.8884717122081105E-3</v>
      </c>
      <c r="F99" s="120">
        <f t="shared" ref="F99:F128" ca="1" si="29">IFERROR(INDIRECT($B99&amp;"!F91"), "")</f>
        <v>5665.4151366243304</v>
      </c>
      <c r="G99" s="122">
        <f t="shared" ref="G99:G128" ca="1" si="30">IFERROR($C99 * (1 + H99), "")</f>
        <v>3058047.2146163289</v>
      </c>
      <c r="H99" s="70">
        <f t="shared" ref="H99:H128" ca="1" si="31">IFERROR(INDIRECT($B99&amp;"!H91"), "")</f>
        <v>1.934907153877622E-2</v>
      </c>
      <c r="I99" s="120">
        <f t="shared" ref="I99:I128" ca="1" si="32">IFERROR(INDIRECT($B99&amp;"!I91"), "")</f>
        <v>58047.214616328652</v>
      </c>
      <c r="J99" s="122">
        <f t="shared" ref="J99:J128" ca="1" si="33">IFERROR($C99 * (1 + K99), "")</f>
        <v>3057097.7349026459</v>
      </c>
      <c r="K99" s="70">
        <f t="shared" ref="K99:K128" ca="1" si="34">IFERROR(INDIRECT($B99&amp;"!K91"), "")</f>
        <v>1.9032578300882022E-2</v>
      </c>
      <c r="L99" s="120">
        <f t="shared" ref="L99:L128" ca="1" si="35">IFERROR(INDIRECT($B99&amp;"!L91"), "")</f>
        <v>57097.734902646051</v>
      </c>
      <c r="M99" s="122">
        <f t="shared" ref="M99:M128" ca="1" si="36">IFERROR($C99 * (1 + N99), "")</f>
        <v>3054772.5499075544</v>
      </c>
      <c r="N99" s="70">
        <f t="shared" ref="N99:N128" ca="1" si="37">IFERROR(INDIRECT($B99&amp;"!N91"), "")</f>
        <v>1.8257516635851401E-2</v>
      </c>
      <c r="O99" s="120">
        <f t="shared" ref="O99:O128" ca="1" si="38">IFERROR(INDIRECT($B99&amp;"!O91"), "")</f>
        <v>54772.549907554203</v>
      </c>
    </row>
    <row r="100" spans="1:15" ht="16.5" customHeight="1">
      <c r="A100" s="47">
        <v>3</v>
      </c>
      <c r="B100" s="130" t="str">
        <f>HYPERLINK("#'" &amp; TEXT(투자전략!$G$1+2, "[$-ko-KR]yyyy.mm.dd") &amp; "'!A67:O91", TEXT(투자전략!$G$1+2, "[$-ko-KR]yyyy.mm.dd"))</f>
        <v>2023.01.03</v>
      </c>
      <c r="C100" s="118">
        <f t="shared" ca="1" si="26"/>
        <v>3000000</v>
      </c>
      <c r="D100" s="122">
        <f t="shared" ca="1" si="27"/>
        <v>3009604.3470456116</v>
      </c>
      <c r="E100" s="70">
        <f t="shared" ca="1" si="28"/>
        <v>3.2014490152038493E-3</v>
      </c>
      <c r="F100" s="120">
        <f t="shared" ca="1" si="29"/>
        <v>9604.3470456115501</v>
      </c>
      <c r="G100" s="122">
        <f t="shared" ca="1" si="30"/>
        <v>3042899.491848812</v>
      </c>
      <c r="H100" s="70">
        <f t="shared" ca="1" si="31"/>
        <v>1.4299830616270692E-2</v>
      </c>
      <c r="I100" s="120">
        <f t="shared" ca="1" si="32"/>
        <v>42899.491848812089</v>
      </c>
      <c r="J100" s="122">
        <f t="shared" ca="1" si="33"/>
        <v>3035587.3380276514</v>
      </c>
      <c r="K100" s="70">
        <f t="shared" ca="1" si="34"/>
        <v>1.1862446009217065E-2</v>
      </c>
      <c r="L100" s="120">
        <f t="shared" ca="1" si="35"/>
        <v>35587.338027651203</v>
      </c>
      <c r="M100" s="122">
        <f t="shared" ca="1" si="36"/>
        <v>3016950.083839905</v>
      </c>
      <c r="N100" s="70">
        <f t="shared" ca="1" si="37"/>
        <v>5.6500279466349156E-3</v>
      </c>
      <c r="O100" s="120">
        <f t="shared" ca="1" si="38"/>
        <v>16950.083839904742</v>
      </c>
    </row>
    <row r="101" spans="1:15" ht="16.5" customHeight="1">
      <c r="A101" s="47">
        <v>4</v>
      </c>
      <c r="B101" s="130" t="str">
        <f>HYPERLINK("#'" &amp; TEXT(투자전략!$G$1+3, "[$-ko-KR]yyyy.mm.dd") &amp; "'!A67:O91", TEXT(투자전략!$G$1+3, "[$-ko-KR]yyyy.mm.dd"))</f>
        <v>2023.01.04</v>
      </c>
      <c r="C101" s="118">
        <f t="shared" ca="1" si="26"/>
        <v>3000000</v>
      </c>
      <c r="D101" s="122">
        <f t="shared" ca="1" si="27"/>
        <v>3091173.873750106</v>
      </c>
      <c r="E101" s="70">
        <f t="shared" ca="1" si="28"/>
        <v>3.039129125003532E-2</v>
      </c>
      <c r="F101" s="120">
        <f t="shared" ca="1" si="29"/>
        <v>91173.873750105966</v>
      </c>
      <c r="G101" s="122">
        <f t="shared" ca="1" si="30"/>
        <v>3090449.6584798223</v>
      </c>
      <c r="H101" s="70">
        <f t="shared" ca="1" si="31"/>
        <v>3.0149886159940659E-2</v>
      </c>
      <c r="I101" s="120">
        <f t="shared" ca="1" si="32"/>
        <v>90449.658479821999</v>
      </c>
      <c r="J101" s="122">
        <f t="shared" ca="1" si="33"/>
        <v>3088121.4626004365</v>
      </c>
      <c r="K101" s="70">
        <f t="shared" ca="1" si="34"/>
        <v>2.93738208668122E-2</v>
      </c>
      <c r="L101" s="120">
        <f t="shared" ca="1" si="35"/>
        <v>88121.462600436629</v>
      </c>
      <c r="M101" s="122">
        <f t="shared" ca="1" si="36"/>
        <v>3089239.3661467172</v>
      </c>
      <c r="N101" s="70">
        <f t="shared" ca="1" si="37"/>
        <v>2.9746455382239023E-2</v>
      </c>
      <c r="O101" s="120">
        <f t="shared" ca="1" si="38"/>
        <v>89239.366146717075</v>
      </c>
    </row>
    <row r="102" spans="1:15" ht="16.5" customHeight="1">
      <c r="A102" s="47">
        <v>5</v>
      </c>
      <c r="B102" s="130" t="str">
        <f>HYPERLINK("#'" &amp; TEXT(투자전략!$G$1+4, "[$-ko-KR]yyyy.mm.dd") &amp; "'!A67:O91", TEXT(투자전략!$G$1+4, "[$-ko-KR]yyyy.mm.dd"))</f>
        <v>2023.01.05</v>
      </c>
      <c r="C102" s="118">
        <f t="shared" ca="1" si="26"/>
        <v>3000000</v>
      </c>
      <c r="D102" s="122">
        <f t="shared" ca="1" si="27"/>
        <v>3039583.2384355944</v>
      </c>
      <c r="E102" s="70">
        <f t="shared" ca="1" si="28"/>
        <v>1.3194412811864792E-2</v>
      </c>
      <c r="F102" s="120">
        <f t="shared" ca="1" si="29"/>
        <v>39583.23843559438</v>
      </c>
      <c r="G102" s="122">
        <f t="shared" ca="1" si="30"/>
        <v>2974267.3590089572</v>
      </c>
      <c r="H102" s="70">
        <f t="shared" ca="1" si="31"/>
        <v>-8.5775469970142855E-3</v>
      </c>
      <c r="I102" s="120">
        <f t="shared" ca="1" si="32"/>
        <v>-25732.640991042848</v>
      </c>
      <c r="J102" s="122">
        <f t="shared" ca="1" si="33"/>
        <v>3005492.4656347511</v>
      </c>
      <c r="K102" s="70">
        <f t="shared" ca="1" si="34"/>
        <v>1.8308218782503987E-3</v>
      </c>
      <c r="L102" s="120">
        <f t="shared" ca="1" si="35"/>
        <v>5492.4656347511964</v>
      </c>
      <c r="M102" s="122">
        <f t="shared" ca="1" si="36"/>
        <v>2991395.8863580683</v>
      </c>
      <c r="N102" s="70">
        <f t="shared" ca="1" si="37"/>
        <v>-2.868037880643908E-3</v>
      </c>
      <c r="O102" s="120">
        <f t="shared" ca="1" si="38"/>
        <v>-8604.1136419317227</v>
      </c>
    </row>
    <row r="103" spans="1:15" ht="16.5" customHeight="1">
      <c r="A103" s="47">
        <v>6</v>
      </c>
      <c r="B103" s="130" t="str">
        <f>HYPERLINK("#'" &amp; TEXT(투자전략!$G$1+5, "[$-ko-KR]yyyy.mm.dd") &amp; "'!A67:O91", TEXT(투자전략!$G$1+5, "[$-ko-KR]yyyy.mm.dd"))</f>
        <v>2023.01.06</v>
      </c>
      <c r="C103" s="118">
        <f t="shared" ca="1" si="26"/>
        <v>3000000</v>
      </c>
      <c r="D103" s="122">
        <f t="shared" ca="1" si="27"/>
        <v>2963631.3228137712</v>
      </c>
      <c r="E103" s="70">
        <f t="shared" ca="1" si="28"/>
        <v>-1.2122892395409571E-2</v>
      </c>
      <c r="F103" s="120">
        <f t="shared" ca="1" si="29"/>
        <v>-36368.677186228713</v>
      </c>
      <c r="G103" s="122">
        <f t="shared" ca="1" si="30"/>
        <v>2947009.9136048337</v>
      </c>
      <c r="H103" s="70">
        <f t="shared" ca="1" si="31"/>
        <v>-1.76633621317221E-2</v>
      </c>
      <c r="I103" s="120">
        <f t="shared" ca="1" si="32"/>
        <v>-52990.086395166305</v>
      </c>
      <c r="J103" s="122">
        <f t="shared" ca="1" si="33"/>
        <v>2930566.0906056105</v>
      </c>
      <c r="K103" s="70">
        <f t="shared" ca="1" si="34"/>
        <v>-2.3144636464796444E-2</v>
      </c>
      <c r="L103" s="120">
        <f t="shared" ca="1" si="35"/>
        <v>-69433.909394389324</v>
      </c>
      <c r="M103" s="122">
        <f t="shared" ca="1" si="36"/>
        <v>2941554.8825490503</v>
      </c>
      <c r="N103" s="70">
        <f t="shared" ca="1" si="37"/>
        <v>-1.9481705816983323E-2</v>
      </c>
      <c r="O103" s="120">
        <f t="shared" ca="1" si="38"/>
        <v>-58445.117450949976</v>
      </c>
    </row>
    <row r="104" spans="1:15" ht="16.5" customHeight="1" thickBot="1">
      <c r="A104" s="48">
        <v>7</v>
      </c>
      <c r="B104" s="131" t="str">
        <f>HYPERLINK("#'" &amp; TEXT(투자전략!$G$1+6, "[$-ko-KR]yyyy.mm.dd") &amp; "'!A67:O91", TEXT(투자전략!$G$1+6, "[$-ko-KR]yyyy.mm.dd"))</f>
        <v>2023.01.07</v>
      </c>
      <c r="C104" s="118">
        <f t="shared" ca="1" si="26"/>
        <v>3000000</v>
      </c>
      <c r="D104" s="122">
        <f t="shared" ca="1" si="27"/>
        <v>3073105.195110817</v>
      </c>
      <c r="E104" s="70">
        <f t="shared" ca="1" si="28"/>
        <v>2.4368398370272354E-2</v>
      </c>
      <c r="F104" s="120">
        <f t="shared" ca="1" si="29"/>
        <v>73105.195110817076</v>
      </c>
      <c r="G104" s="122">
        <f t="shared" ca="1" si="30"/>
        <v>3079406.0226278058</v>
      </c>
      <c r="H104" s="70">
        <f t="shared" ca="1" si="31"/>
        <v>2.6468674209268673E-2</v>
      </c>
      <c r="I104" s="120">
        <f t="shared" ca="1" si="32"/>
        <v>79406.022627806014</v>
      </c>
      <c r="J104" s="122">
        <f t="shared" ca="1" si="33"/>
        <v>3074546.6329558091</v>
      </c>
      <c r="K104" s="70">
        <f t="shared" ca="1" si="34"/>
        <v>2.4848877651936434E-2</v>
      </c>
      <c r="L104" s="120">
        <f t="shared" ca="1" si="35"/>
        <v>74546.632955809313</v>
      </c>
      <c r="M104" s="122">
        <f t="shared" ca="1" si="36"/>
        <v>3077159.5007138057</v>
      </c>
      <c r="N104" s="70">
        <f t="shared" ca="1" si="37"/>
        <v>2.5719833571268558E-2</v>
      </c>
      <c r="O104" s="120">
        <f t="shared" ca="1" si="38"/>
        <v>77159.500713805683</v>
      </c>
    </row>
    <row r="105" spans="1:15" ht="16.5" customHeight="1">
      <c r="A105" s="46">
        <v>8</v>
      </c>
      <c r="B105" s="129" t="str">
        <f>HYPERLINK("#'" &amp; TEXT(투자전략!$G$1+7, "[$-ko-KR]yyyy.mm.dd") &amp; "'!A67:O91", TEXT(투자전략!$G$1+7, "[$-ko-KR]yyyy.mm.dd"))</f>
        <v>2023.01.08</v>
      </c>
      <c r="C105" s="117">
        <f t="shared" ca="1" si="26"/>
        <v>3000000</v>
      </c>
      <c r="D105" s="125">
        <f t="shared" ca="1" si="27"/>
        <v>3000000</v>
      </c>
      <c r="E105" s="69">
        <f t="shared" ca="1" si="28"/>
        <v>0</v>
      </c>
      <c r="F105" s="124">
        <f t="shared" ca="1" si="29"/>
        <v>0</v>
      </c>
      <c r="G105" s="125">
        <f t="shared" ca="1" si="30"/>
        <v>3000000</v>
      </c>
      <c r="H105" s="69">
        <f t="shared" ca="1" si="31"/>
        <v>0</v>
      </c>
      <c r="I105" s="124">
        <f t="shared" ca="1" si="32"/>
        <v>0</v>
      </c>
      <c r="J105" s="125">
        <f t="shared" ca="1" si="33"/>
        <v>3000000</v>
      </c>
      <c r="K105" s="69">
        <f t="shared" ca="1" si="34"/>
        <v>0</v>
      </c>
      <c r="L105" s="124">
        <f t="shared" ca="1" si="35"/>
        <v>0</v>
      </c>
      <c r="M105" s="125">
        <f t="shared" ca="1" si="36"/>
        <v>3000000</v>
      </c>
      <c r="N105" s="69">
        <f t="shared" ca="1" si="37"/>
        <v>0</v>
      </c>
      <c r="O105" s="124">
        <f t="shared" ca="1" si="38"/>
        <v>0</v>
      </c>
    </row>
    <row r="106" spans="1:15" ht="16.5" customHeight="1">
      <c r="A106" s="47">
        <v>9</v>
      </c>
      <c r="B106" s="130" t="str">
        <f>HYPERLINK("#'" &amp; TEXT(투자전략!$G$1+8, "[$-ko-KR]yyyy.mm.dd") &amp; "'!A67:O91", TEXT(투자전략!$G$1+8, "[$-ko-KR]yyyy.mm.dd"))</f>
        <v>2023.01.09</v>
      </c>
      <c r="C106" s="118" t="str">
        <f t="shared" ca="1" si="26"/>
        <v/>
      </c>
      <c r="D106" s="122" t="str">
        <f t="shared" ca="1" si="27"/>
        <v/>
      </c>
      <c r="E106" s="70" t="str">
        <f t="shared" ca="1" si="28"/>
        <v/>
      </c>
      <c r="F106" s="120" t="str">
        <f t="shared" ca="1" si="29"/>
        <v/>
      </c>
      <c r="G106" s="122" t="str">
        <f t="shared" ca="1" si="30"/>
        <v/>
      </c>
      <c r="H106" s="70" t="str">
        <f t="shared" ca="1" si="31"/>
        <v/>
      </c>
      <c r="I106" s="120" t="str">
        <f t="shared" ca="1" si="32"/>
        <v/>
      </c>
      <c r="J106" s="122" t="str">
        <f t="shared" ca="1" si="33"/>
        <v/>
      </c>
      <c r="K106" s="70" t="str">
        <f t="shared" ca="1" si="34"/>
        <v/>
      </c>
      <c r="L106" s="120" t="str">
        <f t="shared" ca="1" si="35"/>
        <v/>
      </c>
      <c r="M106" s="122" t="str">
        <f t="shared" ca="1" si="36"/>
        <v/>
      </c>
      <c r="N106" s="70" t="str">
        <f t="shared" ca="1" si="37"/>
        <v/>
      </c>
      <c r="O106" s="120" t="str">
        <f t="shared" ca="1" si="38"/>
        <v/>
      </c>
    </row>
    <row r="107" spans="1:15" ht="16.5" customHeight="1">
      <c r="A107" s="47">
        <v>10</v>
      </c>
      <c r="B107" s="130" t="str">
        <f>HYPERLINK("#'" &amp; TEXT(투자전략!$G$1+9, "[$-ko-KR]yyyy.mm.dd") &amp; "'!A67:O91", TEXT(투자전략!$G$1+9, "[$-ko-KR]yyyy.mm.dd"))</f>
        <v>2023.01.10</v>
      </c>
      <c r="C107" s="118" t="str">
        <f t="shared" ca="1" si="26"/>
        <v/>
      </c>
      <c r="D107" s="122" t="str">
        <f t="shared" ca="1" si="27"/>
        <v/>
      </c>
      <c r="E107" s="70" t="str">
        <f t="shared" ca="1" si="28"/>
        <v/>
      </c>
      <c r="F107" s="120" t="str">
        <f t="shared" ca="1" si="29"/>
        <v/>
      </c>
      <c r="G107" s="122" t="str">
        <f t="shared" ca="1" si="30"/>
        <v/>
      </c>
      <c r="H107" s="70" t="str">
        <f t="shared" ca="1" si="31"/>
        <v/>
      </c>
      <c r="I107" s="120" t="str">
        <f t="shared" ca="1" si="32"/>
        <v/>
      </c>
      <c r="J107" s="122" t="str">
        <f t="shared" ca="1" si="33"/>
        <v/>
      </c>
      <c r="K107" s="70" t="str">
        <f t="shared" ca="1" si="34"/>
        <v/>
      </c>
      <c r="L107" s="120" t="str">
        <f t="shared" ca="1" si="35"/>
        <v/>
      </c>
      <c r="M107" s="122" t="str">
        <f t="shared" ca="1" si="36"/>
        <v/>
      </c>
      <c r="N107" s="70" t="str">
        <f t="shared" ca="1" si="37"/>
        <v/>
      </c>
      <c r="O107" s="120" t="str">
        <f t="shared" ca="1" si="38"/>
        <v/>
      </c>
    </row>
    <row r="108" spans="1:15" ht="16.5" customHeight="1">
      <c r="A108" s="47">
        <v>11</v>
      </c>
      <c r="B108" s="130" t="str">
        <f>HYPERLINK("#'" &amp; TEXT(투자전략!$G$1+10, "[$-ko-KR]yyyy.mm.dd") &amp; "'!A67:O91", TEXT(투자전략!$G$1+10, "[$-ko-KR]yyyy.mm.dd"))</f>
        <v>2023.01.11</v>
      </c>
      <c r="C108" s="118" t="str">
        <f t="shared" ca="1" si="26"/>
        <v/>
      </c>
      <c r="D108" s="122" t="str">
        <f t="shared" ca="1" si="27"/>
        <v/>
      </c>
      <c r="E108" s="70" t="str">
        <f t="shared" ca="1" si="28"/>
        <v/>
      </c>
      <c r="F108" s="120" t="str">
        <f t="shared" ca="1" si="29"/>
        <v/>
      </c>
      <c r="G108" s="122" t="str">
        <f t="shared" ca="1" si="30"/>
        <v/>
      </c>
      <c r="H108" s="70" t="str">
        <f t="shared" ca="1" si="31"/>
        <v/>
      </c>
      <c r="I108" s="120" t="str">
        <f t="shared" ca="1" si="32"/>
        <v/>
      </c>
      <c r="J108" s="122" t="str">
        <f t="shared" ca="1" si="33"/>
        <v/>
      </c>
      <c r="K108" s="70" t="str">
        <f t="shared" ca="1" si="34"/>
        <v/>
      </c>
      <c r="L108" s="120" t="str">
        <f t="shared" ca="1" si="35"/>
        <v/>
      </c>
      <c r="M108" s="122" t="str">
        <f t="shared" ca="1" si="36"/>
        <v/>
      </c>
      <c r="N108" s="70" t="str">
        <f t="shared" ca="1" si="37"/>
        <v/>
      </c>
      <c r="O108" s="120" t="str">
        <f t="shared" ca="1" si="38"/>
        <v/>
      </c>
    </row>
    <row r="109" spans="1:15" ht="16.5" customHeight="1">
      <c r="A109" s="47">
        <v>12</v>
      </c>
      <c r="B109" s="130" t="str">
        <f>HYPERLINK("#'" &amp; TEXT(투자전략!$G$1+11, "[$-ko-KR]yyyy.mm.dd") &amp; "'!A67:O91", TEXT(투자전략!$G$1+11, "[$-ko-KR]yyyy.mm.dd"))</f>
        <v>2023.01.12</v>
      </c>
      <c r="C109" s="118" t="str">
        <f t="shared" ca="1" si="26"/>
        <v/>
      </c>
      <c r="D109" s="122" t="str">
        <f t="shared" ca="1" si="27"/>
        <v/>
      </c>
      <c r="E109" s="70" t="str">
        <f t="shared" ca="1" si="28"/>
        <v/>
      </c>
      <c r="F109" s="120" t="str">
        <f t="shared" ca="1" si="29"/>
        <v/>
      </c>
      <c r="G109" s="122" t="str">
        <f t="shared" ca="1" si="30"/>
        <v/>
      </c>
      <c r="H109" s="70" t="str">
        <f t="shared" ca="1" si="31"/>
        <v/>
      </c>
      <c r="I109" s="120" t="str">
        <f t="shared" ca="1" si="32"/>
        <v/>
      </c>
      <c r="J109" s="122" t="str">
        <f t="shared" ca="1" si="33"/>
        <v/>
      </c>
      <c r="K109" s="70" t="str">
        <f t="shared" ca="1" si="34"/>
        <v/>
      </c>
      <c r="L109" s="120" t="str">
        <f t="shared" ca="1" si="35"/>
        <v/>
      </c>
      <c r="M109" s="122" t="str">
        <f t="shared" ca="1" si="36"/>
        <v/>
      </c>
      <c r="N109" s="70" t="str">
        <f t="shared" ca="1" si="37"/>
        <v/>
      </c>
      <c r="O109" s="120" t="str">
        <f t="shared" ca="1" si="38"/>
        <v/>
      </c>
    </row>
    <row r="110" spans="1:15" ht="16.5" customHeight="1">
      <c r="A110" s="47">
        <v>13</v>
      </c>
      <c r="B110" s="130" t="str">
        <f>HYPERLINK("#'" &amp; TEXT(투자전략!$G$1+12, "[$-ko-KR]yyyy.mm.dd") &amp; "'!A67:O91", TEXT(투자전략!$G$1+12, "[$-ko-KR]yyyy.mm.dd"))</f>
        <v>2023.01.13</v>
      </c>
      <c r="C110" s="118">
        <f t="shared" ca="1" si="26"/>
        <v>3000000</v>
      </c>
      <c r="D110" s="122">
        <f t="shared" ca="1" si="27"/>
        <v>3000000</v>
      </c>
      <c r="E110" s="70">
        <f t="shared" ca="1" si="28"/>
        <v>0</v>
      </c>
      <c r="F110" s="120">
        <f t="shared" ca="1" si="29"/>
        <v>0</v>
      </c>
      <c r="G110" s="122">
        <f t="shared" ca="1" si="30"/>
        <v>2992098.7951551583</v>
      </c>
      <c r="H110" s="70">
        <f t="shared" ca="1" si="31"/>
        <v>-2.633734948280566E-3</v>
      </c>
      <c r="I110" s="120">
        <f t="shared" ca="1" si="32"/>
        <v>-7901.2048448416972</v>
      </c>
      <c r="J110" s="122">
        <f t="shared" ca="1" si="33"/>
        <v>2985940.0754205156</v>
      </c>
      <c r="K110" s="70">
        <f t="shared" ca="1" si="34"/>
        <v>-4.6866415264947862E-3</v>
      </c>
      <c r="L110" s="120">
        <f t="shared" ca="1" si="35"/>
        <v>-14059.924579484363</v>
      </c>
      <c r="M110" s="122">
        <f t="shared" ca="1" si="36"/>
        <v>2969579.5677867238</v>
      </c>
      <c r="N110" s="70">
        <f t="shared" ca="1" si="37"/>
        <v>-1.0140144071092146E-2</v>
      </c>
      <c r="O110" s="120">
        <f t="shared" ca="1" si="38"/>
        <v>-30420.432213276439</v>
      </c>
    </row>
    <row r="111" spans="1:15" ht="16.5" customHeight="1" thickBot="1">
      <c r="A111" s="48">
        <v>14</v>
      </c>
      <c r="B111" s="131" t="str">
        <f>HYPERLINK("#'" &amp; TEXT(투자전략!$G$1+13, "[$-ko-KR]yyyy.mm.dd") &amp; "'!A67:O91", TEXT(투자전략!$G$1+13, "[$-ko-KR]yyyy.mm.dd"))</f>
        <v>2023.01.14</v>
      </c>
      <c r="C111" s="119">
        <f t="shared" ca="1" si="26"/>
        <v>3000000</v>
      </c>
      <c r="D111" s="123">
        <f t="shared" ca="1" si="27"/>
        <v>3252147.7683195262</v>
      </c>
      <c r="E111" s="72">
        <f t="shared" ca="1" si="28"/>
        <v>8.4049256106508749E-2</v>
      </c>
      <c r="F111" s="121">
        <f t="shared" ca="1" si="29"/>
        <v>252147.76831952622</v>
      </c>
      <c r="G111" s="123">
        <f t="shared" ca="1" si="30"/>
        <v>3262915.6716268235</v>
      </c>
      <c r="H111" s="72">
        <f t="shared" ca="1" si="31"/>
        <v>8.7638557208941162E-2</v>
      </c>
      <c r="I111" s="121">
        <f t="shared" ca="1" si="32"/>
        <v>262915.67162682343</v>
      </c>
      <c r="J111" s="123">
        <f t="shared" ca="1" si="33"/>
        <v>3346790.2913885862</v>
      </c>
      <c r="K111" s="72">
        <f t="shared" ca="1" si="34"/>
        <v>0.1155967637961955</v>
      </c>
      <c r="L111" s="121">
        <f t="shared" ca="1" si="35"/>
        <v>346790.29138858651</v>
      </c>
      <c r="M111" s="123">
        <f t="shared" ca="1" si="36"/>
        <v>3324893.8781623356</v>
      </c>
      <c r="N111" s="72">
        <f t="shared" ca="1" si="37"/>
        <v>0.10829795938744509</v>
      </c>
      <c r="O111" s="121">
        <f t="shared" ca="1" si="38"/>
        <v>324893.8781623352</v>
      </c>
    </row>
    <row r="112" spans="1:15" ht="16.5" customHeight="1">
      <c r="A112" s="46">
        <v>15</v>
      </c>
      <c r="B112" s="129" t="str">
        <f>HYPERLINK("#'" &amp; TEXT(투자전략!$G$1+14, "[$-ko-KR]yyyy.mm.dd") &amp; "'!A67:O91", TEXT(투자전략!$G$1+14, "[$-ko-KR]yyyy.mm.dd"))</f>
        <v>2023.01.15</v>
      </c>
      <c r="C112" s="118">
        <f t="shared" ca="1" si="26"/>
        <v>3000000</v>
      </c>
      <c r="D112" s="122">
        <f t="shared" ca="1" si="27"/>
        <v>3088952.4464916731</v>
      </c>
      <c r="E112" s="70">
        <f t="shared" ca="1" si="28"/>
        <v>2.9650815497224474E-2</v>
      </c>
      <c r="F112" s="120">
        <f t="shared" ca="1" si="29"/>
        <v>88952.4464916734</v>
      </c>
      <c r="G112" s="122">
        <f t="shared" ca="1" si="30"/>
        <v>3119006.213997832</v>
      </c>
      <c r="H112" s="70">
        <f t="shared" ca="1" si="31"/>
        <v>3.9668737999277295E-2</v>
      </c>
      <c r="I112" s="120">
        <f t="shared" ca="1" si="32"/>
        <v>119006.21399783187</v>
      </c>
      <c r="J112" s="122">
        <f t="shared" ca="1" si="33"/>
        <v>3145907.667633425</v>
      </c>
      <c r="K112" s="70">
        <f t="shared" ca="1" si="34"/>
        <v>4.8635889211141634E-2</v>
      </c>
      <c r="L112" s="120">
        <f t="shared" ca="1" si="35"/>
        <v>145907.66763342489</v>
      </c>
      <c r="M112" s="122">
        <f t="shared" ca="1" si="36"/>
        <v>3179252.0144552966</v>
      </c>
      <c r="N112" s="70">
        <f t="shared" ca="1" si="37"/>
        <v>5.9750671485098772E-2</v>
      </c>
      <c r="O112" s="120">
        <f t="shared" ca="1" si="38"/>
        <v>179252.01445529627</v>
      </c>
    </row>
    <row r="113" spans="1:15" ht="16.5" customHeight="1">
      <c r="A113" s="47">
        <v>16</v>
      </c>
      <c r="B113" s="130" t="str">
        <f>HYPERLINK("#'" &amp; TEXT(투자전략!$G$1+15, "[$-ko-KR]yyyy.mm.dd") &amp; "'!A67:O91", TEXT(투자전략!$G$1+15, "[$-ko-KR]yyyy.mm.dd"))</f>
        <v>2023.01.16</v>
      </c>
      <c r="C113" s="118">
        <f t="shared" ca="1" si="26"/>
        <v>3000000</v>
      </c>
      <c r="D113" s="122">
        <f t="shared" ca="1" si="27"/>
        <v>3094243.9301684215</v>
      </c>
      <c r="E113" s="70">
        <f t="shared" ca="1" si="28"/>
        <v>3.1414643389473675E-2</v>
      </c>
      <c r="F113" s="120">
        <f t="shared" ca="1" si="29"/>
        <v>94243.930168420979</v>
      </c>
      <c r="G113" s="122">
        <f t="shared" ca="1" si="30"/>
        <v>3016984.6080488591</v>
      </c>
      <c r="H113" s="70">
        <f t="shared" ca="1" si="31"/>
        <v>5.6615360162864392E-3</v>
      </c>
      <c r="I113" s="120">
        <f t="shared" ca="1" si="32"/>
        <v>16984.608048859322</v>
      </c>
      <c r="J113" s="122">
        <f t="shared" ca="1" si="33"/>
        <v>3023586.6950260783</v>
      </c>
      <c r="K113" s="70">
        <f t="shared" ca="1" si="34"/>
        <v>7.8622316753593734E-3</v>
      </c>
      <c r="L113" s="120">
        <f t="shared" ca="1" si="35"/>
        <v>23586.695026078116</v>
      </c>
      <c r="M113" s="122">
        <f t="shared" ca="1" si="36"/>
        <v>3026841.1196638341</v>
      </c>
      <c r="N113" s="70">
        <f t="shared" ca="1" si="37"/>
        <v>8.9470398879447476E-3</v>
      </c>
      <c r="O113" s="120">
        <f t="shared" ca="1" si="38"/>
        <v>26841.119663834244</v>
      </c>
    </row>
    <row r="114" spans="1:15" ht="16.5" customHeight="1">
      <c r="A114" s="47">
        <v>17</v>
      </c>
      <c r="B114" s="130" t="str">
        <f>HYPERLINK("#'" &amp; TEXT(투자전략!$G$1+16, "[$-ko-KR]yyyy.mm.dd") &amp; "'!A67:O91", TEXT(투자전략!$G$1+16, "[$-ko-KR]yyyy.mm.dd"))</f>
        <v>2023.01.17</v>
      </c>
      <c r="C114" s="118">
        <f t="shared" ca="1" si="26"/>
        <v>3000000</v>
      </c>
      <c r="D114" s="122">
        <f t="shared" ca="1" si="27"/>
        <v>2998393.6014203122</v>
      </c>
      <c r="E114" s="70">
        <f t="shared" ca="1" si="28"/>
        <v>-5.3546619322920983E-4</v>
      </c>
      <c r="F114" s="120">
        <f t="shared" ca="1" si="29"/>
        <v>-1606.3985796876304</v>
      </c>
      <c r="G114" s="122">
        <f t="shared" ca="1" si="30"/>
        <v>2994867.8240135722</v>
      </c>
      <c r="H114" s="70">
        <f t="shared" ca="1" si="31"/>
        <v>-1.7107253288092406E-3</v>
      </c>
      <c r="I114" s="120">
        <f t="shared" ca="1" si="32"/>
        <v>-5132.1759864277274</v>
      </c>
      <c r="J114" s="122">
        <f t="shared" ca="1" si="33"/>
        <v>3028491.07395392</v>
      </c>
      <c r="K114" s="70">
        <f t="shared" ca="1" si="34"/>
        <v>9.4970246513067236E-3</v>
      </c>
      <c r="L114" s="120">
        <f t="shared" ca="1" si="35"/>
        <v>28491.073953920179</v>
      </c>
      <c r="M114" s="122">
        <f t="shared" ca="1" si="36"/>
        <v>3048969.61558419</v>
      </c>
      <c r="N114" s="70">
        <f t="shared" ca="1" si="37"/>
        <v>1.6323205194729982E-2</v>
      </c>
      <c r="O114" s="120">
        <f t="shared" ca="1" si="38"/>
        <v>48969.615584189938</v>
      </c>
    </row>
    <row r="115" spans="1:15" ht="16.5" customHeight="1">
      <c r="A115" s="47">
        <v>18</v>
      </c>
      <c r="B115" s="130" t="str">
        <f>HYPERLINK("#'" &amp; TEXT(투자전략!$G$1+17, "[$-ko-KR]yyyy.mm.dd") &amp; "'!A67:O91", TEXT(투자전략!$G$1+17, "[$-ko-KR]yyyy.mm.dd"))</f>
        <v>2023.01.18</v>
      </c>
      <c r="C115" s="118">
        <f t="shared" ca="1" si="26"/>
        <v>3000000</v>
      </c>
      <c r="D115" s="122">
        <f t="shared" ca="1" si="27"/>
        <v>3006470.91935173</v>
      </c>
      <c r="E115" s="70">
        <f t="shared" ca="1" si="28"/>
        <v>2.1569731172433773E-3</v>
      </c>
      <c r="F115" s="120">
        <f t="shared" ca="1" si="29"/>
        <v>6470.9193517301337</v>
      </c>
      <c r="G115" s="122">
        <f t="shared" ca="1" si="30"/>
        <v>2943576.6273851525</v>
      </c>
      <c r="H115" s="70">
        <f t="shared" ca="1" si="31"/>
        <v>-1.880779087161585E-2</v>
      </c>
      <c r="I115" s="120">
        <f t="shared" ca="1" si="32"/>
        <v>-56423.372614847583</v>
      </c>
      <c r="J115" s="122">
        <f t="shared" ca="1" si="33"/>
        <v>2975452.4570291024</v>
      </c>
      <c r="K115" s="70">
        <f t="shared" ca="1" si="34"/>
        <v>-8.1825143236325358E-3</v>
      </c>
      <c r="L115" s="120">
        <f t="shared" ca="1" si="35"/>
        <v>-24547.542970897612</v>
      </c>
      <c r="M115" s="122">
        <f t="shared" ca="1" si="36"/>
        <v>3024618.3178443685</v>
      </c>
      <c r="N115" s="70">
        <f t="shared" ca="1" si="37"/>
        <v>8.2061059481228944E-3</v>
      </c>
      <c r="O115" s="120">
        <f t="shared" ca="1" si="38"/>
        <v>24618.317844368685</v>
      </c>
    </row>
    <row r="116" spans="1:15" ht="16.5" customHeight="1">
      <c r="A116" s="47">
        <v>19</v>
      </c>
      <c r="B116" s="130" t="str">
        <f>HYPERLINK("#'" &amp; TEXT(투자전략!$G$1+18, "[$-ko-KR]yyyy.mm.dd") &amp; "'!A67:O91", TEXT(투자전략!$G$1+18, "[$-ko-KR]yyyy.mm.dd"))</f>
        <v>2023.01.19</v>
      </c>
      <c r="C116" s="118">
        <f t="shared" ca="1" si="26"/>
        <v>3000000</v>
      </c>
      <c r="D116" s="122">
        <f t="shared" ca="1" si="27"/>
        <v>2832442.7747950163</v>
      </c>
      <c r="E116" s="70">
        <f t="shared" ca="1" si="28"/>
        <v>-5.5852408401661204E-2</v>
      </c>
      <c r="F116" s="120">
        <f t="shared" ca="1" si="29"/>
        <v>-167557.22520498358</v>
      </c>
      <c r="G116" s="122">
        <f t="shared" ca="1" si="30"/>
        <v>2879607.4459940544</v>
      </c>
      <c r="H116" s="70">
        <f t="shared" ca="1" si="31"/>
        <v>-4.0130851335315215E-2</v>
      </c>
      <c r="I116" s="120">
        <f t="shared" ca="1" si="32"/>
        <v>-120392.55400594561</v>
      </c>
      <c r="J116" s="122">
        <f t="shared" ca="1" si="33"/>
        <v>2839595.412744245</v>
      </c>
      <c r="K116" s="70">
        <f t="shared" ca="1" si="34"/>
        <v>-5.3468195751918336E-2</v>
      </c>
      <c r="L116" s="120">
        <f t="shared" ca="1" si="35"/>
        <v>-160404.587255755</v>
      </c>
      <c r="M116" s="122">
        <f t="shared" ca="1" si="36"/>
        <v>2855012.2390036504</v>
      </c>
      <c r="N116" s="70">
        <f t="shared" ca="1" si="37"/>
        <v>-4.8329253665449982E-2</v>
      </c>
      <c r="O116" s="120">
        <f t="shared" ca="1" si="38"/>
        <v>-144987.76099634994</v>
      </c>
    </row>
    <row r="117" spans="1:15" ht="16.5" customHeight="1">
      <c r="A117" s="47">
        <v>20</v>
      </c>
      <c r="B117" s="130" t="str">
        <f>HYPERLINK("#'" &amp; TEXT(투자전략!$G$1+19, "[$-ko-KR]yyyy.mm.dd") &amp; "'!A67:O91", TEXT(투자전략!$G$1+19, "[$-ko-KR]yyyy.mm.dd"))</f>
        <v>2023.01.20</v>
      </c>
      <c r="C117" s="118">
        <f t="shared" ca="1" si="26"/>
        <v>3000000</v>
      </c>
      <c r="D117" s="122">
        <f t="shared" ca="1" si="27"/>
        <v>3053388.7282946403</v>
      </c>
      <c r="E117" s="70">
        <f t="shared" ca="1" si="28"/>
        <v>1.7796242764880087E-2</v>
      </c>
      <c r="F117" s="120">
        <f t="shared" ca="1" si="29"/>
        <v>53388.728294640256</v>
      </c>
      <c r="G117" s="122">
        <f t="shared" ca="1" si="30"/>
        <v>3065124.5472841864</v>
      </c>
      <c r="H117" s="70">
        <f t="shared" ca="1" si="31"/>
        <v>2.1708182428062009E-2</v>
      </c>
      <c r="I117" s="120">
        <f t="shared" ca="1" si="32"/>
        <v>65124.547284186017</v>
      </c>
      <c r="J117" s="122">
        <f t="shared" ca="1" si="33"/>
        <v>3068771.1608830811</v>
      </c>
      <c r="K117" s="70">
        <f t="shared" ca="1" si="34"/>
        <v>2.2923720294360485E-2</v>
      </c>
      <c r="L117" s="120">
        <f t="shared" ca="1" si="35"/>
        <v>68771.160883081437</v>
      </c>
      <c r="M117" s="122">
        <f t="shared" ca="1" si="36"/>
        <v>3095452.1744163074</v>
      </c>
      <c r="N117" s="70">
        <f t="shared" ca="1" si="37"/>
        <v>3.181739147210251E-2</v>
      </c>
      <c r="O117" s="120">
        <f t="shared" ca="1" si="38"/>
        <v>95452.174416307505</v>
      </c>
    </row>
    <row r="118" spans="1:15" ht="16.5" customHeight="1" thickBot="1">
      <c r="A118" s="48">
        <v>21</v>
      </c>
      <c r="B118" s="131" t="str">
        <f>HYPERLINK("#'" &amp; TEXT(투자전략!$G$1+20, "[$-ko-KR]yyyy.mm.dd") &amp; "'!A67:O91", TEXT(투자전략!$G$1+20, "[$-ko-KR]yyyy.mm.dd"))</f>
        <v>2023.01.21</v>
      </c>
      <c r="C118" s="118">
        <f t="shared" ca="1" si="26"/>
        <v>3000000</v>
      </c>
      <c r="D118" s="122">
        <f t="shared" ca="1" si="27"/>
        <v>3164225.8984370129</v>
      </c>
      <c r="E118" s="70">
        <f t="shared" ca="1" si="28"/>
        <v>5.4741966145671027E-2</v>
      </c>
      <c r="F118" s="120">
        <f t="shared" ca="1" si="29"/>
        <v>164225.89843701306</v>
      </c>
      <c r="G118" s="122">
        <f t="shared" ca="1" si="30"/>
        <v>3191711.2198200054</v>
      </c>
      <c r="H118" s="70">
        <f t="shared" ca="1" si="31"/>
        <v>6.3903739940001855E-2</v>
      </c>
      <c r="I118" s="120">
        <f t="shared" ca="1" si="32"/>
        <v>191711.21982000564</v>
      </c>
      <c r="J118" s="122">
        <f t="shared" ca="1" si="33"/>
        <v>3159489.9789358652</v>
      </c>
      <c r="K118" s="70">
        <f t="shared" ca="1" si="34"/>
        <v>5.3163326311955014E-2</v>
      </c>
      <c r="L118" s="120">
        <f t="shared" ca="1" si="35"/>
        <v>159489.97893586502</v>
      </c>
      <c r="M118" s="122">
        <f t="shared" ca="1" si="36"/>
        <v>3178213.9429043201</v>
      </c>
      <c r="N118" s="70">
        <f t="shared" ca="1" si="37"/>
        <v>5.9404647634773454E-2</v>
      </c>
      <c r="O118" s="120">
        <f t="shared" ca="1" si="38"/>
        <v>178213.9429043204</v>
      </c>
    </row>
    <row r="119" spans="1:15" ht="16.5" customHeight="1">
      <c r="A119" s="46">
        <v>22</v>
      </c>
      <c r="B119" s="129" t="str">
        <f>HYPERLINK("#'" &amp; TEXT(투자전략!$G$1+21, "[$-ko-KR]yyyy.mm.dd") &amp; "'!A67:O91", TEXT(투자전략!$G$1+21, "[$-ko-KR]yyyy.mm.dd"))</f>
        <v>2023.01.22</v>
      </c>
      <c r="C119" s="117">
        <f t="shared" ca="1" si="26"/>
        <v>3000000</v>
      </c>
      <c r="D119" s="125">
        <f t="shared" ca="1" si="27"/>
        <v>2970315.3575689746</v>
      </c>
      <c r="E119" s="69">
        <f t="shared" ca="1" si="28"/>
        <v>-9.8948808103418839E-3</v>
      </c>
      <c r="F119" s="124">
        <f t="shared" ca="1" si="29"/>
        <v>-29684.642431025655</v>
      </c>
      <c r="G119" s="125">
        <f t="shared" ca="1" si="30"/>
        <v>2999846.7661194149</v>
      </c>
      <c r="H119" s="69">
        <f t="shared" ca="1" si="31"/>
        <v>-5.1077960195022775E-5</v>
      </c>
      <c r="I119" s="124">
        <f t="shared" ca="1" si="32"/>
        <v>-153.23388058506816</v>
      </c>
      <c r="J119" s="125">
        <f t="shared" ca="1" si="33"/>
        <v>2999656.4418117041</v>
      </c>
      <c r="K119" s="69">
        <f t="shared" ca="1" si="34"/>
        <v>-1.1451939609867061E-4</v>
      </c>
      <c r="L119" s="124">
        <f t="shared" ca="1" si="35"/>
        <v>-343.55818829601344</v>
      </c>
      <c r="M119" s="125">
        <f t="shared" ca="1" si="36"/>
        <v>3032734.7411502176</v>
      </c>
      <c r="N119" s="69">
        <f t="shared" ca="1" si="37"/>
        <v>1.0911580383405856E-2</v>
      </c>
      <c r="O119" s="124">
        <f t="shared" ca="1" si="38"/>
        <v>32734.741150217567</v>
      </c>
    </row>
    <row r="120" spans="1:15" ht="16.5" customHeight="1">
      <c r="A120" s="47">
        <v>23</v>
      </c>
      <c r="B120" s="130" t="str">
        <f>HYPERLINK("#'" &amp; TEXT(투자전략!$G$1+22, "[$-ko-KR]yyyy.mm.dd") &amp; "'!A67:O91", TEXT(투자전략!$G$1+22, "[$-ko-KR]yyyy.mm.dd"))</f>
        <v>2023.01.23</v>
      </c>
      <c r="C120" s="118">
        <f t="shared" ca="1" si="26"/>
        <v>3000000</v>
      </c>
      <c r="D120" s="122">
        <f t="shared" ca="1" si="27"/>
        <v>3046644.5843122909</v>
      </c>
      <c r="E120" s="70">
        <f t="shared" ca="1" si="28"/>
        <v>1.5548194770763742E-2</v>
      </c>
      <c r="F120" s="120">
        <f t="shared" ca="1" si="29"/>
        <v>46644.584312291256</v>
      </c>
      <c r="G120" s="122">
        <f t="shared" ca="1" si="30"/>
        <v>3052167.1499723988</v>
      </c>
      <c r="H120" s="70">
        <f t="shared" ca="1" si="31"/>
        <v>1.7389049990799509E-2</v>
      </c>
      <c r="I120" s="120">
        <f t="shared" ca="1" si="32"/>
        <v>52167.149972398533</v>
      </c>
      <c r="J120" s="122">
        <f t="shared" ca="1" si="33"/>
        <v>3099639.2330631958</v>
      </c>
      <c r="K120" s="70">
        <f t="shared" ca="1" si="34"/>
        <v>3.3213077687731976E-2</v>
      </c>
      <c r="L120" s="120">
        <f t="shared" ca="1" si="35"/>
        <v>99639.233063195948</v>
      </c>
      <c r="M120" s="122">
        <f t="shared" ca="1" si="36"/>
        <v>3003302.4794594799</v>
      </c>
      <c r="N120" s="70">
        <f t="shared" ca="1" si="37"/>
        <v>1.1008264864933114E-3</v>
      </c>
      <c r="O120" s="120">
        <f t="shared" ca="1" si="38"/>
        <v>3302.4794594799278</v>
      </c>
    </row>
    <row r="121" spans="1:15" ht="16.5" customHeight="1">
      <c r="A121" s="47">
        <v>24</v>
      </c>
      <c r="B121" s="130" t="str">
        <f>HYPERLINK("#'" &amp; TEXT(투자전략!$G$1+23, "[$-ko-KR]yyyy.mm.dd") &amp; "'!A67:O91", TEXT(투자전략!$G$1+23, "[$-ko-KR]yyyy.mm.dd"))</f>
        <v>2023.01.24</v>
      </c>
      <c r="C121" s="118">
        <f t="shared" ca="1" si="26"/>
        <v>3000000</v>
      </c>
      <c r="D121" s="122">
        <f t="shared" ca="1" si="27"/>
        <v>3149457.743447978</v>
      </c>
      <c r="E121" s="70">
        <f t="shared" ca="1" si="28"/>
        <v>4.9819247815992604E-2</v>
      </c>
      <c r="F121" s="120">
        <f t="shared" ca="1" si="29"/>
        <v>149457.74344797779</v>
      </c>
      <c r="G121" s="122">
        <f t="shared" ca="1" si="30"/>
        <v>3110195.0202135541</v>
      </c>
      <c r="H121" s="70">
        <f t="shared" ca="1" si="31"/>
        <v>3.6731673404518057E-2</v>
      </c>
      <c r="I121" s="120">
        <f t="shared" ca="1" si="32"/>
        <v>110195.02021355421</v>
      </c>
      <c r="J121" s="122">
        <f t="shared" ca="1" si="33"/>
        <v>3102548.5428376715</v>
      </c>
      <c r="K121" s="70">
        <f t="shared" ca="1" si="34"/>
        <v>3.4182847612557257E-2</v>
      </c>
      <c r="L121" s="120">
        <f t="shared" ca="1" si="35"/>
        <v>102548.54283767178</v>
      </c>
      <c r="M121" s="122">
        <f t="shared" ca="1" si="36"/>
        <v>3093314.9932061257</v>
      </c>
      <c r="N121" s="70">
        <f t="shared" ca="1" si="37"/>
        <v>3.1104997735375162E-2</v>
      </c>
      <c r="O121" s="120">
        <f t="shared" ca="1" si="38"/>
        <v>93314.99320612548</v>
      </c>
    </row>
    <row r="122" spans="1:15" ht="16.5" customHeight="1">
      <c r="A122" s="47">
        <v>25</v>
      </c>
      <c r="B122" s="130" t="str">
        <f>HYPERLINK("#'" &amp; TEXT(투자전략!$G$1+24, "[$-ko-KR]yyyy.mm.dd") &amp; "'!A67:O91", TEXT(투자전략!$G$1+24, "[$-ko-KR]yyyy.mm.dd"))</f>
        <v>2023.01.25</v>
      </c>
      <c r="C122" s="118">
        <f t="shared" ca="1" si="26"/>
        <v>3000000</v>
      </c>
      <c r="D122" s="122">
        <f t="shared" ca="1" si="27"/>
        <v>2849021.8671968784</v>
      </c>
      <c r="E122" s="70">
        <f t="shared" ca="1" si="28"/>
        <v>-5.0326044267707225E-2</v>
      </c>
      <c r="F122" s="120">
        <f t="shared" ca="1" si="29"/>
        <v>-150978.13280312161</v>
      </c>
      <c r="G122" s="122">
        <f t="shared" ca="1" si="30"/>
        <v>2816358.5161367483</v>
      </c>
      <c r="H122" s="70">
        <f t="shared" ca="1" si="31"/>
        <v>-6.1213827954417169E-2</v>
      </c>
      <c r="I122" s="120">
        <f t="shared" ca="1" si="32"/>
        <v>-183641.48386325149</v>
      </c>
      <c r="J122" s="122">
        <f t="shared" ca="1" si="33"/>
        <v>2800440.2798669464</v>
      </c>
      <c r="K122" s="70">
        <f t="shared" ca="1" si="34"/>
        <v>-6.6519906711017845E-2</v>
      </c>
      <c r="L122" s="120">
        <f t="shared" ca="1" si="35"/>
        <v>-199559.72013305358</v>
      </c>
      <c r="M122" s="122">
        <f t="shared" ca="1" si="36"/>
        <v>2761239.5712796398</v>
      </c>
      <c r="N122" s="70">
        <f t="shared" ca="1" si="37"/>
        <v>-7.9586809573453376E-2</v>
      </c>
      <c r="O122" s="120">
        <f t="shared" ca="1" si="38"/>
        <v>-238760.42872036016</v>
      </c>
    </row>
    <row r="123" spans="1:15" ht="16.5" customHeight="1">
      <c r="A123" s="47">
        <v>26</v>
      </c>
      <c r="B123" s="130" t="str">
        <f>HYPERLINK("#'" &amp; TEXT(투자전략!$G$1+25, "[$-ko-KR]yyyy.mm.dd") &amp; "'!A67:O91", TEXT(투자전략!$G$1+25, "[$-ko-KR]yyyy.mm.dd"))</f>
        <v>2023.01.26</v>
      </c>
      <c r="C123" s="118">
        <f t="shared" ca="1" si="26"/>
        <v>3000000</v>
      </c>
      <c r="D123" s="122">
        <f t="shared" ca="1" si="27"/>
        <v>3176484.0577545008</v>
      </c>
      <c r="E123" s="70">
        <f t="shared" ca="1" si="28"/>
        <v>5.8828019251500344E-2</v>
      </c>
      <c r="F123" s="120">
        <f t="shared" ca="1" si="29"/>
        <v>176484.05775450097</v>
      </c>
      <c r="G123" s="122">
        <f t="shared" ca="1" si="30"/>
        <v>3167837.618921841</v>
      </c>
      <c r="H123" s="70">
        <f t="shared" ca="1" si="31"/>
        <v>5.5945872973946952E-2</v>
      </c>
      <c r="I123" s="120">
        <f t="shared" ca="1" si="32"/>
        <v>167837.61892184083</v>
      </c>
      <c r="J123" s="122">
        <f t="shared" ca="1" si="33"/>
        <v>3144030.1204684507</v>
      </c>
      <c r="K123" s="70">
        <f t="shared" ca="1" si="34"/>
        <v>4.8010040156150388E-2</v>
      </c>
      <c r="L123" s="120">
        <f t="shared" ca="1" si="35"/>
        <v>144030.12046845115</v>
      </c>
      <c r="M123" s="122">
        <f t="shared" ca="1" si="36"/>
        <v>3159956.2805115208</v>
      </c>
      <c r="N123" s="70">
        <f t="shared" ca="1" si="37"/>
        <v>5.3318760170506886E-2</v>
      </c>
      <c r="O123" s="120">
        <f t="shared" ca="1" si="38"/>
        <v>159956.28051152063</v>
      </c>
    </row>
    <row r="124" spans="1:15" ht="16.5" customHeight="1">
      <c r="A124" s="47">
        <v>27</v>
      </c>
      <c r="B124" s="130" t="str">
        <f>HYPERLINK("#'" &amp; TEXT(투자전략!$G$1+26, "[$-ko-KR]yyyy.mm.dd") &amp; "'!A67:O91", TEXT(투자전략!$G$1+26, "[$-ko-KR]yyyy.mm.dd"))</f>
        <v>2023.01.27</v>
      </c>
      <c r="C124" s="118">
        <f t="shared" ca="1" si="26"/>
        <v>3000000</v>
      </c>
      <c r="D124" s="122">
        <f t="shared" ca="1" si="27"/>
        <v>3015469.8348430875</v>
      </c>
      <c r="E124" s="70">
        <f t="shared" ca="1" si="28"/>
        <v>5.1566116143623927E-3</v>
      </c>
      <c r="F124" s="120">
        <f t="shared" ca="1" si="29"/>
        <v>15469.834843087174</v>
      </c>
      <c r="G124" s="122">
        <f t="shared" ca="1" si="30"/>
        <v>3015554.5416224892</v>
      </c>
      <c r="H124" s="70">
        <f t="shared" ca="1" si="31"/>
        <v>5.1848472074964135E-3</v>
      </c>
      <c r="I124" s="120">
        <f t="shared" ca="1" si="32"/>
        <v>15554.541622489241</v>
      </c>
      <c r="J124" s="122">
        <f t="shared" ca="1" si="33"/>
        <v>3026782.9742018036</v>
      </c>
      <c r="K124" s="70">
        <f t="shared" ca="1" si="34"/>
        <v>8.9276580672680121E-3</v>
      </c>
      <c r="L124" s="120">
        <f t="shared" ca="1" si="35"/>
        <v>26782.974201804045</v>
      </c>
      <c r="M124" s="122">
        <f t="shared" ca="1" si="36"/>
        <v>3037573.4543683119</v>
      </c>
      <c r="N124" s="70">
        <f t="shared" ca="1" si="37"/>
        <v>1.2524484789437171E-2</v>
      </c>
      <c r="O124" s="120">
        <f t="shared" ca="1" si="38"/>
        <v>37573.454368311519</v>
      </c>
    </row>
    <row r="125" spans="1:15" ht="16.5" customHeight="1" thickBot="1">
      <c r="A125" s="48">
        <v>28</v>
      </c>
      <c r="B125" s="131" t="str">
        <f>HYPERLINK("#'" &amp; TEXT(투자전략!$G$1+27, "[$-ko-KR]yyyy.mm.dd") &amp; "'!A67:O91", TEXT(투자전략!$G$1+27, "[$-ko-KR]yyyy.mm.dd"))</f>
        <v>2023.01.28</v>
      </c>
      <c r="C125" s="119">
        <f t="shared" ca="1" si="26"/>
        <v>3000000</v>
      </c>
      <c r="D125" s="123">
        <f t="shared" ca="1" si="27"/>
        <v>3039829.502445979</v>
      </c>
      <c r="E125" s="72">
        <f t="shared" ca="1" si="28"/>
        <v>1.3276500815326419E-2</v>
      </c>
      <c r="F125" s="121">
        <f t="shared" ca="1" si="29"/>
        <v>39829.502445979262</v>
      </c>
      <c r="G125" s="123">
        <f t="shared" ca="1" si="30"/>
        <v>3014459.9668271672</v>
      </c>
      <c r="H125" s="72">
        <f t="shared" ca="1" si="31"/>
        <v>4.8199889423889324E-3</v>
      </c>
      <c r="I125" s="121">
        <f t="shared" ca="1" si="32"/>
        <v>14459.966827166798</v>
      </c>
      <c r="J125" s="123">
        <f t="shared" ca="1" si="33"/>
        <v>3003595.9745953446</v>
      </c>
      <c r="K125" s="72">
        <f t="shared" ca="1" si="34"/>
        <v>1.1986581984482166E-3</v>
      </c>
      <c r="L125" s="121">
        <f t="shared" ca="1" si="35"/>
        <v>3595.9745953446491</v>
      </c>
      <c r="M125" s="123">
        <f t="shared" ca="1" si="36"/>
        <v>2964354.9363684338</v>
      </c>
      <c r="N125" s="72">
        <f t="shared" ca="1" si="37"/>
        <v>-1.1881687877188841E-2</v>
      </c>
      <c r="O125" s="121">
        <f t="shared" ca="1" si="38"/>
        <v>-35645.063631566525</v>
      </c>
    </row>
    <row r="126" spans="1:15" ht="16.5" customHeight="1">
      <c r="A126" s="105">
        <v>29</v>
      </c>
      <c r="B126" s="129" t="str">
        <f>HYPERLINK("#'" &amp; TEXT(투자전략!$G$1+28, "[$-ko-KR]yyyy.mm.dd") &amp; "'!A67:O91", TEXT(투자전략!$G$1+28, "[$-ko-KR]yyyy.mm.dd"))</f>
        <v>2023.01.29</v>
      </c>
      <c r="C126" s="118">
        <f t="shared" ca="1" si="26"/>
        <v>3000000</v>
      </c>
      <c r="D126" s="122">
        <f t="shared" ca="1" si="27"/>
        <v>3036284.3245686931</v>
      </c>
      <c r="E126" s="70">
        <f t="shared" ca="1" si="28"/>
        <v>1.2094774856231038E-2</v>
      </c>
      <c r="F126" s="120">
        <f t="shared" ca="1" si="29"/>
        <v>36284.324568693104</v>
      </c>
      <c r="G126" s="122">
        <f t="shared" ca="1" si="30"/>
        <v>3042779.2565143062</v>
      </c>
      <c r="H126" s="70">
        <f t="shared" ca="1" si="31"/>
        <v>1.4259752171435431E-2</v>
      </c>
      <c r="I126" s="120">
        <f t="shared" ca="1" si="32"/>
        <v>42779.256514306289</v>
      </c>
      <c r="J126" s="122">
        <f t="shared" ca="1" si="33"/>
        <v>3042779.2565143062</v>
      </c>
      <c r="K126" s="70">
        <f t="shared" ca="1" si="34"/>
        <v>1.4259752171435431E-2</v>
      </c>
      <c r="L126" s="120">
        <f t="shared" ca="1" si="35"/>
        <v>42779.256514306289</v>
      </c>
      <c r="M126" s="122">
        <f t="shared" ca="1" si="36"/>
        <v>3042779.2565143062</v>
      </c>
      <c r="N126" s="70">
        <f t="shared" ca="1" si="37"/>
        <v>1.4259752171435431E-2</v>
      </c>
      <c r="O126" s="120">
        <f t="shared" ca="1" si="38"/>
        <v>42779.256514306289</v>
      </c>
    </row>
    <row r="127" spans="1:15" ht="16.5" customHeight="1">
      <c r="A127" s="105">
        <v>30</v>
      </c>
      <c r="B127" s="130" t="str">
        <f>HYPERLINK("#'" &amp; TEXT(투자전략!$G$1+29, "[$-ko-KR]yyyy.mm.dd") &amp; "'!A67:O91", TEXT(투자전략!$G$1+29, "[$-ko-KR]yyyy.mm.dd"))</f>
        <v>2023.01.30</v>
      </c>
      <c r="C127" s="118" t="str">
        <f t="shared" ca="1" si="26"/>
        <v/>
      </c>
      <c r="D127" s="122" t="str">
        <f t="shared" ca="1" si="27"/>
        <v/>
      </c>
      <c r="E127" s="70" t="str">
        <f t="shared" ca="1" si="28"/>
        <v/>
      </c>
      <c r="F127" s="120" t="str">
        <f t="shared" ca="1" si="29"/>
        <v/>
      </c>
      <c r="G127" s="122" t="str">
        <f t="shared" ca="1" si="30"/>
        <v/>
      </c>
      <c r="H127" s="70" t="str">
        <f t="shared" ca="1" si="31"/>
        <v/>
      </c>
      <c r="I127" s="120" t="str">
        <f t="shared" ca="1" si="32"/>
        <v/>
      </c>
      <c r="J127" s="122" t="str">
        <f t="shared" ca="1" si="33"/>
        <v/>
      </c>
      <c r="K127" s="70" t="str">
        <f t="shared" ca="1" si="34"/>
        <v/>
      </c>
      <c r="L127" s="120" t="str">
        <f t="shared" ca="1" si="35"/>
        <v/>
      </c>
      <c r="M127" s="122" t="str">
        <f t="shared" ca="1" si="36"/>
        <v/>
      </c>
      <c r="N127" s="70" t="str">
        <f t="shared" ca="1" si="37"/>
        <v/>
      </c>
      <c r="O127" s="120" t="str">
        <f t="shared" ca="1" si="38"/>
        <v/>
      </c>
    </row>
    <row r="128" spans="1:15" ht="16.5" customHeight="1" thickBot="1">
      <c r="A128" s="105">
        <v>31</v>
      </c>
      <c r="B128" s="130" t="str">
        <f>HYPERLINK("#'" &amp; TEXT(투자전략!$G$1+30, "[$-ko-KR]yyyy.mm.dd") &amp; "'!A67:O91", TEXT(투자전략!$G$1+30, "[$-ko-KR]yyyy.mm.dd"))</f>
        <v>2023.01.31</v>
      </c>
      <c r="C128" s="119">
        <f t="shared" ca="1" si="26"/>
        <v>3000000</v>
      </c>
      <c r="D128" s="123">
        <f t="shared" ca="1" si="27"/>
        <v>3022298.3035136475</v>
      </c>
      <c r="E128" s="72">
        <f t="shared" ca="1" si="28"/>
        <v>7.4327678378824282E-3</v>
      </c>
      <c r="F128" s="121">
        <f t="shared" ca="1" si="29"/>
        <v>22298.303513647294</v>
      </c>
      <c r="G128" s="123">
        <f t="shared" ca="1" si="30"/>
        <v>3022298.3035136475</v>
      </c>
      <c r="H128" s="72">
        <f t="shared" ca="1" si="31"/>
        <v>7.4327678378824282E-3</v>
      </c>
      <c r="I128" s="121">
        <f t="shared" ca="1" si="32"/>
        <v>22298.303513647294</v>
      </c>
      <c r="J128" s="123">
        <f t="shared" ca="1" si="33"/>
        <v>3022298.3035136475</v>
      </c>
      <c r="K128" s="72">
        <f t="shared" ca="1" si="34"/>
        <v>7.4327678378824282E-3</v>
      </c>
      <c r="L128" s="121">
        <f t="shared" ca="1" si="35"/>
        <v>22298.303513647294</v>
      </c>
      <c r="M128" s="123">
        <f t="shared" ca="1" si="36"/>
        <v>3022298.3035136475</v>
      </c>
      <c r="N128" s="72">
        <f t="shared" ca="1" si="37"/>
        <v>7.4327678378824282E-3</v>
      </c>
      <c r="O128" s="121">
        <f t="shared" ca="1" si="38"/>
        <v>22298.303513647294</v>
      </c>
    </row>
    <row r="129" spans="1:15" ht="16.5" customHeight="1" thickBot="1">
      <c r="A129" s="185" t="s">
        <v>270</v>
      </c>
      <c r="B129" s="187"/>
      <c r="C129" s="116" t="s">
        <v>265</v>
      </c>
      <c r="D129" s="9" t="s">
        <v>266</v>
      </c>
      <c r="E129" s="63" t="s">
        <v>267</v>
      </c>
      <c r="F129" s="64" t="s">
        <v>268</v>
      </c>
      <c r="G129" s="9" t="s">
        <v>266</v>
      </c>
      <c r="H129" s="63" t="s">
        <v>267</v>
      </c>
      <c r="I129" s="64" t="s">
        <v>268</v>
      </c>
      <c r="J129" s="9" t="s">
        <v>266</v>
      </c>
      <c r="K129" s="63" t="s">
        <v>267</v>
      </c>
      <c r="L129" s="64" t="s">
        <v>268</v>
      </c>
      <c r="M129" s="9" t="s">
        <v>266</v>
      </c>
      <c r="N129" s="63" t="s">
        <v>267</v>
      </c>
      <c r="O129" s="64" t="s">
        <v>268</v>
      </c>
    </row>
    <row r="130" spans="1:15" ht="16.5" customHeight="1" thickBot="1">
      <c r="A130" s="178"/>
      <c r="B130" s="180"/>
      <c r="C130" s="119">
        <f ca="1">SUM(C98:C128)</f>
        <v>78000000</v>
      </c>
      <c r="D130" s="123">
        <f ca="1">SUM(D98:D128)</f>
        <v>78982080.928794309</v>
      </c>
      <c r="E130" s="72">
        <f ca="1">IFERROR(F130 / (SUM($C98:$C128) / COUNT($C98:$C128)), 0)</f>
        <v>0.32736030959810314</v>
      </c>
      <c r="F130" s="121">
        <f ca="1">SUM(F98:F128)</f>
        <v>982080.92879430938</v>
      </c>
      <c r="G130" s="123">
        <f ca="1">SUM(G98:G128)</f>
        <v>78890278.090907499</v>
      </c>
      <c r="H130" s="72">
        <f ca="1">IFERROR(I130 / (SUM($C98:$C128) / COUNT($C98:$C128)), 0)</f>
        <v>0.29675936363583183</v>
      </c>
      <c r="I130" s="121">
        <f ca="1">SUM(I98:I128)</f>
        <v>890278.09090749547</v>
      </c>
      <c r="J130" s="123">
        <f ca="1">SUM(J98:J128)</f>
        <v>78998016.002168521</v>
      </c>
      <c r="K130" s="72">
        <f ca="1">IFERROR(L130 / (SUM($C98:$C128) / COUNT($C98:$C128)), 0)</f>
        <v>0.33267200072284042</v>
      </c>
      <c r="L130" s="121">
        <f ca="1">SUM(L98:L128)</f>
        <v>998016.00216852129</v>
      </c>
      <c r="M130" s="123">
        <f ca="1">SUM(M98:M128)</f>
        <v>78986480.97535041</v>
      </c>
      <c r="N130" s="72">
        <f ca="1">IFERROR(O130 / (SUM($C98:$C128) / COUNT($C98:$C128)), 0)</f>
        <v>0.32882699178346753</v>
      </c>
      <c r="O130" s="121">
        <f ca="1">SUM(O98:O128)</f>
        <v>986480.97535040253</v>
      </c>
    </row>
    <row r="132" spans="1:15" ht="16.5" customHeight="1" thickBot="1"/>
    <row r="133" spans="1:15" ht="16.5" customHeight="1" thickBot="1">
      <c r="A133" s="157" t="str">
        <f>TEXT(투자전략!$G$1, "[$-ko-KR]yyyy년 mm월 ") &amp; "전일대비 상승률 Top20 월말결산"</f>
        <v>2023년 01월 전일대비 상승률 Top20 월말결산</v>
      </c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9"/>
    </row>
    <row r="134" spans="1:15" ht="16.5" customHeight="1" thickBot="1">
      <c r="A134" s="201" t="s">
        <v>271</v>
      </c>
      <c r="B134" s="178" t="s">
        <v>269</v>
      </c>
      <c r="C134" s="180"/>
      <c r="D134" s="178" t="s">
        <v>261</v>
      </c>
      <c r="E134" s="179"/>
      <c r="F134" s="180"/>
      <c r="G134" s="178" t="s">
        <v>262</v>
      </c>
      <c r="H134" s="179"/>
      <c r="I134" s="180"/>
      <c r="J134" s="178" t="s">
        <v>263</v>
      </c>
      <c r="K134" s="179"/>
      <c r="L134" s="180"/>
      <c r="M134" s="178" t="s">
        <v>264</v>
      </c>
      <c r="N134" s="179"/>
      <c r="O134" s="180"/>
    </row>
    <row r="135" spans="1:15" ht="16.5" customHeight="1" thickBot="1">
      <c r="A135" s="194"/>
      <c r="B135" s="46" t="s">
        <v>259</v>
      </c>
      <c r="C135" s="46" t="s">
        <v>42</v>
      </c>
      <c r="D135" s="105" t="s">
        <v>260</v>
      </c>
      <c r="E135" s="106" t="s">
        <v>40</v>
      </c>
      <c r="F135" s="81" t="s">
        <v>41</v>
      </c>
      <c r="G135" s="105" t="s">
        <v>260</v>
      </c>
      <c r="H135" s="106" t="s">
        <v>40</v>
      </c>
      <c r="I135" s="81" t="s">
        <v>41</v>
      </c>
      <c r="J135" s="105" t="s">
        <v>260</v>
      </c>
      <c r="K135" s="106" t="s">
        <v>40</v>
      </c>
      <c r="L135" s="81" t="s">
        <v>41</v>
      </c>
      <c r="M135" s="105" t="s">
        <v>260</v>
      </c>
      <c r="N135" s="106" t="s">
        <v>40</v>
      </c>
      <c r="O135" s="81" t="s">
        <v>41</v>
      </c>
    </row>
    <row r="136" spans="1:15" ht="16.5" customHeight="1">
      <c r="A136" s="46">
        <v>1</v>
      </c>
      <c r="B136" s="129" t="str">
        <f>HYPERLINK("#'" &amp; TEXT(투자전략!$G$1+0, "[$-ko-KR]yyyy.mm.dd") &amp; "'!A94:O118", TEXT(투자전략!$G$1+0, "[$-ko-KR]yyyy.mm.dd"))</f>
        <v>2023.01.01</v>
      </c>
      <c r="C136" s="117">
        <f ca="1">IFERROR(COUNTA(INDIRECT($B136&amp;"!A98:A117")) * INDIRECT($B136&amp;"!B118"), "")</f>
        <v>3000000</v>
      </c>
      <c r="D136" s="125">
        <f ca="1">IFERROR($C136 * (1 + E136), "")</f>
        <v>3003535.7283659815</v>
      </c>
      <c r="E136" s="69">
        <f ca="1">IFERROR(INDIRECT($B136&amp;"!E118"), "")</f>
        <v>1.1785761219938247E-3</v>
      </c>
      <c r="F136" s="124">
        <f ca="1">IFERROR(INDIRECT($B136&amp;"!F118"), "")</f>
        <v>3535.7283659814739</v>
      </c>
      <c r="G136" s="125">
        <f ca="1">IFERROR($C136 * (1 + H136), "")</f>
        <v>3005086.1073324699</v>
      </c>
      <c r="H136" s="69">
        <f ca="1">IFERROR(INDIRECT($B136&amp;"!H118"), "")</f>
        <v>1.6953691108233374E-3</v>
      </c>
      <c r="I136" s="124">
        <f ca="1">IFERROR(INDIRECT($B136&amp;"!I118"), "")</f>
        <v>5086.1073324700119</v>
      </c>
      <c r="J136" s="125">
        <f ca="1">IFERROR($C136 * (1 + K136), "")</f>
        <v>3005086.1073324699</v>
      </c>
      <c r="K136" s="69">
        <f ca="1">IFERROR(INDIRECT($B136&amp;"!K118"), "")</f>
        <v>1.6953691108233374E-3</v>
      </c>
      <c r="L136" s="124">
        <f ca="1">IFERROR(INDIRECT($B136&amp;"!L118"), "")</f>
        <v>5086.1073324700119</v>
      </c>
      <c r="M136" s="125">
        <f ca="1">IFERROR($C136 * (1 + N136), "")</f>
        <v>2993336.3039911008</v>
      </c>
      <c r="N136" s="69">
        <f ca="1">IFERROR(INDIRECT($B136&amp;"!N118"), "")</f>
        <v>-2.2212320029664553E-3</v>
      </c>
      <c r="O136" s="124">
        <f ca="1">IFERROR(INDIRECT($B136&amp;"!O118"), "")</f>
        <v>-6663.6960088993601</v>
      </c>
    </row>
    <row r="137" spans="1:15" ht="16.5" customHeight="1">
      <c r="A137" s="47">
        <v>2</v>
      </c>
      <c r="B137" s="130" t="str">
        <f>HYPERLINK("#'" &amp; TEXT(투자전략!$G$1+1, "[$-ko-KR]yyyy.mm.dd") &amp; "'!A94:O118", TEXT(투자전략!$G$1+1, "[$-ko-KR]yyyy.mm.dd"))</f>
        <v>2023.01.02</v>
      </c>
      <c r="C137" s="118">
        <f t="shared" ref="C137:C166" ca="1" si="39">IFERROR(COUNTA(INDIRECT($B137&amp;"!A98:A117")) * INDIRECT($B137&amp;"!B118"), "")</f>
        <v>3000000</v>
      </c>
      <c r="D137" s="122">
        <f t="shared" ref="D137:D166" ca="1" si="40">IFERROR($C137 * (1 + E137), "")</f>
        <v>3024073.523894805</v>
      </c>
      <c r="E137" s="70">
        <f t="shared" ref="E137:E166" ca="1" si="41">IFERROR(INDIRECT($B137&amp;"!E118"), "")</f>
        <v>8.0245079649350105E-3</v>
      </c>
      <c r="F137" s="120">
        <f t="shared" ref="F137:F166" ca="1" si="42">IFERROR(INDIRECT($B137&amp;"!F118"), "")</f>
        <v>24073.523894805032</v>
      </c>
      <c r="G137" s="122">
        <f t="shared" ref="G137:G166" ca="1" si="43">IFERROR($C137 * (1 + H137), "")</f>
        <v>3053080.6220016754</v>
      </c>
      <c r="H137" s="70">
        <f t="shared" ref="H137:H166" ca="1" si="44">IFERROR(INDIRECT($B137&amp;"!H118"), "")</f>
        <v>1.7693540667225234E-2</v>
      </c>
      <c r="I137" s="120">
        <f t="shared" ref="I137:I166" ca="1" si="45">IFERROR(INDIRECT($B137&amp;"!I118"), "")</f>
        <v>53080.622001675692</v>
      </c>
      <c r="J137" s="122">
        <f t="shared" ref="J137:J166" ca="1" si="46">IFERROR($C137 * (1 + K137), "")</f>
        <v>3045425.7651041667</v>
      </c>
      <c r="K137" s="70">
        <f t="shared" ref="K137:K166" ca="1" si="47">IFERROR(INDIRECT($B137&amp;"!K118"), "")</f>
        <v>1.514192170138875E-2</v>
      </c>
      <c r="L137" s="120">
        <f t="shared" ref="L137:L166" ca="1" si="48">IFERROR(INDIRECT($B137&amp;"!L118"), "")</f>
        <v>45425.765104166247</v>
      </c>
      <c r="M137" s="122">
        <f t="shared" ref="M137:M166" ca="1" si="49">IFERROR($C137 * (1 + N137), "")</f>
        <v>3039395.1979175285</v>
      </c>
      <c r="N137" s="70">
        <f t="shared" ref="N137:N166" ca="1" si="50">IFERROR(INDIRECT($B137&amp;"!N118"), "")</f>
        <v>1.3131732639176257E-2</v>
      </c>
      <c r="O137" s="120">
        <f t="shared" ref="O137:O166" ca="1" si="51">IFERROR(INDIRECT($B137&amp;"!O118"), "")</f>
        <v>39395.197917528778</v>
      </c>
    </row>
    <row r="138" spans="1:15" ht="16.5" customHeight="1">
      <c r="A138" s="47">
        <v>3</v>
      </c>
      <c r="B138" s="130" t="str">
        <f>HYPERLINK("#'" &amp; TEXT(투자전략!$G$1+2, "[$-ko-KR]yyyy.mm.dd") &amp; "'!A94:O118", TEXT(투자전략!$G$1+2, "[$-ko-KR]yyyy.mm.dd"))</f>
        <v>2023.01.03</v>
      </c>
      <c r="C138" s="118">
        <f t="shared" ca="1" si="39"/>
        <v>3000000</v>
      </c>
      <c r="D138" s="122">
        <f t="shared" ca="1" si="40"/>
        <v>3010505.8191360491</v>
      </c>
      <c r="E138" s="70">
        <f t="shared" ca="1" si="41"/>
        <v>3.5019397120164561E-3</v>
      </c>
      <c r="F138" s="120">
        <f t="shared" ca="1" si="42"/>
        <v>10505.819136049369</v>
      </c>
      <c r="G138" s="122">
        <f t="shared" ca="1" si="43"/>
        <v>3049888.115041852</v>
      </c>
      <c r="H138" s="70">
        <f t="shared" ca="1" si="44"/>
        <v>1.6629371680617365E-2</v>
      </c>
      <c r="I138" s="120">
        <f t="shared" ca="1" si="45"/>
        <v>49888.115041852114</v>
      </c>
      <c r="J138" s="122">
        <f t="shared" ca="1" si="46"/>
        <v>3040578.9925599429</v>
      </c>
      <c r="K138" s="70">
        <f t="shared" ca="1" si="47"/>
        <v>1.352633085331425E-2</v>
      </c>
      <c r="L138" s="120">
        <f t="shared" ca="1" si="48"/>
        <v>40578.992559942759</v>
      </c>
      <c r="M138" s="122">
        <f t="shared" ca="1" si="49"/>
        <v>3028374.7920305664</v>
      </c>
      <c r="N138" s="70">
        <f t="shared" ca="1" si="50"/>
        <v>9.4582640101886998E-3</v>
      </c>
      <c r="O138" s="120">
        <f t="shared" ca="1" si="51"/>
        <v>28374.792030566099</v>
      </c>
    </row>
    <row r="139" spans="1:15" ht="16.5" customHeight="1">
      <c r="A139" s="47">
        <v>4</v>
      </c>
      <c r="B139" s="130" t="str">
        <f>HYPERLINK("#'" &amp; TEXT(투자전략!$G$1+3, "[$-ko-KR]yyyy.mm.dd") &amp; "'!A94:O118", TEXT(투자전략!$G$1+3, "[$-ko-KR]yyyy.mm.dd"))</f>
        <v>2023.01.04</v>
      </c>
      <c r="C139" s="118">
        <f t="shared" ca="1" si="39"/>
        <v>3000000</v>
      </c>
      <c r="D139" s="122">
        <f t="shared" ca="1" si="40"/>
        <v>3097096.0475842846</v>
      </c>
      <c r="E139" s="70">
        <f t="shared" ca="1" si="41"/>
        <v>3.2365349194761424E-2</v>
      </c>
      <c r="F139" s="120">
        <f t="shared" ca="1" si="42"/>
        <v>97096.047584284286</v>
      </c>
      <c r="G139" s="122">
        <f t="shared" ca="1" si="43"/>
        <v>3110313.7963464726</v>
      </c>
      <c r="H139" s="70">
        <f t="shared" ca="1" si="44"/>
        <v>3.6771265448824253E-2</v>
      </c>
      <c r="I139" s="120">
        <f t="shared" ca="1" si="45"/>
        <v>110313.79634647274</v>
      </c>
      <c r="J139" s="122">
        <f t="shared" ca="1" si="46"/>
        <v>3104214.5209168727</v>
      </c>
      <c r="K139" s="70">
        <f t="shared" ca="1" si="47"/>
        <v>3.4738173638957578E-2</v>
      </c>
      <c r="L139" s="120">
        <f t="shared" ca="1" si="48"/>
        <v>104214.52091687276</v>
      </c>
      <c r="M139" s="122">
        <f t="shared" ca="1" si="49"/>
        <v>3103376.2598587079</v>
      </c>
      <c r="N139" s="70">
        <f t="shared" ca="1" si="50"/>
        <v>3.4458753286235932E-2</v>
      </c>
      <c r="O139" s="120">
        <f t="shared" ca="1" si="51"/>
        <v>103376.25985870778</v>
      </c>
    </row>
    <row r="140" spans="1:15" ht="16.5" customHeight="1">
      <c r="A140" s="47">
        <v>5</v>
      </c>
      <c r="B140" s="130" t="str">
        <f>HYPERLINK("#'" &amp; TEXT(투자전략!$G$1+4, "[$-ko-KR]yyyy.mm.dd") &amp; "'!A94:O118", TEXT(투자전략!$G$1+4, "[$-ko-KR]yyyy.mm.dd"))</f>
        <v>2023.01.05</v>
      </c>
      <c r="C140" s="118">
        <f t="shared" ca="1" si="39"/>
        <v>3000000</v>
      </c>
      <c r="D140" s="122">
        <f t="shared" ca="1" si="40"/>
        <v>3051437.9051454421</v>
      </c>
      <c r="E140" s="70">
        <f t="shared" ca="1" si="41"/>
        <v>1.7145968381814113E-2</v>
      </c>
      <c r="F140" s="120">
        <f t="shared" ca="1" si="42"/>
        <v>51437.905145442332</v>
      </c>
      <c r="G140" s="122">
        <f t="shared" ca="1" si="43"/>
        <v>2980937.9211123856</v>
      </c>
      <c r="H140" s="70">
        <f t="shared" ca="1" si="44"/>
        <v>-6.3540262958714051E-3</v>
      </c>
      <c r="I140" s="120">
        <f t="shared" ca="1" si="45"/>
        <v>-19062.078887614211</v>
      </c>
      <c r="J140" s="122">
        <f t="shared" ca="1" si="46"/>
        <v>3011936.1366720367</v>
      </c>
      <c r="K140" s="70">
        <f t="shared" ca="1" si="47"/>
        <v>3.9787122240121696E-3</v>
      </c>
      <c r="L140" s="120">
        <f t="shared" ca="1" si="48"/>
        <v>11936.136672036502</v>
      </c>
      <c r="M140" s="122">
        <f t="shared" ca="1" si="49"/>
        <v>2988372.4287161785</v>
      </c>
      <c r="N140" s="70">
        <f t="shared" ca="1" si="50"/>
        <v>-3.8758570946071406E-3</v>
      </c>
      <c r="O140" s="120">
        <f t="shared" ca="1" si="51"/>
        <v>-11627.571283821424</v>
      </c>
    </row>
    <row r="141" spans="1:15" ht="16.5" customHeight="1">
      <c r="A141" s="47">
        <v>6</v>
      </c>
      <c r="B141" s="130" t="str">
        <f>HYPERLINK("#'" &amp; TEXT(투자전략!$G$1+5, "[$-ko-KR]yyyy.mm.dd") &amp; "'!A94:O118", TEXT(투자전략!$G$1+5, "[$-ko-KR]yyyy.mm.dd"))</f>
        <v>2023.01.06</v>
      </c>
      <c r="C141" s="118">
        <f t="shared" ca="1" si="39"/>
        <v>3000000</v>
      </c>
      <c r="D141" s="122">
        <f t="shared" ca="1" si="40"/>
        <v>2926148.2395005994</v>
      </c>
      <c r="E141" s="70">
        <f t="shared" ca="1" si="41"/>
        <v>-2.4617253499800131E-2</v>
      </c>
      <c r="F141" s="120">
        <f t="shared" ca="1" si="42"/>
        <v>-73851.760499400392</v>
      </c>
      <c r="G141" s="122">
        <f t="shared" ca="1" si="43"/>
        <v>2905245.5421860949</v>
      </c>
      <c r="H141" s="70">
        <f t="shared" ca="1" si="44"/>
        <v>-3.1584819271301745E-2</v>
      </c>
      <c r="I141" s="120">
        <f t="shared" ca="1" si="45"/>
        <v>-94754.457813905203</v>
      </c>
      <c r="J141" s="122">
        <f t="shared" ca="1" si="46"/>
        <v>2907842.6062360308</v>
      </c>
      <c r="K141" s="70">
        <f t="shared" ca="1" si="47"/>
        <v>-3.0719131254656439E-2</v>
      </c>
      <c r="L141" s="120">
        <f t="shared" ca="1" si="48"/>
        <v>-92157.393763969318</v>
      </c>
      <c r="M141" s="122">
        <f t="shared" ca="1" si="49"/>
        <v>2892185.3354544933</v>
      </c>
      <c r="N141" s="70">
        <f t="shared" ca="1" si="50"/>
        <v>-3.5938221515168907E-2</v>
      </c>
      <c r="O141" s="120">
        <f t="shared" ca="1" si="51"/>
        <v>-107814.66454550673</v>
      </c>
    </row>
    <row r="142" spans="1:15" ht="16.5" customHeight="1" thickBot="1">
      <c r="A142" s="48">
        <v>7</v>
      </c>
      <c r="B142" s="131" t="str">
        <f>HYPERLINK("#'" &amp; TEXT(투자전략!$G$1+6, "[$-ko-KR]yyyy.mm.dd") &amp; "'!A94:O118", TEXT(투자전략!$G$1+6, "[$-ko-KR]yyyy.mm.dd"))</f>
        <v>2023.01.07</v>
      </c>
      <c r="C142" s="118">
        <f t="shared" ca="1" si="39"/>
        <v>3000000</v>
      </c>
      <c r="D142" s="122">
        <f t="shared" ca="1" si="40"/>
        <v>3046778.9843107699</v>
      </c>
      <c r="E142" s="70">
        <f t="shared" ca="1" si="41"/>
        <v>1.5592994770256632E-2</v>
      </c>
      <c r="F142" s="120">
        <f t="shared" ca="1" si="42"/>
        <v>46778.984310769898</v>
      </c>
      <c r="G142" s="122">
        <f t="shared" ca="1" si="43"/>
        <v>3044878.098584068</v>
      </c>
      <c r="H142" s="70">
        <f t="shared" ca="1" si="44"/>
        <v>1.4959366194689457E-2</v>
      </c>
      <c r="I142" s="120">
        <f t="shared" ca="1" si="45"/>
        <v>44878.098584068379</v>
      </c>
      <c r="J142" s="122">
        <f t="shared" ca="1" si="46"/>
        <v>3045420.897546987</v>
      </c>
      <c r="K142" s="70">
        <f t="shared" ca="1" si="47"/>
        <v>1.5140299182329123E-2</v>
      </c>
      <c r="L142" s="120">
        <f t="shared" ca="1" si="48"/>
        <v>45420.897546987369</v>
      </c>
      <c r="M142" s="122">
        <f t="shared" ca="1" si="49"/>
        <v>3052009.0893817707</v>
      </c>
      <c r="N142" s="70">
        <f t="shared" ca="1" si="50"/>
        <v>1.7336363127257056E-2</v>
      </c>
      <c r="O142" s="120">
        <f t="shared" ca="1" si="51"/>
        <v>52009.089381771177</v>
      </c>
    </row>
    <row r="143" spans="1:15" ht="16.5" customHeight="1">
      <c r="A143" s="46">
        <v>8</v>
      </c>
      <c r="B143" s="129" t="str">
        <f>HYPERLINK("#'" &amp; TEXT(투자전략!$G$1+7, "[$-ko-KR]yyyy.mm.dd") &amp; "'!A94:O118", TEXT(투자전략!$G$1+7, "[$-ko-KR]yyyy.mm.dd"))</f>
        <v>2023.01.08</v>
      </c>
      <c r="C143" s="117">
        <f t="shared" ca="1" si="39"/>
        <v>3000000</v>
      </c>
      <c r="D143" s="125">
        <f t="shared" ca="1" si="40"/>
        <v>3000000</v>
      </c>
      <c r="E143" s="69">
        <f t="shared" ca="1" si="41"/>
        <v>0</v>
      </c>
      <c r="F143" s="124">
        <f t="shared" ca="1" si="42"/>
        <v>0</v>
      </c>
      <c r="G143" s="125">
        <f t="shared" ca="1" si="43"/>
        <v>3000000</v>
      </c>
      <c r="H143" s="69">
        <f t="shared" ca="1" si="44"/>
        <v>0</v>
      </c>
      <c r="I143" s="124">
        <f t="shared" ca="1" si="45"/>
        <v>0</v>
      </c>
      <c r="J143" s="125">
        <f t="shared" ca="1" si="46"/>
        <v>3000000</v>
      </c>
      <c r="K143" s="69">
        <f t="shared" ca="1" si="47"/>
        <v>0</v>
      </c>
      <c r="L143" s="124">
        <f t="shared" ca="1" si="48"/>
        <v>0</v>
      </c>
      <c r="M143" s="125">
        <f t="shared" ca="1" si="49"/>
        <v>3000000</v>
      </c>
      <c r="N143" s="69">
        <f t="shared" ca="1" si="50"/>
        <v>0</v>
      </c>
      <c r="O143" s="124">
        <f t="shared" ca="1" si="51"/>
        <v>0</v>
      </c>
    </row>
    <row r="144" spans="1:15" ht="16.5" customHeight="1">
      <c r="A144" s="47">
        <v>9</v>
      </c>
      <c r="B144" s="130" t="str">
        <f>HYPERLINK("#'" &amp; TEXT(투자전략!$G$1+8, "[$-ko-KR]yyyy.mm.dd") &amp; "'!A94:O118", TEXT(투자전략!$G$1+8, "[$-ko-KR]yyyy.mm.dd"))</f>
        <v>2023.01.09</v>
      </c>
      <c r="C144" s="118" t="str">
        <f t="shared" ca="1" si="39"/>
        <v/>
      </c>
      <c r="D144" s="122" t="str">
        <f t="shared" ca="1" si="40"/>
        <v/>
      </c>
      <c r="E144" s="70" t="str">
        <f t="shared" ca="1" si="41"/>
        <v/>
      </c>
      <c r="F144" s="120" t="str">
        <f t="shared" ca="1" si="42"/>
        <v/>
      </c>
      <c r="G144" s="122" t="str">
        <f t="shared" ca="1" si="43"/>
        <v/>
      </c>
      <c r="H144" s="70" t="str">
        <f t="shared" ca="1" si="44"/>
        <v/>
      </c>
      <c r="I144" s="120" t="str">
        <f t="shared" ca="1" si="45"/>
        <v/>
      </c>
      <c r="J144" s="122" t="str">
        <f t="shared" ca="1" si="46"/>
        <v/>
      </c>
      <c r="K144" s="70" t="str">
        <f t="shared" ca="1" si="47"/>
        <v/>
      </c>
      <c r="L144" s="120" t="str">
        <f t="shared" ca="1" si="48"/>
        <v/>
      </c>
      <c r="M144" s="122" t="str">
        <f t="shared" ca="1" si="49"/>
        <v/>
      </c>
      <c r="N144" s="70" t="str">
        <f t="shared" ca="1" si="50"/>
        <v/>
      </c>
      <c r="O144" s="120" t="str">
        <f t="shared" ca="1" si="51"/>
        <v/>
      </c>
    </row>
    <row r="145" spans="1:15" ht="16.5" customHeight="1">
      <c r="A145" s="47">
        <v>10</v>
      </c>
      <c r="B145" s="130" t="str">
        <f>HYPERLINK("#'" &amp; TEXT(투자전략!$G$1+9, "[$-ko-KR]yyyy.mm.dd") &amp; "'!A94:O118", TEXT(투자전략!$G$1+9, "[$-ko-KR]yyyy.mm.dd"))</f>
        <v>2023.01.10</v>
      </c>
      <c r="C145" s="118" t="str">
        <f t="shared" ca="1" si="39"/>
        <v/>
      </c>
      <c r="D145" s="122" t="str">
        <f t="shared" ca="1" si="40"/>
        <v/>
      </c>
      <c r="E145" s="70" t="str">
        <f t="shared" ca="1" si="41"/>
        <v/>
      </c>
      <c r="F145" s="120" t="str">
        <f t="shared" ca="1" si="42"/>
        <v/>
      </c>
      <c r="G145" s="122" t="str">
        <f t="shared" ca="1" si="43"/>
        <v/>
      </c>
      <c r="H145" s="70" t="str">
        <f t="shared" ca="1" si="44"/>
        <v/>
      </c>
      <c r="I145" s="120" t="str">
        <f t="shared" ca="1" si="45"/>
        <v/>
      </c>
      <c r="J145" s="122" t="str">
        <f t="shared" ca="1" si="46"/>
        <v/>
      </c>
      <c r="K145" s="70" t="str">
        <f t="shared" ca="1" si="47"/>
        <v/>
      </c>
      <c r="L145" s="120" t="str">
        <f t="shared" ca="1" si="48"/>
        <v/>
      </c>
      <c r="M145" s="122" t="str">
        <f t="shared" ca="1" si="49"/>
        <v/>
      </c>
      <c r="N145" s="70" t="str">
        <f t="shared" ca="1" si="50"/>
        <v/>
      </c>
      <c r="O145" s="120" t="str">
        <f t="shared" ca="1" si="51"/>
        <v/>
      </c>
    </row>
    <row r="146" spans="1:15" ht="16.5" customHeight="1">
      <c r="A146" s="47">
        <v>11</v>
      </c>
      <c r="B146" s="130" t="str">
        <f>HYPERLINK("#'" &amp; TEXT(투자전략!$G$1+10, "[$-ko-KR]yyyy.mm.dd") &amp; "'!A94:O118", TEXT(투자전략!$G$1+10, "[$-ko-KR]yyyy.mm.dd"))</f>
        <v>2023.01.11</v>
      </c>
      <c r="C146" s="118" t="str">
        <f t="shared" ca="1" si="39"/>
        <v/>
      </c>
      <c r="D146" s="122" t="str">
        <f t="shared" ca="1" si="40"/>
        <v/>
      </c>
      <c r="E146" s="70" t="str">
        <f t="shared" ca="1" si="41"/>
        <v/>
      </c>
      <c r="F146" s="120" t="str">
        <f t="shared" ca="1" si="42"/>
        <v/>
      </c>
      <c r="G146" s="122" t="str">
        <f t="shared" ca="1" si="43"/>
        <v/>
      </c>
      <c r="H146" s="70" t="str">
        <f t="shared" ca="1" si="44"/>
        <v/>
      </c>
      <c r="I146" s="120" t="str">
        <f t="shared" ca="1" si="45"/>
        <v/>
      </c>
      <c r="J146" s="122" t="str">
        <f t="shared" ca="1" si="46"/>
        <v/>
      </c>
      <c r="K146" s="70" t="str">
        <f t="shared" ca="1" si="47"/>
        <v/>
      </c>
      <c r="L146" s="120" t="str">
        <f t="shared" ca="1" si="48"/>
        <v/>
      </c>
      <c r="M146" s="122" t="str">
        <f t="shared" ca="1" si="49"/>
        <v/>
      </c>
      <c r="N146" s="70" t="str">
        <f t="shared" ca="1" si="50"/>
        <v/>
      </c>
      <c r="O146" s="120" t="str">
        <f t="shared" ca="1" si="51"/>
        <v/>
      </c>
    </row>
    <row r="147" spans="1:15" ht="16.5" customHeight="1">
      <c r="A147" s="47">
        <v>12</v>
      </c>
      <c r="B147" s="130" t="str">
        <f>HYPERLINK("#'" &amp; TEXT(투자전략!$G$1+11, "[$-ko-KR]yyyy.mm.dd") &amp; "'!A94:O118", TEXT(투자전략!$G$1+11, "[$-ko-KR]yyyy.mm.dd"))</f>
        <v>2023.01.12</v>
      </c>
      <c r="C147" s="118" t="str">
        <f t="shared" ca="1" si="39"/>
        <v/>
      </c>
      <c r="D147" s="122" t="str">
        <f t="shared" ca="1" si="40"/>
        <v/>
      </c>
      <c r="E147" s="70" t="str">
        <f t="shared" ca="1" si="41"/>
        <v/>
      </c>
      <c r="F147" s="120" t="str">
        <f t="shared" ca="1" si="42"/>
        <v/>
      </c>
      <c r="G147" s="122" t="str">
        <f t="shared" ca="1" si="43"/>
        <v/>
      </c>
      <c r="H147" s="70" t="str">
        <f t="shared" ca="1" si="44"/>
        <v/>
      </c>
      <c r="I147" s="120" t="str">
        <f t="shared" ca="1" si="45"/>
        <v/>
      </c>
      <c r="J147" s="122" t="str">
        <f t="shared" ca="1" si="46"/>
        <v/>
      </c>
      <c r="K147" s="70" t="str">
        <f t="shared" ca="1" si="47"/>
        <v/>
      </c>
      <c r="L147" s="120" t="str">
        <f t="shared" ca="1" si="48"/>
        <v/>
      </c>
      <c r="M147" s="122" t="str">
        <f t="shared" ca="1" si="49"/>
        <v/>
      </c>
      <c r="N147" s="70" t="str">
        <f t="shared" ca="1" si="50"/>
        <v/>
      </c>
      <c r="O147" s="120" t="str">
        <f t="shared" ca="1" si="51"/>
        <v/>
      </c>
    </row>
    <row r="148" spans="1:15" ht="16.5" customHeight="1">
      <c r="A148" s="47">
        <v>13</v>
      </c>
      <c r="B148" s="130" t="str">
        <f>HYPERLINK("#'" &amp; TEXT(투자전략!$G$1+12, "[$-ko-KR]yyyy.mm.dd") &amp; "'!A94:O118", TEXT(투자전략!$G$1+12, "[$-ko-KR]yyyy.mm.dd"))</f>
        <v>2023.01.13</v>
      </c>
      <c r="C148" s="118">
        <f t="shared" ca="1" si="39"/>
        <v>3000000</v>
      </c>
      <c r="D148" s="122">
        <f t="shared" ca="1" si="40"/>
        <v>3000000</v>
      </c>
      <c r="E148" s="70">
        <f t="shared" ca="1" si="41"/>
        <v>0</v>
      </c>
      <c r="F148" s="120">
        <f t="shared" ca="1" si="42"/>
        <v>0</v>
      </c>
      <c r="G148" s="122">
        <f t="shared" ca="1" si="43"/>
        <v>3008962.2564923158</v>
      </c>
      <c r="H148" s="70">
        <f t="shared" ca="1" si="44"/>
        <v>2.9874188307719074E-3</v>
      </c>
      <c r="I148" s="120">
        <f t="shared" ca="1" si="45"/>
        <v>8962.2564923157224</v>
      </c>
      <c r="J148" s="122">
        <f t="shared" ca="1" si="46"/>
        <v>3001564.2375958436</v>
      </c>
      <c r="K148" s="70">
        <f t="shared" ca="1" si="47"/>
        <v>5.2141253194790962E-4</v>
      </c>
      <c r="L148" s="120">
        <f t="shared" ca="1" si="48"/>
        <v>1564.2375958437287</v>
      </c>
      <c r="M148" s="122">
        <f t="shared" ca="1" si="49"/>
        <v>2988245.8561987979</v>
      </c>
      <c r="N148" s="70">
        <f t="shared" ca="1" si="50"/>
        <v>-3.9180479337340406E-3</v>
      </c>
      <c r="O148" s="120">
        <f t="shared" ca="1" si="51"/>
        <v>-11754.143801202124</v>
      </c>
    </row>
    <row r="149" spans="1:15" ht="16.5" customHeight="1" thickBot="1">
      <c r="A149" s="48">
        <v>14</v>
      </c>
      <c r="B149" s="131" t="str">
        <f>HYPERLINK("#'" &amp; TEXT(투자전략!$G$1+13, "[$-ko-KR]yyyy.mm.dd") &amp; "'!A94:O118", TEXT(투자전략!$G$1+13, "[$-ko-KR]yyyy.mm.dd"))</f>
        <v>2023.01.14</v>
      </c>
      <c r="C149" s="119">
        <f t="shared" ca="1" si="39"/>
        <v>3000000</v>
      </c>
      <c r="D149" s="123">
        <f t="shared" ca="1" si="40"/>
        <v>3259355.805778305</v>
      </c>
      <c r="E149" s="72">
        <f t="shared" ca="1" si="41"/>
        <v>8.6451935259435078E-2</v>
      </c>
      <c r="F149" s="121">
        <f t="shared" ca="1" si="42"/>
        <v>259355.80577830525</v>
      </c>
      <c r="G149" s="123">
        <f t="shared" ca="1" si="43"/>
        <v>3277116.9690510957</v>
      </c>
      <c r="H149" s="72">
        <f t="shared" ca="1" si="44"/>
        <v>9.2372323017031924E-2</v>
      </c>
      <c r="I149" s="121">
        <f t="shared" ca="1" si="45"/>
        <v>277116.96905109577</v>
      </c>
      <c r="J149" s="123">
        <f t="shared" ca="1" si="46"/>
        <v>3356683.5235792478</v>
      </c>
      <c r="K149" s="72">
        <f t="shared" ca="1" si="47"/>
        <v>0.11889450785974927</v>
      </c>
      <c r="L149" s="121">
        <f t="shared" ca="1" si="48"/>
        <v>356683.52357924776</v>
      </c>
      <c r="M149" s="123">
        <f t="shared" ca="1" si="49"/>
        <v>3329159.9156863373</v>
      </c>
      <c r="N149" s="72">
        <f t="shared" ca="1" si="50"/>
        <v>0.10971997189544588</v>
      </c>
      <c r="O149" s="121">
        <f t="shared" ca="1" si="51"/>
        <v>329159.91568633768</v>
      </c>
    </row>
    <row r="150" spans="1:15" ht="16.5" customHeight="1">
      <c r="A150" s="46">
        <v>15</v>
      </c>
      <c r="B150" s="129" t="str">
        <f>HYPERLINK("#'" &amp; TEXT(투자전략!$G$1+14, "[$-ko-KR]yyyy.mm.dd") &amp; "'!A94:O118", TEXT(투자전략!$G$1+14, "[$-ko-KR]yyyy.mm.dd"))</f>
        <v>2023.01.15</v>
      </c>
      <c r="C150" s="118">
        <f t="shared" ca="1" si="39"/>
        <v>3000000</v>
      </c>
      <c r="D150" s="122">
        <f t="shared" ca="1" si="40"/>
        <v>3088108.2671178058</v>
      </c>
      <c r="E150" s="70">
        <f t="shared" ca="1" si="41"/>
        <v>2.9369422372602011E-2</v>
      </c>
      <c r="F150" s="120">
        <f t="shared" ca="1" si="42"/>
        <v>88108.26711780607</v>
      </c>
      <c r="G150" s="122">
        <f t="shared" ca="1" si="43"/>
        <v>3026560.1893741926</v>
      </c>
      <c r="H150" s="70">
        <f t="shared" ca="1" si="44"/>
        <v>8.8533964580641104E-3</v>
      </c>
      <c r="I150" s="120">
        <f t="shared" ca="1" si="45"/>
        <v>26560.189374192349</v>
      </c>
      <c r="J150" s="122">
        <f t="shared" ca="1" si="46"/>
        <v>3065689.748271727</v>
      </c>
      <c r="K150" s="70">
        <f t="shared" ca="1" si="47"/>
        <v>2.1896582757242475E-2</v>
      </c>
      <c r="L150" s="120">
        <f t="shared" ca="1" si="48"/>
        <v>65689.748271727425</v>
      </c>
      <c r="M150" s="122">
        <f t="shared" ca="1" si="49"/>
        <v>3122228.625752307</v>
      </c>
      <c r="N150" s="70">
        <f t="shared" ca="1" si="50"/>
        <v>4.0742875250769015E-2</v>
      </c>
      <c r="O150" s="120">
        <f t="shared" ca="1" si="51"/>
        <v>122228.62575230705</v>
      </c>
    </row>
    <row r="151" spans="1:15" ht="16.5" customHeight="1">
      <c r="A151" s="47">
        <v>16</v>
      </c>
      <c r="B151" s="130" t="str">
        <f>HYPERLINK("#'" &amp; TEXT(투자전략!$G$1+15, "[$-ko-KR]yyyy.mm.dd") &amp; "'!A94:O118", TEXT(투자전략!$G$1+15, "[$-ko-KR]yyyy.mm.dd"))</f>
        <v>2023.01.16</v>
      </c>
      <c r="C151" s="118">
        <f t="shared" ca="1" si="39"/>
        <v>3000000</v>
      </c>
      <c r="D151" s="122">
        <f t="shared" ca="1" si="40"/>
        <v>3049944.2619373975</v>
      </c>
      <c r="E151" s="70">
        <f t="shared" ca="1" si="41"/>
        <v>1.6648087312465837E-2</v>
      </c>
      <c r="F151" s="120">
        <f t="shared" ca="1" si="42"/>
        <v>49944.26193739751</v>
      </c>
      <c r="G151" s="122">
        <f t="shared" ca="1" si="43"/>
        <v>2987044.8754757135</v>
      </c>
      <c r="H151" s="70">
        <f t="shared" ca="1" si="44"/>
        <v>-4.3183748414288483E-3</v>
      </c>
      <c r="I151" s="120">
        <f t="shared" ca="1" si="45"/>
        <v>-12955.124524286535</v>
      </c>
      <c r="J151" s="122">
        <f t="shared" ca="1" si="46"/>
        <v>2993030.34282981</v>
      </c>
      <c r="K151" s="70">
        <f t="shared" ca="1" si="47"/>
        <v>-2.3232190567300743E-3</v>
      </c>
      <c r="L151" s="120">
        <f t="shared" ca="1" si="48"/>
        <v>-6969.6571701902249</v>
      </c>
      <c r="M151" s="122">
        <f t="shared" ca="1" si="49"/>
        <v>2982286.2726472607</v>
      </c>
      <c r="N151" s="70">
        <f t="shared" ca="1" si="50"/>
        <v>-5.9045757842463983E-3</v>
      </c>
      <c r="O151" s="120">
        <f t="shared" ca="1" si="51"/>
        <v>-17713.727352739195</v>
      </c>
    </row>
    <row r="152" spans="1:15" ht="16.5" customHeight="1">
      <c r="A152" s="47">
        <v>17</v>
      </c>
      <c r="B152" s="130" t="str">
        <f>HYPERLINK("#'" &amp; TEXT(투자전략!$G$1+16, "[$-ko-KR]yyyy.mm.dd") &amp; "'!A94:O118", TEXT(투자전략!$G$1+16, "[$-ko-KR]yyyy.mm.dd"))</f>
        <v>2023.01.17</v>
      </c>
      <c r="C152" s="118">
        <f t="shared" ca="1" si="39"/>
        <v>3000000</v>
      </c>
      <c r="D152" s="122">
        <f t="shared" ca="1" si="40"/>
        <v>3001701.7326962897</v>
      </c>
      <c r="E152" s="70">
        <f t="shared" ca="1" si="41"/>
        <v>5.6724423209658442E-4</v>
      </c>
      <c r="F152" s="120">
        <f t="shared" ca="1" si="42"/>
        <v>1701.7326962897505</v>
      </c>
      <c r="G152" s="122">
        <f t="shared" ca="1" si="43"/>
        <v>2988383.8043639287</v>
      </c>
      <c r="H152" s="70">
        <f t="shared" ca="1" si="44"/>
        <v>-3.8720652120238217E-3</v>
      </c>
      <c r="I152" s="120">
        <f t="shared" ca="1" si="45"/>
        <v>-11616.195636071465</v>
      </c>
      <c r="J152" s="122">
        <f t="shared" ca="1" si="46"/>
        <v>3012676.5582417939</v>
      </c>
      <c r="K152" s="70">
        <f t="shared" ca="1" si="47"/>
        <v>4.2255194139312682E-3</v>
      </c>
      <c r="L152" s="120">
        <f t="shared" ca="1" si="48"/>
        <v>12676.558241793804</v>
      </c>
      <c r="M152" s="122">
        <f t="shared" ca="1" si="49"/>
        <v>3025577.9495618776</v>
      </c>
      <c r="N152" s="70">
        <f t="shared" ca="1" si="50"/>
        <v>8.5259831872926926E-3</v>
      </c>
      <c r="O152" s="120">
        <f t="shared" ca="1" si="51"/>
        <v>25577.949561878078</v>
      </c>
    </row>
    <row r="153" spans="1:15" ht="16.5" customHeight="1">
      <c r="A153" s="47">
        <v>18</v>
      </c>
      <c r="B153" s="130" t="str">
        <f>HYPERLINK("#'" &amp; TEXT(투자전략!$G$1+17, "[$-ko-KR]yyyy.mm.dd") &amp; "'!A94:O118", TEXT(투자전략!$G$1+17, "[$-ko-KR]yyyy.mm.dd"))</f>
        <v>2023.01.18</v>
      </c>
      <c r="C153" s="118">
        <f t="shared" ca="1" si="39"/>
        <v>3000000</v>
      </c>
      <c r="D153" s="122">
        <f t="shared" ca="1" si="40"/>
        <v>2897688.5514626871</v>
      </c>
      <c r="E153" s="70">
        <f t="shared" ca="1" si="41"/>
        <v>-3.4103816179104324E-2</v>
      </c>
      <c r="F153" s="120">
        <f t="shared" ca="1" si="42"/>
        <v>-102311.44853731297</v>
      </c>
      <c r="G153" s="122">
        <f t="shared" ca="1" si="43"/>
        <v>2847279.3235186338</v>
      </c>
      <c r="H153" s="70">
        <f t="shared" ca="1" si="44"/>
        <v>-5.0906892160455366E-2</v>
      </c>
      <c r="I153" s="120">
        <f t="shared" ca="1" si="45"/>
        <v>-152720.6764813661</v>
      </c>
      <c r="J153" s="122">
        <f t="shared" ca="1" si="46"/>
        <v>2854696.9691567956</v>
      </c>
      <c r="K153" s="70">
        <f t="shared" ca="1" si="47"/>
        <v>-4.843434361440152E-2</v>
      </c>
      <c r="L153" s="120">
        <f t="shared" ca="1" si="48"/>
        <v>-145303.03084320459</v>
      </c>
      <c r="M153" s="122">
        <f t="shared" ca="1" si="49"/>
        <v>2895572.6993529689</v>
      </c>
      <c r="N153" s="70">
        <f t="shared" ca="1" si="50"/>
        <v>-3.4809100215676972E-2</v>
      </c>
      <c r="O153" s="120">
        <f t="shared" ca="1" si="51"/>
        <v>-104427.3006470309</v>
      </c>
    </row>
    <row r="154" spans="1:15" ht="16.5" customHeight="1">
      <c r="A154" s="47">
        <v>19</v>
      </c>
      <c r="B154" s="130" t="str">
        <f>HYPERLINK("#'" &amp; TEXT(투자전략!$G$1+18, "[$-ko-KR]yyyy.mm.dd") &amp; "'!A94:O118", TEXT(투자전략!$G$1+18, "[$-ko-KR]yyyy.mm.dd"))</f>
        <v>2023.01.19</v>
      </c>
      <c r="C154" s="118">
        <f t="shared" ca="1" si="39"/>
        <v>3000000</v>
      </c>
      <c r="D154" s="122">
        <f t="shared" ca="1" si="40"/>
        <v>2799906.7763203797</v>
      </c>
      <c r="E154" s="70">
        <f t="shared" ca="1" si="41"/>
        <v>-6.6697741226540028E-2</v>
      </c>
      <c r="F154" s="120">
        <f t="shared" ca="1" si="42"/>
        <v>-200093.22367962007</v>
      </c>
      <c r="G154" s="122">
        <f t="shared" ca="1" si="43"/>
        <v>2859058.2307036216</v>
      </c>
      <c r="H154" s="70">
        <f t="shared" ca="1" si="44"/>
        <v>-4.6980589765459532E-2</v>
      </c>
      <c r="I154" s="120">
        <f t="shared" ca="1" si="45"/>
        <v>-140941.76929637865</v>
      </c>
      <c r="J154" s="122">
        <f t="shared" ca="1" si="46"/>
        <v>2812859.9628426726</v>
      </c>
      <c r="K154" s="70">
        <f t="shared" ca="1" si="47"/>
        <v>-6.2380012385775875E-2</v>
      </c>
      <c r="L154" s="120">
        <f t="shared" ca="1" si="48"/>
        <v>-187140.03715732761</v>
      </c>
      <c r="M154" s="122">
        <f t="shared" ca="1" si="49"/>
        <v>2821968.0998233082</v>
      </c>
      <c r="N154" s="70">
        <f t="shared" ca="1" si="50"/>
        <v>-5.9343966725563989E-2</v>
      </c>
      <c r="O154" s="120">
        <f t="shared" ca="1" si="51"/>
        <v>-178031.90017669203</v>
      </c>
    </row>
    <row r="155" spans="1:15" ht="16.5" customHeight="1">
      <c r="A155" s="47">
        <v>20</v>
      </c>
      <c r="B155" s="130" t="str">
        <f>HYPERLINK("#'" &amp; TEXT(투자전략!$G$1+19, "[$-ko-KR]yyyy.mm.dd") &amp; "'!A94:O118", TEXT(투자전략!$G$1+19, "[$-ko-KR]yyyy.mm.dd"))</f>
        <v>2023.01.20</v>
      </c>
      <c r="C155" s="118">
        <f t="shared" ca="1" si="39"/>
        <v>3000000</v>
      </c>
      <c r="D155" s="122">
        <f t="shared" ca="1" si="40"/>
        <v>3083320.7604009276</v>
      </c>
      <c r="E155" s="70">
        <f t="shared" ca="1" si="41"/>
        <v>2.7773586800309176E-2</v>
      </c>
      <c r="F155" s="120">
        <f t="shared" ca="1" si="42"/>
        <v>83320.760400927524</v>
      </c>
      <c r="G155" s="122">
        <f t="shared" ca="1" si="43"/>
        <v>3088694.1255696579</v>
      </c>
      <c r="H155" s="70">
        <f t="shared" ca="1" si="44"/>
        <v>2.956470852321939E-2</v>
      </c>
      <c r="I155" s="120">
        <f t="shared" ca="1" si="45"/>
        <v>88694.125569658165</v>
      </c>
      <c r="J155" s="122">
        <f t="shared" ca="1" si="46"/>
        <v>3103443.4791456931</v>
      </c>
      <c r="K155" s="70">
        <f t="shared" ca="1" si="47"/>
        <v>3.4481159715230948E-2</v>
      </c>
      <c r="L155" s="120">
        <f t="shared" ca="1" si="48"/>
        <v>103443.47914569284</v>
      </c>
      <c r="M155" s="122">
        <f t="shared" ca="1" si="49"/>
        <v>3111171.3612315748</v>
      </c>
      <c r="N155" s="70">
        <f t="shared" ca="1" si="50"/>
        <v>3.7057120410524919E-2</v>
      </c>
      <c r="O155" s="120">
        <f t="shared" ca="1" si="51"/>
        <v>111171.36123157473</v>
      </c>
    </row>
    <row r="156" spans="1:15" ht="16.5" customHeight="1" thickBot="1">
      <c r="A156" s="48">
        <v>21</v>
      </c>
      <c r="B156" s="131" t="str">
        <f>HYPERLINK("#'" &amp; TEXT(투자전략!$G$1+20, "[$-ko-KR]yyyy.mm.dd") &amp; "'!A94:O118", TEXT(투자전략!$G$1+20, "[$-ko-KR]yyyy.mm.dd"))</f>
        <v>2023.01.21</v>
      </c>
      <c r="C156" s="118">
        <f t="shared" ca="1" si="39"/>
        <v>3000000</v>
      </c>
      <c r="D156" s="122">
        <f t="shared" ca="1" si="40"/>
        <v>3170399.099111618</v>
      </c>
      <c r="E156" s="70">
        <f t="shared" ca="1" si="41"/>
        <v>5.6799699703872567E-2</v>
      </c>
      <c r="F156" s="120">
        <f t="shared" ca="1" si="42"/>
        <v>170399.09911161769</v>
      </c>
      <c r="G156" s="122">
        <f t="shared" ca="1" si="43"/>
        <v>3210000.9013198931</v>
      </c>
      <c r="H156" s="70">
        <f t="shared" ca="1" si="44"/>
        <v>7.0000300439964386E-2</v>
      </c>
      <c r="I156" s="120">
        <f t="shared" ca="1" si="45"/>
        <v>210000.90131989311</v>
      </c>
      <c r="J156" s="122">
        <f t="shared" ca="1" si="46"/>
        <v>3173198.1225228827</v>
      </c>
      <c r="K156" s="70">
        <f t="shared" ca="1" si="47"/>
        <v>5.77327075076274E-2</v>
      </c>
      <c r="L156" s="120">
        <f t="shared" ca="1" si="48"/>
        <v>173198.12252288221</v>
      </c>
      <c r="M156" s="122">
        <f t="shared" ca="1" si="49"/>
        <v>3199771.3432212528</v>
      </c>
      <c r="N156" s="70">
        <f t="shared" ca="1" si="50"/>
        <v>6.6590447740417474E-2</v>
      </c>
      <c r="O156" s="120">
        <f t="shared" ca="1" si="51"/>
        <v>199771.34322125243</v>
      </c>
    </row>
    <row r="157" spans="1:15" ht="16.5" customHeight="1">
      <c r="A157" s="46">
        <v>22</v>
      </c>
      <c r="B157" s="129" t="str">
        <f>HYPERLINK("#'" &amp; TEXT(투자전략!$G$1+21, "[$-ko-KR]yyyy.mm.dd") &amp; "'!A94:O118", TEXT(투자전략!$G$1+21, "[$-ko-KR]yyyy.mm.dd"))</f>
        <v>2023.01.22</v>
      </c>
      <c r="C157" s="117">
        <f t="shared" ca="1" si="39"/>
        <v>3000000</v>
      </c>
      <c r="D157" s="125">
        <f t="shared" ca="1" si="40"/>
        <v>2949020.134605824</v>
      </c>
      <c r="E157" s="69">
        <f t="shared" ca="1" si="41"/>
        <v>-1.6993288464725309E-2</v>
      </c>
      <c r="F157" s="124">
        <f t="shared" ca="1" si="42"/>
        <v>-50979.865394175926</v>
      </c>
      <c r="G157" s="125">
        <f t="shared" ca="1" si="43"/>
        <v>2958760.481383902</v>
      </c>
      <c r="H157" s="69">
        <f t="shared" ca="1" si="44"/>
        <v>-1.3746506205365949E-2</v>
      </c>
      <c r="I157" s="124">
        <f t="shared" ca="1" si="45"/>
        <v>-41239.518616097834</v>
      </c>
      <c r="J157" s="125">
        <f t="shared" ca="1" si="46"/>
        <v>2959931.6473786775</v>
      </c>
      <c r="K157" s="69">
        <f t="shared" ca="1" si="47"/>
        <v>-1.3356117540440842E-2</v>
      </c>
      <c r="L157" s="124">
        <f t="shared" ca="1" si="48"/>
        <v>-40068.352621322505</v>
      </c>
      <c r="M157" s="125">
        <f t="shared" ca="1" si="49"/>
        <v>2986079.8380187075</v>
      </c>
      <c r="N157" s="69">
        <f t="shared" ca="1" si="50"/>
        <v>-4.640053993764175E-3</v>
      </c>
      <c r="O157" s="124">
        <f t="shared" ca="1" si="51"/>
        <v>-13920.161981292531</v>
      </c>
    </row>
    <row r="158" spans="1:15" ht="16.5" customHeight="1">
      <c r="A158" s="47">
        <v>23</v>
      </c>
      <c r="B158" s="130" t="str">
        <f>HYPERLINK("#'" &amp; TEXT(투자전략!$G$1+22, "[$-ko-KR]yyyy.mm.dd") &amp; "'!A94:O118", TEXT(투자전략!$G$1+22, "[$-ko-KR]yyyy.mm.dd"))</f>
        <v>2023.01.23</v>
      </c>
      <c r="C158" s="118">
        <f t="shared" ca="1" si="39"/>
        <v>3000000</v>
      </c>
      <c r="D158" s="122">
        <f t="shared" ca="1" si="40"/>
        <v>3029675.5525035593</v>
      </c>
      <c r="E158" s="70">
        <f t="shared" ca="1" si="41"/>
        <v>9.8918508345199156E-3</v>
      </c>
      <c r="F158" s="120">
        <f t="shared" ca="1" si="42"/>
        <v>29675.552503559753</v>
      </c>
      <c r="G158" s="122">
        <f t="shared" ca="1" si="43"/>
        <v>3006383.8321187561</v>
      </c>
      <c r="H158" s="70">
        <f t="shared" ca="1" si="44"/>
        <v>2.1279440395854643E-3</v>
      </c>
      <c r="I158" s="120">
        <f t="shared" ca="1" si="45"/>
        <v>6383.8321187563924</v>
      </c>
      <c r="J158" s="122">
        <f t="shared" ca="1" si="46"/>
        <v>3036026.7888883399</v>
      </c>
      <c r="K158" s="70">
        <f t="shared" ca="1" si="47"/>
        <v>1.2008929629446597E-2</v>
      </c>
      <c r="L158" s="120">
        <f t="shared" ca="1" si="48"/>
        <v>36026.788888339797</v>
      </c>
      <c r="M158" s="122">
        <f t="shared" ca="1" si="49"/>
        <v>2938488.2778399247</v>
      </c>
      <c r="N158" s="70">
        <f t="shared" ca="1" si="50"/>
        <v>-2.0503907386691715E-2</v>
      </c>
      <c r="O158" s="120">
        <f t="shared" ca="1" si="51"/>
        <v>-61511.722160075136</v>
      </c>
    </row>
    <row r="159" spans="1:15" ht="16.5" customHeight="1">
      <c r="A159" s="47">
        <v>24</v>
      </c>
      <c r="B159" s="130" t="str">
        <f>HYPERLINK("#'" &amp; TEXT(투자전략!$G$1+23, "[$-ko-KR]yyyy.mm.dd") &amp; "'!A94:O118", TEXT(투자전략!$G$1+23, "[$-ko-KR]yyyy.mm.dd"))</f>
        <v>2023.01.24</v>
      </c>
      <c r="C159" s="118">
        <f t="shared" ca="1" si="39"/>
        <v>3000000</v>
      </c>
      <c r="D159" s="122">
        <f t="shared" ca="1" si="40"/>
        <v>3117557.1983725699</v>
      </c>
      <c r="E159" s="70">
        <f t="shared" ca="1" si="41"/>
        <v>3.9185732790856763E-2</v>
      </c>
      <c r="F159" s="120">
        <f t="shared" ca="1" si="42"/>
        <v>117557.1983725703</v>
      </c>
      <c r="G159" s="122">
        <f t="shared" ca="1" si="43"/>
        <v>3085331.0677346434</v>
      </c>
      <c r="H159" s="70">
        <f t="shared" ca="1" si="44"/>
        <v>2.8443689244881266E-2</v>
      </c>
      <c r="I159" s="120">
        <f t="shared" ca="1" si="45"/>
        <v>85331.067734643817</v>
      </c>
      <c r="J159" s="122">
        <f t="shared" ca="1" si="46"/>
        <v>3078534.1614963198</v>
      </c>
      <c r="K159" s="70">
        <f t="shared" ca="1" si="47"/>
        <v>2.6178053832106495E-2</v>
      </c>
      <c r="L159" s="120">
        <f t="shared" ca="1" si="48"/>
        <v>78534.161496319488</v>
      </c>
      <c r="M159" s="122">
        <f t="shared" ca="1" si="49"/>
        <v>3077751.3022784786</v>
      </c>
      <c r="N159" s="70">
        <f t="shared" ca="1" si="50"/>
        <v>2.5917100759492856E-2</v>
      </c>
      <c r="O159" s="120">
        <f t="shared" ca="1" si="51"/>
        <v>77751.302278478572</v>
      </c>
    </row>
    <row r="160" spans="1:15" ht="16.5" customHeight="1">
      <c r="A160" s="47">
        <v>25</v>
      </c>
      <c r="B160" s="130" t="str">
        <f>HYPERLINK("#'" &amp; TEXT(투자전략!$G$1+24, "[$-ko-KR]yyyy.mm.dd") &amp; "'!A94:O118", TEXT(투자전략!$G$1+24, "[$-ko-KR]yyyy.mm.dd"))</f>
        <v>2023.01.25</v>
      </c>
      <c r="C160" s="118">
        <f t="shared" ca="1" si="39"/>
        <v>3000000</v>
      </c>
      <c r="D160" s="122">
        <f t="shared" ca="1" si="40"/>
        <v>2831582.6733441073</v>
      </c>
      <c r="E160" s="70">
        <f t="shared" ca="1" si="41"/>
        <v>-5.6139108885297537E-2</v>
      </c>
      <c r="F160" s="120">
        <f t="shared" ca="1" si="42"/>
        <v>-168417.32665589266</v>
      </c>
      <c r="G160" s="122">
        <f t="shared" ca="1" si="43"/>
        <v>2854730.1731237583</v>
      </c>
      <c r="H160" s="70">
        <f t="shared" ca="1" si="44"/>
        <v>-4.8423275625413945E-2</v>
      </c>
      <c r="I160" s="120">
        <f t="shared" ca="1" si="45"/>
        <v>-145269.82687624183</v>
      </c>
      <c r="J160" s="122">
        <f t="shared" ca="1" si="46"/>
        <v>2824887.64739906</v>
      </c>
      <c r="K160" s="70">
        <f t="shared" ca="1" si="47"/>
        <v>-5.8370784200313275E-2</v>
      </c>
      <c r="L160" s="120">
        <f t="shared" ca="1" si="48"/>
        <v>-175112.3526009398</v>
      </c>
      <c r="M160" s="122">
        <f t="shared" ca="1" si="49"/>
        <v>2780915.5181443272</v>
      </c>
      <c r="N160" s="70">
        <f t="shared" ca="1" si="50"/>
        <v>-7.3028160618557686E-2</v>
      </c>
      <c r="O160" s="120">
        <f t="shared" ca="1" si="51"/>
        <v>-219084.4818556731</v>
      </c>
    </row>
    <row r="161" spans="1:15" ht="16.5" customHeight="1">
      <c r="A161" s="47">
        <v>26</v>
      </c>
      <c r="B161" s="130" t="str">
        <f>HYPERLINK("#'" &amp; TEXT(투자전략!$G$1+25, "[$-ko-KR]yyyy.mm.dd") &amp; "'!A94:O118", TEXT(투자전략!$G$1+25, "[$-ko-KR]yyyy.mm.dd"))</f>
        <v>2023.01.26</v>
      </c>
      <c r="C161" s="118">
        <f t="shared" ca="1" si="39"/>
        <v>3000000</v>
      </c>
      <c r="D161" s="122">
        <f t="shared" ca="1" si="40"/>
        <v>3204706.4157473254</v>
      </c>
      <c r="E161" s="70">
        <f t="shared" ca="1" si="41"/>
        <v>6.8235471915775253E-2</v>
      </c>
      <c r="F161" s="120">
        <f t="shared" ca="1" si="42"/>
        <v>204706.41574732587</v>
      </c>
      <c r="G161" s="122">
        <f t="shared" ca="1" si="43"/>
        <v>3166956.8543492137</v>
      </c>
      <c r="H161" s="70">
        <f t="shared" ca="1" si="44"/>
        <v>5.5652284783071194E-2</v>
      </c>
      <c r="I161" s="120">
        <f t="shared" ca="1" si="45"/>
        <v>166956.85434921359</v>
      </c>
      <c r="J161" s="122">
        <f t="shared" ca="1" si="46"/>
        <v>3142189.031400816</v>
      </c>
      <c r="K161" s="70">
        <f t="shared" ca="1" si="47"/>
        <v>4.7396343800271926E-2</v>
      </c>
      <c r="L161" s="120">
        <f t="shared" ca="1" si="48"/>
        <v>142189.03140081582</v>
      </c>
      <c r="M161" s="122">
        <f t="shared" ca="1" si="49"/>
        <v>3165565.7271685521</v>
      </c>
      <c r="N161" s="70">
        <f t="shared" ca="1" si="50"/>
        <v>5.5188575722850783E-2</v>
      </c>
      <c r="O161" s="120">
        <f t="shared" ca="1" si="51"/>
        <v>165565.72716855237</v>
      </c>
    </row>
    <row r="162" spans="1:15" ht="16.5" customHeight="1">
      <c r="A162" s="47">
        <v>27</v>
      </c>
      <c r="B162" s="130" t="str">
        <f>HYPERLINK("#'" &amp; TEXT(투자전략!$G$1+26, "[$-ko-KR]yyyy.mm.dd") &amp; "'!A94:O118", TEXT(투자전략!$G$1+26, "[$-ko-KR]yyyy.mm.dd"))</f>
        <v>2023.01.27</v>
      </c>
      <c r="C162" s="118">
        <f t="shared" ca="1" si="39"/>
        <v>3000000</v>
      </c>
      <c r="D162" s="122">
        <f t="shared" ca="1" si="40"/>
        <v>2980922.0362799764</v>
      </c>
      <c r="E162" s="70">
        <f t="shared" ca="1" si="41"/>
        <v>-6.3593212400079079E-3</v>
      </c>
      <c r="F162" s="120">
        <f t="shared" ca="1" si="42"/>
        <v>-19077.963720023716</v>
      </c>
      <c r="G162" s="122">
        <f t="shared" ca="1" si="43"/>
        <v>2977855.3052278901</v>
      </c>
      <c r="H162" s="70">
        <f t="shared" ca="1" si="44"/>
        <v>-7.3815649240366503E-3</v>
      </c>
      <c r="I162" s="120">
        <f t="shared" ca="1" si="45"/>
        <v>-22144.694772109953</v>
      </c>
      <c r="J162" s="122">
        <f t="shared" ca="1" si="46"/>
        <v>2975609.1687052855</v>
      </c>
      <c r="K162" s="70">
        <f t="shared" ca="1" si="47"/>
        <v>-8.1302770982380895E-3</v>
      </c>
      <c r="L162" s="120">
        <f t="shared" ca="1" si="48"/>
        <v>-24390.831294714277</v>
      </c>
      <c r="M162" s="122">
        <f t="shared" ca="1" si="49"/>
        <v>2999705.4670754755</v>
      </c>
      <c r="N162" s="70">
        <f t="shared" ca="1" si="50"/>
        <v>-9.8177641508050137E-5</v>
      </c>
      <c r="O162" s="120">
        <f t="shared" ca="1" si="51"/>
        <v>-294.53292452416736</v>
      </c>
    </row>
    <row r="163" spans="1:15" ht="16.5" customHeight="1" thickBot="1">
      <c r="A163" s="48">
        <v>28</v>
      </c>
      <c r="B163" s="131" t="str">
        <f>HYPERLINK("#'" &amp; TEXT(투자전략!$G$1+27, "[$-ko-KR]yyyy.mm.dd") &amp; "'!A94:O118", TEXT(투자전략!$G$1+27, "[$-ko-KR]yyyy.mm.dd"))</f>
        <v>2023.01.28</v>
      </c>
      <c r="C163" s="119">
        <f t="shared" ca="1" si="39"/>
        <v>3000000</v>
      </c>
      <c r="D163" s="123">
        <f t="shared" ca="1" si="40"/>
        <v>3044019.5884503955</v>
      </c>
      <c r="E163" s="72">
        <f t="shared" ca="1" si="41"/>
        <v>1.4673196150131814E-2</v>
      </c>
      <c r="F163" s="121">
        <f t="shared" ca="1" si="42"/>
        <v>44019.588450395437</v>
      </c>
      <c r="G163" s="123">
        <f t="shared" ca="1" si="43"/>
        <v>3016290.2168852538</v>
      </c>
      <c r="H163" s="72">
        <f t="shared" ca="1" si="44"/>
        <v>5.430072295084739E-3</v>
      </c>
      <c r="I163" s="121">
        <f t="shared" ca="1" si="45"/>
        <v>16290.216885254215</v>
      </c>
      <c r="J163" s="123">
        <f t="shared" ca="1" si="46"/>
        <v>3001269.4475466353</v>
      </c>
      <c r="K163" s="72">
        <f t="shared" ca="1" si="47"/>
        <v>4.2314918221182012E-4</v>
      </c>
      <c r="L163" s="121">
        <f t="shared" ca="1" si="48"/>
        <v>1269.4475466354602</v>
      </c>
      <c r="M163" s="123">
        <f t="shared" ca="1" si="49"/>
        <v>2964497.2107266611</v>
      </c>
      <c r="N163" s="72">
        <f t="shared" ca="1" si="50"/>
        <v>-1.1834263091112943E-2</v>
      </c>
      <c r="O163" s="121">
        <f t="shared" ca="1" si="51"/>
        <v>-35502.789273338822</v>
      </c>
    </row>
    <row r="164" spans="1:15" ht="16.5" customHeight="1">
      <c r="A164" s="105">
        <v>29</v>
      </c>
      <c r="B164" s="129" t="str">
        <f>HYPERLINK("#'" &amp; TEXT(투자전략!$G$1+28, "[$-ko-KR]yyyy.mm.dd") &amp; "'!A94:O118", TEXT(투자전략!$G$1+28, "[$-ko-KR]yyyy.mm.dd"))</f>
        <v>2023.01.29</v>
      </c>
      <c r="C164" s="118">
        <f t="shared" ca="1" si="39"/>
        <v>3000000</v>
      </c>
      <c r="D164" s="122">
        <f t="shared" ca="1" si="40"/>
        <v>3019443.5488996478</v>
      </c>
      <c r="E164" s="70">
        <f t="shared" ca="1" si="41"/>
        <v>6.4811829665492966E-3</v>
      </c>
      <c r="F164" s="120">
        <f t="shared" ca="1" si="42"/>
        <v>19443.548899647885</v>
      </c>
      <c r="G164" s="122">
        <f t="shared" ca="1" si="43"/>
        <v>3006077.9668847779</v>
      </c>
      <c r="H164" s="70">
        <f t="shared" ca="1" si="44"/>
        <v>2.0259889615924557E-3</v>
      </c>
      <c r="I164" s="120">
        <f t="shared" ca="1" si="45"/>
        <v>6077.9668847773655</v>
      </c>
      <c r="J164" s="122">
        <f t="shared" ca="1" si="46"/>
        <v>3006077.9668847779</v>
      </c>
      <c r="K164" s="70">
        <f t="shared" ca="1" si="47"/>
        <v>2.0259889615924557E-3</v>
      </c>
      <c r="L164" s="120">
        <f t="shared" ca="1" si="48"/>
        <v>6077.9668847773655</v>
      </c>
      <c r="M164" s="122">
        <f t="shared" ca="1" si="49"/>
        <v>3006077.9668847779</v>
      </c>
      <c r="N164" s="70">
        <f t="shared" ca="1" si="50"/>
        <v>2.0259889615924557E-3</v>
      </c>
      <c r="O164" s="120">
        <f t="shared" ca="1" si="51"/>
        <v>6077.9668847773655</v>
      </c>
    </row>
    <row r="165" spans="1:15" ht="16.5" customHeight="1">
      <c r="A165" s="105">
        <v>30</v>
      </c>
      <c r="B165" s="130" t="str">
        <f>HYPERLINK("#'" &amp; TEXT(투자전략!$G$1+29, "[$-ko-KR]yyyy.mm.dd") &amp; "'!A94:O118", TEXT(투자전략!$G$1+29, "[$-ko-KR]yyyy.mm.dd"))</f>
        <v>2023.01.30</v>
      </c>
      <c r="C165" s="118" t="str">
        <f t="shared" ca="1" si="39"/>
        <v/>
      </c>
      <c r="D165" s="122" t="str">
        <f t="shared" ca="1" si="40"/>
        <v/>
      </c>
      <c r="E165" s="70" t="str">
        <f t="shared" ca="1" si="41"/>
        <v/>
      </c>
      <c r="F165" s="120" t="str">
        <f t="shared" ca="1" si="42"/>
        <v/>
      </c>
      <c r="G165" s="122" t="str">
        <f t="shared" ca="1" si="43"/>
        <v/>
      </c>
      <c r="H165" s="70" t="str">
        <f t="shared" ca="1" si="44"/>
        <v/>
      </c>
      <c r="I165" s="120" t="str">
        <f t="shared" ca="1" si="45"/>
        <v/>
      </c>
      <c r="J165" s="122" t="str">
        <f t="shared" ca="1" si="46"/>
        <v/>
      </c>
      <c r="K165" s="70" t="str">
        <f t="shared" ca="1" si="47"/>
        <v/>
      </c>
      <c r="L165" s="120" t="str">
        <f t="shared" ca="1" si="48"/>
        <v/>
      </c>
      <c r="M165" s="122" t="str">
        <f t="shared" ca="1" si="49"/>
        <v/>
      </c>
      <c r="N165" s="70" t="str">
        <f t="shared" ca="1" si="50"/>
        <v/>
      </c>
      <c r="O165" s="120" t="str">
        <f t="shared" ca="1" si="51"/>
        <v/>
      </c>
    </row>
    <row r="166" spans="1:15" ht="16.5" customHeight="1" thickBot="1">
      <c r="A166" s="105">
        <v>31</v>
      </c>
      <c r="B166" s="130" t="str">
        <f>HYPERLINK("#'" &amp; TEXT(투자전략!$G$1+30, "[$-ko-KR]yyyy.mm.dd") &amp; "'!A94:O118", TEXT(투자전략!$G$1+30, "[$-ko-KR]yyyy.mm.dd"))</f>
        <v>2023.01.31</v>
      </c>
      <c r="C166" s="119">
        <f t="shared" ca="1" si="39"/>
        <v>3000000</v>
      </c>
      <c r="D166" s="123">
        <f t="shared" ca="1" si="40"/>
        <v>2986806.0667189965</v>
      </c>
      <c r="E166" s="72">
        <f t="shared" ca="1" si="41"/>
        <v>-4.3979777603344958E-3</v>
      </c>
      <c r="F166" s="121">
        <f t="shared" ca="1" si="42"/>
        <v>-13193.933281003494</v>
      </c>
      <c r="G166" s="123">
        <f t="shared" ca="1" si="43"/>
        <v>2986806.0667189965</v>
      </c>
      <c r="H166" s="72">
        <f t="shared" ca="1" si="44"/>
        <v>-4.3979777603344958E-3</v>
      </c>
      <c r="I166" s="121">
        <f t="shared" ca="1" si="45"/>
        <v>-13193.933281003494</v>
      </c>
      <c r="J166" s="123">
        <f t="shared" ca="1" si="46"/>
        <v>2986806.0667189965</v>
      </c>
      <c r="K166" s="72">
        <f t="shared" ca="1" si="47"/>
        <v>-4.3979777603344958E-3</v>
      </c>
      <c r="L166" s="121">
        <f t="shared" ca="1" si="48"/>
        <v>-13193.933281003494</v>
      </c>
      <c r="M166" s="123">
        <f t="shared" ca="1" si="49"/>
        <v>2986806.0667189965</v>
      </c>
      <c r="N166" s="72">
        <f t="shared" ca="1" si="50"/>
        <v>-4.3979777603344958E-3</v>
      </c>
      <c r="O166" s="121">
        <f t="shared" ca="1" si="51"/>
        <v>-13193.933281003494</v>
      </c>
    </row>
    <row r="167" spans="1:15" ht="16.5" customHeight="1" thickBot="1">
      <c r="A167" s="185" t="s">
        <v>270</v>
      </c>
      <c r="B167" s="187"/>
      <c r="C167" s="116" t="s">
        <v>265</v>
      </c>
      <c r="D167" s="9" t="s">
        <v>266</v>
      </c>
      <c r="E167" s="63" t="s">
        <v>267</v>
      </c>
      <c r="F167" s="64" t="s">
        <v>268</v>
      </c>
      <c r="G167" s="9" t="s">
        <v>266</v>
      </c>
      <c r="H167" s="63" t="s">
        <v>267</v>
      </c>
      <c r="I167" s="64" t="s">
        <v>268</v>
      </c>
      <c r="J167" s="9" t="s">
        <v>266</v>
      </c>
      <c r="K167" s="63" t="s">
        <v>267</v>
      </c>
      <c r="L167" s="64" t="s">
        <v>268</v>
      </c>
      <c r="M167" s="9" t="s">
        <v>266</v>
      </c>
      <c r="N167" s="63" t="s">
        <v>267</v>
      </c>
      <c r="O167" s="64" t="s">
        <v>268</v>
      </c>
    </row>
    <row r="168" spans="1:15" ht="16.5" customHeight="1" thickBot="1">
      <c r="A168" s="178"/>
      <c r="B168" s="180"/>
      <c r="C168" s="119">
        <f ca="1">SUM(C136:C166)</f>
        <v>78000000</v>
      </c>
      <c r="D168" s="123">
        <f ca="1">SUM(D136:D166)</f>
        <v>78673734.717685744</v>
      </c>
      <c r="E168" s="72">
        <f ca="1">IFERROR(F168 / (SUM($C136:$C166) / COUNT($C136:$C166)), 0)</f>
        <v>0.22457823922858206</v>
      </c>
      <c r="F168" s="121">
        <f ca="1">SUM(F136:F166)</f>
        <v>673734.71768574615</v>
      </c>
      <c r="G168" s="123">
        <f ca="1">SUM(G136:G166)</f>
        <v>78501722.84290126</v>
      </c>
      <c r="H168" s="72">
        <f ca="1">IFERROR(I168 / (SUM($C136:$C166) / COUNT($C136:$C166)), 0)</f>
        <v>0.16724094763375469</v>
      </c>
      <c r="I168" s="121">
        <f ca="1">SUM(I136:I166)</f>
        <v>501722.84290126403</v>
      </c>
      <c r="J168" s="123">
        <f ca="1">SUM(J136:J166)</f>
        <v>78545679.896973878</v>
      </c>
      <c r="K168" s="72">
        <f ca="1">IFERROR(L168 / (SUM($C136:$C166) / COUNT($C136:$C166)), 0)</f>
        <v>0.18189329899129314</v>
      </c>
      <c r="L168" s="121">
        <f ca="1">SUM(L136:L166)</f>
        <v>545679.89697387943</v>
      </c>
      <c r="M168" s="123">
        <f ca="1">SUM(M136:M166)</f>
        <v>78478918.905681938</v>
      </c>
      <c r="N168" s="72">
        <f ca="1">IFERROR(O168 / (SUM($C136:$C166) / COUNT($C136:$C166)), 0)</f>
        <v>0.15963963522731101</v>
      </c>
      <c r="O168" s="121">
        <f ca="1">SUM(O136:O166)</f>
        <v>478918.90568193304</v>
      </c>
    </row>
    <row r="170" spans="1:15" ht="16.5" customHeight="1" thickBot="1"/>
    <row r="171" spans="1:15" ht="16.5" customHeight="1" thickBot="1">
      <c r="A171" s="157" t="str">
        <f>TEXT(투자전략!$G$1, "[$-ko-KR]yyyy년 mm월 ") &amp; "[엽전코인] 전일대비 상승률 Bottom20 월말결산"</f>
        <v>2023년 01월 [엽전코인] 전일대비 상승률 Bottom20 월말결산</v>
      </c>
      <c r="B171" s="158"/>
      <c r="C171" s="158"/>
      <c r="D171" s="158"/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9"/>
    </row>
    <row r="172" spans="1:15" ht="16.5" customHeight="1" thickBot="1">
      <c r="A172" s="201" t="s">
        <v>271</v>
      </c>
      <c r="B172" s="178" t="s">
        <v>269</v>
      </c>
      <c r="C172" s="180"/>
      <c r="D172" s="178" t="s">
        <v>261</v>
      </c>
      <c r="E172" s="179"/>
      <c r="F172" s="180"/>
      <c r="G172" s="178" t="s">
        <v>262</v>
      </c>
      <c r="H172" s="179"/>
      <c r="I172" s="180"/>
      <c r="J172" s="178" t="s">
        <v>263</v>
      </c>
      <c r="K172" s="179"/>
      <c r="L172" s="180"/>
      <c r="M172" s="178" t="s">
        <v>264</v>
      </c>
      <c r="N172" s="179"/>
      <c r="O172" s="180"/>
    </row>
    <row r="173" spans="1:15" ht="16.5" customHeight="1" thickBot="1">
      <c r="A173" s="194"/>
      <c r="B173" s="46" t="s">
        <v>259</v>
      </c>
      <c r="C173" s="46" t="s">
        <v>42</v>
      </c>
      <c r="D173" s="105" t="s">
        <v>260</v>
      </c>
      <c r="E173" s="106" t="s">
        <v>40</v>
      </c>
      <c r="F173" s="81" t="s">
        <v>41</v>
      </c>
      <c r="G173" s="105" t="s">
        <v>260</v>
      </c>
      <c r="H173" s="106" t="s">
        <v>40</v>
      </c>
      <c r="I173" s="81" t="s">
        <v>41</v>
      </c>
      <c r="J173" s="105" t="s">
        <v>260</v>
      </c>
      <c r="K173" s="106" t="s">
        <v>40</v>
      </c>
      <c r="L173" s="81" t="s">
        <v>41</v>
      </c>
      <c r="M173" s="105" t="s">
        <v>260</v>
      </c>
      <c r="N173" s="106" t="s">
        <v>40</v>
      </c>
      <c r="O173" s="81" t="s">
        <v>41</v>
      </c>
    </row>
    <row r="174" spans="1:15" ht="16.5" customHeight="1">
      <c r="A174" s="46">
        <v>1</v>
      </c>
      <c r="B174" s="132" t="str">
        <f>HYPERLINK("#'" &amp; TEXT(투자전략!$G$1+0, "[$-ko-KR]yyyy.mm.dd") &amp; "'!A121:O145", TEXT(투자전략!$G$1+0, "[$-ko-KR]yyyy.mm.dd"))</f>
        <v>2023.01.01</v>
      </c>
      <c r="C174" s="117">
        <f ca="1">IFERROR(COUNTA(INDIRECT($B174&amp;"!A125:A144")) * INDIRECT($B174&amp;"!B145"), "")</f>
        <v>3000000</v>
      </c>
      <c r="D174" s="125">
        <f ca="1">IFERROR($C174 * (1 + E174), "")</f>
        <v>3008843.3550232379</v>
      </c>
      <c r="E174" s="69">
        <f ca="1">IFERROR(INDIRECT($B174&amp;"!E145"), "")</f>
        <v>2.9477850077459481E-3</v>
      </c>
      <c r="F174" s="124">
        <f ca="1">IFERROR(INDIRECT($B174&amp;"!F145"), "")</f>
        <v>8843.3550232378439</v>
      </c>
      <c r="G174" s="125">
        <f ca="1">IFERROR($C174 * (1 + H174), "")</f>
        <v>3016438.0516490387</v>
      </c>
      <c r="H174" s="69">
        <f ca="1">IFERROR(INDIRECT($B174&amp;"!H145"), "")</f>
        <v>5.479350549679571E-3</v>
      </c>
      <c r="I174" s="124">
        <f ca="1">IFERROR(INDIRECT($B174&amp;"!I145"), "")</f>
        <v>16438.051649038713</v>
      </c>
      <c r="J174" s="125">
        <f ca="1">IFERROR($C174 * (1 + K174), "")</f>
        <v>3016438.0516490387</v>
      </c>
      <c r="K174" s="69">
        <f ca="1">IFERROR(INDIRECT($B174&amp;"!K145"), "")</f>
        <v>5.479350549679571E-3</v>
      </c>
      <c r="L174" s="124">
        <f ca="1">IFERROR(INDIRECT($B174&amp;"!L145"), "")</f>
        <v>16438.051649038713</v>
      </c>
      <c r="M174" s="125">
        <f ca="1">IFERROR($C174 * (1 + N174), "")</f>
        <v>3018947.6549203219</v>
      </c>
      <c r="N174" s="69">
        <f ca="1">IFERROR(INDIRECT($B174&amp;"!N145"), "")</f>
        <v>6.3158849734405026E-3</v>
      </c>
      <c r="O174" s="124">
        <f ca="1">IFERROR(INDIRECT($B174&amp;"!O145"), "")</f>
        <v>18947.654920321507</v>
      </c>
    </row>
    <row r="175" spans="1:15" ht="16.5" customHeight="1">
      <c r="A175" s="47">
        <v>2</v>
      </c>
      <c r="B175" s="133" t="str">
        <f>HYPERLINK("#'" &amp; TEXT(투자전략!$G$1+1, "[$-ko-KR]yyyy.mm.dd") &amp; "'!A121:O145", TEXT(투자전략!$G$1+1, "[$-ko-KR]yyyy.mm.dd"))</f>
        <v>2023.01.02</v>
      </c>
      <c r="C175" s="118">
        <f t="shared" ref="C175:C204" ca="1" si="52">IFERROR(COUNTA(INDIRECT($B175&amp;"!A125:A144")) * INDIRECT($B175&amp;"!B145"), "")</f>
        <v>3000000</v>
      </c>
      <c r="D175" s="122">
        <f t="shared" ref="D175:D204" ca="1" si="53">IFERROR($C175 * (1 + E175), "")</f>
        <v>3013136.7275521792</v>
      </c>
      <c r="E175" s="70">
        <f t="shared" ref="E175:E204" ca="1" si="54">IFERROR(INDIRECT($B175&amp;"!E145"), "")</f>
        <v>4.3789091840598189E-3</v>
      </c>
      <c r="F175" s="120">
        <f t="shared" ref="F175:F204" ca="1" si="55">IFERROR(INDIRECT($B175&amp;"!F145"), "")</f>
        <v>13136.727552179458</v>
      </c>
      <c r="G175" s="122">
        <f t="shared" ref="G175:G204" ca="1" si="56">IFERROR($C175 * (1 + H175), "")</f>
        <v>3034105.1361908722</v>
      </c>
      <c r="H175" s="70">
        <f t="shared" ref="H175:H204" ca="1" si="57">IFERROR(INDIRECT($B175&amp;"!H145"), "")</f>
        <v>1.1368378730290745E-2</v>
      </c>
      <c r="I175" s="120">
        <f t="shared" ref="I175:I204" ca="1" si="58">IFERROR(INDIRECT($B175&amp;"!I145"), "")</f>
        <v>34105.136190872239</v>
      </c>
      <c r="J175" s="122">
        <f t="shared" ref="J175:J204" ca="1" si="59">IFERROR($C175 * (1 + K175), "")</f>
        <v>3049117.7316249236</v>
      </c>
      <c r="K175" s="70">
        <f t="shared" ref="K175:K204" ca="1" si="60">IFERROR(INDIRECT($B175&amp;"!K145"), "")</f>
        <v>1.6372577208307926E-2</v>
      </c>
      <c r="L175" s="120">
        <f t="shared" ref="L175:L204" ca="1" si="61">IFERROR(INDIRECT($B175&amp;"!L145"), "")</f>
        <v>49117.731624923785</v>
      </c>
      <c r="M175" s="122">
        <f t="shared" ref="M175:M204" ca="1" si="62">IFERROR($C175 * (1 + N175), "")</f>
        <v>3048281.1638749982</v>
      </c>
      <c r="N175" s="70">
        <f t="shared" ref="N175:N204" ca="1" si="63">IFERROR(INDIRECT($B175&amp;"!N145"), "")</f>
        <v>1.6093721291666158E-2</v>
      </c>
      <c r="O175" s="120">
        <f t="shared" ref="O175:O204" ca="1" si="64">IFERROR(INDIRECT($B175&amp;"!O145"), "")</f>
        <v>48281.16387499847</v>
      </c>
    </row>
    <row r="176" spans="1:15" ht="16.5" customHeight="1">
      <c r="A176" s="47">
        <v>3</v>
      </c>
      <c r="B176" s="133" t="str">
        <f>HYPERLINK("#'" &amp; TEXT(투자전략!$G$1+2, "[$-ko-KR]yyyy.mm.dd") &amp; "'!A121:O145", TEXT(투자전략!$G$1+2, "[$-ko-KR]yyyy.mm.dd"))</f>
        <v>2023.01.03</v>
      </c>
      <c r="C176" s="118">
        <f t="shared" ca="1" si="52"/>
        <v>3000000</v>
      </c>
      <c r="D176" s="122">
        <f t="shared" ca="1" si="53"/>
        <v>3008020.6307825386</v>
      </c>
      <c r="E176" s="70">
        <f t="shared" ca="1" si="54"/>
        <v>2.6735435941796374E-3</v>
      </c>
      <c r="F176" s="120">
        <f t="shared" ca="1" si="55"/>
        <v>8020.6307825389076</v>
      </c>
      <c r="G176" s="122">
        <f t="shared" ca="1" si="56"/>
        <v>3020684.7136941757</v>
      </c>
      <c r="H176" s="70">
        <f t="shared" ca="1" si="57"/>
        <v>6.8949045647252096E-3</v>
      </c>
      <c r="I176" s="120">
        <f t="shared" ca="1" si="58"/>
        <v>20684.713694175629</v>
      </c>
      <c r="J176" s="122">
        <f t="shared" ca="1" si="59"/>
        <v>3019256.816680335</v>
      </c>
      <c r="K176" s="70">
        <f t="shared" ca="1" si="60"/>
        <v>6.4189388934449958E-3</v>
      </c>
      <c r="L176" s="120">
        <f t="shared" ca="1" si="61"/>
        <v>19256.816680334985</v>
      </c>
      <c r="M176" s="122">
        <f t="shared" ca="1" si="62"/>
        <v>3005535.1425375436</v>
      </c>
      <c r="N176" s="70">
        <f t="shared" ca="1" si="63"/>
        <v>1.8450475125145155E-3</v>
      </c>
      <c r="O176" s="120">
        <f t="shared" ca="1" si="64"/>
        <v>5535.1425375435483</v>
      </c>
    </row>
    <row r="177" spans="1:15" ht="16.5" customHeight="1">
      <c r="A177" s="47">
        <v>4</v>
      </c>
      <c r="B177" s="133" t="str">
        <f>HYPERLINK("#'" &amp; TEXT(투자전략!$G$1+3, "[$-ko-KR]yyyy.mm.dd") &amp; "'!A121:O145", TEXT(투자전략!$G$1+3, "[$-ko-KR]yyyy.mm.dd"))</f>
        <v>2023.01.04</v>
      </c>
      <c r="C177" s="118">
        <f t="shared" ca="1" si="52"/>
        <v>3000000</v>
      </c>
      <c r="D177" s="122">
        <f t="shared" ca="1" si="53"/>
        <v>3051365.750293442</v>
      </c>
      <c r="E177" s="70">
        <f t="shared" ca="1" si="54"/>
        <v>1.7121916764480806E-2</v>
      </c>
      <c r="F177" s="120">
        <f t="shared" ca="1" si="55"/>
        <v>51365.750293442419</v>
      </c>
      <c r="G177" s="122">
        <f t="shared" ca="1" si="56"/>
        <v>3042562.5386012285</v>
      </c>
      <c r="H177" s="70">
        <f t="shared" ca="1" si="57"/>
        <v>1.4187512867076021E-2</v>
      </c>
      <c r="I177" s="120">
        <f t="shared" ca="1" si="58"/>
        <v>42562.538601228065</v>
      </c>
      <c r="J177" s="122">
        <f t="shared" ca="1" si="59"/>
        <v>3047986.053413956</v>
      </c>
      <c r="K177" s="70">
        <f t="shared" ca="1" si="60"/>
        <v>1.5995351137985291E-2</v>
      </c>
      <c r="L177" s="120">
        <f t="shared" ca="1" si="61"/>
        <v>47986.05341395588</v>
      </c>
      <c r="M177" s="122">
        <f t="shared" ca="1" si="62"/>
        <v>3044289.393880419</v>
      </c>
      <c r="N177" s="70">
        <f t="shared" ca="1" si="63"/>
        <v>1.4763131293473054E-2</v>
      </c>
      <c r="O177" s="120">
        <f t="shared" ca="1" si="64"/>
        <v>44289.393880419149</v>
      </c>
    </row>
    <row r="178" spans="1:15" ht="16.5" customHeight="1">
      <c r="A178" s="47">
        <v>5</v>
      </c>
      <c r="B178" s="133" t="str">
        <f>HYPERLINK("#'" &amp; TEXT(투자전략!$G$1+4, "[$-ko-KR]yyyy.mm.dd") &amp; "'!A121:O145", TEXT(투자전략!$G$1+4, "[$-ko-KR]yyyy.mm.dd"))</f>
        <v>2023.01.05</v>
      </c>
      <c r="C178" s="118">
        <f t="shared" ca="1" si="52"/>
        <v>3000000</v>
      </c>
      <c r="D178" s="122">
        <f t="shared" ca="1" si="53"/>
        <v>3007394.2152689272</v>
      </c>
      <c r="E178" s="70">
        <f t="shared" ca="1" si="54"/>
        <v>2.4647384229755749E-3</v>
      </c>
      <c r="F178" s="120">
        <f t="shared" ca="1" si="55"/>
        <v>7394.2152689267259</v>
      </c>
      <c r="G178" s="122">
        <f t="shared" ca="1" si="56"/>
        <v>2964755.3745287252</v>
      </c>
      <c r="H178" s="70">
        <f t="shared" ca="1" si="57"/>
        <v>-1.174820849042486E-2</v>
      </c>
      <c r="I178" s="120">
        <f t="shared" ca="1" si="58"/>
        <v>-35244.625471274587</v>
      </c>
      <c r="J178" s="122">
        <f t="shared" ca="1" si="59"/>
        <v>3007611.5126616932</v>
      </c>
      <c r="K178" s="70">
        <f t="shared" ca="1" si="60"/>
        <v>2.537170887231086E-3</v>
      </c>
      <c r="L178" s="120">
        <f t="shared" ca="1" si="61"/>
        <v>7611.5126616932512</v>
      </c>
      <c r="M178" s="122">
        <f t="shared" ca="1" si="62"/>
        <v>2982717.7821641709</v>
      </c>
      <c r="N178" s="70">
        <f t="shared" ca="1" si="63"/>
        <v>-5.7607392786095972E-3</v>
      </c>
      <c r="O178" s="120">
        <f t="shared" ca="1" si="64"/>
        <v>-17282.217835828793</v>
      </c>
    </row>
    <row r="179" spans="1:15" ht="16.5" customHeight="1">
      <c r="A179" s="47">
        <v>6</v>
      </c>
      <c r="B179" s="133" t="str">
        <f>HYPERLINK("#'" &amp; TEXT(투자전략!$G$1+5, "[$-ko-KR]yyyy.mm.dd") &amp; "'!A121:O145", TEXT(투자전략!$G$1+5, "[$-ko-KR]yyyy.mm.dd"))</f>
        <v>2023.01.06</v>
      </c>
      <c r="C179" s="118">
        <f t="shared" ca="1" si="52"/>
        <v>3000000</v>
      </c>
      <c r="D179" s="122">
        <f t="shared" ca="1" si="53"/>
        <v>2964323.04659739</v>
      </c>
      <c r="E179" s="70">
        <f t="shared" ca="1" si="54"/>
        <v>-1.1892317800870073E-2</v>
      </c>
      <c r="F179" s="120">
        <f t="shared" ca="1" si="55"/>
        <v>-35676.953402610226</v>
      </c>
      <c r="G179" s="122">
        <f t="shared" ca="1" si="56"/>
        <v>2954937.708025387</v>
      </c>
      <c r="H179" s="70">
        <f t="shared" ca="1" si="57"/>
        <v>-1.5020763991537747E-2</v>
      </c>
      <c r="I179" s="120">
        <f t="shared" ca="1" si="58"/>
        <v>-45062.291974613232</v>
      </c>
      <c r="J179" s="122">
        <f t="shared" ca="1" si="59"/>
        <v>2938531.975590494</v>
      </c>
      <c r="K179" s="70">
        <f t="shared" ca="1" si="60"/>
        <v>-2.0489341469835332E-2</v>
      </c>
      <c r="L179" s="120">
        <f t="shared" ca="1" si="61"/>
        <v>-61468.024409506004</v>
      </c>
      <c r="M179" s="122">
        <f t="shared" ca="1" si="62"/>
        <v>2945272.7325196457</v>
      </c>
      <c r="N179" s="70">
        <f t="shared" ca="1" si="63"/>
        <v>-1.8242422493451461E-2</v>
      </c>
      <c r="O179" s="120">
        <f t="shared" ca="1" si="64"/>
        <v>-54727.267480354378</v>
      </c>
    </row>
    <row r="180" spans="1:15" ht="16.5" customHeight="1" thickBot="1">
      <c r="A180" s="48">
        <v>7</v>
      </c>
      <c r="B180" s="134" t="str">
        <f>HYPERLINK("#'" &amp; TEXT(투자전략!$G$1+6, "[$-ko-KR]yyyy.mm.dd") &amp; "'!A121:O145", TEXT(투자전략!$G$1+6, "[$-ko-KR]yyyy.mm.dd"))</f>
        <v>2023.01.07</v>
      </c>
      <c r="C180" s="118">
        <f t="shared" ca="1" si="52"/>
        <v>3000000</v>
      </c>
      <c r="D180" s="122">
        <f t="shared" ca="1" si="53"/>
        <v>3091877.356972578</v>
      </c>
      <c r="E180" s="70">
        <f t="shared" ca="1" si="54"/>
        <v>3.0625785657526126E-2</v>
      </c>
      <c r="F180" s="120">
        <f t="shared" ca="1" si="55"/>
        <v>91877.356972578375</v>
      </c>
      <c r="G180" s="122">
        <f t="shared" ca="1" si="56"/>
        <v>3094537.8126980877</v>
      </c>
      <c r="H180" s="70">
        <f t="shared" ca="1" si="57"/>
        <v>3.1512604232695876E-2</v>
      </c>
      <c r="I180" s="120">
        <f t="shared" ca="1" si="58"/>
        <v>94537.812698087626</v>
      </c>
      <c r="J180" s="122">
        <f t="shared" ca="1" si="59"/>
        <v>3112586.5561072645</v>
      </c>
      <c r="K180" s="70">
        <f t="shared" ca="1" si="60"/>
        <v>3.7528852035754741E-2</v>
      </c>
      <c r="L180" s="120">
        <f t="shared" ca="1" si="61"/>
        <v>112586.55610726422</v>
      </c>
      <c r="M180" s="122">
        <f t="shared" ca="1" si="62"/>
        <v>3090949.3026010748</v>
      </c>
      <c r="N180" s="70">
        <f t="shared" ca="1" si="63"/>
        <v>3.0316434200358244E-2</v>
      </c>
      <c r="O180" s="120">
        <f t="shared" ca="1" si="64"/>
        <v>90949.302601074727</v>
      </c>
    </row>
    <row r="181" spans="1:15" ht="16.5" customHeight="1">
      <c r="A181" s="46">
        <v>8</v>
      </c>
      <c r="B181" s="132" t="str">
        <f>HYPERLINK("#'" &amp; TEXT(투자전략!$G$1+7, "[$-ko-KR]yyyy.mm.dd") &amp; "'!A121:O145", TEXT(투자전략!$G$1+7, "[$-ko-KR]yyyy.mm.dd"))</f>
        <v>2023.01.08</v>
      </c>
      <c r="C181" s="117">
        <f t="shared" ca="1" si="52"/>
        <v>3000000</v>
      </c>
      <c r="D181" s="125">
        <f t="shared" ca="1" si="53"/>
        <v>3000000</v>
      </c>
      <c r="E181" s="69">
        <f t="shared" ca="1" si="54"/>
        <v>0</v>
      </c>
      <c r="F181" s="124">
        <f t="shared" ca="1" si="55"/>
        <v>0</v>
      </c>
      <c r="G181" s="125">
        <f t="shared" ca="1" si="56"/>
        <v>3000000</v>
      </c>
      <c r="H181" s="69">
        <f t="shared" ca="1" si="57"/>
        <v>0</v>
      </c>
      <c r="I181" s="124">
        <f t="shared" ca="1" si="58"/>
        <v>0</v>
      </c>
      <c r="J181" s="125">
        <f t="shared" ca="1" si="59"/>
        <v>3000000</v>
      </c>
      <c r="K181" s="69">
        <f t="shared" ca="1" si="60"/>
        <v>0</v>
      </c>
      <c r="L181" s="124">
        <f t="shared" ca="1" si="61"/>
        <v>0</v>
      </c>
      <c r="M181" s="125">
        <f t="shared" ca="1" si="62"/>
        <v>3000000</v>
      </c>
      <c r="N181" s="69">
        <f t="shared" ca="1" si="63"/>
        <v>0</v>
      </c>
      <c r="O181" s="124">
        <f t="shared" ca="1" si="64"/>
        <v>0</v>
      </c>
    </row>
    <row r="182" spans="1:15" ht="16.5" customHeight="1">
      <c r="A182" s="47">
        <v>9</v>
      </c>
      <c r="B182" s="133" t="str">
        <f>HYPERLINK("#'" &amp; TEXT(투자전략!$G$1+8, "[$-ko-KR]yyyy.mm.dd") &amp; "'!A121:O145", TEXT(투자전략!$G$1+8, "[$-ko-KR]yyyy.mm.dd"))</f>
        <v>2023.01.09</v>
      </c>
      <c r="C182" s="118" t="str">
        <f t="shared" ca="1" si="52"/>
        <v/>
      </c>
      <c r="D182" s="122" t="str">
        <f t="shared" ca="1" si="53"/>
        <v/>
      </c>
      <c r="E182" s="70" t="str">
        <f t="shared" ca="1" si="54"/>
        <v/>
      </c>
      <c r="F182" s="120" t="str">
        <f t="shared" ca="1" si="55"/>
        <v/>
      </c>
      <c r="G182" s="122" t="str">
        <f t="shared" ca="1" si="56"/>
        <v/>
      </c>
      <c r="H182" s="70" t="str">
        <f t="shared" ca="1" si="57"/>
        <v/>
      </c>
      <c r="I182" s="120" t="str">
        <f t="shared" ca="1" si="58"/>
        <v/>
      </c>
      <c r="J182" s="122" t="str">
        <f t="shared" ca="1" si="59"/>
        <v/>
      </c>
      <c r="K182" s="70" t="str">
        <f t="shared" ca="1" si="60"/>
        <v/>
      </c>
      <c r="L182" s="120" t="str">
        <f t="shared" ca="1" si="61"/>
        <v/>
      </c>
      <c r="M182" s="122" t="str">
        <f t="shared" ca="1" si="62"/>
        <v/>
      </c>
      <c r="N182" s="70" t="str">
        <f t="shared" ca="1" si="63"/>
        <v/>
      </c>
      <c r="O182" s="120" t="str">
        <f t="shared" ca="1" si="64"/>
        <v/>
      </c>
    </row>
    <row r="183" spans="1:15" ht="16.5" customHeight="1">
      <c r="A183" s="47">
        <v>10</v>
      </c>
      <c r="B183" s="133" t="str">
        <f>HYPERLINK("#'" &amp; TEXT(투자전략!$G$1+9, "[$-ko-KR]yyyy.mm.dd") &amp; "'!A121:O145", TEXT(투자전략!$G$1+9, "[$-ko-KR]yyyy.mm.dd"))</f>
        <v>2023.01.10</v>
      </c>
      <c r="C183" s="118" t="str">
        <f t="shared" ca="1" si="52"/>
        <v/>
      </c>
      <c r="D183" s="122" t="str">
        <f t="shared" ca="1" si="53"/>
        <v/>
      </c>
      <c r="E183" s="70" t="str">
        <f t="shared" ca="1" si="54"/>
        <v/>
      </c>
      <c r="F183" s="120" t="str">
        <f t="shared" ca="1" si="55"/>
        <v/>
      </c>
      <c r="G183" s="122" t="str">
        <f t="shared" ca="1" si="56"/>
        <v/>
      </c>
      <c r="H183" s="70" t="str">
        <f t="shared" ca="1" si="57"/>
        <v/>
      </c>
      <c r="I183" s="120" t="str">
        <f t="shared" ca="1" si="58"/>
        <v/>
      </c>
      <c r="J183" s="122" t="str">
        <f t="shared" ca="1" si="59"/>
        <v/>
      </c>
      <c r="K183" s="70" t="str">
        <f t="shared" ca="1" si="60"/>
        <v/>
      </c>
      <c r="L183" s="120" t="str">
        <f t="shared" ca="1" si="61"/>
        <v/>
      </c>
      <c r="M183" s="122" t="str">
        <f t="shared" ca="1" si="62"/>
        <v/>
      </c>
      <c r="N183" s="70" t="str">
        <f t="shared" ca="1" si="63"/>
        <v/>
      </c>
      <c r="O183" s="120" t="str">
        <f t="shared" ca="1" si="64"/>
        <v/>
      </c>
    </row>
    <row r="184" spans="1:15" ht="16.5" customHeight="1">
      <c r="A184" s="47">
        <v>11</v>
      </c>
      <c r="B184" s="133" t="str">
        <f>HYPERLINK("#'" &amp; TEXT(투자전략!$G$1+10, "[$-ko-KR]yyyy.mm.dd") &amp; "'!A121:O145", TEXT(투자전략!$G$1+10, "[$-ko-KR]yyyy.mm.dd"))</f>
        <v>2023.01.11</v>
      </c>
      <c r="C184" s="118" t="str">
        <f t="shared" ca="1" si="52"/>
        <v/>
      </c>
      <c r="D184" s="122" t="str">
        <f t="shared" ca="1" si="53"/>
        <v/>
      </c>
      <c r="E184" s="70" t="str">
        <f t="shared" ca="1" si="54"/>
        <v/>
      </c>
      <c r="F184" s="120" t="str">
        <f t="shared" ca="1" si="55"/>
        <v/>
      </c>
      <c r="G184" s="122" t="str">
        <f t="shared" ca="1" si="56"/>
        <v/>
      </c>
      <c r="H184" s="70" t="str">
        <f t="shared" ca="1" si="57"/>
        <v/>
      </c>
      <c r="I184" s="120" t="str">
        <f t="shared" ca="1" si="58"/>
        <v/>
      </c>
      <c r="J184" s="122" t="str">
        <f t="shared" ca="1" si="59"/>
        <v/>
      </c>
      <c r="K184" s="70" t="str">
        <f t="shared" ca="1" si="60"/>
        <v/>
      </c>
      <c r="L184" s="120" t="str">
        <f t="shared" ca="1" si="61"/>
        <v/>
      </c>
      <c r="M184" s="122" t="str">
        <f t="shared" ca="1" si="62"/>
        <v/>
      </c>
      <c r="N184" s="70" t="str">
        <f t="shared" ca="1" si="63"/>
        <v/>
      </c>
      <c r="O184" s="120" t="str">
        <f t="shared" ca="1" si="64"/>
        <v/>
      </c>
    </row>
    <row r="185" spans="1:15" ht="16.5" customHeight="1">
      <c r="A185" s="47">
        <v>12</v>
      </c>
      <c r="B185" s="133" t="str">
        <f>HYPERLINK("#'" &amp; TEXT(투자전략!$G$1+11, "[$-ko-KR]yyyy.mm.dd") &amp; "'!A121:O145", TEXT(투자전략!$G$1+11, "[$-ko-KR]yyyy.mm.dd"))</f>
        <v>2023.01.12</v>
      </c>
      <c r="C185" s="118" t="str">
        <f t="shared" ca="1" si="52"/>
        <v/>
      </c>
      <c r="D185" s="122" t="str">
        <f t="shared" ca="1" si="53"/>
        <v/>
      </c>
      <c r="E185" s="70" t="str">
        <f t="shared" ca="1" si="54"/>
        <v/>
      </c>
      <c r="F185" s="120" t="str">
        <f t="shared" ca="1" si="55"/>
        <v/>
      </c>
      <c r="G185" s="122" t="str">
        <f t="shared" ca="1" si="56"/>
        <v/>
      </c>
      <c r="H185" s="70" t="str">
        <f t="shared" ca="1" si="57"/>
        <v/>
      </c>
      <c r="I185" s="120" t="str">
        <f t="shared" ca="1" si="58"/>
        <v/>
      </c>
      <c r="J185" s="122" t="str">
        <f t="shared" ca="1" si="59"/>
        <v/>
      </c>
      <c r="K185" s="70" t="str">
        <f t="shared" ca="1" si="60"/>
        <v/>
      </c>
      <c r="L185" s="120" t="str">
        <f t="shared" ca="1" si="61"/>
        <v/>
      </c>
      <c r="M185" s="122" t="str">
        <f t="shared" ca="1" si="62"/>
        <v/>
      </c>
      <c r="N185" s="70" t="str">
        <f t="shared" ca="1" si="63"/>
        <v/>
      </c>
      <c r="O185" s="120" t="str">
        <f t="shared" ca="1" si="64"/>
        <v/>
      </c>
    </row>
    <row r="186" spans="1:15" ht="16.5" customHeight="1">
      <c r="A186" s="47">
        <v>13</v>
      </c>
      <c r="B186" s="133" t="str">
        <f>HYPERLINK("#'" &amp; TEXT(투자전략!$G$1+12, "[$-ko-KR]yyyy.mm.dd") &amp; "'!A121:O145", TEXT(투자전략!$G$1+12, "[$-ko-KR]yyyy.mm.dd"))</f>
        <v>2023.01.13</v>
      </c>
      <c r="C186" s="118">
        <f t="shared" ca="1" si="52"/>
        <v>3000000</v>
      </c>
      <c r="D186" s="122">
        <f t="shared" ca="1" si="53"/>
        <v>3000000</v>
      </c>
      <c r="E186" s="70">
        <f t="shared" ca="1" si="54"/>
        <v>0</v>
      </c>
      <c r="F186" s="120">
        <f t="shared" ca="1" si="55"/>
        <v>0</v>
      </c>
      <c r="G186" s="122">
        <f t="shared" ca="1" si="56"/>
        <v>3032802.486014653</v>
      </c>
      <c r="H186" s="70">
        <f t="shared" ca="1" si="57"/>
        <v>1.0934162004884351E-2</v>
      </c>
      <c r="I186" s="120">
        <f t="shared" ca="1" si="58"/>
        <v>32802.486014653055</v>
      </c>
      <c r="J186" s="122">
        <f t="shared" ca="1" si="59"/>
        <v>3032765.9426420201</v>
      </c>
      <c r="K186" s="70">
        <f t="shared" ca="1" si="60"/>
        <v>1.0921980880673291E-2</v>
      </c>
      <c r="L186" s="120">
        <f t="shared" ca="1" si="61"/>
        <v>32765.942642019872</v>
      </c>
      <c r="M186" s="122">
        <f t="shared" ca="1" si="62"/>
        <v>3021307.1932361196</v>
      </c>
      <c r="N186" s="70">
        <f t="shared" ca="1" si="63"/>
        <v>7.1023977453733402E-3</v>
      </c>
      <c r="O186" s="120">
        <f t="shared" ca="1" si="64"/>
        <v>21307.19323612002</v>
      </c>
    </row>
    <row r="187" spans="1:15" ht="16.5" customHeight="1" thickBot="1">
      <c r="A187" s="48">
        <v>14</v>
      </c>
      <c r="B187" s="134" t="str">
        <f>HYPERLINK("#'" &amp; TEXT(투자전략!$G$1+13, "[$-ko-KR]yyyy.mm.dd") &amp; "'!A121:O145", TEXT(투자전략!$G$1+13, "[$-ko-KR]yyyy.mm.dd"))</f>
        <v>2023.01.14</v>
      </c>
      <c r="C187" s="119">
        <f t="shared" ca="1" si="52"/>
        <v>3000000</v>
      </c>
      <c r="D187" s="123">
        <f t="shared" ca="1" si="53"/>
        <v>3177058.1690545501</v>
      </c>
      <c r="E187" s="72">
        <f t="shared" ca="1" si="54"/>
        <v>5.9019389684850009E-2</v>
      </c>
      <c r="F187" s="121">
        <f t="shared" ca="1" si="55"/>
        <v>177058.16905455</v>
      </c>
      <c r="G187" s="123">
        <f t="shared" ca="1" si="56"/>
        <v>3115962.8274022732</v>
      </c>
      <c r="H187" s="72">
        <f t="shared" ca="1" si="57"/>
        <v>3.8654275800757781E-2</v>
      </c>
      <c r="I187" s="121">
        <f t="shared" ca="1" si="58"/>
        <v>115962.82740227335</v>
      </c>
      <c r="J187" s="123">
        <f t="shared" ca="1" si="59"/>
        <v>3158911.233619384</v>
      </c>
      <c r="K187" s="72">
        <f t="shared" ca="1" si="60"/>
        <v>5.2970411206461308E-2</v>
      </c>
      <c r="L187" s="121">
        <f t="shared" ca="1" si="61"/>
        <v>158911.23361938391</v>
      </c>
      <c r="M187" s="123">
        <f t="shared" ca="1" si="62"/>
        <v>3163920.4429311706</v>
      </c>
      <c r="N187" s="72">
        <f t="shared" ca="1" si="63"/>
        <v>5.4640147643723547E-2</v>
      </c>
      <c r="O187" s="121">
        <f t="shared" ca="1" si="64"/>
        <v>163920.44293117066</v>
      </c>
    </row>
    <row r="188" spans="1:15" ht="16.5" customHeight="1">
      <c r="A188" s="46">
        <v>15</v>
      </c>
      <c r="B188" s="132" t="str">
        <f>HYPERLINK("#'" &amp; TEXT(투자전략!$G$1+14, "[$-ko-KR]yyyy.mm.dd") &amp; "'!A121:O145", TEXT(투자전략!$G$1+14, "[$-ko-KR]yyyy.mm.dd"))</f>
        <v>2023.01.15</v>
      </c>
      <c r="C188" s="118">
        <f t="shared" ca="1" si="52"/>
        <v>3000000</v>
      </c>
      <c r="D188" s="122">
        <f t="shared" ca="1" si="53"/>
        <v>3268629.2553785481</v>
      </c>
      <c r="E188" s="70">
        <f t="shared" ca="1" si="54"/>
        <v>8.9543085126182781E-2</v>
      </c>
      <c r="F188" s="120">
        <f t="shared" ca="1" si="55"/>
        <v>268629.25537854841</v>
      </c>
      <c r="G188" s="122">
        <f t="shared" ca="1" si="56"/>
        <v>3094651.6350164437</v>
      </c>
      <c r="H188" s="70">
        <f t="shared" ca="1" si="57"/>
        <v>3.1550545005481247E-2</v>
      </c>
      <c r="I188" s="120">
        <f t="shared" ca="1" si="58"/>
        <v>94651.635016443746</v>
      </c>
      <c r="J188" s="122">
        <f t="shared" ca="1" si="59"/>
        <v>3118308.3554267692</v>
      </c>
      <c r="K188" s="70">
        <f t="shared" ca="1" si="60"/>
        <v>3.9436118475589796E-2</v>
      </c>
      <c r="L188" s="120">
        <f t="shared" ca="1" si="61"/>
        <v>118308.3554267694</v>
      </c>
      <c r="M188" s="122">
        <f t="shared" ca="1" si="62"/>
        <v>3125629.6425372344</v>
      </c>
      <c r="N188" s="70">
        <f t="shared" ca="1" si="63"/>
        <v>4.1876547512411426E-2</v>
      </c>
      <c r="O188" s="120">
        <f t="shared" ca="1" si="64"/>
        <v>125629.64253723428</v>
      </c>
    </row>
    <row r="189" spans="1:15" ht="16.5" customHeight="1">
      <c r="A189" s="47">
        <v>16</v>
      </c>
      <c r="B189" s="133" t="str">
        <f>HYPERLINK("#'" &amp; TEXT(투자전략!$G$1+15, "[$-ko-KR]yyyy.mm.dd") &amp; "'!A121:O145", TEXT(투자전략!$G$1+15, "[$-ko-KR]yyyy.mm.dd"))</f>
        <v>2023.01.16</v>
      </c>
      <c r="C189" s="118">
        <f t="shared" ca="1" si="52"/>
        <v>3000000</v>
      </c>
      <c r="D189" s="122">
        <f t="shared" ca="1" si="53"/>
        <v>3087973.7449117568</v>
      </c>
      <c r="E189" s="70">
        <f t="shared" ca="1" si="54"/>
        <v>2.9324581637252316E-2</v>
      </c>
      <c r="F189" s="120">
        <f t="shared" ca="1" si="55"/>
        <v>87973.744911756949</v>
      </c>
      <c r="G189" s="122">
        <f t="shared" ca="1" si="56"/>
        <v>3021869.1138796941</v>
      </c>
      <c r="H189" s="70">
        <f t="shared" ca="1" si="57"/>
        <v>7.2897046265647221E-3</v>
      </c>
      <c r="I189" s="120">
        <f t="shared" ca="1" si="58"/>
        <v>21869.113879694163</v>
      </c>
      <c r="J189" s="122">
        <f t="shared" ca="1" si="59"/>
        <v>3043237.0131453052</v>
      </c>
      <c r="K189" s="70">
        <f t="shared" ca="1" si="60"/>
        <v>1.4412337715101777E-2</v>
      </c>
      <c r="L189" s="120">
        <f t="shared" ca="1" si="61"/>
        <v>43237.01314530534</v>
      </c>
      <c r="M189" s="122">
        <f t="shared" ca="1" si="62"/>
        <v>3026279.0908645461</v>
      </c>
      <c r="N189" s="70">
        <f t="shared" ca="1" si="63"/>
        <v>8.7596969548486645E-3</v>
      </c>
      <c r="O189" s="120">
        <f t="shared" ca="1" si="64"/>
        <v>26279.090864545989</v>
      </c>
    </row>
    <row r="190" spans="1:15" ht="16.5" customHeight="1">
      <c r="A190" s="47">
        <v>17</v>
      </c>
      <c r="B190" s="133" t="str">
        <f>HYPERLINK("#'" &amp; TEXT(투자전략!$G$1+16, "[$-ko-KR]yyyy.mm.dd") &amp; "'!A121:O145", TEXT(투자전략!$G$1+16, "[$-ko-KR]yyyy.mm.dd"))</f>
        <v>2023.01.17</v>
      </c>
      <c r="C190" s="118">
        <f t="shared" ca="1" si="52"/>
        <v>3000000</v>
      </c>
      <c r="D190" s="122">
        <f t="shared" ca="1" si="53"/>
        <v>3065609.0476077776</v>
      </c>
      <c r="E190" s="70">
        <f t="shared" ca="1" si="54"/>
        <v>2.1869682535925881E-2</v>
      </c>
      <c r="F190" s="120">
        <f t="shared" ca="1" si="55"/>
        <v>65609.047607777655</v>
      </c>
      <c r="G190" s="122">
        <f t="shared" ca="1" si="56"/>
        <v>3101310.8907634504</v>
      </c>
      <c r="H190" s="70">
        <f t="shared" ca="1" si="57"/>
        <v>3.3770296921150141E-2</v>
      </c>
      <c r="I190" s="120">
        <f t="shared" ca="1" si="58"/>
        <v>101310.89076345041</v>
      </c>
      <c r="J190" s="122">
        <f t="shared" ca="1" si="59"/>
        <v>3195953.8506137221</v>
      </c>
      <c r="K190" s="70">
        <f t="shared" ca="1" si="60"/>
        <v>6.5317950204574038E-2</v>
      </c>
      <c r="L190" s="120">
        <f t="shared" ca="1" si="61"/>
        <v>195953.85061372214</v>
      </c>
      <c r="M190" s="122">
        <f t="shared" ca="1" si="62"/>
        <v>3180022.0218317937</v>
      </c>
      <c r="N190" s="70">
        <f t="shared" ca="1" si="63"/>
        <v>6.0007340610597849E-2</v>
      </c>
      <c r="O190" s="120">
        <f t="shared" ca="1" si="64"/>
        <v>180022.02183179357</v>
      </c>
    </row>
    <row r="191" spans="1:15" ht="16.5" customHeight="1">
      <c r="A191" s="47">
        <v>18</v>
      </c>
      <c r="B191" s="133" t="str">
        <f>HYPERLINK("#'" &amp; TEXT(투자전략!$G$1+17, "[$-ko-KR]yyyy.mm.dd") &amp; "'!A121:O145", TEXT(투자전략!$G$1+17, "[$-ko-KR]yyyy.mm.dd"))</f>
        <v>2023.01.18</v>
      </c>
      <c r="C191" s="118">
        <f t="shared" ca="1" si="52"/>
        <v>3000000</v>
      </c>
      <c r="D191" s="122">
        <f t="shared" ca="1" si="53"/>
        <v>2999454.0886933408</v>
      </c>
      <c r="E191" s="70">
        <f t="shared" ca="1" si="54"/>
        <v>-1.819704355530461E-4</v>
      </c>
      <c r="F191" s="120">
        <f t="shared" ca="1" si="55"/>
        <v>-545.91130665913943</v>
      </c>
      <c r="G191" s="122">
        <f t="shared" ca="1" si="56"/>
        <v>2944001.5583258118</v>
      </c>
      <c r="H191" s="70">
        <f t="shared" ca="1" si="57"/>
        <v>-1.866614722472943E-2</v>
      </c>
      <c r="I191" s="120">
        <f t="shared" ca="1" si="58"/>
        <v>-55998.441674188289</v>
      </c>
      <c r="J191" s="122">
        <f t="shared" ca="1" si="59"/>
        <v>2975345.8882715902</v>
      </c>
      <c r="K191" s="70">
        <f t="shared" ca="1" si="60"/>
        <v>-8.2180372428032056E-3</v>
      </c>
      <c r="L191" s="120">
        <f t="shared" ca="1" si="61"/>
        <v>-24654.111728409614</v>
      </c>
      <c r="M191" s="122">
        <f t="shared" ca="1" si="62"/>
        <v>2997075.7024007519</v>
      </c>
      <c r="N191" s="70">
        <f t="shared" ca="1" si="63"/>
        <v>-9.7476586641603359E-4</v>
      </c>
      <c r="O191" s="120">
        <f t="shared" ca="1" si="64"/>
        <v>-2924.2975992481011</v>
      </c>
    </row>
    <row r="192" spans="1:15" ht="16.5" customHeight="1">
      <c r="A192" s="47">
        <v>19</v>
      </c>
      <c r="B192" s="133" t="str">
        <f>HYPERLINK("#'" &amp; TEXT(투자전략!$G$1+18, "[$-ko-KR]yyyy.mm.dd") &amp; "'!A121:O145", TEXT(투자전략!$G$1+18, "[$-ko-KR]yyyy.mm.dd"))</f>
        <v>2023.01.19</v>
      </c>
      <c r="C192" s="118">
        <f t="shared" ca="1" si="52"/>
        <v>3000000</v>
      </c>
      <c r="D192" s="122">
        <f t="shared" ca="1" si="53"/>
        <v>2888483.3779264679</v>
      </c>
      <c r="E192" s="70">
        <f t="shared" ca="1" si="54"/>
        <v>-3.7172207357844073E-2</v>
      </c>
      <c r="F192" s="120">
        <f t="shared" ca="1" si="55"/>
        <v>-111516.62207353221</v>
      </c>
      <c r="G192" s="122">
        <f t="shared" ca="1" si="56"/>
        <v>2887220.679384172</v>
      </c>
      <c r="H192" s="70">
        <f t="shared" ca="1" si="57"/>
        <v>-3.7593106871942776E-2</v>
      </c>
      <c r="I192" s="120">
        <f t="shared" ca="1" si="58"/>
        <v>-112779.32061582837</v>
      </c>
      <c r="J192" s="122">
        <f t="shared" ca="1" si="59"/>
        <v>2869810.5095437751</v>
      </c>
      <c r="K192" s="70">
        <f t="shared" ca="1" si="60"/>
        <v>-4.3396496818741678E-2</v>
      </c>
      <c r="L192" s="120">
        <f t="shared" ca="1" si="61"/>
        <v>-130189.49045622504</v>
      </c>
      <c r="M192" s="122">
        <f t="shared" ca="1" si="62"/>
        <v>2873399.8178079757</v>
      </c>
      <c r="N192" s="70">
        <f t="shared" ca="1" si="63"/>
        <v>-4.2200060730674727E-2</v>
      </c>
      <c r="O192" s="120">
        <f t="shared" ca="1" si="64"/>
        <v>-126600.18219202416</v>
      </c>
    </row>
    <row r="193" spans="1:15" ht="16.5" customHeight="1">
      <c r="A193" s="47">
        <v>20</v>
      </c>
      <c r="B193" s="133" t="str">
        <f>HYPERLINK("#'" &amp; TEXT(투자전략!$G$1+19, "[$-ko-KR]yyyy.mm.dd") &amp; "'!A121:O145", TEXT(투자전략!$G$1+19, "[$-ko-KR]yyyy.mm.dd"))</f>
        <v>2023.01.20</v>
      </c>
      <c r="C193" s="118">
        <f t="shared" ca="1" si="52"/>
        <v>3000000</v>
      </c>
      <c r="D193" s="122">
        <f t="shared" ca="1" si="53"/>
        <v>3051104.5756371608</v>
      </c>
      <c r="E193" s="70">
        <f t="shared" ca="1" si="54"/>
        <v>1.7034858545720271E-2</v>
      </c>
      <c r="F193" s="120">
        <f t="shared" ca="1" si="55"/>
        <v>51104.575637160822</v>
      </c>
      <c r="G193" s="122">
        <f t="shared" ca="1" si="56"/>
        <v>3057329.3751232736</v>
      </c>
      <c r="H193" s="70">
        <f t="shared" ca="1" si="57"/>
        <v>1.9109791707757923E-2</v>
      </c>
      <c r="I193" s="120">
        <f t="shared" ca="1" si="58"/>
        <v>57329.375123273778</v>
      </c>
      <c r="J193" s="122">
        <f t="shared" ca="1" si="59"/>
        <v>3055243.1286864169</v>
      </c>
      <c r="K193" s="70">
        <f t="shared" ca="1" si="60"/>
        <v>1.8414376228805512E-2</v>
      </c>
      <c r="L193" s="120">
        <f t="shared" ca="1" si="61"/>
        <v>55243.128686416552</v>
      </c>
      <c r="M193" s="122">
        <f t="shared" ca="1" si="62"/>
        <v>3073341.3919935892</v>
      </c>
      <c r="N193" s="70">
        <f t="shared" ca="1" si="63"/>
        <v>2.4447130664529772E-2</v>
      </c>
      <c r="O193" s="120">
        <f t="shared" ca="1" si="64"/>
        <v>73341.391993589321</v>
      </c>
    </row>
    <row r="194" spans="1:15" ht="16.5" customHeight="1" thickBot="1">
      <c r="A194" s="48">
        <v>21</v>
      </c>
      <c r="B194" s="134" t="str">
        <f>HYPERLINK("#'" &amp; TEXT(투자전략!$G$1+20, "[$-ko-KR]yyyy.mm.dd") &amp; "'!A121:O145", TEXT(투자전략!$G$1+20, "[$-ko-KR]yyyy.mm.dd"))</f>
        <v>2023.01.21</v>
      </c>
      <c r="C194" s="118">
        <f t="shared" ca="1" si="52"/>
        <v>3000000</v>
      </c>
      <c r="D194" s="122">
        <f t="shared" ca="1" si="53"/>
        <v>3184731.9397213301</v>
      </c>
      <c r="E194" s="70">
        <f t="shared" ca="1" si="54"/>
        <v>6.1577313240443299E-2</v>
      </c>
      <c r="F194" s="120">
        <f t="shared" ca="1" si="55"/>
        <v>184731.93972132992</v>
      </c>
      <c r="G194" s="122">
        <f t="shared" ca="1" si="56"/>
        <v>3204936.6824863791</v>
      </c>
      <c r="H194" s="70">
        <f t="shared" ca="1" si="57"/>
        <v>6.8312227495459732E-2</v>
      </c>
      <c r="I194" s="120">
        <f t="shared" ca="1" si="58"/>
        <v>204936.68248637914</v>
      </c>
      <c r="J194" s="122">
        <f t="shared" ca="1" si="59"/>
        <v>3176647.3184175128</v>
      </c>
      <c r="K194" s="70">
        <f t="shared" ca="1" si="60"/>
        <v>5.8882439472504246E-2</v>
      </c>
      <c r="L194" s="120">
        <f t="shared" ca="1" si="61"/>
        <v>176647.31841751272</v>
      </c>
      <c r="M194" s="122">
        <f t="shared" ca="1" si="62"/>
        <v>3232053.7948580724</v>
      </c>
      <c r="N194" s="70">
        <f t="shared" ca="1" si="63"/>
        <v>7.7351264952690929E-2</v>
      </c>
      <c r="O194" s="120">
        <f t="shared" ca="1" si="64"/>
        <v>232053.79485807283</v>
      </c>
    </row>
    <row r="195" spans="1:15" ht="16.5" customHeight="1">
      <c r="A195" s="46">
        <v>22</v>
      </c>
      <c r="B195" s="132" t="str">
        <f>HYPERLINK("#'" &amp; TEXT(투자전략!$G$1+21, "[$-ko-KR]yyyy.mm.dd") &amp; "'!A121:O145", TEXT(투자전략!$G$1+21, "[$-ko-KR]yyyy.mm.dd"))</f>
        <v>2023.01.22</v>
      </c>
      <c r="C195" s="117">
        <f t="shared" ca="1" si="52"/>
        <v>3000000</v>
      </c>
      <c r="D195" s="125">
        <f t="shared" ca="1" si="53"/>
        <v>2959510.4036282892</v>
      </c>
      <c r="E195" s="69">
        <f t="shared" ca="1" si="54"/>
        <v>-1.3496532123903601E-2</v>
      </c>
      <c r="F195" s="124">
        <f t="shared" ca="1" si="55"/>
        <v>-40489.596371710817</v>
      </c>
      <c r="G195" s="125">
        <f t="shared" ca="1" si="56"/>
        <v>2984575.4259649403</v>
      </c>
      <c r="H195" s="69">
        <f t="shared" ca="1" si="57"/>
        <v>-5.1415246783532761E-3</v>
      </c>
      <c r="I195" s="124">
        <f t="shared" ca="1" si="58"/>
        <v>-15424.57403505983</v>
      </c>
      <c r="J195" s="125">
        <f t="shared" ca="1" si="59"/>
        <v>2987367.7595547726</v>
      </c>
      <c r="K195" s="69">
        <f t="shared" ca="1" si="60"/>
        <v>-4.210746815075694E-3</v>
      </c>
      <c r="L195" s="124">
        <f t="shared" ca="1" si="61"/>
        <v>-12632.240445227082</v>
      </c>
      <c r="M195" s="125">
        <f t="shared" ca="1" si="62"/>
        <v>3018610.6633281251</v>
      </c>
      <c r="N195" s="69">
        <f t="shared" ca="1" si="63"/>
        <v>6.2035544427084298E-3</v>
      </c>
      <c r="O195" s="124">
        <f t="shared" ca="1" si="64"/>
        <v>18610.663328125283</v>
      </c>
    </row>
    <row r="196" spans="1:15" ht="16.5" customHeight="1">
      <c r="A196" s="47">
        <v>23</v>
      </c>
      <c r="B196" s="133" t="str">
        <f>HYPERLINK("#'" &amp; TEXT(투자전략!$G$1+22, "[$-ko-KR]yyyy.mm.dd") &amp; "'!A121:O145", TEXT(투자전략!$G$1+22, "[$-ko-KR]yyyy.mm.dd"))</f>
        <v>2023.01.23</v>
      </c>
      <c r="C196" s="118">
        <f t="shared" ca="1" si="52"/>
        <v>3000000</v>
      </c>
      <c r="D196" s="122">
        <f t="shared" ca="1" si="53"/>
        <v>2987815.005264462</v>
      </c>
      <c r="E196" s="70">
        <f t="shared" ca="1" si="54"/>
        <v>-4.0616649118460461E-3</v>
      </c>
      <c r="F196" s="120">
        <f t="shared" ca="1" si="55"/>
        <v>-12184.994735538137</v>
      </c>
      <c r="G196" s="122">
        <f t="shared" ca="1" si="56"/>
        <v>2975857.871786308</v>
      </c>
      <c r="H196" s="70">
        <f t="shared" ca="1" si="57"/>
        <v>-8.0473760712306865E-3</v>
      </c>
      <c r="I196" s="120">
        <f t="shared" ca="1" si="58"/>
        <v>-24142.128213692071</v>
      </c>
      <c r="J196" s="122">
        <f t="shared" ca="1" si="59"/>
        <v>2991840.7146861679</v>
      </c>
      <c r="K196" s="70">
        <f t="shared" ca="1" si="60"/>
        <v>-2.7197617712774189E-3</v>
      </c>
      <c r="L196" s="120">
        <f t="shared" ca="1" si="61"/>
        <v>-8159.2853138322571</v>
      </c>
      <c r="M196" s="122">
        <f t="shared" ca="1" si="62"/>
        <v>2937655.6183847585</v>
      </c>
      <c r="N196" s="70">
        <f t="shared" ca="1" si="63"/>
        <v>-2.0781460538413812E-2</v>
      </c>
      <c r="O196" s="120">
        <f t="shared" ca="1" si="64"/>
        <v>-62344.381615241437</v>
      </c>
    </row>
    <row r="197" spans="1:15" ht="16.5" customHeight="1">
      <c r="A197" s="47">
        <v>24</v>
      </c>
      <c r="B197" s="133" t="str">
        <f>HYPERLINK("#'" &amp; TEXT(투자전략!$G$1+23, "[$-ko-KR]yyyy.mm.dd") &amp; "'!A121:O145", TEXT(투자전략!$G$1+23, "[$-ko-KR]yyyy.mm.dd"))</f>
        <v>2023.01.24</v>
      </c>
      <c r="C197" s="118">
        <f t="shared" ca="1" si="52"/>
        <v>3000000</v>
      </c>
      <c r="D197" s="122">
        <f t="shared" ca="1" si="53"/>
        <v>3135648.5074433736</v>
      </c>
      <c r="E197" s="70">
        <f t="shared" ca="1" si="54"/>
        <v>4.5216169147791321E-2</v>
      </c>
      <c r="F197" s="120">
        <f t="shared" ca="1" si="55"/>
        <v>135648.50744337399</v>
      </c>
      <c r="G197" s="122">
        <f t="shared" ca="1" si="56"/>
        <v>3117365.9356297366</v>
      </c>
      <c r="H197" s="70">
        <f t="shared" ca="1" si="57"/>
        <v>3.9121978543245513E-2</v>
      </c>
      <c r="I197" s="120">
        <f t="shared" ca="1" si="58"/>
        <v>117365.93562973656</v>
      </c>
      <c r="J197" s="122">
        <f t="shared" ca="1" si="59"/>
        <v>3194355.1437307307</v>
      </c>
      <c r="K197" s="70">
        <f t="shared" ca="1" si="60"/>
        <v>6.4785047910243643E-2</v>
      </c>
      <c r="L197" s="120">
        <f t="shared" ca="1" si="61"/>
        <v>194355.14373073092</v>
      </c>
      <c r="M197" s="122">
        <f t="shared" ca="1" si="62"/>
        <v>3151187.222161823</v>
      </c>
      <c r="N197" s="70">
        <f t="shared" ca="1" si="63"/>
        <v>5.0395740720607686E-2</v>
      </c>
      <c r="O197" s="120">
        <f t="shared" ca="1" si="64"/>
        <v>151187.22216182307</v>
      </c>
    </row>
    <row r="198" spans="1:15" ht="16.5" customHeight="1">
      <c r="A198" s="47">
        <v>25</v>
      </c>
      <c r="B198" s="133" t="str">
        <f>HYPERLINK("#'" &amp; TEXT(투자전략!$G$1+24, "[$-ko-KR]yyyy.mm.dd") &amp; "'!A121:O145", TEXT(투자전략!$G$1+24, "[$-ko-KR]yyyy.mm.dd"))</f>
        <v>2023.01.25</v>
      </c>
      <c r="C198" s="118">
        <f t="shared" ca="1" si="52"/>
        <v>3000000</v>
      </c>
      <c r="D198" s="122">
        <f t="shared" ca="1" si="53"/>
        <v>2918906.917243435</v>
      </c>
      <c r="E198" s="70">
        <f t="shared" ca="1" si="54"/>
        <v>-2.7031027585521727E-2</v>
      </c>
      <c r="F198" s="120">
        <f t="shared" ca="1" si="55"/>
        <v>-81093.082756565156</v>
      </c>
      <c r="G198" s="122">
        <f t="shared" ca="1" si="56"/>
        <v>2932185.494645129</v>
      </c>
      <c r="H198" s="70">
        <f t="shared" ca="1" si="57"/>
        <v>-2.2604835118290329E-2</v>
      </c>
      <c r="I198" s="120">
        <f t="shared" ca="1" si="58"/>
        <v>-67814.505354870984</v>
      </c>
      <c r="J198" s="122">
        <f t="shared" ca="1" si="59"/>
        <v>2920897.7522627134</v>
      </c>
      <c r="K198" s="70">
        <f t="shared" ca="1" si="60"/>
        <v>-2.6367415912428888E-2</v>
      </c>
      <c r="L198" s="120">
        <f t="shared" ca="1" si="61"/>
        <v>-79102.247737286656</v>
      </c>
      <c r="M198" s="122">
        <f t="shared" ca="1" si="62"/>
        <v>2877461.9318018509</v>
      </c>
      <c r="N198" s="70">
        <f t="shared" ca="1" si="63"/>
        <v>-4.084602273271646E-2</v>
      </c>
      <c r="O198" s="120">
        <f t="shared" ca="1" si="64"/>
        <v>-122538.06819814935</v>
      </c>
    </row>
    <row r="199" spans="1:15" ht="16.5" customHeight="1">
      <c r="A199" s="47">
        <v>26</v>
      </c>
      <c r="B199" s="133" t="str">
        <f>HYPERLINK("#'" &amp; TEXT(투자전략!$G$1+25, "[$-ko-KR]yyyy.mm.dd") &amp; "'!A121:O145", TEXT(투자전략!$G$1+25, "[$-ko-KR]yyyy.mm.dd"))</f>
        <v>2023.01.26</v>
      </c>
      <c r="C199" s="118">
        <f t="shared" ca="1" si="52"/>
        <v>3000000</v>
      </c>
      <c r="D199" s="122">
        <f t="shared" ca="1" si="53"/>
        <v>3178972.0270135012</v>
      </c>
      <c r="E199" s="70">
        <f t="shared" ca="1" si="54"/>
        <v>5.9657342337833784E-2</v>
      </c>
      <c r="F199" s="120">
        <f t="shared" ca="1" si="55"/>
        <v>178972.02701350136</v>
      </c>
      <c r="G199" s="122">
        <f t="shared" ca="1" si="56"/>
        <v>3192505.9861295796</v>
      </c>
      <c r="H199" s="70">
        <f t="shared" ca="1" si="57"/>
        <v>6.4168662043193062E-2</v>
      </c>
      <c r="I199" s="120">
        <f t="shared" ca="1" si="58"/>
        <v>192505.98612957922</v>
      </c>
      <c r="J199" s="122">
        <f t="shared" ca="1" si="59"/>
        <v>3172137.4961097408</v>
      </c>
      <c r="K199" s="70">
        <f t="shared" ca="1" si="60"/>
        <v>5.7379165369913686E-2</v>
      </c>
      <c r="L199" s="120">
        <f t="shared" ca="1" si="61"/>
        <v>172137.4961097411</v>
      </c>
      <c r="M199" s="122">
        <f t="shared" ca="1" si="62"/>
        <v>3165459.6425957531</v>
      </c>
      <c r="N199" s="70">
        <f t="shared" ca="1" si="63"/>
        <v>5.5153214198584433E-2</v>
      </c>
      <c r="O199" s="120">
        <f t="shared" ca="1" si="64"/>
        <v>165459.64259575336</v>
      </c>
    </row>
    <row r="200" spans="1:15" ht="16.5" customHeight="1">
      <c r="A200" s="47">
        <v>27</v>
      </c>
      <c r="B200" s="133" t="str">
        <f>HYPERLINK("#'" &amp; TEXT(투자전략!$G$1+26, "[$-ko-KR]yyyy.mm.dd") &amp; "'!A121:O145", TEXT(투자전략!$G$1+26, "[$-ko-KR]yyyy.mm.dd"))</f>
        <v>2023.01.27</v>
      </c>
      <c r="C200" s="118">
        <f t="shared" ca="1" si="52"/>
        <v>3000000</v>
      </c>
      <c r="D200" s="122">
        <f t="shared" ca="1" si="53"/>
        <v>2987898.3418721119</v>
      </c>
      <c r="E200" s="70">
        <f t="shared" ca="1" si="54"/>
        <v>-4.0338860426293926E-3</v>
      </c>
      <c r="F200" s="120">
        <f t="shared" ca="1" si="55"/>
        <v>-12101.658127888173</v>
      </c>
      <c r="G200" s="122">
        <f t="shared" ca="1" si="56"/>
        <v>3066530.2630173243</v>
      </c>
      <c r="H200" s="70">
        <f t="shared" ca="1" si="57"/>
        <v>2.2176754339108061E-2</v>
      </c>
      <c r="I200" s="120">
        <f t="shared" ca="1" si="58"/>
        <v>66530.263017324207</v>
      </c>
      <c r="J200" s="122">
        <f t="shared" ca="1" si="59"/>
        <v>3062379.0120136435</v>
      </c>
      <c r="K200" s="70">
        <f t="shared" ca="1" si="60"/>
        <v>2.0793004004547824E-2</v>
      </c>
      <c r="L200" s="120">
        <f t="shared" ca="1" si="61"/>
        <v>62379.012013643463</v>
      </c>
      <c r="M200" s="122">
        <f t="shared" ca="1" si="62"/>
        <v>3072220.0966606783</v>
      </c>
      <c r="N200" s="70">
        <f t="shared" ca="1" si="63"/>
        <v>2.4073365553559524E-2</v>
      </c>
      <c r="O200" s="120">
        <f t="shared" ca="1" si="64"/>
        <v>72220.096660678551</v>
      </c>
    </row>
    <row r="201" spans="1:15" ht="16.5" customHeight="1" thickBot="1">
      <c r="A201" s="48">
        <v>28</v>
      </c>
      <c r="B201" s="134" t="str">
        <f>HYPERLINK("#'" &amp; TEXT(투자전략!$G$1+27, "[$-ko-KR]yyyy.mm.dd") &amp; "'!A121:O145", TEXT(투자전략!$G$1+27, "[$-ko-KR]yyyy.mm.dd"))</f>
        <v>2023.01.28</v>
      </c>
      <c r="C201" s="119">
        <f t="shared" ca="1" si="52"/>
        <v>3000000</v>
      </c>
      <c r="D201" s="123">
        <f t="shared" ca="1" si="53"/>
        <v>3074861.1433406142</v>
      </c>
      <c r="E201" s="72">
        <f t="shared" ca="1" si="54"/>
        <v>2.495371444687134E-2</v>
      </c>
      <c r="F201" s="121">
        <f t="shared" ca="1" si="55"/>
        <v>74861.143340614028</v>
      </c>
      <c r="G201" s="123">
        <f t="shared" ca="1" si="56"/>
        <v>3039930.2041313802</v>
      </c>
      <c r="H201" s="72">
        <f t="shared" ca="1" si="57"/>
        <v>1.3310068043793472E-2</v>
      </c>
      <c r="I201" s="121">
        <f t="shared" ca="1" si="58"/>
        <v>39930.204131380407</v>
      </c>
      <c r="J201" s="123">
        <f t="shared" ca="1" si="59"/>
        <v>3035532.1773265572</v>
      </c>
      <c r="K201" s="72">
        <f t="shared" ca="1" si="60"/>
        <v>1.1844059108852412E-2</v>
      </c>
      <c r="L201" s="121">
        <f t="shared" ca="1" si="61"/>
        <v>35532.177326557241</v>
      </c>
      <c r="M201" s="123">
        <f t="shared" ca="1" si="62"/>
        <v>3007393.8919085204</v>
      </c>
      <c r="N201" s="72">
        <f t="shared" ca="1" si="63"/>
        <v>2.4646306361736292E-3</v>
      </c>
      <c r="O201" s="121">
        <f t="shared" ca="1" si="64"/>
        <v>7393.89190852089</v>
      </c>
    </row>
    <row r="202" spans="1:15" ht="16.5" customHeight="1">
      <c r="A202" s="105">
        <v>29</v>
      </c>
      <c r="B202" s="132" t="str">
        <f>HYPERLINK("#'" &amp; TEXT(투자전략!$G$1+28, "[$-ko-KR]yyyy.mm.dd") &amp; "'!A121:O145", TEXT(투자전략!$G$1+28, "[$-ko-KR]yyyy.mm.dd"))</f>
        <v>2023.01.29</v>
      </c>
      <c r="C202" s="118">
        <f t="shared" ca="1" si="52"/>
        <v>3000000</v>
      </c>
      <c r="D202" s="122">
        <f t="shared" ca="1" si="53"/>
        <v>3016320.1443425128</v>
      </c>
      <c r="E202" s="70">
        <f t="shared" ca="1" si="54"/>
        <v>5.4400481141709447E-3</v>
      </c>
      <c r="F202" s="120">
        <f t="shared" ca="1" si="55"/>
        <v>16320.144342512835</v>
      </c>
      <c r="G202" s="122">
        <f t="shared" ca="1" si="56"/>
        <v>3019657.0178749724</v>
      </c>
      <c r="H202" s="70">
        <f t="shared" ca="1" si="57"/>
        <v>6.552339291657573E-3</v>
      </c>
      <c r="I202" s="120">
        <f t="shared" ca="1" si="58"/>
        <v>19657.017874972713</v>
      </c>
      <c r="J202" s="122">
        <f t="shared" ca="1" si="59"/>
        <v>3019657.0178749724</v>
      </c>
      <c r="K202" s="70">
        <f t="shared" ca="1" si="60"/>
        <v>6.552339291657573E-3</v>
      </c>
      <c r="L202" s="120">
        <f t="shared" ca="1" si="61"/>
        <v>19657.017874972713</v>
      </c>
      <c r="M202" s="122">
        <f t="shared" ca="1" si="62"/>
        <v>3019657.0178749724</v>
      </c>
      <c r="N202" s="70">
        <f t="shared" ca="1" si="63"/>
        <v>6.552339291657573E-3</v>
      </c>
      <c r="O202" s="120">
        <f t="shared" ca="1" si="64"/>
        <v>19657.017874972713</v>
      </c>
    </row>
    <row r="203" spans="1:15" ht="16.5" customHeight="1">
      <c r="A203" s="105">
        <v>30</v>
      </c>
      <c r="B203" s="133" t="str">
        <f>HYPERLINK("#'" &amp; TEXT(투자전략!$G$1+29, "[$-ko-KR]yyyy.mm.dd") &amp; "'!A121:O145", TEXT(투자전략!$G$1+29, "[$-ko-KR]yyyy.mm.dd"))</f>
        <v>2023.01.30</v>
      </c>
      <c r="C203" s="118" t="str">
        <f t="shared" ca="1" si="52"/>
        <v/>
      </c>
      <c r="D203" s="122" t="str">
        <f t="shared" ca="1" si="53"/>
        <v/>
      </c>
      <c r="E203" s="70" t="str">
        <f t="shared" ca="1" si="54"/>
        <v/>
      </c>
      <c r="F203" s="120" t="str">
        <f t="shared" ca="1" si="55"/>
        <v/>
      </c>
      <c r="G203" s="122" t="str">
        <f t="shared" ca="1" si="56"/>
        <v/>
      </c>
      <c r="H203" s="70" t="str">
        <f t="shared" ca="1" si="57"/>
        <v/>
      </c>
      <c r="I203" s="120" t="str">
        <f t="shared" ca="1" si="58"/>
        <v/>
      </c>
      <c r="J203" s="122" t="str">
        <f t="shared" ca="1" si="59"/>
        <v/>
      </c>
      <c r="K203" s="70" t="str">
        <f t="shared" ca="1" si="60"/>
        <v/>
      </c>
      <c r="L203" s="120" t="str">
        <f t="shared" ca="1" si="61"/>
        <v/>
      </c>
      <c r="M203" s="122" t="str">
        <f t="shared" ca="1" si="62"/>
        <v/>
      </c>
      <c r="N203" s="70" t="str">
        <f t="shared" ca="1" si="63"/>
        <v/>
      </c>
      <c r="O203" s="120" t="str">
        <f t="shared" ca="1" si="64"/>
        <v/>
      </c>
    </row>
    <row r="204" spans="1:15" ht="16.5" customHeight="1" thickBot="1">
      <c r="A204" s="105">
        <v>31</v>
      </c>
      <c r="B204" s="133" t="str">
        <f>HYPERLINK("#'" &amp; TEXT(투자전략!$G$1+30, "[$-ko-KR]yyyy.mm.dd") &amp; "'!A121:O145", TEXT(투자전략!$G$1+30, "[$-ko-KR]yyyy.mm.dd"))</f>
        <v>2023.01.31</v>
      </c>
      <c r="C204" s="119">
        <f t="shared" ca="1" si="52"/>
        <v>3000000</v>
      </c>
      <c r="D204" s="123">
        <f t="shared" ca="1" si="53"/>
        <v>3034225.5426787231</v>
      </c>
      <c r="E204" s="72">
        <f t="shared" ca="1" si="54"/>
        <v>1.1408514226240909E-2</v>
      </c>
      <c r="F204" s="121">
        <f t="shared" ca="1" si="55"/>
        <v>34225.542678722726</v>
      </c>
      <c r="G204" s="123">
        <f t="shared" ca="1" si="56"/>
        <v>3034225.5426787231</v>
      </c>
      <c r="H204" s="72">
        <f t="shared" ca="1" si="57"/>
        <v>1.1408514226240909E-2</v>
      </c>
      <c r="I204" s="121">
        <f t="shared" ca="1" si="58"/>
        <v>34225.542678722726</v>
      </c>
      <c r="J204" s="123">
        <f t="shared" ca="1" si="59"/>
        <v>3034225.5426787231</v>
      </c>
      <c r="K204" s="72">
        <f t="shared" ca="1" si="60"/>
        <v>1.1408514226240909E-2</v>
      </c>
      <c r="L204" s="121">
        <f t="shared" ca="1" si="61"/>
        <v>34225.542678722726</v>
      </c>
      <c r="M204" s="123">
        <f t="shared" ca="1" si="62"/>
        <v>3034225.5426787231</v>
      </c>
      <c r="N204" s="72">
        <f t="shared" ca="1" si="63"/>
        <v>1.1408514226240909E-2</v>
      </c>
      <c r="O204" s="121">
        <f t="shared" ca="1" si="64"/>
        <v>34225.542678722726</v>
      </c>
    </row>
    <row r="205" spans="1:15" ht="16.5" customHeight="1" thickBot="1">
      <c r="A205" s="185" t="s">
        <v>270</v>
      </c>
      <c r="B205" s="187"/>
      <c r="C205" s="116" t="s">
        <v>265</v>
      </c>
      <c r="D205" s="9" t="s">
        <v>266</v>
      </c>
      <c r="E205" s="63" t="s">
        <v>267</v>
      </c>
      <c r="F205" s="64" t="s">
        <v>268</v>
      </c>
      <c r="G205" s="9" t="s">
        <v>266</v>
      </c>
      <c r="H205" s="63" t="s">
        <v>267</v>
      </c>
      <c r="I205" s="64" t="s">
        <v>268</v>
      </c>
      <c r="J205" s="9" t="s">
        <v>266</v>
      </c>
      <c r="K205" s="63" t="s">
        <v>267</v>
      </c>
      <c r="L205" s="64" t="s">
        <v>268</v>
      </c>
      <c r="M205" s="9" t="s">
        <v>266</v>
      </c>
      <c r="N205" s="63" t="s">
        <v>267</v>
      </c>
      <c r="O205" s="64" t="s">
        <v>268</v>
      </c>
    </row>
    <row r="206" spans="1:15" ht="16.5" customHeight="1" thickBot="1">
      <c r="A206" s="178"/>
      <c r="B206" s="180"/>
      <c r="C206" s="119">
        <f ca="1">SUM(C174:C204)</f>
        <v>78000000</v>
      </c>
      <c r="D206" s="123">
        <f ca="1">SUM(D174:D204)</f>
        <v>79162163.314248279</v>
      </c>
      <c r="E206" s="72">
        <f ca="1">IFERROR(F206 / (SUM($C174:$C204) / COUNT($C174:$C204)), 0)</f>
        <v>0.38738777141608283</v>
      </c>
      <c r="F206" s="121">
        <f ca="1">SUM(F174:F204)</f>
        <v>1162163.3142482485</v>
      </c>
      <c r="G206" s="123">
        <f ca="1">SUM(G174:G204)</f>
        <v>78950940.325641766</v>
      </c>
      <c r="H206" s="72">
        <f ca="1">IFERROR(I206 / (SUM($C174:$C204) / COUNT($C174:$C204)), 0)</f>
        <v>0.31698010854725273</v>
      </c>
      <c r="I206" s="121">
        <f ca="1">SUM(I174:I204)</f>
        <v>950940.32564175816</v>
      </c>
      <c r="J206" s="123">
        <f ca="1">SUM(J174:J204)</f>
        <v>79236144.554332227</v>
      </c>
      <c r="K206" s="72">
        <f ca="1">IFERROR(L206 / (SUM($C174:$C204) / COUNT($C174:$C204)), 0)</f>
        <v>0.41204818477740734</v>
      </c>
      <c r="L206" s="121">
        <f ca="1">SUM(L174:L204)</f>
        <v>1236144.5543322221</v>
      </c>
      <c r="M206" s="123">
        <f ca="1">SUM(M174:M204)</f>
        <v>79112893.898354635</v>
      </c>
      <c r="N206" s="72">
        <f ca="1">IFERROR(O206 / (SUM($C174:$C204) / COUNT($C174:$C204)), 0)</f>
        <v>0.37096463278487812</v>
      </c>
      <c r="O206" s="121">
        <f ca="1">SUM(O174:O204)</f>
        <v>1112893.8983546344</v>
      </c>
    </row>
    <row r="208" spans="1:15" ht="16.5" customHeight="1" thickBot="1"/>
    <row r="209" spans="1:15" ht="16.5" customHeight="1" thickBot="1">
      <c r="A209" s="157" t="str">
        <f>TEXT(투자전략!$G$1, "[$-ko-KR]yyyy년 mm월 ") &amp; "[동전코인] 전일대비 상승률 Bottom20 월말결산"</f>
        <v>2023년 01월 [동전코인] 전일대비 상승률 Bottom20 월말결산</v>
      </c>
      <c r="B209" s="158"/>
      <c r="C209" s="158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9"/>
    </row>
    <row r="210" spans="1:15" ht="16.5" customHeight="1" thickBot="1">
      <c r="A210" s="201" t="s">
        <v>271</v>
      </c>
      <c r="B210" s="178" t="s">
        <v>269</v>
      </c>
      <c r="C210" s="180"/>
      <c r="D210" s="178" t="s">
        <v>261</v>
      </c>
      <c r="E210" s="179"/>
      <c r="F210" s="180"/>
      <c r="G210" s="178" t="s">
        <v>262</v>
      </c>
      <c r="H210" s="179"/>
      <c r="I210" s="180"/>
      <c r="J210" s="178" t="s">
        <v>263</v>
      </c>
      <c r="K210" s="179"/>
      <c r="L210" s="180"/>
      <c r="M210" s="178" t="s">
        <v>264</v>
      </c>
      <c r="N210" s="179"/>
      <c r="O210" s="180"/>
    </row>
    <row r="211" spans="1:15" ht="16.5" customHeight="1" thickBot="1">
      <c r="A211" s="194"/>
      <c r="B211" s="46" t="s">
        <v>259</v>
      </c>
      <c r="C211" s="46" t="s">
        <v>42</v>
      </c>
      <c r="D211" s="105" t="s">
        <v>260</v>
      </c>
      <c r="E211" s="106" t="s">
        <v>40</v>
      </c>
      <c r="F211" s="81" t="s">
        <v>41</v>
      </c>
      <c r="G211" s="105" t="s">
        <v>260</v>
      </c>
      <c r="H211" s="106" t="s">
        <v>40</v>
      </c>
      <c r="I211" s="81" t="s">
        <v>41</v>
      </c>
      <c r="J211" s="105" t="s">
        <v>260</v>
      </c>
      <c r="K211" s="106" t="s">
        <v>40</v>
      </c>
      <c r="L211" s="81" t="s">
        <v>41</v>
      </c>
      <c r="M211" s="105" t="s">
        <v>260</v>
      </c>
      <c r="N211" s="106" t="s">
        <v>40</v>
      </c>
      <c r="O211" s="81" t="s">
        <v>41</v>
      </c>
    </row>
    <row r="212" spans="1:15" ht="16.5" customHeight="1">
      <c r="A212" s="46">
        <v>1</v>
      </c>
      <c r="B212" s="132" t="str">
        <f>HYPERLINK("#'" &amp; TEXT(투자전략!$G$1+0, "[$-ko-KR]yyyy.mm.dd") &amp; "'!A148:O172", TEXT(투자전략!$G$1+0, "[$-ko-KR]yyyy.mm.dd"))</f>
        <v>2023.01.01</v>
      </c>
      <c r="C212" s="117">
        <f ca="1">IFERROR(COUNTA(INDIRECT($B212&amp;"!A152:A171")) * INDIRECT($B212&amp;"!B172"), "")</f>
        <v>3000000</v>
      </c>
      <c r="D212" s="125">
        <f ca="1">IFERROR($C212 * (1 + E212), "")</f>
        <v>3005764.6538142692</v>
      </c>
      <c r="E212" s="69">
        <f ca="1">IFERROR(INDIRECT($B212&amp;"!E172"), "")</f>
        <v>1.9215512714229198E-3</v>
      </c>
      <c r="F212" s="124">
        <f ca="1">IFERROR(INDIRECT($B212&amp;"!F172"), "")</f>
        <v>5764.6538142687596</v>
      </c>
      <c r="G212" s="125">
        <f ca="1">IFERROR($C212 * (1 + H212), "")</f>
        <v>3017728.9962359425</v>
      </c>
      <c r="H212" s="69">
        <f ca="1">IFERROR(INDIRECT($B212&amp;"!H172"), "")</f>
        <v>5.909665411980825E-3</v>
      </c>
      <c r="I212" s="124">
        <f ca="1">IFERROR(INDIRECT($B212&amp;"!I172"), "")</f>
        <v>17728.996235942475</v>
      </c>
      <c r="J212" s="125">
        <f ca="1">IFERROR($C212 * (1 + K212), "")</f>
        <v>3017728.9962359425</v>
      </c>
      <c r="K212" s="69">
        <f ca="1">IFERROR(INDIRECT($B212&amp;"!K172"), "")</f>
        <v>5.909665411980825E-3</v>
      </c>
      <c r="L212" s="124">
        <f ca="1">IFERROR(INDIRECT($B212&amp;"!L172"), "")</f>
        <v>17728.996235942475</v>
      </c>
      <c r="M212" s="125">
        <f ca="1">IFERROR($C212 * (1 + N212), "")</f>
        <v>3022632.4122983762</v>
      </c>
      <c r="N212" s="69">
        <f ca="1">IFERROR(INDIRECT($B212&amp;"!N172"), "")</f>
        <v>7.5441374327919431E-3</v>
      </c>
      <c r="O212" s="124">
        <f ca="1">IFERROR(INDIRECT($B212&amp;"!O172"), "")</f>
        <v>22632.412298375832</v>
      </c>
    </row>
    <row r="213" spans="1:15" ht="16.5" customHeight="1">
      <c r="A213" s="47">
        <v>2</v>
      </c>
      <c r="B213" s="133" t="str">
        <f>HYPERLINK("#'" &amp; TEXT(투자전략!$G$1+1, "[$-ko-KR]yyyy.mm.dd") &amp; "'!A148:O172", TEXT(투자전략!$G$1+1, "[$-ko-KR]yyyy.mm.dd"))</f>
        <v>2023.01.02</v>
      </c>
      <c r="C213" s="118">
        <f t="shared" ref="C213:C242" ca="1" si="65">IFERROR(COUNTA(INDIRECT($B213&amp;"!A152:A171")) * INDIRECT($B213&amp;"!B172"), "")</f>
        <v>3000000</v>
      </c>
      <c r="D213" s="122">
        <f t="shared" ref="D213:D242" ca="1" si="66">IFERROR($C213 * (1 + E213), "")</f>
        <v>3004116.9893013407</v>
      </c>
      <c r="E213" s="70">
        <f t="shared" ref="E213:E242" ca="1" si="67">IFERROR(INDIRECT($B213&amp;"!E172"), "")</f>
        <v>1.37232976711357E-3</v>
      </c>
      <c r="F213" s="120">
        <f t="shared" ref="F213:F242" ca="1" si="68">IFERROR(INDIRECT($B213&amp;"!F172"), "")</f>
        <v>4116.9893013407072</v>
      </c>
      <c r="G213" s="122">
        <f t="shared" ref="G213:G242" ca="1" si="69">IFERROR($C213 * (1 + H213), "")</f>
        <v>3063201.0392149524</v>
      </c>
      <c r="H213" s="70">
        <f t="shared" ref="H213:H242" ca="1" si="70">IFERROR(INDIRECT($B213&amp;"!H172"), "")</f>
        <v>2.1067013071650927E-2</v>
      </c>
      <c r="I213" s="120">
        <f t="shared" ref="I213:I242" ca="1" si="71">IFERROR(INDIRECT($B213&amp;"!I172"), "")</f>
        <v>63201.039214952783</v>
      </c>
      <c r="J213" s="122">
        <f t="shared" ref="J213:J242" ca="1" si="72">IFERROR($C213 * (1 + K213), "")</f>
        <v>3055303.7578745061</v>
      </c>
      <c r="K213" s="70">
        <f t="shared" ref="K213:K242" ca="1" si="73">IFERROR(INDIRECT($B213&amp;"!K172"), "")</f>
        <v>1.84345859581687E-2</v>
      </c>
      <c r="L213" s="120">
        <f t="shared" ref="L213:L242" ca="1" si="74">IFERROR(INDIRECT($B213&amp;"!L172"), "")</f>
        <v>55303.757874506096</v>
      </c>
      <c r="M213" s="122">
        <f t="shared" ref="M213:M242" ca="1" si="75">IFERROR($C213 * (1 + N213), "")</f>
        <v>3058185.381822444</v>
      </c>
      <c r="N213" s="70">
        <f t="shared" ref="N213:N242" ca="1" si="76">IFERROR(INDIRECT($B213&amp;"!N172"), "")</f>
        <v>1.9395127274147984E-2</v>
      </c>
      <c r="O213" s="120">
        <f t="shared" ref="O213:O242" ca="1" si="77">IFERROR(INDIRECT($B213&amp;"!O172"), "")</f>
        <v>58185.381822443953</v>
      </c>
    </row>
    <row r="214" spans="1:15" ht="16.5" customHeight="1">
      <c r="A214" s="47">
        <v>3</v>
      </c>
      <c r="B214" s="133" t="str">
        <f>HYPERLINK("#'" &amp; TEXT(투자전략!$G$1+2, "[$-ko-KR]yyyy.mm.dd") &amp; "'!A148:O172", TEXT(투자전략!$G$1+2, "[$-ko-KR]yyyy.mm.dd"))</f>
        <v>2023.01.03</v>
      </c>
      <c r="C214" s="118">
        <f t="shared" ca="1" si="65"/>
        <v>3000000</v>
      </c>
      <c r="D214" s="122">
        <f t="shared" ca="1" si="66"/>
        <v>3002871.8854676229</v>
      </c>
      <c r="E214" s="70">
        <f t="shared" ca="1" si="67"/>
        <v>9.5729515587436955E-4</v>
      </c>
      <c r="F214" s="120">
        <f t="shared" ca="1" si="68"/>
        <v>2871.8854676231099</v>
      </c>
      <c r="G214" s="122">
        <f t="shared" ca="1" si="69"/>
        <v>3020365.3079600395</v>
      </c>
      <c r="H214" s="70">
        <f t="shared" ca="1" si="70"/>
        <v>6.7884359866798357E-3</v>
      </c>
      <c r="I214" s="120">
        <f t="shared" ca="1" si="71"/>
        <v>20365.30796003951</v>
      </c>
      <c r="J214" s="122">
        <f t="shared" ca="1" si="72"/>
        <v>3019429.08473776</v>
      </c>
      <c r="K214" s="70">
        <f t="shared" ca="1" si="73"/>
        <v>6.476361579253377E-3</v>
      </c>
      <c r="L214" s="120">
        <f t="shared" ca="1" si="74"/>
        <v>19429.084737760135</v>
      </c>
      <c r="M214" s="122">
        <f t="shared" ca="1" si="75"/>
        <v>3002234.776206784</v>
      </c>
      <c r="N214" s="70">
        <f t="shared" ca="1" si="76"/>
        <v>7.449254022612341E-4</v>
      </c>
      <c r="O214" s="120">
        <f t="shared" ca="1" si="77"/>
        <v>2234.7762067837016</v>
      </c>
    </row>
    <row r="215" spans="1:15" ht="16.5" customHeight="1">
      <c r="A215" s="47">
        <v>4</v>
      </c>
      <c r="B215" s="133" t="str">
        <f>HYPERLINK("#'" &amp; TEXT(투자전략!$G$1+3, "[$-ko-KR]yyyy.mm.dd") &amp; "'!A148:O172", TEXT(투자전략!$G$1+3, "[$-ko-KR]yyyy.mm.dd"))</f>
        <v>2023.01.04</v>
      </c>
      <c r="C215" s="118">
        <f t="shared" ca="1" si="65"/>
        <v>3000000</v>
      </c>
      <c r="D215" s="122">
        <f t="shared" ca="1" si="66"/>
        <v>3074062.5382284936</v>
      </c>
      <c r="E215" s="70">
        <f t="shared" ca="1" si="67"/>
        <v>2.4687512742831173E-2</v>
      </c>
      <c r="F215" s="120">
        <f t="shared" ca="1" si="68"/>
        <v>74062.538228493533</v>
      </c>
      <c r="G215" s="122">
        <f t="shared" ca="1" si="69"/>
        <v>3069282.9422173332</v>
      </c>
      <c r="H215" s="70">
        <f t="shared" ca="1" si="70"/>
        <v>2.309431407244435E-2</v>
      </c>
      <c r="I215" s="120">
        <f t="shared" ca="1" si="71"/>
        <v>69282.942217333053</v>
      </c>
      <c r="J215" s="122">
        <f t="shared" ca="1" si="72"/>
        <v>3069925.3761014966</v>
      </c>
      <c r="K215" s="70">
        <f t="shared" ca="1" si="73"/>
        <v>2.3308458700498792E-2</v>
      </c>
      <c r="L215" s="120">
        <f t="shared" ca="1" si="74"/>
        <v>69925.376101496382</v>
      </c>
      <c r="M215" s="122">
        <f t="shared" ca="1" si="75"/>
        <v>3061736.8226365619</v>
      </c>
      <c r="N215" s="70">
        <f t="shared" ca="1" si="76"/>
        <v>2.0578940878853945E-2</v>
      </c>
      <c r="O215" s="120">
        <f t="shared" ca="1" si="77"/>
        <v>61736.822636561861</v>
      </c>
    </row>
    <row r="216" spans="1:15" ht="16.5" customHeight="1">
      <c r="A216" s="47">
        <v>5</v>
      </c>
      <c r="B216" s="133" t="str">
        <f>HYPERLINK("#'" &amp; TEXT(투자전략!$G$1+4, "[$-ko-KR]yyyy.mm.dd") &amp; "'!A148:O172", TEXT(투자전략!$G$1+4, "[$-ko-KR]yyyy.mm.dd"))</f>
        <v>2023.01.05</v>
      </c>
      <c r="C216" s="118">
        <f t="shared" ca="1" si="65"/>
        <v>3000000</v>
      </c>
      <c r="D216" s="122">
        <f t="shared" ca="1" si="66"/>
        <v>2998939.6844921811</v>
      </c>
      <c r="E216" s="70">
        <f t="shared" ca="1" si="67"/>
        <v>-3.5343850260623319E-4</v>
      </c>
      <c r="F216" s="120">
        <f t="shared" ca="1" si="68"/>
        <v>-1060.3155078187001</v>
      </c>
      <c r="G216" s="122">
        <f t="shared" ca="1" si="69"/>
        <v>2945355.8983730515</v>
      </c>
      <c r="H216" s="70">
        <f t="shared" ca="1" si="70"/>
        <v>-1.821470054231622E-2</v>
      </c>
      <c r="I216" s="120">
        <f t="shared" ca="1" si="71"/>
        <v>-54644.101626948664</v>
      </c>
      <c r="J216" s="122">
        <f t="shared" ca="1" si="72"/>
        <v>2975867.5961236898</v>
      </c>
      <c r="K216" s="70">
        <f t="shared" ca="1" si="73"/>
        <v>-8.0441346254366986E-3</v>
      </c>
      <c r="L216" s="120">
        <f t="shared" ca="1" si="74"/>
        <v>-24132.403876310094</v>
      </c>
      <c r="M216" s="122">
        <f t="shared" ca="1" si="75"/>
        <v>2973896.4418798634</v>
      </c>
      <c r="N216" s="70">
        <f t="shared" ca="1" si="76"/>
        <v>-8.7011860400455325E-3</v>
      </c>
      <c r="O216" s="120">
        <f t="shared" ca="1" si="77"/>
        <v>-26103.5581201366</v>
      </c>
    </row>
    <row r="217" spans="1:15" ht="16.5" customHeight="1">
      <c r="A217" s="47">
        <v>6</v>
      </c>
      <c r="B217" s="133" t="str">
        <f>HYPERLINK("#'" &amp; TEXT(투자전략!$G$1+5, "[$-ko-KR]yyyy.mm.dd") &amp; "'!A148:O172", TEXT(투자전략!$G$1+5, "[$-ko-KR]yyyy.mm.dd"))</f>
        <v>2023.01.06</v>
      </c>
      <c r="C217" s="118">
        <f t="shared" ca="1" si="65"/>
        <v>3000000</v>
      </c>
      <c r="D217" s="122">
        <f t="shared" ca="1" si="66"/>
        <v>2963132.8543807492</v>
      </c>
      <c r="E217" s="70">
        <f t="shared" ca="1" si="67"/>
        <v>-1.2289048539750361E-2</v>
      </c>
      <c r="F217" s="120">
        <f t="shared" ca="1" si="68"/>
        <v>-36867.145619251081</v>
      </c>
      <c r="G217" s="122">
        <f t="shared" ca="1" si="69"/>
        <v>2941945.2470870148</v>
      </c>
      <c r="H217" s="70">
        <f t="shared" ca="1" si="70"/>
        <v>-1.9351584304328335E-2</v>
      </c>
      <c r="I217" s="120">
        <f t="shared" ca="1" si="71"/>
        <v>-58054.752912985001</v>
      </c>
      <c r="J217" s="122">
        <f t="shared" ca="1" si="72"/>
        <v>2923792.9402413042</v>
      </c>
      <c r="K217" s="70">
        <f t="shared" ca="1" si="73"/>
        <v>-2.5402353252898652E-2</v>
      </c>
      <c r="L217" s="120">
        <f t="shared" ca="1" si="74"/>
        <v>-76207.059758695963</v>
      </c>
      <c r="M217" s="122">
        <f t="shared" ca="1" si="75"/>
        <v>2935923.6866835305</v>
      </c>
      <c r="N217" s="70">
        <f t="shared" ca="1" si="76"/>
        <v>-2.1358771105489789E-2</v>
      </c>
      <c r="O217" s="120">
        <f t="shared" ca="1" si="77"/>
        <v>-64076.313316469357</v>
      </c>
    </row>
    <row r="218" spans="1:15" ht="16.5" customHeight="1" thickBot="1">
      <c r="A218" s="48">
        <v>7</v>
      </c>
      <c r="B218" s="134" t="str">
        <f>HYPERLINK("#'" &amp; TEXT(투자전략!$G$1+6, "[$-ko-KR]yyyy.mm.dd") &amp; "'!A148:O172", TEXT(투자전략!$G$1+6, "[$-ko-KR]yyyy.mm.dd"))</f>
        <v>2023.01.07</v>
      </c>
      <c r="C218" s="118">
        <f t="shared" ca="1" si="65"/>
        <v>3000000</v>
      </c>
      <c r="D218" s="122">
        <f t="shared" ca="1" si="66"/>
        <v>3102325.1284961211</v>
      </c>
      <c r="E218" s="70">
        <f t="shared" ca="1" si="67"/>
        <v>3.4108376165373683E-2</v>
      </c>
      <c r="F218" s="120">
        <f t="shared" ca="1" si="68"/>
        <v>102325.12849612106</v>
      </c>
      <c r="G218" s="122">
        <f t="shared" ca="1" si="69"/>
        <v>3108756.4741245992</v>
      </c>
      <c r="H218" s="70">
        <f t="shared" ca="1" si="70"/>
        <v>3.6252158041533242E-2</v>
      </c>
      <c r="I218" s="120">
        <f t="shared" ca="1" si="71"/>
        <v>108756.47412459971</v>
      </c>
      <c r="J218" s="122">
        <f t="shared" ca="1" si="72"/>
        <v>3101233.7365895668</v>
      </c>
      <c r="K218" s="70">
        <f t="shared" ca="1" si="73"/>
        <v>3.37445788631889E-2</v>
      </c>
      <c r="L218" s="120">
        <f t="shared" ca="1" si="74"/>
        <v>101233.73658956669</v>
      </c>
      <c r="M218" s="122">
        <f t="shared" ca="1" si="75"/>
        <v>3097982.2055224576</v>
      </c>
      <c r="N218" s="70">
        <f t="shared" ca="1" si="76"/>
        <v>3.266073517415255E-2</v>
      </c>
      <c r="O218" s="120">
        <f t="shared" ca="1" si="77"/>
        <v>97982.205522457632</v>
      </c>
    </row>
    <row r="219" spans="1:15" ht="16.5" customHeight="1">
      <c r="A219" s="46">
        <v>8</v>
      </c>
      <c r="B219" s="132" t="str">
        <f>HYPERLINK("#'" &amp; TEXT(투자전략!$G$1+7, "[$-ko-KR]yyyy.mm.dd") &amp; "'!A148:O172", TEXT(투자전략!$G$1+7, "[$-ko-KR]yyyy.mm.dd"))</f>
        <v>2023.01.08</v>
      </c>
      <c r="C219" s="117">
        <f t="shared" ca="1" si="65"/>
        <v>3000000</v>
      </c>
      <c r="D219" s="125">
        <f t="shared" ca="1" si="66"/>
        <v>3000000</v>
      </c>
      <c r="E219" s="69">
        <f t="shared" ca="1" si="67"/>
        <v>0</v>
      </c>
      <c r="F219" s="124">
        <f t="shared" ca="1" si="68"/>
        <v>0</v>
      </c>
      <c r="G219" s="125">
        <f t="shared" ca="1" si="69"/>
        <v>3000000</v>
      </c>
      <c r="H219" s="69">
        <f t="shared" ca="1" si="70"/>
        <v>0</v>
      </c>
      <c r="I219" s="124">
        <f t="shared" ca="1" si="71"/>
        <v>0</v>
      </c>
      <c r="J219" s="125">
        <f t="shared" ca="1" si="72"/>
        <v>3000000</v>
      </c>
      <c r="K219" s="69">
        <f t="shared" ca="1" si="73"/>
        <v>0</v>
      </c>
      <c r="L219" s="124">
        <f t="shared" ca="1" si="74"/>
        <v>0</v>
      </c>
      <c r="M219" s="125">
        <f t="shared" ca="1" si="75"/>
        <v>3000000</v>
      </c>
      <c r="N219" s="69">
        <f t="shared" ca="1" si="76"/>
        <v>0</v>
      </c>
      <c r="O219" s="124">
        <f t="shared" ca="1" si="77"/>
        <v>0</v>
      </c>
    </row>
    <row r="220" spans="1:15" ht="16.5" customHeight="1">
      <c r="A220" s="47">
        <v>9</v>
      </c>
      <c r="B220" s="133" t="str">
        <f>HYPERLINK("#'" &amp; TEXT(투자전략!$G$1+8, "[$-ko-KR]yyyy.mm.dd") &amp; "'!A148:O172", TEXT(투자전략!$G$1+8, "[$-ko-KR]yyyy.mm.dd"))</f>
        <v>2023.01.09</v>
      </c>
      <c r="C220" s="118" t="str">
        <f t="shared" ca="1" si="65"/>
        <v/>
      </c>
      <c r="D220" s="122" t="str">
        <f t="shared" ca="1" si="66"/>
        <v/>
      </c>
      <c r="E220" s="70" t="str">
        <f t="shared" ca="1" si="67"/>
        <v/>
      </c>
      <c r="F220" s="120" t="str">
        <f t="shared" ca="1" si="68"/>
        <v/>
      </c>
      <c r="G220" s="122" t="str">
        <f t="shared" ca="1" si="69"/>
        <v/>
      </c>
      <c r="H220" s="70" t="str">
        <f t="shared" ca="1" si="70"/>
        <v/>
      </c>
      <c r="I220" s="120" t="str">
        <f t="shared" ca="1" si="71"/>
        <v/>
      </c>
      <c r="J220" s="122" t="str">
        <f t="shared" ca="1" si="72"/>
        <v/>
      </c>
      <c r="K220" s="70" t="str">
        <f t="shared" ca="1" si="73"/>
        <v/>
      </c>
      <c r="L220" s="120" t="str">
        <f t="shared" ca="1" si="74"/>
        <v/>
      </c>
      <c r="M220" s="122" t="str">
        <f t="shared" ca="1" si="75"/>
        <v/>
      </c>
      <c r="N220" s="70" t="str">
        <f t="shared" ca="1" si="76"/>
        <v/>
      </c>
      <c r="O220" s="120" t="str">
        <f t="shared" ca="1" si="77"/>
        <v/>
      </c>
    </row>
    <row r="221" spans="1:15" ht="16.5" customHeight="1">
      <c r="A221" s="47">
        <v>10</v>
      </c>
      <c r="B221" s="133" t="str">
        <f>HYPERLINK("#'" &amp; TEXT(투자전략!$G$1+9, "[$-ko-KR]yyyy.mm.dd") &amp; "'!A148:O172", TEXT(투자전략!$G$1+9, "[$-ko-KR]yyyy.mm.dd"))</f>
        <v>2023.01.10</v>
      </c>
      <c r="C221" s="118" t="str">
        <f t="shared" ca="1" si="65"/>
        <v/>
      </c>
      <c r="D221" s="122" t="str">
        <f t="shared" ca="1" si="66"/>
        <v/>
      </c>
      <c r="E221" s="70" t="str">
        <f t="shared" ca="1" si="67"/>
        <v/>
      </c>
      <c r="F221" s="120" t="str">
        <f t="shared" ca="1" si="68"/>
        <v/>
      </c>
      <c r="G221" s="122" t="str">
        <f t="shared" ca="1" si="69"/>
        <v/>
      </c>
      <c r="H221" s="70" t="str">
        <f t="shared" ca="1" si="70"/>
        <v/>
      </c>
      <c r="I221" s="120" t="str">
        <f t="shared" ca="1" si="71"/>
        <v/>
      </c>
      <c r="J221" s="122" t="str">
        <f t="shared" ca="1" si="72"/>
        <v/>
      </c>
      <c r="K221" s="70" t="str">
        <f t="shared" ca="1" si="73"/>
        <v/>
      </c>
      <c r="L221" s="120" t="str">
        <f t="shared" ca="1" si="74"/>
        <v/>
      </c>
      <c r="M221" s="122" t="str">
        <f t="shared" ca="1" si="75"/>
        <v/>
      </c>
      <c r="N221" s="70" t="str">
        <f t="shared" ca="1" si="76"/>
        <v/>
      </c>
      <c r="O221" s="120" t="str">
        <f t="shared" ca="1" si="77"/>
        <v/>
      </c>
    </row>
    <row r="222" spans="1:15" ht="16.5" customHeight="1">
      <c r="A222" s="47">
        <v>11</v>
      </c>
      <c r="B222" s="133" t="str">
        <f>HYPERLINK("#'" &amp; TEXT(투자전략!$G$1+10, "[$-ko-KR]yyyy.mm.dd") &amp; "'!A148:O172", TEXT(투자전략!$G$1+10, "[$-ko-KR]yyyy.mm.dd"))</f>
        <v>2023.01.11</v>
      </c>
      <c r="C222" s="118" t="str">
        <f t="shared" ca="1" si="65"/>
        <v/>
      </c>
      <c r="D222" s="122" t="str">
        <f t="shared" ca="1" si="66"/>
        <v/>
      </c>
      <c r="E222" s="70" t="str">
        <f t="shared" ca="1" si="67"/>
        <v/>
      </c>
      <c r="F222" s="120" t="str">
        <f t="shared" ca="1" si="68"/>
        <v/>
      </c>
      <c r="G222" s="122" t="str">
        <f t="shared" ca="1" si="69"/>
        <v/>
      </c>
      <c r="H222" s="70" t="str">
        <f t="shared" ca="1" si="70"/>
        <v/>
      </c>
      <c r="I222" s="120" t="str">
        <f t="shared" ca="1" si="71"/>
        <v/>
      </c>
      <c r="J222" s="122" t="str">
        <f t="shared" ca="1" si="72"/>
        <v/>
      </c>
      <c r="K222" s="70" t="str">
        <f t="shared" ca="1" si="73"/>
        <v/>
      </c>
      <c r="L222" s="120" t="str">
        <f t="shared" ca="1" si="74"/>
        <v/>
      </c>
      <c r="M222" s="122" t="str">
        <f t="shared" ca="1" si="75"/>
        <v/>
      </c>
      <c r="N222" s="70" t="str">
        <f t="shared" ca="1" si="76"/>
        <v/>
      </c>
      <c r="O222" s="120" t="str">
        <f t="shared" ca="1" si="77"/>
        <v/>
      </c>
    </row>
    <row r="223" spans="1:15" ht="16.5" customHeight="1">
      <c r="A223" s="47">
        <v>12</v>
      </c>
      <c r="B223" s="133" t="str">
        <f>HYPERLINK("#'" &amp; TEXT(투자전략!$G$1+11, "[$-ko-KR]yyyy.mm.dd") &amp; "'!A148:O172", TEXT(투자전략!$G$1+11, "[$-ko-KR]yyyy.mm.dd"))</f>
        <v>2023.01.12</v>
      </c>
      <c r="C223" s="118" t="str">
        <f t="shared" ca="1" si="65"/>
        <v/>
      </c>
      <c r="D223" s="122" t="str">
        <f t="shared" ca="1" si="66"/>
        <v/>
      </c>
      <c r="E223" s="70" t="str">
        <f t="shared" ca="1" si="67"/>
        <v/>
      </c>
      <c r="F223" s="120" t="str">
        <f t="shared" ca="1" si="68"/>
        <v/>
      </c>
      <c r="G223" s="122" t="str">
        <f t="shared" ca="1" si="69"/>
        <v/>
      </c>
      <c r="H223" s="70" t="str">
        <f t="shared" ca="1" si="70"/>
        <v/>
      </c>
      <c r="I223" s="120" t="str">
        <f t="shared" ca="1" si="71"/>
        <v/>
      </c>
      <c r="J223" s="122" t="str">
        <f t="shared" ca="1" si="72"/>
        <v/>
      </c>
      <c r="K223" s="70" t="str">
        <f t="shared" ca="1" si="73"/>
        <v/>
      </c>
      <c r="L223" s="120" t="str">
        <f t="shared" ca="1" si="74"/>
        <v/>
      </c>
      <c r="M223" s="122" t="str">
        <f t="shared" ca="1" si="75"/>
        <v/>
      </c>
      <c r="N223" s="70" t="str">
        <f t="shared" ca="1" si="76"/>
        <v/>
      </c>
      <c r="O223" s="120" t="str">
        <f t="shared" ca="1" si="77"/>
        <v/>
      </c>
    </row>
    <row r="224" spans="1:15" ht="16.5" customHeight="1">
      <c r="A224" s="47">
        <v>13</v>
      </c>
      <c r="B224" s="133" t="str">
        <f>HYPERLINK("#'" &amp; TEXT(투자전략!$G$1+12, "[$-ko-KR]yyyy.mm.dd") &amp; "'!A148:O172", TEXT(투자전략!$G$1+12, "[$-ko-KR]yyyy.mm.dd"))</f>
        <v>2023.01.13</v>
      </c>
      <c r="C224" s="118">
        <f t="shared" ca="1" si="65"/>
        <v>3000000</v>
      </c>
      <c r="D224" s="122">
        <f t="shared" ca="1" si="66"/>
        <v>3000000</v>
      </c>
      <c r="E224" s="70">
        <f t="shared" ca="1" si="67"/>
        <v>0</v>
      </c>
      <c r="F224" s="120">
        <f t="shared" ca="1" si="68"/>
        <v>0</v>
      </c>
      <c r="G224" s="122">
        <f t="shared" ca="1" si="69"/>
        <v>3018166.9922344144</v>
      </c>
      <c r="H224" s="70">
        <f t="shared" ca="1" si="70"/>
        <v>6.0556640781382542E-3</v>
      </c>
      <c r="I224" s="120">
        <f t="shared" ca="1" si="71"/>
        <v>18166.992234414764</v>
      </c>
      <c r="J224" s="122">
        <f t="shared" ca="1" si="72"/>
        <v>3003639.6425623768</v>
      </c>
      <c r="K224" s="70">
        <f t="shared" ca="1" si="73"/>
        <v>1.213214187458993E-3</v>
      </c>
      <c r="L224" s="120">
        <f t="shared" ca="1" si="74"/>
        <v>3639.6425623769801</v>
      </c>
      <c r="M224" s="122">
        <f t="shared" ca="1" si="75"/>
        <v>2989169.7434797278</v>
      </c>
      <c r="N224" s="70">
        <f t="shared" ca="1" si="76"/>
        <v>-3.610085506757333E-3</v>
      </c>
      <c r="O224" s="120">
        <f t="shared" ca="1" si="77"/>
        <v>-10830.256520271998</v>
      </c>
    </row>
    <row r="225" spans="1:15" ht="16.5" customHeight="1" thickBot="1">
      <c r="A225" s="48">
        <v>14</v>
      </c>
      <c r="B225" s="134" t="str">
        <f>HYPERLINK("#'" &amp; TEXT(투자전략!$G$1+13, "[$-ko-KR]yyyy.mm.dd") &amp; "'!A148:O172", TEXT(투자전략!$G$1+13, "[$-ko-KR]yyyy.mm.dd"))</f>
        <v>2023.01.14</v>
      </c>
      <c r="C225" s="119">
        <f t="shared" ca="1" si="65"/>
        <v>3000000</v>
      </c>
      <c r="D225" s="123">
        <f t="shared" ca="1" si="66"/>
        <v>3208797.8299602629</v>
      </c>
      <c r="E225" s="72">
        <f t="shared" ca="1" si="67"/>
        <v>6.9599276653421124E-2</v>
      </c>
      <c r="F225" s="121">
        <f t="shared" ca="1" si="68"/>
        <v>208797.82996026336</v>
      </c>
      <c r="G225" s="123">
        <f t="shared" ca="1" si="69"/>
        <v>3172561.4140979634</v>
      </c>
      <c r="H225" s="72">
        <f t="shared" ca="1" si="70"/>
        <v>5.7520471365987716E-2</v>
      </c>
      <c r="I225" s="121">
        <f t="shared" ca="1" si="71"/>
        <v>172561.41409796313</v>
      </c>
      <c r="J225" s="123">
        <f t="shared" ca="1" si="72"/>
        <v>3274181.1822584253</v>
      </c>
      <c r="K225" s="72">
        <f t="shared" ca="1" si="73"/>
        <v>9.1393727419475185E-2</v>
      </c>
      <c r="L225" s="121">
        <f t="shared" ca="1" si="74"/>
        <v>274181.18225842557</v>
      </c>
      <c r="M225" s="123">
        <f t="shared" ca="1" si="75"/>
        <v>3259849.7467090148</v>
      </c>
      <c r="N225" s="72">
        <f t="shared" ca="1" si="76"/>
        <v>8.6616582236338197E-2</v>
      </c>
      <c r="O225" s="121">
        <f t="shared" ca="1" si="77"/>
        <v>259849.74670901464</v>
      </c>
    </row>
    <row r="226" spans="1:15" ht="16.5" customHeight="1">
      <c r="A226" s="46">
        <v>15</v>
      </c>
      <c r="B226" s="132" t="str">
        <f>HYPERLINK("#'" &amp; TEXT(투자전략!$G$1+14, "[$-ko-KR]yyyy.mm.dd") &amp; "'!A148:O172", TEXT(투자전략!$G$1+14, "[$-ko-KR]yyyy.mm.dd"))</f>
        <v>2023.01.15</v>
      </c>
      <c r="C226" s="118">
        <f t="shared" ca="1" si="65"/>
        <v>3000000</v>
      </c>
      <c r="D226" s="122">
        <f t="shared" ca="1" si="66"/>
        <v>3106160.2773291804</v>
      </c>
      <c r="E226" s="70">
        <f t="shared" ca="1" si="67"/>
        <v>3.5386759109726676E-2</v>
      </c>
      <c r="F226" s="120">
        <f t="shared" ca="1" si="68"/>
        <v>106160.27732918004</v>
      </c>
      <c r="G226" s="122">
        <f t="shared" ca="1" si="69"/>
        <v>3078812.7220834135</v>
      </c>
      <c r="H226" s="70">
        <f t="shared" ca="1" si="70"/>
        <v>2.6270907361137845E-2</v>
      </c>
      <c r="I226" s="120">
        <f t="shared" ca="1" si="71"/>
        <v>78812.722083413522</v>
      </c>
      <c r="J226" s="122">
        <f t="shared" ca="1" si="72"/>
        <v>3096067.2596573182</v>
      </c>
      <c r="K226" s="70">
        <f t="shared" ca="1" si="73"/>
        <v>3.2022419885772826E-2</v>
      </c>
      <c r="L226" s="120">
        <f t="shared" ca="1" si="74"/>
        <v>96067.259657318427</v>
      </c>
      <c r="M226" s="122">
        <f t="shared" ca="1" si="75"/>
        <v>3096127.796739995</v>
      </c>
      <c r="N226" s="70">
        <f t="shared" ca="1" si="76"/>
        <v>3.2042598913331742E-2</v>
      </c>
      <c r="O226" s="120">
        <f t="shared" ca="1" si="77"/>
        <v>96127.796739995218</v>
      </c>
    </row>
    <row r="227" spans="1:15" ht="16.5" customHeight="1">
      <c r="A227" s="47">
        <v>16</v>
      </c>
      <c r="B227" s="133" t="str">
        <f>HYPERLINK("#'" &amp; TEXT(투자전략!$G$1+15, "[$-ko-KR]yyyy.mm.dd") &amp; "'!A148:O172", TEXT(투자전략!$G$1+15, "[$-ko-KR]yyyy.mm.dd"))</f>
        <v>2023.01.16</v>
      </c>
      <c r="C227" s="118">
        <f t="shared" ca="1" si="65"/>
        <v>3000000</v>
      </c>
      <c r="D227" s="122">
        <f t="shared" ca="1" si="66"/>
        <v>3134137.1271965657</v>
      </c>
      <c r="E227" s="70">
        <f t="shared" ca="1" si="67"/>
        <v>4.4712375732188558E-2</v>
      </c>
      <c r="F227" s="120">
        <f t="shared" ca="1" si="68"/>
        <v>134137.12719656565</v>
      </c>
      <c r="G227" s="122">
        <f t="shared" ca="1" si="69"/>
        <v>3038931.7121692589</v>
      </c>
      <c r="H227" s="70">
        <f t="shared" ca="1" si="70"/>
        <v>1.297723738975301E-2</v>
      </c>
      <c r="I227" s="120">
        <f t="shared" ca="1" si="71"/>
        <v>38931.712169259037</v>
      </c>
      <c r="J227" s="122">
        <f t="shared" ca="1" si="72"/>
        <v>3052104.5075505604</v>
      </c>
      <c r="K227" s="70">
        <f t="shared" ca="1" si="73"/>
        <v>1.7368169183520084E-2</v>
      </c>
      <c r="L227" s="120">
        <f t="shared" ca="1" si="74"/>
        <v>52104.507550560244</v>
      </c>
      <c r="M227" s="122">
        <f t="shared" ca="1" si="75"/>
        <v>3060595.7404475319</v>
      </c>
      <c r="N227" s="70">
        <f t="shared" ca="1" si="76"/>
        <v>2.0198580149177355E-2</v>
      </c>
      <c r="O227" s="120">
        <f t="shared" ca="1" si="77"/>
        <v>60595.740447532065</v>
      </c>
    </row>
    <row r="228" spans="1:15" ht="16.5" customHeight="1">
      <c r="A228" s="47">
        <v>17</v>
      </c>
      <c r="B228" s="133" t="str">
        <f>HYPERLINK("#'" &amp; TEXT(투자전략!$G$1+16, "[$-ko-KR]yyyy.mm.dd") &amp; "'!A148:O172", TEXT(투자전략!$G$1+16, "[$-ko-KR]yyyy.mm.dd"))</f>
        <v>2023.01.17</v>
      </c>
      <c r="C228" s="118">
        <f t="shared" ca="1" si="65"/>
        <v>3000000</v>
      </c>
      <c r="D228" s="122">
        <f t="shared" ca="1" si="66"/>
        <v>3025250.3467208263</v>
      </c>
      <c r="E228" s="70">
        <f t="shared" ca="1" si="67"/>
        <v>8.416782240275469E-3</v>
      </c>
      <c r="F228" s="120">
        <f t="shared" ca="1" si="68"/>
        <v>25250.346720826412</v>
      </c>
      <c r="G228" s="122">
        <f t="shared" ca="1" si="69"/>
        <v>3020955.5845990218</v>
      </c>
      <c r="H228" s="70">
        <f t="shared" ca="1" si="70"/>
        <v>6.9851948663406747E-3</v>
      </c>
      <c r="I228" s="120">
        <f t="shared" ca="1" si="71"/>
        <v>20955.584599022022</v>
      </c>
      <c r="J228" s="122">
        <f t="shared" ca="1" si="72"/>
        <v>3042218.6188873458</v>
      </c>
      <c r="K228" s="70">
        <f t="shared" ca="1" si="73"/>
        <v>1.4072872962448701E-2</v>
      </c>
      <c r="L228" s="120">
        <f t="shared" ca="1" si="74"/>
        <v>42218.618887346107</v>
      </c>
      <c r="M228" s="122">
        <f t="shared" ca="1" si="75"/>
        <v>3044692.7803855762</v>
      </c>
      <c r="N228" s="70">
        <f t="shared" ca="1" si="76"/>
        <v>1.4897593461858677E-2</v>
      </c>
      <c r="O228" s="120">
        <f t="shared" ca="1" si="77"/>
        <v>44692.780385576043</v>
      </c>
    </row>
    <row r="229" spans="1:15" ht="16.5" customHeight="1">
      <c r="A229" s="47">
        <v>18</v>
      </c>
      <c r="B229" s="133" t="str">
        <f>HYPERLINK("#'" &amp; TEXT(투자전략!$G$1+17, "[$-ko-KR]yyyy.mm.dd") &amp; "'!A148:O172", TEXT(투자전략!$G$1+17, "[$-ko-KR]yyyy.mm.dd"))</f>
        <v>2023.01.18</v>
      </c>
      <c r="C229" s="118">
        <f t="shared" ca="1" si="65"/>
        <v>3000000</v>
      </c>
      <c r="D229" s="122">
        <f t="shared" ca="1" si="66"/>
        <v>3027605.480633988</v>
      </c>
      <c r="E229" s="70">
        <f t="shared" ca="1" si="67"/>
        <v>9.2018268779960211E-3</v>
      </c>
      <c r="F229" s="120">
        <f t="shared" ca="1" si="68"/>
        <v>27605.480633988063</v>
      </c>
      <c r="G229" s="122">
        <f t="shared" ca="1" si="69"/>
        <v>2932005.1623990773</v>
      </c>
      <c r="H229" s="70">
        <f t="shared" ca="1" si="70"/>
        <v>-2.2664945866974189E-2</v>
      </c>
      <c r="I229" s="120">
        <f t="shared" ca="1" si="71"/>
        <v>-67994.837600922576</v>
      </c>
      <c r="J229" s="122">
        <f t="shared" ca="1" si="72"/>
        <v>2945501.706851725</v>
      </c>
      <c r="K229" s="70">
        <f t="shared" ca="1" si="73"/>
        <v>-1.8166097716091643E-2</v>
      </c>
      <c r="L229" s="120">
        <f t="shared" ca="1" si="74"/>
        <v>-54498.293148274934</v>
      </c>
      <c r="M229" s="122">
        <f t="shared" ca="1" si="75"/>
        <v>2975576.2071097735</v>
      </c>
      <c r="N229" s="70">
        <f t="shared" ca="1" si="76"/>
        <v>-8.1412642967422337E-3</v>
      </c>
      <c r="O229" s="120">
        <f t="shared" ca="1" si="77"/>
        <v>-24423.792890226705</v>
      </c>
    </row>
    <row r="230" spans="1:15" ht="16.5" customHeight="1">
      <c r="A230" s="47">
        <v>19</v>
      </c>
      <c r="B230" s="133" t="str">
        <f>HYPERLINK("#'" &amp; TEXT(투자전략!$G$1+18, "[$-ko-KR]yyyy.mm.dd") &amp; "'!A148:O172", TEXT(투자전략!$G$1+18, "[$-ko-KR]yyyy.mm.dd"))</f>
        <v>2023.01.19</v>
      </c>
      <c r="C230" s="118">
        <f t="shared" ca="1" si="65"/>
        <v>3000000</v>
      </c>
      <c r="D230" s="122">
        <f t="shared" ca="1" si="66"/>
        <v>2929833.8005144</v>
      </c>
      <c r="E230" s="70">
        <f t="shared" ca="1" si="67"/>
        <v>-2.3388733161866737E-2</v>
      </c>
      <c r="F230" s="120">
        <f t="shared" ca="1" si="68"/>
        <v>-70166.199485600227</v>
      </c>
      <c r="G230" s="122">
        <f t="shared" ca="1" si="69"/>
        <v>2910666.264730962</v>
      </c>
      <c r="H230" s="70">
        <f t="shared" ca="1" si="70"/>
        <v>-2.9777911756346052E-2</v>
      </c>
      <c r="I230" s="120">
        <f t="shared" ca="1" si="71"/>
        <v>-89333.735269038152</v>
      </c>
      <c r="J230" s="122">
        <f t="shared" ca="1" si="72"/>
        <v>2889777.1184140127</v>
      </c>
      <c r="K230" s="70">
        <f t="shared" ca="1" si="73"/>
        <v>-3.6740960528662339E-2</v>
      </c>
      <c r="L230" s="120">
        <f t="shared" ca="1" si="74"/>
        <v>-110222.88158598704</v>
      </c>
      <c r="M230" s="122">
        <f t="shared" ca="1" si="75"/>
        <v>2891836.7261068504</v>
      </c>
      <c r="N230" s="70">
        <f t="shared" ca="1" si="76"/>
        <v>-3.6054424631049756E-2</v>
      </c>
      <c r="O230" s="120">
        <f t="shared" ca="1" si="77"/>
        <v>-108163.27389314925</v>
      </c>
    </row>
    <row r="231" spans="1:15" ht="16.5" customHeight="1">
      <c r="A231" s="47">
        <v>20</v>
      </c>
      <c r="B231" s="133" t="str">
        <f>HYPERLINK("#'" &amp; TEXT(투자전략!$G$1+19, "[$-ko-KR]yyyy.mm.dd") &amp; "'!A148:O172", TEXT(투자전략!$G$1+19, "[$-ko-KR]yyyy.mm.dd"))</f>
        <v>2023.01.20</v>
      </c>
      <c r="C231" s="118">
        <f t="shared" ca="1" si="65"/>
        <v>3000000</v>
      </c>
      <c r="D231" s="122">
        <f t="shared" ca="1" si="66"/>
        <v>3036199.7752909441</v>
      </c>
      <c r="E231" s="70">
        <f t="shared" ca="1" si="67"/>
        <v>1.2066591763648028E-2</v>
      </c>
      <c r="F231" s="120">
        <f t="shared" ca="1" si="68"/>
        <v>36199.77529094409</v>
      </c>
      <c r="G231" s="122">
        <f t="shared" ca="1" si="69"/>
        <v>3048027.6125321114</v>
      </c>
      <c r="H231" s="70">
        <f t="shared" ca="1" si="70"/>
        <v>1.6009204177370527E-2</v>
      </c>
      <c r="I231" s="120">
        <f t="shared" ca="1" si="71"/>
        <v>48027.612532111576</v>
      </c>
      <c r="J231" s="122">
        <f t="shared" ca="1" si="72"/>
        <v>3047694.5686896038</v>
      </c>
      <c r="K231" s="70">
        <f t="shared" ca="1" si="73"/>
        <v>1.589818956320143E-2</v>
      </c>
      <c r="L231" s="120">
        <f t="shared" ca="1" si="74"/>
        <v>47694.568689604283</v>
      </c>
      <c r="M231" s="122">
        <f t="shared" ca="1" si="75"/>
        <v>3069178.2216937821</v>
      </c>
      <c r="N231" s="70">
        <f t="shared" ca="1" si="76"/>
        <v>2.305940723126056E-2</v>
      </c>
      <c r="O231" s="120">
        <f t="shared" ca="1" si="77"/>
        <v>69178.22169378167</v>
      </c>
    </row>
    <row r="232" spans="1:15" ht="16.5" customHeight="1" thickBot="1">
      <c r="A232" s="48">
        <v>21</v>
      </c>
      <c r="B232" s="134" t="str">
        <f>HYPERLINK("#'" &amp; TEXT(투자전략!$G$1+20, "[$-ko-KR]yyyy.mm.dd") &amp; "'!A148:O172", TEXT(투자전략!$G$1+20, "[$-ko-KR]yyyy.mm.dd"))</f>
        <v>2023.01.21</v>
      </c>
      <c r="C232" s="118">
        <f t="shared" ca="1" si="65"/>
        <v>3000000</v>
      </c>
      <c r="D232" s="122">
        <f t="shared" ca="1" si="66"/>
        <v>3197249.1749650757</v>
      </c>
      <c r="E232" s="70">
        <f t="shared" ca="1" si="67"/>
        <v>6.5749724988358502E-2</v>
      </c>
      <c r="F232" s="120">
        <f t="shared" ca="1" si="68"/>
        <v>197249.17496507557</v>
      </c>
      <c r="G232" s="122">
        <f t="shared" ca="1" si="69"/>
        <v>3221500.6220841925</v>
      </c>
      <c r="H232" s="70">
        <f t="shared" ca="1" si="70"/>
        <v>7.3833540694730734E-2</v>
      </c>
      <c r="I232" s="120">
        <f t="shared" ca="1" si="71"/>
        <v>221500.62208419223</v>
      </c>
      <c r="J232" s="122">
        <f t="shared" ca="1" si="72"/>
        <v>3204354.003268789</v>
      </c>
      <c r="K232" s="70">
        <f t="shared" ca="1" si="73"/>
        <v>6.8118001089596217E-2</v>
      </c>
      <c r="L232" s="120">
        <f t="shared" ca="1" si="74"/>
        <v>204354.00326878869</v>
      </c>
      <c r="M232" s="122">
        <f t="shared" ca="1" si="75"/>
        <v>3223449.8176296158</v>
      </c>
      <c r="N232" s="70">
        <f t="shared" ca="1" si="76"/>
        <v>7.448327254320522E-2</v>
      </c>
      <c r="O232" s="120">
        <f t="shared" ca="1" si="77"/>
        <v>223449.81762961572</v>
      </c>
    </row>
    <row r="233" spans="1:15" ht="16.5" customHeight="1">
      <c r="A233" s="46">
        <v>22</v>
      </c>
      <c r="B233" s="132" t="str">
        <f>HYPERLINK("#'" &amp; TEXT(투자전략!$G$1+21, "[$-ko-KR]yyyy.mm.dd") &amp; "'!A148:O172", TEXT(투자전략!$G$1+21, "[$-ko-KR]yyyy.mm.dd"))</f>
        <v>2023.01.22</v>
      </c>
      <c r="C233" s="117">
        <f t="shared" ca="1" si="65"/>
        <v>3000000</v>
      </c>
      <c r="D233" s="125">
        <f t="shared" ca="1" si="66"/>
        <v>2975385.4806382484</v>
      </c>
      <c r="E233" s="69">
        <f t="shared" ca="1" si="67"/>
        <v>-8.2048397872506382E-3</v>
      </c>
      <c r="F233" s="124">
        <f t="shared" ca="1" si="68"/>
        <v>-24614.519361751914</v>
      </c>
      <c r="G233" s="125">
        <f t="shared" ca="1" si="69"/>
        <v>2991191.1198911513</v>
      </c>
      <c r="H233" s="69">
        <f t="shared" ca="1" si="70"/>
        <v>-2.9362933696162469E-3</v>
      </c>
      <c r="I233" s="124">
        <f t="shared" ca="1" si="71"/>
        <v>-8808.880108848738</v>
      </c>
      <c r="J233" s="125">
        <f t="shared" ca="1" si="72"/>
        <v>2993600.455451401</v>
      </c>
      <c r="K233" s="69">
        <f t="shared" ca="1" si="73"/>
        <v>-2.1331815161996703E-3</v>
      </c>
      <c r="L233" s="124">
        <f t="shared" ca="1" si="74"/>
        <v>-6399.5445485990094</v>
      </c>
      <c r="M233" s="125">
        <f t="shared" ca="1" si="75"/>
        <v>3033779.6495127114</v>
      </c>
      <c r="N233" s="69">
        <f t="shared" ca="1" si="76"/>
        <v>1.1259883170903812E-2</v>
      </c>
      <c r="O233" s="124">
        <f t="shared" ca="1" si="77"/>
        <v>33779.649512711439</v>
      </c>
    </row>
    <row r="234" spans="1:15" ht="16.5" customHeight="1">
      <c r="A234" s="47">
        <v>23</v>
      </c>
      <c r="B234" s="133" t="str">
        <f>HYPERLINK("#'" &amp; TEXT(투자전략!$G$1+22, "[$-ko-KR]yyyy.mm.dd") &amp; "'!A148:O172", TEXT(투자전략!$G$1+22, "[$-ko-KR]yyyy.mm.dd"))</f>
        <v>2023.01.23</v>
      </c>
      <c r="C234" s="118">
        <f t="shared" ca="1" si="65"/>
        <v>3000000</v>
      </c>
      <c r="D234" s="122">
        <f t="shared" ca="1" si="66"/>
        <v>3004094.2935138601</v>
      </c>
      <c r="E234" s="70">
        <f t="shared" ca="1" si="67"/>
        <v>1.364764504620052E-3</v>
      </c>
      <c r="F234" s="120">
        <f t="shared" ca="1" si="68"/>
        <v>4094.2935138601579</v>
      </c>
      <c r="G234" s="122">
        <f t="shared" ca="1" si="69"/>
        <v>2999383.9509721189</v>
      </c>
      <c r="H234" s="70">
        <f t="shared" ca="1" si="70"/>
        <v>-2.0534967596042971E-4</v>
      </c>
      <c r="I234" s="120">
        <f t="shared" ca="1" si="71"/>
        <v>-616.04902788129084</v>
      </c>
      <c r="J234" s="122">
        <f t="shared" ca="1" si="72"/>
        <v>3025120.7667533988</v>
      </c>
      <c r="K234" s="70">
        <f t="shared" ca="1" si="73"/>
        <v>8.3735889177995286E-3</v>
      </c>
      <c r="L234" s="120">
        <f t="shared" ca="1" si="74"/>
        <v>25120.766753398584</v>
      </c>
      <c r="M234" s="122">
        <f t="shared" ca="1" si="75"/>
        <v>2973193.6184964944</v>
      </c>
      <c r="N234" s="70">
        <f t="shared" ca="1" si="76"/>
        <v>-8.9354605011685087E-3</v>
      </c>
      <c r="O234" s="120">
        <f t="shared" ca="1" si="77"/>
        <v>-26806.381503505527</v>
      </c>
    </row>
    <row r="235" spans="1:15" ht="16.5" customHeight="1">
      <c r="A235" s="47">
        <v>24</v>
      </c>
      <c r="B235" s="133" t="str">
        <f>HYPERLINK("#'" &amp; TEXT(투자전략!$G$1+23, "[$-ko-KR]yyyy.mm.dd") &amp; "'!A148:O172", TEXT(투자전략!$G$1+23, "[$-ko-KR]yyyy.mm.dd"))</f>
        <v>2023.01.24</v>
      </c>
      <c r="C235" s="118">
        <f t="shared" ca="1" si="65"/>
        <v>3000000</v>
      </c>
      <c r="D235" s="122">
        <f t="shared" ca="1" si="66"/>
        <v>3157556.1747962614</v>
      </c>
      <c r="E235" s="70">
        <f t="shared" ca="1" si="67"/>
        <v>5.2518724932087105E-2</v>
      </c>
      <c r="F235" s="120">
        <f t="shared" ca="1" si="68"/>
        <v>157556.17479626127</v>
      </c>
      <c r="G235" s="122">
        <f t="shared" ca="1" si="69"/>
        <v>3107284.2818422629</v>
      </c>
      <c r="H235" s="70">
        <f t="shared" ca="1" si="70"/>
        <v>3.5761427280754349E-2</v>
      </c>
      <c r="I235" s="120">
        <f t="shared" ca="1" si="71"/>
        <v>107284.28184226302</v>
      </c>
      <c r="J235" s="122">
        <f t="shared" ca="1" si="72"/>
        <v>3152489.2910437533</v>
      </c>
      <c r="K235" s="70">
        <f t="shared" ca="1" si="73"/>
        <v>5.0829763681251118E-2</v>
      </c>
      <c r="L235" s="120">
        <f t="shared" ca="1" si="74"/>
        <v>152489.29104375336</v>
      </c>
      <c r="M235" s="122">
        <f t="shared" ca="1" si="75"/>
        <v>3193541.6583244945</v>
      </c>
      <c r="N235" s="70">
        <f t="shared" ca="1" si="76"/>
        <v>6.4513886108164858E-2</v>
      </c>
      <c r="O235" s="120">
        <f t="shared" ca="1" si="77"/>
        <v>193541.65832449458</v>
      </c>
    </row>
    <row r="236" spans="1:15" ht="16.5" customHeight="1">
      <c r="A236" s="47">
        <v>25</v>
      </c>
      <c r="B236" s="133" t="str">
        <f>HYPERLINK("#'" &amp; TEXT(투자전략!$G$1+24, "[$-ko-KR]yyyy.mm.dd") &amp; "'!A148:O172", TEXT(투자전략!$G$1+24, "[$-ko-KR]yyyy.mm.dd"))</f>
        <v>2023.01.25</v>
      </c>
      <c r="C236" s="118">
        <f t="shared" ca="1" si="65"/>
        <v>3000000</v>
      </c>
      <c r="D236" s="122">
        <f t="shared" ca="1" si="66"/>
        <v>2845556.4347239099</v>
      </c>
      <c r="E236" s="70">
        <f t="shared" ca="1" si="67"/>
        <v>-5.1481188425363297E-2</v>
      </c>
      <c r="F236" s="120">
        <f t="shared" ca="1" si="68"/>
        <v>-154443.56527608991</v>
      </c>
      <c r="G236" s="122">
        <f t="shared" ca="1" si="69"/>
        <v>2844783.8612559321</v>
      </c>
      <c r="H236" s="70">
        <f t="shared" ca="1" si="70"/>
        <v>-5.1738712914689254E-2</v>
      </c>
      <c r="I236" s="120">
        <f t="shared" ca="1" si="71"/>
        <v>-155216.13874406775</v>
      </c>
      <c r="J236" s="122">
        <f t="shared" ca="1" si="72"/>
        <v>2840125.2437499827</v>
      </c>
      <c r="K236" s="70">
        <f t="shared" ca="1" si="73"/>
        <v>-5.3291585416672414E-2</v>
      </c>
      <c r="L236" s="120">
        <f t="shared" ca="1" si="74"/>
        <v>-159874.75625001721</v>
      </c>
      <c r="M236" s="122">
        <f t="shared" ca="1" si="75"/>
        <v>2820396.511643013</v>
      </c>
      <c r="N236" s="70">
        <f t="shared" ca="1" si="76"/>
        <v>-5.9867829452328894E-2</v>
      </c>
      <c r="O236" s="120">
        <f t="shared" ca="1" si="77"/>
        <v>-179603.48835698664</v>
      </c>
    </row>
    <row r="237" spans="1:15" ht="16.5" customHeight="1">
      <c r="A237" s="47">
        <v>26</v>
      </c>
      <c r="B237" s="133" t="str">
        <f>HYPERLINK("#'" &amp; TEXT(투자전략!$G$1+25, "[$-ko-KR]yyyy.mm.dd") &amp; "'!A148:O172", TEXT(투자전략!$G$1+25, "[$-ko-KR]yyyy.mm.dd"))</f>
        <v>2023.01.26</v>
      </c>
      <c r="C237" s="118">
        <f t="shared" ca="1" si="65"/>
        <v>3000000</v>
      </c>
      <c r="D237" s="122">
        <f t="shared" ca="1" si="66"/>
        <v>3182576.4647993548</v>
      </c>
      <c r="E237" s="70">
        <f t="shared" ca="1" si="67"/>
        <v>6.0858821599784993E-2</v>
      </c>
      <c r="F237" s="120">
        <f t="shared" ca="1" si="68"/>
        <v>182576.46479935502</v>
      </c>
      <c r="G237" s="122">
        <f t="shared" ca="1" si="69"/>
        <v>3177657.675028672</v>
      </c>
      <c r="H237" s="70">
        <f t="shared" ca="1" si="70"/>
        <v>5.9219225009557418E-2</v>
      </c>
      <c r="I237" s="120">
        <f t="shared" ca="1" si="71"/>
        <v>177657.67502867227</v>
      </c>
      <c r="J237" s="122">
        <f t="shared" ca="1" si="72"/>
        <v>3156240.8570892699</v>
      </c>
      <c r="K237" s="70">
        <f t="shared" ca="1" si="73"/>
        <v>5.2080285696423215E-2</v>
      </c>
      <c r="L237" s="120">
        <f t="shared" ca="1" si="74"/>
        <v>156240.85708926962</v>
      </c>
      <c r="M237" s="122">
        <f t="shared" ca="1" si="75"/>
        <v>3152352.2360550808</v>
      </c>
      <c r="N237" s="70">
        <f t="shared" ca="1" si="76"/>
        <v>5.0784078685026789E-2</v>
      </c>
      <c r="O237" s="120">
        <f t="shared" ca="1" si="77"/>
        <v>152352.23605508037</v>
      </c>
    </row>
    <row r="238" spans="1:15" ht="16.5" customHeight="1">
      <c r="A238" s="47">
        <v>27</v>
      </c>
      <c r="B238" s="133" t="str">
        <f>HYPERLINK("#'" &amp; TEXT(투자전략!$G$1+26, "[$-ko-KR]yyyy.mm.dd") &amp; "'!A148:O172", TEXT(투자전략!$G$1+26, "[$-ko-KR]yyyy.mm.dd"))</f>
        <v>2023.01.27</v>
      </c>
      <c r="C238" s="118">
        <f t="shared" ca="1" si="65"/>
        <v>3000000</v>
      </c>
      <c r="D238" s="122">
        <f t="shared" ca="1" si="66"/>
        <v>3070910.7241545361</v>
      </c>
      <c r="E238" s="70">
        <f t="shared" ca="1" si="67"/>
        <v>2.3636908051511966E-2</v>
      </c>
      <c r="F238" s="120">
        <f t="shared" ca="1" si="68"/>
        <v>70910.724154535885</v>
      </c>
      <c r="G238" s="122">
        <f t="shared" ca="1" si="69"/>
        <v>3048994.1895768289</v>
      </c>
      <c r="H238" s="70">
        <f t="shared" ca="1" si="70"/>
        <v>1.6331396525609568E-2</v>
      </c>
      <c r="I238" s="120">
        <f t="shared" ca="1" si="71"/>
        <v>48994.1895768287</v>
      </c>
      <c r="J238" s="122">
        <f t="shared" ca="1" si="72"/>
        <v>3068811.4664114993</v>
      </c>
      <c r="K238" s="70">
        <f t="shared" ca="1" si="73"/>
        <v>2.2937155470499737E-2</v>
      </c>
      <c r="L238" s="120">
        <f t="shared" ca="1" si="74"/>
        <v>68811.466411499234</v>
      </c>
      <c r="M238" s="122">
        <f t="shared" ca="1" si="75"/>
        <v>3075586.992926179</v>
      </c>
      <c r="N238" s="70">
        <f t="shared" ca="1" si="76"/>
        <v>2.5195664308726395E-2</v>
      </c>
      <c r="O238" s="120">
        <f t="shared" ca="1" si="77"/>
        <v>75586.992926179184</v>
      </c>
    </row>
    <row r="239" spans="1:15" ht="16.5" customHeight="1" thickBot="1">
      <c r="A239" s="48">
        <v>28</v>
      </c>
      <c r="B239" s="134" t="str">
        <f>HYPERLINK("#'" &amp; TEXT(투자전략!$G$1+27, "[$-ko-KR]yyyy.mm.dd") &amp; "'!A148:O172", TEXT(투자전략!$G$1+27, "[$-ko-KR]yyyy.mm.dd"))</f>
        <v>2023.01.28</v>
      </c>
      <c r="C239" s="119">
        <f t="shared" ca="1" si="65"/>
        <v>3000000</v>
      </c>
      <c r="D239" s="123">
        <f t="shared" ca="1" si="66"/>
        <v>3123749.7695147037</v>
      </c>
      <c r="E239" s="72">
        <f t="shared" ca="1" si="67"/>
        <v>4.1249923171568018E-2</v>
      </c>
      <c r="F239" s="121">
        <f t="shared" ca="1" si="68"/>
        <v>123749.76951470404</v>
      </c>
      <c r="G239" s="123">
        <f t="shared" ca="1" si="69"/>
        <v>3091838.7897879495</v>
      </c>
      <c r="H239" s="72">
        <f t="shared" ca="1" si="70"/>
        <v>3.0612929929316524E-2</v>
      </c>
      <c r="I239" s="121">
        <f t="shared" ca="1" si="71"/>
        <v>91838.789787949572</v>
      </c>
      <c r="J239" s="123">
        <f t="shared" ca="1" si="72"/>
        <v>3079906.0345831239</v>
      </c>
      <c r="K239" s="72">
        <f t="shared" ca="1" si="73"/>
        <v>2.6635344861041209E-2</v>
      </c>
      <c r="L239" s="121">
        <f t="shared" ca="1" si="74"/>
        <v>79906.034583123648</v>
      </c>
      <c r="M239" s="123">
        <f t="shared" ca="1" si="75"/>
        <v>3036692.990677427</v>
      </c>
      <c r="N239" s="72">
        <f t="shared" ca="1" si="76"/>
        <v>1.2230996892475542E-2</v>
      </c>
      <c r="O239" s="121">
        <f t="shared" ca="1" si="77"/>
        <v>36692.99067742662</v>
      </c>
    </row>
    <row r="240" spans="1:15" ht="16.5" customHeight="1">
      <c r="A240" s="105">
        <v>29</v>
      </c>
      <c r="B240" s="132" t="str">
        <f>HYPERLINK("#'" &amp; TEXT(투자전략!$G$1+28, "[$-ko-KR]yyyy.mm.dd") &amp; "'!A148:O172", TEXT(투자전략!$G$1+28, "[$-ko-KR]yyyy.mm.dd"))</f>
        <v>2023.01.29</v>
      </c>
      <c r="C240" s="118">
        <f t="shared" ca="1" si="65"/>
        <v>3000000</v>
      </c>
      <c r="D240" s="122">
        <f t="shared" ca="1" si="66"/>
        <v>3027427.598907501</v>
      </c>
      <c r="E240" s="70">
        <f t="shared" ca="1" si="67"/>
        <v>9.1425329691670939E-3</v>
      </c>
      <c r="F240" s="120">
        <f t="shared" ca="1" si="68"/>
        <v>27427.598907501288</v>
      </c>
      <c r="G240" s="122">
        <f t="shared" ca="1" si="69"/>
        <v>3025071.2227939852</v>
      </c>
      <c r="H240" s="70">
        <f t="shared" ca="1" si="70"/>
        <v>8.3570742646616059E-3</v>
      </c>
      <c r="I240" s="120">
        <f t="shared" ca="1" si="71"/>
        <v>25071.222793984824</v>
      </c>
      <c r="J240" s="122">
        <f t="shared" ca="1" si="72"/>
        <v>3025071.2227939852</v>
      </c>
      <c r="K240" s="70">
        <f t="shared" ca="1" si="73"/>
        <v>8.3570742646616059E-3</v>
      </c>
      <c r="L240" s="120">
        <f t="shared" ca="1" si="74"/>
        <v>25071.222793984824</v>
      </c>
      <c r="M240" s="122">
        <f t="shared" ca="1" si="75"/>
        <v>3025071.2227939852</v>
      </c>
      <c r="N240" s="70">
        <f t="shared" ca="1" si="76"/>
        <v>8.3570742646616059E-3</v>
      </c>
      <c r="O240" s="120">
        <f t="shared" ca="1" si="77"/>
        <v>25071.222793984824</v>
      </c>
    </row>
    <row r="241" spans="1:15" ht="16.5" customHeight="1">
      <c r="A241" s="105">
        <v>30</v>
      </c>
      <c r="B241" s="133" t="str">
        <f>HYPERLINK("#'" &amp; TEXT(투자전략!$G$1+29, "[$-ko-KR]yyyy.mm.dd") &amp; "'!A148:O172", TEXT(투자전략!$G$1+29, "[$-ko-KR]yyyy.mm.dd"))</f>
        <v>2023.01.30</v>
      </c>
      <c r="C241" s="118" t="str">
        <f t="shared" ca="1" si="65"/>
        <v/>
      </c>
      <c r="D241" s="122" t="str">
        <f t="shared" ca="1" si="66"/>
        <v/>
      </c>
      <c r="E241" s="70" t="str">
        <f t="shared" ca="1" si="67"/>
        <v/>
      </c>
      <c r="F241" s="120" t="str">
        <f t="shared" ca="1" si="68"/>
        <v/>
      </c>
      <c r="G241" s="122" t="str">
        <f t="shared" ca="1" si="69"/>
        <v/>
      </c>
      <c r="H241" s="70" t="str">
        <f t="shared" ca="1" si="70"/>
        <v/>
      </c>
      <c r="I241" s="120" t="str">
        <f t="shared" ca="1" si="71"/>
        <v/>
      </c>
      <c r="J241" s="122" t="str">
        <f t="shared" ca="1" si="72"/>
        <v/>
      </c>
      <c r="K241" s="70" t="str">
        <f t="shared" ca="1" si="73"/>
        <v/>
      </c>
      <c r="L241" s="120" t="str">
        <f t="shared" ca="1" si="74"/>
        <v/>
      </c>
      <c r="M241" s="122" t="str">
        <f t="shared" ca="1" si="75"/>
        <v/>
      </c>
      <c r="N241" s="70" t="str">
        <f t="shared" ca="1" si="76"/>
        <v/>
      </c>
      <c r="O241" s="120" t="str">
        <f t="shared" ca="1" si="77"/>
        <v/>
      </c>
    </row>
    <row r="242" spans="1:15" ht="16.5" customHeight="1" thickBot="1">
      <c r="A242" s="105">
        <v>31</v>
      </c>
      <c r="B242" s="133" t="str">
        <f>HYPERLINK("#'" &amp; TEXT(투자전략!$G$1+30, "[$-ko-KR]yyyy.mm.dd") &amp; "'!A148:O172", TEXT(투자전략!$G$1+30, "[$-ko-KR]yyyy.mm.dd"))</f>
        <v>2023.01.31</v>
      </c>
      <c r="C242" s="119">
        <f t="shared" ca="1" si="65"/>
        <v>3000000</v>
      </c>
      <c r="D242" s="123">
        <f t="shared" ca="1" si="66"/>
        <v>3039151.5866257213</v>
      </c>
      <c r="E242" s="72">
        <f t="shared" ca="1" si="67"/>
        <v>1.3050528875240552E-2</v>
      </c>
      <c r="F242" s="121">
        <f t="shared" ca="1" si="68"/>
        <v>39151.586625721655</v>
      </c>
      <c r="G242" s="123">
        <f t="shared" ca="1" si="69"/>
        <v>3039151.5866257213</v>
      </c>
      <c r="H242" s="72">
        <f t="shared" ca="1" si="70"/>
        <v>1.3050528875240552E-2</v>
      </c>
      <c r="I242" s="121">
        <f t="shared" ca="1" si="71"/>
        <v>39151.586625721655</v>
      </c>
      <c r="J242" s="123">
        <f t="shared" ca="1" si="72"/>
        <v>3039151.5866257213</v>
      </c>
      <c r="K242" s="72">
        <f t="shared" ca="1" si="73"/>
        <v>1.3050528875240552E-2</v>
      </c>
      <c r="L242" s="121">
        <f t="shared" ca="1" si="74"/>
        <v>39151.586625721655</v>
      </c>
      <c r="M242" s="123">
        <f t="shared" ca="1" si="75"/>
        <v>3039151.5866257213</v>
      </c>
      <c r="N242" s="72">
        <f t="shared" ca="1" si="76"/>
        <v>1.3050528875240552E-2</v>
      </c>
      <c r="O242" s="121">
        <f t="shared" ca="1" si="77"/>
        <v>39151.586625721655</v>
      </c>
    </row>
    <row r="243" spans="1:15" ht="16.5" customHeight="1" thickBot="1">
      <c r="A243" s="185" t="s">
        <v>270</v>
      </c>
      <c r="B243" s="187"/>
      <c r="C243" s="116" t="s">
        <v>265</v>
      </c>
      <c r="D243" s="9" t="s">
        <v>266</v>
      </c>
      <c r="E243" s="63" t="s">
        <v>267</v>
      </c>
      <c r="F243" s="64" t="s">
        <v>268</v>
      </c>
      <c r="G243" s="9" t="s">
        <v>266</v>
      </c>
      <c r="H243" s="63" t="s">
        <v>267</v>
      </c>
      <c r="I243" s="64" t="s">
        <v>268</v>
      </c>
      <c r="J243" s="9" t="s">
        <v>266</v>
      </c>
      <c r="K243" s="63" t="s">
        <v>267</v>
      </c>
      <c r="L243" s="64" t="s">
        <v>268</v>
      </c>
      <c r="M243" s="9" t="s">
        <v>266</v>
      </c>
      <c r="N243" s="63" t="s">
        <v>267</v>
      </c>
      <c r="O243" s="64" t="s">
        <v>268</v>
      </c>
    </row>
    <row r="244" spans="1:15" ht="16.5" customHeight="1" thickBot="1">
      <c r="A244" s="178"/>
      <c r="B244" s="180"/>
      <c r="C244" s="119">
        <f ca="1">SUM(C212:C242)</f>
        <v>78000000</v>
      </c>
      <c r="D244" s="123">
        <f ca="1">SUM(D212:D242)</f>
        <v>79242856.074466139</v>
      </c>
      <c r="E244" s="72">
        <f ca="1">IFERROR(F244 / (SUM($C212:$C242) / COUNT($C212:$C242)), 0)</f>
        <v>0.41428535815537254</v>
      </c>
      <c r="F244" s="121">
        <f ca="1">SUM(F212:F242)</f>
        <v>1242856.0744661177</v>
      </c>
      <c r="G244" s="123">
        <f ca="1">SUM(G212:G242)</f>
        <v>78933620.669917971</v>
      </c>
      <c r="H244" s="72">
        <f ca="1">IFERROR(I244 / (SUM($C212:$C242) / COUNT($C212:$C242)), 0)</f>
        <v>0.31120688997265733</v>
      </c>
      <c r="I244" s="121">
        <f ca="1">SUM(I212:I242)</f>
        <v>933620.66991797194</v>
      </c>
      <c r="J244" s="123">
        <f ca="1">SUM(J212:J242)</f>
        <v>79099337.020546556</v>
      </c>
      <c r="K244" s="72">
        <f ca="1">IFERROR(L244 / (SUM($C212:$C242) / COUNT($C212:$C242)), 0)</f>
        <v>0.3664456735155196</v>
      </c>
      <c r="L244" s="121">
        <f ca="1">SUM(L212:L242)</f>
        <v>1099337.0205465588</v>
      </c>
      <c r="M244" s="123">
        <f ca="1">SUM(M212:M242)</f>
        <v>79112834.974406987</v>
      </c>
      <c r="N244" s="72">
        <f ca="1">IFERROR(O244 / (SUM($C212:$C242) / COUNT($C212:$C242)), 0)</f>
        <v>0.37094499146899707</v>
      </c>
      <c r="O244" s="121">
        <f ca="1">SUM(O212:O242)</f>
        <v>1112834.9744069912</v>
      </c>
    </row>
    <row r="246" spans="1:15" ht="16.5" customHeight="1" thickBot="1"/>
    <row r="247" spans="1:15" ht="16.5" customHeight="1" thickBot="1">
      <c r="A247" s="157" t="str">
        <f>TEXT(투자전략!$G$1, "[$-ko-KR]yyyy년 mm월 ") &amp; "전일대비 상승률 Bottom20 월말결산"</f>
        <v>2023년 01월 전일대비 상승률 Bottom20 월말결산</v>
      </c>
      <c r="B247" s="158"/>
      <c r="C247" s="158"/>
      <c r="D247" s="158"/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  <c r="O247" s="159"/>
    </row>
    <row r="248" spans="1:15" ht="16.5" customHeight="1" thickBot="1">
      <c r="A248" s="201" t="s">
        <v>271</v>
      </c>
      <c r="B248" s="178" t="s">
        <v>269</v>
      </c>
      <c r="C248" s="180"/>
      <c r="D248" s="178" t="s">
        <v>261</v>
      </c>
      <c r="E248" s="179"/>
      <c r="F248" s="180"/>
      <c r="G248" s="178" t="s">
        <v>262</v>
      </c>
      <c r="H248" s="179"/>
      <c r="I248" s="180"/>
      <c r="J248" s="178" t="s">
        <v>263</v>
      </c>
      <c r="K248" s="179"/>
      <c r="L248" s="180"/>
      <c r="M248" s="178" t="s">
        <v>264</v>
      </c>
      <c r="N248" s="179"/>
      <c r="O248" s="180"/>
    </row>
    <row r="249" spans="1:15" ht="16.5" customHeight="1" thickBot="1">
      <c r="A249" s="194"/>
      <c r="B249" s="46" t="s">
        <v>259</v>
      </c>
      <c r="C249" s="46" t="s">
        <v>42</v>
      </c>
      <c r="D249" s="105" t="s">
        <v>260</v>
      </c>
      <c r="E249" s="106" t="s">
        <v>40</v>
      </c>
      <c r="F249" s="81" t="s">
        <v>41</v>
      </c>
      <c r="G249" s="105" t="s">
        <v>260</v>
      </c>
      <c r="H249" s="106" t="s">
        <v>40</v>
      </c>
      <c r="I249" s="81" t="s">
        <v>41</v>
      </c>
      <c r="J249" s="105" t="s">
        <v>260</v>
      </c>
      <c r="K249" s="106" t="s">
        <v>40</v>
      </c>
      <c r="L249" s="81" t="s">
        <v>41</v>
      </c>
      <c r="M249" s="105" t="s">
        <v>260</v>
      </c>
      <c r="N249" s="106" t="s">
        <v>40</v>
      </c>
      <c r="O249" s="81" t="s">
        <v>41</v>
      </c>
    </row>
    <row r="250" spans="1:15" ht="16.5" customHeight="1">
      <c r="A250" s="46">
        <v>1</v>
      </c>
      <c r="B250" s="132" t="str">
        <f>HYPERLINK("#'" &amp; TEXT(투자전략!$G$1+0, "[$-ko-KR]yyyy.mm.dd") &amp; "'!A175:O199", TEXT(투자전략!$G$1+0, "[$-ko-KR]yyyy.mm.dd"))</f>
        <v>2023.01.01</v>
      </c>
      <c r="C250" s="117">
        <f ca="1">IFERROR(COUNTA(INDIRECT($B250&amp;"!A179:A198")) * INDIRECT($B250&amp;"!B199"), "")</f>
        <v>3000000</v>
      </c>
      <c r="D250" s="125">
        <f ca="1">IFERROR($C250 * (1 + E250), "")</f>
        <v>3009476.2449241634</v>
      </c>
      <c r="E250" s="69">
        <f ca="1">IFERROR(INDIRECT($B250&amp;"!E199"), "")</f>
        <v>3.1587483080544169E-3</v>
      </c>
      <c r="F250" s="124">
        <f ca="1">IFERROR(INDIRECT($B250&amp;"!F199"), "")</f>
        <v>9476.2449241632512</v>
      </c>
      <c r="G250" s="125">
        <f ca="1">IFERROR($C250 * (1 + H250), "")</f>
        <v>3024715.261108906</v>
      </c>
      <c r="H250" s="69">
        <f ca="1">IFERROR(INDIRECT($B250&amp;"!H199"), "")</f>
        <v>8.2384203696353638E-3</v>
      </c>
      <c r="I250" s="124">
        <f ca="1">IFERROR(INDIRECT($B250&amp;"!I199"), "")</f>
        <v>24715.261108906088</v>
      </c>
      <c r="J250" s="125">
        <f ca="1">IFERROR($C250 * (1 + K250), "")</f>
        <v>3024715.261108906</v>
      </c>
      <c r="K250" s="69">
        <f ca="1">IFERROR(INDIRECT($B250&amp;"!K199"), "")</f>
        <v>8.2384203696353638E-3</v>
      </c>
      <c r="L250" s="124">
        <f ca="1">IFERROR(INDIRECT($B250&amp;"!L199"), "")</f>
        <v>24715.261108906088</v>
      </c>
      <c r="M250" s="125">
        <f ca="1">IFERROR($C250 * (1 + N250), "")</f>
        <v>3019528.2942145844</v>
      </c>
      <c r="N250" s="69">
        <f ca="1">IFERROR(INDIRECT($B250&amp;"!N199"), "")</f>
        <v>6.5094314048615431E-3</v>
      </c>
      <c r="O250" s="124">
        <f ca="1">IFERROR(INDIRECT($B250&amp;"!O199"), "")</f>
        <v>19528.294214584628</v>
      </c>
    </row>
    <row r="251" spans="1:15" ht="16.5" customHeight="1">
      <c r="A251" s="47">
        <v>2</v>
      </c>
      <c r="B251" s="133" t="str">
        <f>HYPERLINK("#'" &amp; TEXT(투자전략!$G$1+1, "[$-ko-KR]yyyy.mm.dd") &amp; "'!A175:O199", TEXT(투자전략!$G$1+1, "[$-ko-KR]yyyy.mm.dd"))</f>
        <v>2023.01.02</v>
      </c>
      <c r="C251" s="118">
        <f t="shared" ref="C251:C280" ca="1" si="78">IFERROR(COUNTA(INDIRECT($B251&amp;"!A179:A198")) * INDIRECT($B251&amp;"!B199"), "")</f>
        <v>3000000</v>
      </c>
      <c r="D251" s="122">
        <f t="shared" ref="D251:D280" ca="1" si="79">IFERROR($C251 * (1 + E251), "")</f>
        <v>3008087.4014403075</v>
      </c>
      <c r="E251" s="70">
        <f t="shared" ref="E251:E280" ca="1" si="80">IFERROR(INDIRECT($B251&amp;"!E199"), "")</f>
        <v>2.6958004801025761E-3</v>
      </c>
      <c r="F251" s="120">
        <f t="shared" ref="F251:F280" ca="1" si="81">IFERROR(INDIRECT($B251&amp;"!F199"), "")</f>
        <v>8087.401440307729</v>
      </c>
      <c r="G251" s="122">
        <f t="shared" ref="G251:G280" ca="1" si="82">IFERROR($C251 * (1 + H251), "")</f>
        <v>3065643.2497017561</v>
      </c>
      <c r="H251" s="70">
        <f t="shared" ref="H251:H280" ca="1" si="83">IFERROR(INDIRECT($B251&amp;"!H199"), "")</f>
        <v>2.1881083233918679E-2</v>
      </c>
      <c r="I251" s="120">
        <f t="shared" ref="I251:I280" ca="1" si="84">IFERROR(INDIRECT($B251&amp;"!I199"), "")</f>
        <v>65643.249701756038</v>
      </c>
      <c r="J251" s="122">
        <f t="shared" ref="J251:J280" ca="1" si="85">IFERROR($C251 * (1 + K251), "")</f>
        <v>3060911.6252441267</v>
      </c>
      <c r="K251" s="70">
        <f t="shared" ref="K251:K280" ca="1" si="86">IFERROR(INDIRECT($B251&amp;"!K199"), "")</f>
        <v>2.0303875081375579E-2</v>
      </c>
      <c r="L251" s="120">
        <f t="shared" ref="L251:L280" ca="1" si="87">IFERROR(INDIRECT($B251&amp;"!L199"), "")</f>
        <v>60911.625244126742</v>
      </c>
      <c r="M251" s="122">
        <f t="shared" ref="M251:M280" ca="1" si="88">IFERROR($C251 * (1 + N251), "")</f>
        <v>3063514.6821479579</v>
      </c>
      <c r="N251" s="70">
        <f t="shared" ref="N251:N280" ca="1" si="89">IFERROR(INDIRECT($B251&amp;"!N199"), "")</f>
        <v>2.1171560715986016E-2</v>
      </c>
      <c r="O251" s="120">
        <f t="shared" ref="O251:O280" ca="1" si="90">IFERROR(INDIRECT($B251&amp;"!O199"), "")</f>
        <v>63514.682147958061</v>
      </c>
    </row>
    <row r="252" spans="1:15" ht="16.5" customHeight="1">
      <c r="A252" s="47">
        <v>3</v>
      </c>
      <c r="B252" s="133" t="str">
        <f>HYPERLINK("#'" &amp; TEXT(투자전략!$G$1+2, "[$-ko-KR]yyyy.mm.dd") &amp; "'!A175:O199", TEXT(투자전략!$G$1+2, "[$-ko-KR]yyyy.mm.dd"))</f>
        <v>2023.01.03</v>
      </c>
      <c r="C252" s="118">
        <f t="shared" ca="1" si="78"/>
        <v>3000000</v>
      </c>
      <c r="D252" s="122">
        <f t="shared" ca="1" si="79"/>
        <v>3006487.3726744028</v>
      </c>
      <c r="E252" s="70">
        <f t="shared" ca="1" si="80"/>
        <v>2.1624575581342615E-3</v>
      </c>
      <c r="F252" s="120">
        <f t="shared" ca="1" si="81"/>
        <v>6487.3726744027836</v>
      </c>
      <c r="G252" s="122">
        <f t="shared" ca="1" si="82"/>
        <v>3021089.9984394726</v>
      </c>
      <c r="H252" s="70">
        <f t="shared" ca="1" si="83"/>
        <v>7.0299994798241321E-3</v>
      </c>
      <c r="I252" s="120">
        <f t="shared" ca="1" si="84"/>
        <v>21089.998439472398</v>
      </c>
      <c r="J252" s="122">
        <f t="shared" ca="1" si="85"/>
        <v>3020831.7311024307</v>
      </c>
      <c r="K252" s="70">
        <f t="shared" ca="1" si="86"/>
        <v>6.9439103674769059E-3</v>
      </c>
      <c r="L252" s="120">
        <f t="shared" ca="1" si="87"/>
        <v>20831.73110243072</v>
      </c>
      <c r="M252" s="122">
        <f t="shared" ca="1" si="88"/>
        <v>3006233.2344712988</v>
      </c>
      <c r="N252" s="70">
        <f t="shared" ca="1" si="89"/>
        <v>2.0777448237663718E-3</v>
      </c>
      <c r="O252" s="120">
        <f t="shared" ca="1" si="90"/>
        <v>6233.2344712991153</v>
      </c>
    </row>
    <row r="253" spans="1:15" ht="16.5" customHeight="1">
      <c r="A253" s="47">
        <v>4</v>
      </c>
      <c r="B253" s="133" t="str">
        <f>HYPERLINK("#'" &amp; TEXT(투자전략!$G$1+3, "[$-ko-KR]yyyy.mm.dd") &amp; "'!A175:O199", TEXT(투자전략!$G$1+3, "[$-ko-KR]yyyy.mm.dd"))</f>
        <v>2023.01.04</v>
      </c>
      <c r="C253" s="118">
        <f t="shared" ca="1" si="78"/>
        <v>3000000</v>
      </c>
      <c r="D253" s="122">
        <f t="shared" ca="1" si="79"/>
        <v>3066741.8131958079</v>
      </c>
      <c r="E253" s="70">
        <f t="shared" ca="1" si="80"/>
        <v>2.2247271065269202E-2</v>
      </c>
      <c r="F253" s="120">
        <f t="shared" ca="1" si="81"/>
        <v>66741.813195807612</v>
      </c>
      <c r="G253" s="122">
        <f t="shared" ca="1" si="82"/>
        <v>3061360.6543043251</v>
      </c>
      <c r="H253" s="70">
        <f t="shared" ca="1" si="83"/>
        <v>2.0453551434774911E-2</v>
      </c>
      <c r="I253" s="120">
        <f t="shared" ca="1" si="84"/>
        <v>61360.654304324729</v>
      </c>
      <c r="J253" s="122">
        <f t="shared" ca="1" si="85"/>
        <v>3063878.1874723351</v>
      </c>
      <c r="K253" s="70">
        <f t="shared" ca="1" si="86"/>
        <v>2.1292729157445029E-2</v>
      </c>
      <c r="L253" s="120">
        <f t="shared" ca="1" si="87"/>
        <v>63878.187472335077</v>
      </c>
      <c r="M253" s="122">
        <f t="shared" ca="1" si="88"/>
        <v>3058300.7237851568</v>
      </c>
      <c r="N253" s="70">
        <f t="shared" ca="1" si="89"/>
        <v>1.943357459505226E-2</v>
      </c>
      <c r="O253" s="120">
        <f t="shared" ca="1" si="90"/>
        <v>58300.72378515677</v>
      </c>
    </row>
    <row r="254" spans="1:15" ht="16.5" customHeight="1">
      <c r="A254" s="47">
        <v>5</v>
      </c>
      <c r="B254" s="133" t="str">
        <f>HYPERLINK("#'" &amp; TEXT(투자전략!$G$1+4, "[$-ko-KR]yyyy.mm.dd") &amp; "'!A175:O199", TEXT(투자전략!$G$1+4, "[$-ko-KR]yyyy.mm.dd"))</f>
        <v>2023.01.05</v>
      </c>
      <c r="C254" s="118">
        <f t="shared" ca="1" si="78"/>
        <v>3000000</v>
      </c>
      <c r="D254" s="122">
        <f t="shared" ca="1" si="79"/>
        <v>2992497.6420076769</v>
      </c>
      <c r="E254" s="70">
        <f t="shared" ca="1" si="80"/>
        <v>-2.5007859974410301E-3</v>
      </c>
      <c r="F254" s="120">
        <f t="shared" ca="1" si="81"/>
        <v>-7502.3579923230909</v>
      </c>
      <c r="G254" s="122">
        <f t="shared" ca="1" si="82"/>
        <v>2941655.6871310021</v>
      </c>
      <c r="H254" s="70">
        <f t="shared" ca="1" si="83"/>
        <v>-1.9448104289666056E-2</v>
      </c>
      <c r="I254" s="120">
        <f t="shared" ca="1" si="84"/>
        <v>-58344.312868998168</v>
      </c>
      <c r="J254" s="122">
        <f t="shared" ca="1" si="85"/>
        <v>2968921.2583704437</v>
      </c>
      <c r="K254" s="70">
        <f t="shared" ca="1" si="86"/>
        <v>-1.0359580543185382E-2</v>
      </c>
      <c r="L254" s="120">
        <f t="shared" ca="1" si="87"/>
        <v>-31078.741629556149</v>
      </c>
      <c r="M254" s="122">
        <f t="shared" ca="1" si="88"/>
        <v>2962933.5928733009</v>
      </c>
      <c r="N254" s="70">
        <f t="shared" ca="1" si="89"/>
        <v>-1.2355469042233062E-2</v>
      </c>
      <c r="O254" s="120">
        <f t="shared" ca="1" si="90"/>
        <v>-37066.407126699181</v>
      </c>
    </row>
    <row r="255" spans="1:15" ht="16.5" customHeight="1">
      <c r="A255" s="47">
        <v>6</v>
      </c>
      <c r="B255" s="133" t="str">
        <f>HYPERLINK("#'" &amp; TEXT(투자전략!$G$1+5, "[$-ko-KR]yyyy.mm.dd") &amp; "'!A175:O199", TEXT(투자전략!$G$1+5, "[$-ko-KR]yyyy.mm.dd"))</f>
        <v>2023.01.06</v>
      </c>
      <c r="C255" s="118">
        <f t="shared" ca="1" si="78"/>
        <v>3000000</v>
      </c>
      <c r="D255" s="122">
        <f t="shared" ca="1" si="79"/>
        <v>2970823.6824337952</v>
      </c>
      <c r="E255" s="70">
        <f t="shared" ca="1" si="80"/>
        <v>-9.7254391887348808E-3</v>
      </c>
      <c r="F255" s="120">
        <f t="shared" ca="1" si="81"/>
        <v>-29176.317566204641</v>
      </c>
      <c r="G255" s="122">
        <f t="shared" ca="1" si="82"/>
        <v>2951180.2665171097</v>
      </c>
      <c r="H255" s="70">
        <f t="shared" ca="1" si="83"/>
        <v>-1.627324449429679E-2</v>
      </c>
      <c r="I255" s="120">
        <f t="shared" ca="1" si="84"/>
        <v>-48819.733482890355</v>
      </c>
      <c r="J255" s="122">
        <f t="shared" ca="1" si="85"/>
        <v>2934503.5118452185</v>
      </c>
      <c r="K255" s="70">
        <f t="shared" ca="1" si="86"/>
        <v>-2.1832162718260526E-2</v>
      </c>
      <c r="L255" s="120">
        <f t="shared" ca="1" si="87"/>
        <v>-65496.488154781582</v>
      </c>
      <c r="M255" s="122">
        <f t="shared" ca="1" si="88"/>
        <v>2942070.3363748458</v>
      </c>
      <c r="N255" s="70">
        <f t="shared" ca="1" si="89"/>
        <v>-1.9309887875051363E-2</v>
      </c>
      <c r="O255" s="120">
        <f t="shared" ca="1" si="90"/>
        <v>-57929.663625154084</v>
      </c>
    </row>
    <row r="256" spans="1:15" ht="16.5" customHeight="1" thickBot="1">
      <c r="A256" s="48">
        <v>7</v>
      </c>
      <c r="B256" s="134" t="str">
        <f>HYPERLINK("#'" &amp; TEXT(투자전략!$G$1+6, "[$-ko-KR]yyyy.mm.dd") &amp; "'!A175:O199", TEXT(투자전략!$G$1+6, "[$-ko-KR]yyyy.mm.dd"))</f>
        <v>2023.01.07</v>
      </c>
      <c r="C256" s="118">
        <f t="shared" ca="1" si="78"/>
        <v>3000000</v>
      </c>
      <c r="D256" s="122">
        <f t="shared" ca="1" si="79"/>
        <v>3126494.3012171872</v>
      </c>
      <c r="E256" s="70">
        <f t="shared" ca="1" si="80"/>
        <v>4.2164767072395762E-2</v>
      </c>
      <c r="F256" s="120">
        <f t="shared" ca="1" si="81"/>
        <v>126494.30121718727</v>
      </c>
      <c r="G256" s="122">
        <f t="shared" ca="1" si="82"/>
        <v>3130789.3223403045</v>
      </c>
      <c r="H256" s="70">
        <f t="shared" ca="1" si="83"/>
        <v>4.3596440780101463E-2</v>
      </c>
      <c r="I256" s="120">
        <f t="shared" ca="1" si="84"/>
        <v>130789.32234030437</v>
      </c>
      <c r="J256" s="122">
        <f t="shared" ca="1" si="85"/>
        <v>3142005.978853011</v>
      </c>
      <c r="K256" s="70">
        <f t="shared" ca="1" si="86"/>
        <v>4.7335326284337093E-2</v>
      </c>
      <c r="L256" s="120">
        <f t="shared" ca="1" si="87"/>
        <v>142005.97885301127</v>
      </c>
      <c r="M256" s="122">
        <f t="shared" ca="1" si="88"/>
        <v>3123283.4859977709</v>
      </c>
      <c r="N256" s="70">
        <f t="shared" ca="1" si="89"/>
        <v>4.1094495332590131E-2</v>
      </c>
      <c r="O256" s="120">
        <f t="shared" ca="1" si="90"/>
        <v>123283.48599777037</v>
      </c>
    </row>
    <row r="257" spans="1:15" ht="16.5" customHeight="1">
      <c r="A257" s="46">
        <v>8</v>
      </c>
      <c r="B257" s="132" t="str">
        <f>HYPERLINK("#'" &amp; TEXT(투자전략!$G$1+7, "[$-ko-KR]yyyy.mm.dd") &amp; "'!A175:O199", TEXT(투자전략!$G$1+7, "[$-ko-KR]yyyy.mm.dd"))</f>
        <v>2023.01.08</v>
      </c>
      <c r="C257" s="117">
        <f t="shared" ca="1" si="78"/>
        <v>3000000</v>
      </c>
      <c r="D257" s="125">
        <f t="shared" ca="1" si="79"/>
        <v>3000000</v>
      </c>
      <c r="E257" s="69">
        <f t="shared" ca="1" si="80"/>
        <v>0</v>
      </c>
      <c r="F257" s="124">
        <f t="shared" ca="1" si="81"/>
        <v>0</v>
      </c>
      <c r="G257" s="125">
        <f t="shared" ca="1" si="82"/>
        <v>3000000</v>
      </c>
      <c r="H257" s="69">
        <f t="shared" ca="1" si="83"/>
        <v>0</v>
      </c>
      <c r="I257" s="124">
        <f t="shared" ca="1" si="84"/>
        <v>0</v>
      </c>
      <c r="J257" s="125">
        <f t="shared" ca="1" si="85"/>
        <v>3000000</v>
      </c>
      <c r="K257" s="69">
        <f t="shared" ca="1" si="86"/>
        <v>0</v>
      </c>
      <c r="L257" s="124">
        <f t="shared" ca="1" si="87"/>
        <v>0</v>
      </c>
      <c r="M257" s="125">
        <f t="shared" ca="1" si="88"/>
        <v>3000000</v>
      </c>
      <c r="N257" s="69">
        <f t="shared" ca="1" si="89"/>
        <v>0</v>
      </c>
      <c r="O257" s="124">
        <f t="shared" ca="1" si="90"/>
        <v>0</v>
      </c>
    </row>
    <row r="258" spans="1:15" ht="16.5" customHeight="1">
      <c r="A258" s="47">
        <v>9</v>
      </c>
      <c r="B258" s="133" t="str">
        <f>HYPERLINK("#'" &amp; TEXT(투자전략!$G$1+8, "[$-ko-KR]yyyy.mm.dd") &amp; "'!A175:O199", TEXT(투자전략!$G$1+8, "[$-ko-KR]yyyy.mm.dd"))</f>
        <v>2023.01.09</v>
      </c>
      <c r="C258" s="118" t="str">
        <f t="shared" ca="1" si="78"/>
        <v/>
      </c>
      <c r="D258" s="122" t="str">
        <f t="shared" ca="1" si="79"/>
        <v/>
      </c>
      <c r="E258" s="70" t="str">
        <f t="shared" ca="1" si="80"/>
        <v/>
      </c>
      <c r="F258" s="120" t="str">
        <f t="shared" ca="1" si="81"/>
        <v/>
      </c>
      <c r="G258" s="122" t="str">
        <f t="shared" ca="1" si="82"/>
        <v/>
      </c>
      <c r="H258" s="70" t="str">
        <f t="shared" ca="1" si="83"/>
        <v/>
      </c>
      <c r="I258" s="120" t="str">
        <f t="shared" ca="1" si="84"/>
        <v/>
      </c>
      <c r="J258" s="122" t="str">
        <f t="shared" ca="1" si="85"/>
        <v/>
      </c>
      <c r="K258" s="70" t="str">
        <f t="shared" ca="1" si="86"/>
        <v/>
      </c>
      <c r="L258" s="120" t="str">
        <f t="shared" ca="1" si="87"/>
        <v/>
      </c>
      <c r="M258" s="122" t="str">
        <f t="shared" ca="1" si="88"/>
        <v/>
      </c>
      <c r="N258" s="70" t="str">
        <f t="shared" ca="1" si="89"/>
        <v/>
      </c>
      <c r="O258" s="120" t="str">
        <f t="shared" ca="1" si="90"/>
        <v/>
      </c>
    </row>
    <row r="259" spans="1:15" ht="16.5" customHeight="1">
      <c r="A259" s="47">
        <v>10</v>
      </c>
      <c r="B259" s="133" t="str">
        <f>HYPERLINK("#'" &amp; TEXT(투자전략!$G$1+9, "[$-ko-KR]yyyy.mm.dd") &amp; "'!A175:O199", TEXT(투자전략!$G$1+9, "[$-ko-KR]yyyy.mm.dd"))</f>
        <v>2023.01.10</v>
      </c>
      <c r="C259" s="118" t="str">
        <f t="shared" ca="1" si="78"/>
        <v/>
      </c>
      <c r="D259" s="122" t="str">
        <f t="shared" ca="1" si="79"/>
        <v/>
      </c>
      <c r="E259" s="70" t="str">
        <f t="shared" ca="1" si="80"/>
        <v/>
      </c>
      <c r="F259" s="120" t="str">
        <f t="shared" ca="1" si="81"/>
        <v/>
      </c>
      <c r="G259" s="122" t="str">
        <f t="shared" ca="1" si="82"/>
        <v/>
      </c>
      <c r="H259" s="70" t="str">
        <f t="shared" ca="1" si="83"/>
        <v/>
      </c>
      <c r="I259" s="120" t="str">
        <f t="shared" ca="1" si="84"/>
        <v/>
      </c>
      <c r="J259" s="122" t="str">
        <f t="shared" ca="1" si="85"/>
        <v/>
      </c>
      <c r="K259" s="70" t="str">
        <f t="shared" ca="1" si="86"/>
        <v/>
      </c>
      <c r="L259" s="120" t="str">
        <f t="shared" ca="1" si="87"/>
        <v/>
      </c>
      <c r="M259" s="122" t="str">
        <f t="shared" ca="1" si="88"/>
        <v/>
      </c>
      <c r="N259" s="70" t="str">
        <f t="shared" ca="1" si="89"/>
        <v/>
      </c>
      <c r="O259" s="120" t="str">
        <f t="shared" ca="1" si="90"/>
        <v/>
      </c>
    </row>
    <row r="260" spans="1:15" ht="16.5" customHeight="1">
      <c r="A260" s="47">
        <v>11</v>
      </c>
      <c r="B260" s="133" t="str">
        <f>HYPERLINK("#'" &amp; TEXT(투자전략!$G$1+10, "[$-ko-KR]yyyy.mm.dd") &amp; "'!A175:O199", TEXT(투자전략!$G$1+10, "[$-ko-KR]yyyy.mm.dd"))</f>
        <v>2023.01.11</v>
      </c>
      <c r="C260" s="118" t="str">
        <f t="shared" ca="1" si="78"/>
        <v/>
      </c>
      <c r="D260" s="122" t="str">
        <f t="shared" ca="1" si="79"/>
        <v/>
      </c>
      <c r="E260" s="70" t="str">
        <f t="shared" ca="1" si="80"/>
        <v/>
      </c>
      <c r="F260" s="120" t="str">
        <f t="shared" ca="1" si="81"/>
        <v/>
      </c>
      <c r="G260" s="122" t="str">
        <f t="shared" ca="1" si="82"/>
        <v/>
      </c>
      <c r="H260" s="70" t="str">
        <f t="shared" ca="1" si="83"/>
        <v/>
      </c>
      <c r="I260" s="120" t="str">
        <f t="shared" ca="1" si="84"/>
        <v/>
      </c>
      <c r="J260" s="122" t="str">
        <f t="shared" ca="1" si="85"/>
        <v/>
      </c>
      <c r="K260" s="70" t="str">
        <f t="shared" ca="1" si="86"/>
        <v/>
      </c>
      <c r="L260" s="120" t="str">
        <f t="shared" ca="1" si="87"/>
        <v/>
      </c>
      <c r="M260" s="122" t="str">
        <f t="shared" ca="1" si="88"/>
        <v/>
      </c>
      <c r="N260" s="70" t="str">
        <f t="shared" ca="1" si="89"/>
        <v/>
      </c>
      <c r="O260" s="120" t="str">
        <f t="shared" ca="1" si="90"/>
        <v/>
      </c>
    </row>
    <row r="261" spans="1:15" ht="16.5" customHeight="1">
      <c r="A261" s="47">
        <v>12</v>
      </c>
      <c r="B261" s="133" t="str">
        <f>HYPERLINK("#'" &amp; TEXT(투자전략!$G$1+11, "[$-ko-KR]yyyy.mm.dd") &amp; "'!A175:O199", TEXT(투자전략!$G$1+11, "[$-ko-KR]yyyy.mm.dd"))</f>
        <v>2023.01.12</v>
      </c>
      <c r="C261" s="118" t="str">
        <f t="shared" ca="1" si="78"/>
        <v/>
      </c>
      <c r="D261" s="122" t="str">
        <f t="shared" ca="1" si="79"/>
        <v/>
      </c>
      <c r="E261" s="70" t="str">
        <f t="shared" ca="1" si="80"/>
        <v/>
      </c>
      <c r="F261" s="120" t="str">
        <f t="shared" ca="1" si="81"/>
        <v/>
      </c>
      <c r="G261" s="122" t="str">
        <f t="shared" ca="1" si="82"/>
        <v/>
      </c>
      <c r="H261" s="70" t="str">
        <f t="shared" ca="1" si="83"/>
        <v/>
      </c>
      <c r="I261" s="120" t="str">
        <f t="shared" ca="1" si="84"/>
        <v/>
      </c>
      <c r="J261" s="122" t="str">
        <f t="shared" ca="1" si="85"/>
        <v/>
      </c>
      <c r="K261" s="70" t="str">
        <f t="shared" ca="1" si="86"/>
        <v/>
      </c>
      <c r="L261" s="120" t="str">
        <f t="shared" ca="1" si="87"/>
        <v/>
      </c>
      <c r="M261" s="122" t="str">
        <f t="shared" ca="1" si="88"/>
        <v/>
      </c>
      <c r="N261" s="70" t="str">
        <f t="shared" ca="1" si="89"/>
        <v/>
      </c>
      <c r="O261" s="120" t="str">
        <f t="shared" ca="1" si="90"/>
        <v/>
      </c>
    </row>
    <row r="262" spans="1:15" ht="16.5" customHeight="1">
      <c r="A262" s="47">
        <v>13</v>
      </c>
      <c r="B262" s="133" t="str">
        <f>HYPERLINK("#'" &amp; TEXT(투자전략!$G$1+12, "[$-ko-KR]yyyy.mm.dd") &amp; "'!A175:O199", TEXT(투자전략!$G$1+12, "[$-ko-KR]yyyy.mm.dd"))</f>
        <v>2023.01.13</v>
      </c>
      <c r="C262" s="118">
        <f t="shared" ca="1" si="78"/>
        <v>3000000</v>
      </c>
      <c r="D262" s="122">
        <f t="shared" ca="1" si="79"/>
        <v>3000000</v>
      </c>
      <c r="E262" s="70">
        <f t="shared" ca="1" si="80"/>
        <v>0</v>
      </c>
      <c r="F262" s="120">
        <f t="shared" ca="1" si="81"/>
        <v>0</v>
      </c>
      <c r="G262" s="122">
        <f t="shared" ca="1" si="82"/>
        <v>3046303.6342376149</v>
      </c>
      <c r="H262" s="70">
        <f t="shared" ca="1" si="83"/>
        <v>1.5434544745871798E-2</v>
      </c>
      <c r="I262" s="120">
        <f t="shared" ca="1" si="84"/>
        <v>46303.634237615399</v>
      </c>
      <c r="J262" s="122">
        <f t="shared" ca="1" si="85"/>
        <v>3040999.4026771216</v>
      </c>
      <c r="K262" s="70">
        <f t="shared" ca="1" si="86"/>
        <v>1.3666467559040635E-2</v>
      </c>
      <c r="L262" s="120">
        <f t="shared" ca="1" si="87"/>
        <v>40999.402677121907</v>
      </c>
      <c r="M262" s="122">
        <f t="shared" ca="1" si="88"/>
        <v>3025931.3887247071</v>
      </c>
      <c r="N262" s="70">
        <f t="shared" ca="1" si="89"/>
        <v>8.6437962415690048E-3</v>
      </c>
      <c r="O262" s="120">
        <f t="shared" ca="1" si="90"/>
        <v>25931.388724707012</v>
      </c>
    </row>
    <row r="263" spans="1:15" ht="16.5" customHeight="1" thickBot="1">
      <c r="A263" s="48">
        <v>14</v>
      </c>
      <c r="B263" s="134" t="str">
        <f>HYPERLINK("#'" &amp; TEXT(투자전략!$G$1+13, "[$-ko-KR]yyyy.mm.dd") &amp; "'!A175:O199", TEXT(투자전략!$G$1+13, "[$-ko-KR]yyyy.mm.dd"))</f>
        <v>2023.01.14</v>
      </c>
      <c r="C263" s="119">
        <f t="shared" ca="1" si="78"/>
        <v>3000000</v>
      </c>
      <c r="D263" s="123">
        <f t="shared" ca="1" si="79"/>
        <v>3209659.2485533217</v>
      </c>
      <c r="E263" s="72">
        <f t="shared" ca="1" si="80"/>
        <v>6.9886416184440497E-2</v>
      </c>
      <c r="F263" s="121">
        <f t="shared" ca="1" si="81"/>
        <v>209659.24855332146</v>
      </c>
      <c r="G263" s="123">
        <f t="shared" ca="1" si="82"/>
        <v>3186932.3903321051</v>
      </c>
      <c r="H263" s="72">
        <f t="shared" ca="1" si="83"/>
        <v>6.2310796777368324E-2</v>
      </c>
      <c r="I263" s="121">
        <f t="shared" ca="1" si="84"/>
        <v>186932.39033210505</v>
      </c>
      <c r="J263" s="123">
        <f t="shared" ca="1" si="85"/>
        <v>3287110.0576098827</v>
      </c>
      <c r="K263" s="72">
        <f t="shared" ca="1" si="86"/>
        <v>9.570335253662747E-2</v>
      </c>
      <c r="L263" s="121">
        <f t="shared" ca="1" si="87"/>
        <v>287110.05760988232</v>
      </c>
      <c r="M263" s="123">
        <f t="shared" ca="1" si="88"/>
        <v>3270650.4611078179</v>
      </c>
      <c r="N263" s="72">
        <f t="shared" ca="1" si="89"/>
        <v>9.0216820369272574E-2</v>
      </c>
      <c r="O263" s="121">
        <f t="shared" ca="1" si="90"/>
        <v>270650.46110781771</v>
      </c>
    </row>
    <row r="264" spans="1:15" ht="16.5" customHeight="1">
      <c r="A264" s="46">
        <v>15</v>
      </c>
      <c r="B264" s="132" t="str">
        <f>HYPERLINK("#'" &amp; TEXT(투자전략!$G$1+14, "[$-ko-KR]yyyy.mm.dd") &amp; "'!A175:O199", TEXT(투자전략!$G$1+14, "[$-ko-KR]yyyy.mm.dd"))</f>
        <v>2023.01.15</v>
      </c>
      <c r="C264" s="118">
        <f t="shared" ca="1" si="78"/>
        <v>3000000</v>
      </c>
      <c r="D264" s="122">
        <f t="shared" ca="1" si="79"/>
        <v>3147332.6167759513</v>
      </c>
      <c r="E264" s="70">
        <f t="shared" ca="1" si="80"/>
        <v>4.9110872258650379E-2</v>
      </c>
      <c r="F264" s="120">
        <f t="shared" ca="1" si="81"/>
        <v>147332.61677595112</v>
      </c>
      <c r="G264" s="122">
        <f t="shared" ca="1" si="82"/>
        <v>3047521.0786233637</v>
      </c>
      <c r="H264" s="70">
        <f t="shared" ca="1" si="83"/>
        <v>1.5840359541121188E-2</v>
      </c>
      <c r="I264" s="120">
        <f t="shared" ca="1" si="84"/>
        <v>47521.078623363581</v>
      </c>
      <c r="J264" s="122">
        <f t="shared" ca="1" si="85"/>
        <v>3073896.6246956745</v>
      </c>
      <c r="K264" s="70">
        <f t="shared" ca="1" si="86"/>
        <v>2.4632208231891564E-2</v>
      </c>
      <c r="L264" s="120">
        <f t="shared" ca="1" si="87"/>
        <v>73896.624695674662</v>
      </c>
      <c r="M264" s="122">
        <f t="shared" ca="1" si="88"/>
        <v>3084262.3835269297</v>
      </c>
      <c r="N264" s="70">
        <f t="shared" ca="1" si="89"/>
        <v>2.8087461175643279E-2</v>
      </c>
      <c r="O264" s="120">
        <f t="shared" ca="1" si="90"/>
        <v>84262.3835269298</v>
      </c>
    </row>
    <row r="265" spans="1:15" ht="16.5" customHeight="1">
      <c r="A265" s="47">
        <v>16</v>
      </c>
      <c r="B265" s="133" t="str">
        <f>HYPERLINK("#'" &amp; TEXT(투자전략!$G$1+15, "[$-ko-KR]yyyy.mm.dd") &amp; "'!A175:O199", TEXT(투자전략!$G$1+15, "[$-ko-KR]yyyy.mm.dd"))</f>
        <v>2023.01.16</v>
      </c>
      <c r="C265" s="118">
        <f t="shared" ca="1" si="78"/>
        <v>3000000</v>
      </c>
      <c r="D265" s="122">
        <f t="shared" ca="1" si="79"/>
        <v>3088291.2542133392</v>
      </c>
      <c r="E265" s="70">
        <f t="shared" ca="1" si="80"/>
        <v>2.9430418071113067E-2</v>
      </c>
      <c r="F265" s="120">
        <f t="shared" ca="1" si="81"/>
        <v>88291.254213339227</v>
      </c>
      <c r="G265" s="122">
        <f t="shared" ca="1" si="82"/>
        <v>3017888.9423300531</v>
      </c>
      <c r="H265" s="70">
        <f t="shared" ca="1" si="83"/>
        <v>5.9629807766842669E-3</v>
      </c>
      <c r="I265" s="120">
        <f t="shared" ca="1" si="84"/>
        <v>17888.9423300528</v>
      </c>
      <c r="J265" s="122">
        <f t="shared" ca="1" si="85"/>
        <v>3025544.5311324419</v>
      </c>
      <c r="K265" s="70">
        <f t="shared" ca="1" si="86"/>
        <v>8.5148437108141101E-3</v>
      </c>
      <c r="L265" s="120">
        <f t="shared" ca="1" si="87"/>
        <v>25544.531132442331</v>
      </c>
      <c r="M265" s="122">
        <f t="shared" ca="1" si="88"/>
        <v>3022142.1922447244</v>
      </c>
      <c r="N265" s="70">
        <f t="shared" ca="1" si="89"/>
        <v>7.3807307482415246E-3</v>
      </c>
      <c r="O265" s="120">
        <f t="shared" ca="1" si="90"/>
        <v>22142.192244724567</v>
      </c>
    </row>
    <row r="266" spans="1:15" ht="16.5" customHeight="1">
      <c r="A266" s="47">
        <v>17</v>
      </c>
      <c r="B266" s="133" t="str">
        <f>HYPERLINK("#'" &amp; TEXT(투자전략!$G$1+16, "[$-ko-KR]yyyy.mm.dd") &amp; "'!A175:O199", TEXT(투자전략!$G$1+16, "[$-ko-KR]yyyy.mm.dd"))</f>
        <v>2023.01.17</v>
      </c>
      <c r="C266" s="118">
        <f t="shared" ca="1" si="78"/>
        <v>3000000</v>
      </c>
      <c r="D266" s="122">
        <f t="shared" ca="1" si="79"/>
        <v>3039623.1114332504</v>
      </c>
      <c r="E266" s="70">
        <f t="shared" ca="1" si="80"/>
        <v>1.3207703811083318E-2</v>
      </c>
      <c r="F266" s="120">
        <f t="shared" ca="1" si="81"/>
        <v>39623.111433249971</v>
      </c>
      <c r="G266" s="122">
        <f t="shared" ca="1" si="82"/>
        <v>3047574.5786161087</v>
      </c>
      <c r="H266" s="70">
        <f t="shared" ca="1" si="83"/>
        <v>1.5858192872036311E-2</v>
      </c>
      <c r="I266" s="120">
        <f t="shared" ca="1" si="84"/>
        <v>47574.578616108949</v>
      </c>
      <c r="J266" s="122">
        <f t="shared" ca="1" si="85"/>
        <v>3076998.2875113459</v>
      </c>
      <c r="K266" s="70">
        <f t="shared" ca="1" si="86"/>
        <v>2.5666095837115283E-2</v>
      </c>
      <c r="L266" s="120">
        <f t="shared" ca="1" si="87"/>
        <v>76998.287511345829</v>
      </c>
      <c r="M266" s="122">
        <f t="shared" ca="1" si="88"/>
        <v>3066640.8642748352</v>
      </c>
      <c r="N266" s="70">
        <f t="shared" ca="1" si="89"/>
        <v>2.221362142494504E-2</v>
      </c>
      <c r="O266" s="120">
        <f t="shared" ca="1" si="90"/>
        <v>66640.864274835112</v>
      </c>
    </row>
    <row r="267" spans="1:15" ht="16.5" customHeight="1">
      <c r="A267" s="47">
        <v>18</v>
      </c>
      <c r="B267" s="133" t="str">
        <f>HYPERLINK("#'" &amp; TEXT(투자전략!$G$1+17, "[$-ko-KR]yyyy.mm.dd") &amp; "'!A175:O199", TEXT(투자전략!$G$1+17, "[$-ko-KR]yyyy.mm.dd"))</f>
        <v>2023.01.18</v>
      </c>
      <c r="C267" s="118">
        <f t="shared" ca="1" si="78"/>
        <v>3000000</v>
      </c>
      <c r="D267" s="122">
        <f t="shared" ca="1" si="79"/>
        <v>2980189.4139782726</v>
      </c>
      <c r="E267" s="70">
        <f t="shared" ca="1" si="80"/>
        <v>-6.603528673909162E-3</v>
      </c>
      <c r="F267" s="120">
        <f t="shared" ca="1" si="81"/>
        <v>-19810.586021727489</v>
      </c>
      <c r="G267" s="122">
        <f t="shared" ca="1" si="82"/>
        <v>2899368.014218763</v>
      </c>
      <c r="H267" s="70">
        <f t="shared" ca="1" si="83"/>
        <v>-3.3543995260412254E-2</v>
      </c>
      <c r="I267" s="120">
        <f t="shared" ca="1" si="84"/>
        <v>-100631.98578123677</v>
      </c>
      <c r="J267" s="122">
        <f t="shared" ca="1" si="85"/>
        <v>2928285.9918286311</v>
      </c>
      <c r="K267" s="70">
        <f t="shared" ca="1" si="86"/>
        <v>-2.3904669390456251E-2</v>
      </c>
      <c r="L267" s="120">
        <f t="shared" ca="1" si="87"/>
        <v>-71714.008171368769</v>
      </c>
      <c r="M267" s="122">
        <f t="shared" ca="1" si="88"/>
        <v>2943896.7305429191</v>
      </c>
      <c r="N267" s="70">
        <f t="shared" ca="1" si="89"/>
        <v>-1.8701089819026979E-2</v>
      </c>
      <c r="O267" s="120">
        <f t="shared" ca="1" si="90"/>
        <v>-56103.269457080933</v>
      </c>
    </row>
    <row r="268" spans="1:15" ht="16.5" customHeight="1">
      <c r="A268" s="47">
        <v>19</v>
      </c>
      <c r="B268" s="133" t="str">
        <f>HYPERLINK("#'" &amp; TEXT(투자전략!$G$1+18, "[$-ko-KR]yyyy.mm.dd") &amp; "'!A175:O199", TEXT(투자전략!$G$1+18, "[$-ko-KR]yyyy.mm.dd"))</f>
        <v>2023.01.19</v>
      </c>
      <c r="C268" s="118">
        <f t="shared" ca="1" si="78"/>
        <v>3000000</v>
      </c>
      <c r="D268" s="122">
        <f t="shared" ca="1" si="79"/>
        <v>3050453.0309039508</v>
      </c>
      <c r="E268" s="70">
        <f t="shared" ca="1" si="80"/>
        <v>1.6817676967983419E-2</v>
      </c>
      <c r="F268" s="120">
        <f t="shared" ca="1" si="81"/>
        <v>50453.03090395029</v>
      </c>
      <c r="G268" s="122">
        <f t="shared" ca="1" si="82"/>
        <v>3050774.8611537069</v>
      </c>
      <c r="H268" s="70">
        <f t="shared" ca="1" si="83"/>
        <v>1.6924953717902404E-2</v>
      </c>
      <c r="I268" s="120">
        <f t="shared" ca="1" si="84"/>
        <v>50774.861153707228</v>
      </c>
      <c r="J268" s="122">
        <f t="shared" ca="1" si="85"/>
        <v>3030262.4078154629</v>
      </c>
      <c r="K268" s="70">
        <f t="shared" ca="1" si="86"/>
        <v>1.0087469271820915E-2</v>
      </c>
      <c r="L268" s="120">
        <f t="shared" ca="1" si="87"/>
        <v>30262.40781546275</v>
      </c>
      <c r="M268" s="122">
        <f t="shared" ca="1" si="88"/>
        <v>3015356.7491221502</v>
      </c>
      <c r="N268" s="70">
        <f t="shared" ca="1" si="89"/>
        <v>5.1189163740500551E-3</v>
      </c>
      <c r="O268" s="120">
        <f t="shared" ca="1" si="90"/>
        <v>15356.749122150175</v>
      </c>
    </row>
    <row r="269" spans="1:15" ht="16.5" customHeight="1">
      <c r="A269" s="47">
        <v>20</v>
      </c>
      <c r="B269" s="133" t="str">
        <f>HYPERLINK("#'" &amp; TEXT(투자전략!$G$1+19, "[$-ko-KR]yyyy.mm.dd") &amp; "'!A175:O199", TEXT(투자전략!$G$1+19, "[$-ko-KR]yyyy.mm.dd"))</f>
        <v>2023.01.20</v>
      </c>
      <c r="C269" s="118">
        <f t="shared" ca="1" si="78"/>
        <v>3000000</v>
      </c>
      <c r="D269" s="122">
        <f t="shared" ca="1" si="79"/>
        <v>3052748.9422543575</v>
      </c>
      <c r="E269" s="70">
        <f t="shared" ca="1" si="80"/>
        <v>1.7582980751452558E-2</v>
      </c>
      <c r="F269" s="120">
        <f t="shared" ca="1" si="81"/>
        <v>52748.94225435768</v>
      </c>
      <c r="G269" s="122">
        <f t="shared" ca="1" si="82"/>
        <v>3058706.264600636</v>
      </c>
      <c r="H269" s="70">
        <f t="shared" ca="1" si="83"/>
        <v>1.9568754866878625E-2</v>
      </c>
      <c r="I269" s="120">
        <f t="shared" ca="1" si="84"/>
        <v>58706.264600635892</v>
      </c>
      <c r="J269" s="122">
        <f t="shared" ca="1" si="85"/>
        <v>3058789.9732589554</v>
      </c>
      <c r="K269" s="70">
        <f t="shared" ca="1" si="86"/>
        <v>1.9596657752985164E-2</v>
      </c>
      <c r="L269" s="120">
        <f t="shared" ca="1" si="87"/>
        <v>58789.973258955491</v>
      </c>
      <c r="M269" s="122">
        <f t="shared" ca="1" si="88"/>
        <v>3077925.2687766273</v>
      </c>
      <c r="N269" s="70">
        <f t="shared" ca="1" si="89"/>
        <v>2.5975089592208973E-2</v>
      </c>
      <c r="O269" s="120">
        <f t="shared" ca="1" si="90"/>
        <v>77925.268776626908</v>
      </c>
    </row>
    <row r="270" spans="1:15" ht="16.5" customHeight="1" thickBot="1">
      <c r="A270" s="48">
        <v>21</v>
      </c>
      <c r="B270" s="134" t="str">
        <f>HYPERLINK("#'" &amp; TEXT(투자전략!$G$1+20, "[$-ko-KR]yyyy.mm.dd") &amp; "'!A175:O199", TEXT(투자전략!$G$1+20, "[$-ko-KR]yyyy.mm.dd"))</f>
        <v>2023.01.21</v>
      </c>
      <c r="C270" s="118">
        <f t="shared" ca="1" si="78"/>
        <v>3000000</v>
      </c>
      <c r="D270" s="122">
        <f t="shared" ca="1" si="79"/>
        <v>3210680.5473054261</v>
      </c>
      <c r="E270" s="70">
        <f t="shared" ca="1" si="80"/>
        <v>7.0226849101808653E-2</v>
      </c>
      <c r="F270" s="120">
        <f t="shared" ca="1" si="81"/>
        <v>210680.54730542598</v>
      </c>
      <c r="G270" s="122">
        <f t="shared" ca="1" si="82"/>
        <v>3238774.3373905914</v>
      </c>
      <c r="H270" s="70">
        <f t="shared" ca="1" si="83"/>
        <v>7.9591445796863905E-2</v>
      </c>
      <c r="I270" s="120">
        <f t="shared" ca="1" si="84"/>
        <v>238774.33739059168</v>
      </c>
      <c r="J270" s="122">
        <f t="shared" ca="1" si="85"/>
        <v>3220782.3083942505</v>
      </c>
      <c r="K270" s="70">
        <f t="shared" ca="1" si="86"/>
        <v>7.3594102798083455E-2</v>
      </c>
      <c r="L270" s="120">
        <f t="shared" ca="1" si="87"/>
        <v>220782.30839425031</v>
      </c>
      <c r="M270" s="122">
        <f t="shared" ca="1" si="88"/>
        <v>3257728.8629000089</v>
      </c>
      <c r="N270" s="70">
        <f t="shared" ca="1" si="89"/>
        <v>8.5909620966669653E-2</v>
      </c>
      <c r="O270" s="120">
        <f t="shared" ca="1" si="90"/>
        <v>257728.86290000897</v>
      </c>
    </row>
    <row r="271" spans="1:15" ht="16.5" customHeight="1">
      <c r="A271" s="46">
        <v>22</v>
      </c>
      <c r="B271" s="132" t="str">
        <f>HYPERLINK("#'" &amp; TEXT(투자전략!$G$1+21, "[$-ko-KR]yyyy.mm.dd") &amp; "'!A175:O199", TEXT(투자전략!$G$1+21, "[$-ko-KR]yyyy.mm.dd"))</f>
        <v>2023.01.22</v>
      </c>
      <c r="C271" s="117">
        <f t="shared" ca="1" si="78"/>
        <v>3000000</v>
      </c>
      <c r="D271" s="125">
        <f t="shared" ca="1" si="79"/>
        <v>2963187.8414136278</v>
      </c>
      <c r="E271" s="69">
        <f t="shared" ca="1" si="80"/>
        <v>-1.2270719528790629E-2</v>
      </c>
      <c r="F271" s="124">
        <f t="shared" ca="1" si="81"/>
        <v>-36812.158586371886</v>
      </c>
      <c r="G271" s="125">
        <f t="shared" ca="1" si="82"/>
        <v>2977151.332138997</v>
      </c>
      <c r="H271" s="69">
        <f t="shared" ca="1" si="83"/>
        <v>-7.616222620334295E-3</v>
      </c>
      <c r="I271" s="124">
        <f t="shared" ca="1" si="84"/>
        <v>-22848.66786100289</v>
      </c>
      <c r="J271" s="125">
        <f t="shared" ca="1" si="85"/>
        <v>2981267.9173127217</v>
      </c>
      <c r="K271" s="69">
        <f t="shared" ca="1" si="86"/>
        <v>-6.2440275624260138E-3</v>
      </c>
      <c r="L271" s="124">
        <f t="shared" ca="1" si="87"/>
        <v>-18732.082687278045</v>
      </c>
      <c r="M271" s="125">
        <f t="shared" ca="1" si="88"/>
        <v>3023990.5977655458</v>
      </c>
      <c r="N271" s="69">
        <f t="shared" ca="1" si="89"/>
        <v>7.9968659218484627E-3</v>
      </c>
      <c r="O271" s="124">
        <f t="shared" ca="1" si="90"/>
        <v>23990.597765545386</v>
      </c>
    </row>
    <row r="272" spans="1:15" ht="16.5" customHeight="1">
      <c r="A272" s="47">
        <v>23</v>
      </c>
      <c r="B272" s="133" t="str">
        <f>HYPERLINK("#'" &amp; TEXT(투자전략!$G$1+22, "[$-ko-KR]yyyy.mm.dd") &amp; "'!A175:O199", TEXT(투자전략!$G$1+22, "[$-ko-KR]yyyy.mm.dd"))</f>
        <v>2023.01.23</v>
      </c>
      <c r="C272" s="118">
        <f t="shared" ca="1" si="78"/>
        <v>3000000</v>
      </c>
      <c r="D272" s="122">
        <f t="shared" ca="1" si="79"/>
        <v>3004934.7881366089</v>
      </c>
      <c r="E272" s="70">
        <f t="shared" ca="1" si="80"/>
        <v>1.6449293788695107E-3</v>
      </c>
      <c r="F272" s="120">
        <f t="shared" ca="1" si="81"/>
        <v>4934.7881366085348</v>
      </c>
      <c r="G272" s="122">
        <f t="shared" ca="1" si="82"/>
        <v>2985748.2548559494</v>
      </c>
      <c r="H272" s="70">
        <f t="shared" ca="1" si="83"/>
        <v>-4.750581714683573E-3</v>
      </c>
      <c r="I272" s="120">
        <f t="shared" ca="1" si="84"/>
        <v>-14251.745144050717</v>
      </c>
      <c r="J272" s="122">
        <f t="shared" ca="1" si="85"/>
        <v>3006503.64086443</v>
      </c>
      <c r="K272" s="70">
        <f t="shared" ca="1" si="86"/>
        <v>2.1678802881433174E-3</v>
      </c>
      <c r="L272" s="120">
        <f t="shared" ca="1" si="87"/>
        <v>6503.6408644299545</v>
      </c>
      <c r="M272" s="122">
        <f t="shared" ca="1" si="88"/>
        <v>2964552.2772677089</v>
      </c>
      <c r="N272" s="70">
        <f t="shared" ca="1" si="89"/>
        <v>-1.1815907577430318E-2</v>
      </c>
      <c r="O272" s="120">
        <f t="shared" ca="1" si="90"/>
        <v>-35447.722732290946</v>
      </c>
    </row>
    <row r="273" spans="1:15" ht="16.5" customHeight="1">
      <c r="A273" s="47">
        <v>24</v>
      </c>
      <c r="B273" s="133" t="str">
        <f>HYPERLINK("#'" &amp; TEXT(투자전략!$G$1+23, "[$-ko-KR]yyyy.mm.dd") &amp; "'!A175:O199", TEXT(투자전략!$G$1+23, "[$-ko-KR]yyyy.mm.dd"))</f>
        <v>2023.01.24</v>
      </c>
      <c r="C273" s="118">
        <f t="shared" ca="1" si="78"/>
        <v>3000000</v>
      </c>
      <c r="D273" s="122">
        <f t="shared" ca="1" si="79"/>
        <v>3096241.3664652025</v>
      </c>
      <c r="E273" s="70">
        <f t="shared" ca="1" si="80"/>
        <v>3.2080455488400828E-2</v>
      </c>
      <c r="F273" s="120">
        <f t="shared" ca="1" si="81"/>
        <v>96241.366465202475</v>
      </c>
      <c r="G273" s="122">
        <f t="shared" ca="1" si="82"/>
        <v>3066723.7404638515</v>
      </c>
      <c r="H273" s="70">
        <f t="shared" ca="1" si="83"/>
        <v>2.2241246821283738E-2</v>
      </c>
      <c r="I273" s="120">
        <f t="shared" ca="1" si="84"/>
        <v>66723.740463851209</v>
      </c>
      <c r="J273" s="122">
        <f t="shared" ca="1" si="85"/>
        <v>3127242.7163443989</v>
      </c>
      <c r="K273" s="70">
        <f t="shared" ca="1" si="86"/>
        <v>4.2414238781466232E-2</v>
      </c>
      <c r="L273" s="120">
        <f t="shared" ca="1" si="87"/>
        <v>127242.71634439871</v>
      </c>
      <c r="M273" s="122">
        <f t="shared" ca="1" si="88"/>
        <v>3151379.3661691621</v>
      </c>
      <c r="N273" s="70">
        <f t="shared" ca="1" si="89"/>
        <v>5.0459788723053914E-2</v>
      </c>
      <c r="O273" s="120">
        <f t="shared" ca="1" si="90"/>
        <v>151379.36616916172</v>
      </c>
    </row>
    <row r="274" spans="1:15" ht="16.5" customHeight="1">
      <c r="A274" s="47">
        <v>25</v>
      </c>
      <c r="B274" s="133" t="str">
        <f>HYPERLINK("#'" &amp; TEXT(투자전략!$G$1+24, "[$-ko-KR]yyyy.mm.dd") &amp; "'!A175:O199", TEXT(투자전략!$G$1+24, "[$-ko-KR]yyyy.mm.dd"))</f>
        <v>2023.01.25</v>
      </c>
      <c r="C274" s="118">
        <f t="shared" ca="1" si="78"/>
        <v>3000000</v>
      </c>
      <c r="D274" s="122">
        <f t="shared" ca="1" si="79"/>
        <v>2889583.2867376991</v>
      </c>
      <c r="E274" s="70">
        <f t="shared" ca="1" si="80"/>
        <v>-3.6805571087433618E-2</v>
      </c>
      <c r="F274" s="120">
        <f t="shared" ca="1" si="81"/>
        <v>-110416.71326230085</v>
      </c>
      <c r="G274" s="122">
        <f t="shared" ca="1" si="82"/>
        <v>2867446.5736203324</v>
      </c>
      <c r="H274" s="70">
        <f t="shared" ca="1" si="83"/>
        <v>-4.4184475459889093E-2</v>
      </c>
      <c r="I274" s="120">
        <f t="shared" ca="1" si="84"/>
        <v>-132553.4263796673</v>
      </c>
      <c r="J274" s="122">
        <f t="shared" ca="1" si="85"/>
        <v>2858632.6935720346</v>
      </c>
      <c r="K274" s="70">
        <f t="shared" ca="1" si="86"/>
        <v>-4.7122435475988503E-2</v>
      </c>
      <c r="L274" s="120">
        <f t="shared" ca="1" si="87"/>
        <v>-141367.30642796546</v>
      </c>
      <c r="M274" s="122">
        <f t="shared" ca="1" si="88"/>
        <v>2852591.4195510093</v>
      </c>
      <c r="N274" s="70">
        <f t="shared" ca="1" si="89"/>
        <v>-4.9136193482996943E-2</v>
      </c>
      <c r="O274" s="120">
        <f t="shared" ca="1" si="90"/>
        <v>-147408.58044899083</v>
      </c>
    </row>
    <row r="275" spans="1:15" ht="16.5" customHeight="1">
      <c r="A275" s="47">
        <v>26</v>
      </c>
      <c r="B275" s="133" t="str">
        <f>HYPERLINK("#'" &amp; TEXT(투자전략!$G$1+25, "[$-ko-KR]yyyy.mm.dd") &amp; "'!A175:O199", TEXT(투자전략!$G$1+25, "[$-ko-KR]yyyy.mm.dd"))</f>
        <v>2023.01.26</v>
      </c>
      <c r="C275" s="118">
        <f t="shared" ca="1" si="78"/>
        <v>3000000</v>
      </c>
      <c r="D275" s="122">
        <f t="shared" ca="1" si="79"/>
        <v>3205597.8787964731</v>
      </c>
      <c r="E275" s="70">
        <f t="shared" ca="1" si="80"/>
        <v>6.8532626265491114E-2</v>
      </c>
      <c r="F275" s="120">
        <f t="shared" ca="1" si="81"/>
        <v>205597.87879647338</v>
      </c>
      <c r="G275" s="122">
        <f t="shared" ca="1" si="82"/>
        <v>3186822.1793189375</v>
      </c>
      <c r="H275" s="70">
        <f t="shared" ca="1" si="83"/>
        <v>6.2274059772979187E-2</v>
      </c>
      <c r="I275" s="120">
        <f t="shared" ca="1" si="84"/>
        <v>186822.17931893756</v>
      </c>
      <c r="J275" s="122">
        <f t="shared" ca="1" si="85"/>
        <v>3164822.6030729697</v>
      </c>
      <c r="K275" s="70">
        <f t="shared" ca="1" si="86"/>
        <v>5.4940867690989915E-2</v>
      </c>
      <c r="L275" s="120">
        <f t="shared" ca="1" si="87"/>
        <v>164822.60307296974</v>
      </c>
      <c r="M275" s="122">
        <f t="shared" ca="1" si="88"/>
        <v>3157097.1808232041</v>
      </c>
      <c r="N275" s="70">
        <f t="shared" ca="1" si="89"/>
        <v>5.2365726941068044E-2</v>
      </c>
      <c r="O275" s="120">
        <f t="shared" ca="1" si="90"/>
        <v>157097.18082320419</v>
      </c>
    </row>
    <row r="276" spans="1:15" ht="16.5" customHeight="1">
      <c r="A276" s="47">
        <v>27</v>
      </c>
      <c r="B276" s="133" t="str">
        <f>HYPERLINK("#'" &amp; TEXT(투자전략!$G$1+26, "[$-ko-KR]yyyy.mm.dd") &amp; "'!A175:O199", TEXT(투자전략!$G$1+26, "[$-ko-KR]yyyy.mm.dd"))</f>
        <v>2023.01.27</v>
      </c>
      <c r="C276" s="118">
        <f t="shared" ca="1" si="78"/>
        <v>3000000</v>
      </c>
      <c r="D276" s="122">
        <f t="shared" ca="1" si="79"/>
        <v>3035128.5866233488</v>
      </c>
      <c r="E276" s="70">
        <f t="shared" ca="1" si="80"/>
        <v>1.1709528874449517E-2</v>
      </c>
      <c r="F276" s="120">
        <f t="shared" ca="1" si="81"/>
        <v>35128.58662334855</v>
      </c>
      <c r="G276" s="122">
        <f t="shared" ca="1" si="82"/>
        <v>3055147.1015911042</v>
      </c>
      <c r="H276" s="70">
        <f t="shared" ca="1" si="83"/>
        <v>1.8382367197034621E-2</v>
      </c>
      <c r="I276" s="120">
        <f t="shared" ca="1" si="84"/>
        <v>55147.101591103878</v>
      </c>
      <c r="J276" s="122">
        <f t="shared" ca="1" si="85"/>
        <v>3064069.5166339893</v>
      </c>
      <c r="K276" s="70">
        <f t="shared" ca="1" si="86"/>
        <v>2.1356505544663278E-2</v>
      </c>
      <c r="L276" s="120">
        <f t="shared" ca="1" si="87"/>
        <v>64069.516633989835</v>
      </c>
      <c r="M276" s="122">
        <f t="shared" ca="1" si="88"/>
        <v>3074686.3331810911</v>
      </c>
      <c r="N276" s="70">
        <f t="shared" ca="1" si="89"/>
        <v>2.4895444393697147E-2</v>
      </c>
      <c r="O276" s="120">
        <f t="shared" ca="1" si="90"/>
        <v>74686.333181091424</v>
      </c>
    </row>
    <row r="277" spans="1:15" ht="16.5" customHeight="1" thickBot="1">
      <c r="A277" s="48">
        <v>28</v>
      </c>
      <c r="B277" s="134" t="str">
        <f>HYPERLINK("#'" &amp; TEXT(투자전략!$G$1+27, "[$-ko-KR]yyyy.mm.dd") &amp; "'!A175:O199", TEXT(투자전략!$G$1+27, "[$-ko-KR]yyyy.mm.dd"))</f>
        <v>2023.01.28</v>
      </c>
      <c r="C277" s="119">
        <f t="shared" ca="1" si="78"/>
        <v>3000000</v>
      </c>
      <c r="D277" s="123">
        <f t="shared" ca="1" si="79"/>
        <v>3106035.0892124125</v>
      </c>
      <c r="E277" s="72">
        <f t="shared" ca="1" si="80"/>
        <v>3.5345029737470918E-2</v>
      </c>
      <c r="F277" s="121">
        <f t="shared" ca="1" si="81"/>
        <v>106035.08921241277</v>
      </c>
      <c r="G277" s="123">
        <f t="shared" ca="1" si="82"/>
        <v>3061367.0628486038</v>
      </c>
      <c r="H277" s="72">
        <f t="shared" ca="1" si="83"/>
        <v>2.0455687616201267E-2</v>
      </c>
      <c r="I277" s="121">
        <f t="shared" ca="1" si="84"/>
        <v>61367.062848603789</v>
      </c>
      <c r="J277" s="123">
        <f t="shared" ca="1" si="85"/>
        <v>3061211.8865754171</v>
      </c>
      <c r="K277" s="72">
        <f t="shared" ca="1" si="86"/>
        <v>2.0403962191805632E-2</v>
      </c>
      <c r="L277" s="121">
        <f t="shared" ca="1" si="87"/>
        <v>61211.886575416887</v>
      </c>
      <c r="M277" s="123">
        <f t="shared" ca="1" si="88"/>
        <v>3024525.2578657269</v>
      </c>
      <c r="N277" s="72">
        <f t="shared" ca="1" si="89"/>
        <v>8.1750859552422814E-3</v>
      </c>
      <c r="O277" s="121">
        <f t="shared" ca="1" si="90"/>
        <v>24525.257865726835</v>
      </c>
    </row>
    <row r="278" spans="1:15" ht="16.5" customHeight="1">
      <c r="A278" s="105">
        <v>29</v>
      </c>
      <c r="B278" s="132" t="str">
        <f>HYPERLINK("#'" &amp; TEXT(투자전략!$G$1+28, "[$-ko-KR]yyyy.mm.dd") &amp; "'!A175:O199", TEXT(투자전략!$G$1+28, "[$-ko-KR]yyyy.mm.dd"))</f>
        <v>2023.01.29</v>
      </c>
      <c r="C278" s="118">
        <f t="shared" ca="1" si="78"/>
        <v>3000000</v>
      </c>
      <c r="D278" s="122">
        <f t="shared" ca="1" si="79"/>
        <v>3042465.6348123439</v>
      </c>
      <c r="E278" s="70">
        <f t="shared" ca="1" si="80"/>
        <v>1.4155211604114556E-2</v>
      </c>
      <c r="F278" s="120">
        <f t="shared" ca="1" si="81"/>
        <v>42465.634812343662</v>
      </c>
      <c r="G278" s="122">
        <f t="shared" ca="1" si="82"/>
        <v>3043054.5298593254</v>
      </c>
      <c r="H278" s="70">
        <f t="shared" ca="1" si="83"/>
        <v>1.4351509953108438E-2</v>
      </c>
      <c r="I278" s="120">
        <f t="shared" ca="1" si="84"/>
        <v>43054.52985932531</v>
      </c>
      <c r="J278" s="122">
        <f t="shared" ca="1" si="85"/>
        <v>3043054.5298593254</v>
      </c>
      <c r="K278" s="70">
        <f t="shared" ca="1" si="86"/>
        <v>1.4351509953108438E-2</v>
      </c>
      <c r="L278" s="120">
        <f t="shared" ca="1" si="87"/>
        <v>43054.52985932531</v>
      </c>
      <c r="M278" s="122">
        <f t="shared" ca="1" si="88"/>
        <v>3043054.5298593254</v>
      </c>
      <c r="N278" s="70">
        <f t="shared" ca="1" si="89"/>
        <v>1.4351509953108438E-2</v>
      </c>
      <c r="O278" s="120">
        <f t="shared" ca="1" si="90"/>
        <v>43054.52985932531</v>
      </c>
    </row>
    <row r="279" spans="1:15" ht="16.5" customHeight="1">
      <c r="A279" s="105">
        <v>30</v>
      </c>
      <c r="B279" s="133" t="str">
        <f>HYPERLINK("#'" &amp; TEXT(투자전략!$G$1+29, "[$-ko-KR]yyyy.mm.dd") &amp; "'!A175:O199", TEXT(투자전략!$G$1+29, "[$-ko-KR]yyyy.mm.dd"))</f>
        <v>2023.01.30</v>
      </c>
      <c r="C279" s="118" t="str">
        <f t="shared" ca="1" si="78"/>
        <v/>
      </c>
      <c r="D279" s="122" t="str">
        <f t="shared" ca="1" si="79"/>
        <v/>
      </c>
      <c r="E279" s="70" t="str">
        <f t="shared" ca="1" si="80"/>
        <v/>
      </c>
      <c r="F279" s="120" t="str">
        <f t="shared" ca="1" si="81"/>
        <v/>
      </c>
      <c r="G279" s="122" t="str">
        <f t="shared" ca="1" si="82"/>
        <v/>
      </c>
      <c r="H279" s="70" t="str">
        <f t="shared" ca="1" si="83"/>
        <v/>
      </c>
      <c r="I279" s="120" t="str">
        <f t="shared" ca="1" si="84"/>
        <v/>
      </c>
      <c r="J279" s="122" t="str">
        <f t="shared" ca="1" si="85"/>
        <v/>
      </c>
      <c r="K279" s="70" t="str">
        <f t="shared" ca="1" si="86"/>
        <v/>
      </c>
      <c r="L279" s="120" t="str">
        <f t="shared" ca="1" si="87"/>
        <v/>
      </c>
      <c r="M279" s="122" t="str">
        <f t="shared" ca="1" si="88"/>
        <v/>
      </c>
      <c r="N279" s="70" t="str">
        <f t="shared" ca="1" si="89"/>
        <v/>
      </c>
      <c r="O279" s="120" t="str">
        <f t="shared" ca="1" si="90"/>
        <v/>
      </c>
    </row>
    <row r="280" spans="1:15" ht="16.5" customHeight="1" thickBot="1">
      <c r="A280" s="105">
        <v>31</v>
      </c>
      <c r="B280" s="133" t="str">
        <f>HYPERLINK("#'" &amp; TEXT(투자전략!$G$1+30, "[$-ko-KR]yyyy.mm.dd") &amp; "'!A175:O199", TEXT(투자전략!$G$1+30, "[$-ko-KR]yyyy.mm.dd"))</f>
        <v>2023.01.31</v>
      </c>
      <c r="C280" s="119">
        <f t="shared" ca="1" si="78"/>
        <v>3000000</v>
      </c>
      <c r="D280" s="123">
        <f t="shared" ca="1" si="79"/>
        <v>3044124.2017893922</v>
      </c>
      <c r="E280" s="72">
        <f t="shared" ca="1" si="80"/>
        <v>1.4708067263130831E-2</v>
      </c>
      <c r="F280" s="121">
        <f t="shared" ca="1" si="81"/>
        <v>44124.201789392493</v>
      </c>
      <c r="G280" s="123">
        <f t="shared" ca="1" si="82"/>
        <v>3044124.2017893922</v>
      </c>
      <c r="H280" s="72">
        <f t="shared" ca="1" si="83"/>
        <v>1.4708067263130831E-2</v>
      </c>
      <c r="I280" s="121">
        <f t="shared" ca="1" si="84"/>
        <v>44124.201789392493</v>
      </c>
      <c r="J280" s="123">
        <f t="shared" ca="1" si="85"/>
        <v>3044124.2017893922</v>
      </c>
      <c r="K280" s="72">
        <f t="shared" ca="1" si="86"/>
        <v>1.4708067263130831E-2</v>
      </c>
      <c r="L280" s="121">
        <f t="shared" ca="1" si="87"/>
        <v>44124.201789392493</v>
      </c>
      <c r="M280" s="123">
        <f t="shared" ca="1" si="88"/>
        <v>3044124.2017893922</v>
      </c>
      <c r="N280" s="72">
        <f t="shared" ca="1" si="89"/>
        <v>1.4708067263130831E-2</v>
      </c>
      <c r="O280" s="121">
        <f t="shared" ca="1" si="90"/>
        <v>44124.201789392493</v>
      </c>
    </row>
    <row r="281" spans="1:15" ht="16.5" customHeight="1" thickBot="1">
      <c r="A281" s="185" t="s">
        <v>270</v>
      </c>
      <c r="B281" s="187"/>
      <c r="C281" s="116" t="s">
        <v>265</v>
      </c>
      <c r="D281" s="9" t="s">
        <v>266</v>
      </c>
      <c r="E281" s="63" t="s">
        <v>267</v>
      </c>
      <c r="F281" s="64" t="s">
        <v>268</v>
      </c>
      <c r="G281" s="9" t="s">
        <v>266</v>
      </c>
      <c r="H281" s="63" t="s">
        <v>267</v>
      </c>
      <c r="I281" s="64" t="s">
        <v>268</v>
      </c>
      <c r="J281" s="9" t="s">
        <v>266</v>
      </c>
      <c r="K281" s="63" t="s">
        <v>267</v>
      </c>
      <c r="L281" s="64" t="s">
        <v>268</v>
      </c>
      <c r="M281" s="9" t="s">
        <v>266</v>
      </c>
      <c r="N281" s="63" t="s">
        <v>267</v>
      </c>
      <c r="O281" s="64" t="s">
        <v>268</v>
      </c>
    </row>
    <row r="282" spans="1:15" ht="16.5" customHeight="1" thickBot="1">
      <c r="A282" s="178"/>
      <c r="B282" s="180"/>
      <c r="C282" s="119">
        <f ca="1">SUM(C250:C280)</f>
        <v>78000000</v>
      </c>
      <c r="D282" s="123">
        <f ca="1">SUM(D250:D280)</f>
        <v>79346885.297298327</v>
      </c>
      <c r="E282" s="72">
        <f ca="1">IFERROR(F282 / (SUM($C250:$C280) / COUNT($C250:$C280)), 0)</f>
        <v>0.44896176576610608</v>
      </c>
      <c r="F282" s="121">
        <f ca="1">SUM(F250:F280)</f>
        <v>1346885.2972983182</v>
      </c>
      <c r="G282" s="123">
        <f ca="1">SUM(G250:G280)</f>
        <v>79077863.517532319</v>
      </c>
      <c r="H282" s="72">
        <f ca="1">IFERROR(I282 / (SUM($C250:$C280) / COUNT($C250:$C280)), 0)</f>
        <v>0.35928783917743745</v>
      </c>
      <c r="I282" s="121">
        <f ca="1">SUM(I250:I280)</f>
        <v>1077863.5175323123</v>
      </c>
      <c r="J282" s="123">
        <f ca="1">SUM(J250:J280)</f>
        <v>79309366.844944924</v>
      </c>
      <c r="K282" s="72">
        <f ca="1">IFERROR(L282 / (SUM($C250:$C280) / COUNT($C250:$C280)), 0)</f>
        <v>0.43645561498163948</v>
      </c>
      <c r="L282" s="121">
        <f ca="1">SUM(L250:L280)</f>
        <v>1309366.8449449185</v>
      </c>
      <c r="M282" s="123">
        <f ca="1">SUM(M250:M280)</f>
        <v>79276400.415357798</v>
      </c>
      <c r="N282" s="72">
        <f ca="1">IFERROR(O282 / (SUM($C250:$C280) / COUNT($C250:$C280)), 0)</f>
        <v>0.42546680511926682</v>
      </c>
      <c r="O282" s="121">
        <f ca="1">SUM(O250:O280)</f>
        <v>1276400.4153578004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879" priority="323">
      <formula>$E$54 &gt; 0</formula>
    </cfRule>
    <cfRule type="expression" dxfId="4878" priority="324">
      <formula>$E$54 = 0</formula>
    </cfRule>
    <cfRule type="expression" dxfId="4877" priority="325">
      <formula>$E$54 &lt; 0</formula>
    </cfRule>
  </conditionalFormatting>
  <conditionalFormatting sqref="G20:I21 H54:I54">
    <cfRule type="expression" dxfId="4876" priority="320">
      <formula>$H$54 &gt; 0</formula>
    </cfRule>
    <cfRule type="expression" dxfId="4875" priority="321">
      <formula>$H$54 = 0</formula>
    </cfRule>
    <cfRule type="expression" dxfId="4874" priority="322">
      <formula>$H$54 &lt; 0</formula>
    </cfRule>
  </conditionalFormatting>
  <conditionalFormatting sqref="J20:L21 K54:L54">
    <cfRule type="expression" dxfId="4873" priority="317">
      <formula>$K$54 &gt; 0</formula>
    </cfRule>
    <cfRule type="expression" dxfId="4872" priority="318">
      <formula>$K$54 = 0</formula>
    </cfRule>
    <cfRule type="expression" dxfId="4871" priority="319">
      <formula>$K$54 &lt; 0</formula>
    </cfRule>
  </conditionalFormatting>
  <conditionalFormatting sqref="M20:O21 N54:O54">
    <cfRule type="expression" dxfId="4870" priority="314">
      <formula>$N$54 &gt; 0</formula>
    </cfRule>
    <cfRule type="expression" dxfId="4869" priority="315">
      <formula>$N$54 = 0</formula>
    </cfRule>
    <cfRule type="expression" dxfId="4868" priority="316">
      <formula>$N$54 &lt; 0</formula>
    </cfRule>
  </conditionalFormatting>
  <conditionalFormatting sqref="D22:F52">
    <cfRule type="expression" dxfId="4867" priority="299">
      <formula>AND($E22 &gt; 0, ISNUMBER($E22))</formula>
    </cfRule>
    <cfRule type="expression" dxfId="4866" priority="300">
      <formula>AND($E22 = 0, ISNUMBER($E22))</formula>
    </cfRule>
    <cfRule type="expression" dxfId="4865" priority="301">
      <formula>AND($E22 &lt; 0, ISNUMBER($E22))</formula>
    </cfRule>
  </conditionalFormatting>
  <conditionalFormatting sqref="G22:I52">
    <cfRule type="expression" dxfId="4864" priority="296">
      <formula>AND($H22 &gt; 0, ISNUMBER($H22))</formula>
    </cfRule>
    <cfRule type="expression" dxfId="4863" priority="297">
      <formula>AND($H22 = 0, ISNUMBER($H22))</formula>
    </cfRule>
    <cfRule type="expression" dxfId="4862" priority="298">
      <formula>AND($H22 &lt; 0, ISNUMBER($H22))</formula>
    </cfRule>
  </conditionalFormatting>
  <conditionalFormatting sqref="J22:L52">
    <cfRule type="expression" dxfId="4861" priority="293">
      <formula>AND($K22 &gt; 0, ISNUMBER($K22))</formula>
    </cfRule>
    <cfRule type="expression" dxfId="4860" priority="294">
      <formula>AND($K22 = 0, ISNUMBER($K22))</formula>
    </cfRule>
    <cfRule type="expression" dxfId="4859" priority="295">
      <formula>AND($K22 &lt; 0, ISNUMBER($K22))</formula>
    </cfRule>
  </conditionalFormatting>
  <conditionalFormatting sqref="M22:O52">
    <cfRule type="expression" dxfId="4858" priority="290">
      <formula>AND($N22 &gt; 0, ISNUMBER($N22))</formula>
    </cfRule>
    <cfRule type="expression" dxfId="4857" priority="291">
      <formula>AND($N22 = 0, ISNUMBER($N22))</formula>
    </cfRule>
    <cfRule type="expression" dxfId="4856" priority="292">
      <formula>AND($N22 &lt; 0, ISNUMBER($N22))</formula>
    </cfRule>
  </conditionalFormatting>
  <conditionalFormatting sqref="D58:F59 E92:F92">
    <cfRule type="expression" dxfId="4855" priority="287">
      <formula>$E$92 &gt; 0</formula>
    </cfRule>
    <cfRule type="expression" dxfId="4854" priority="288">
      <formula>$E$92 = 0</formula>
    </cfRule>
    <cfRule type="expression" dxfId="4853" priority="289">
      <formula>$E$92 &lt; 0</formula>
    </cfRule>
  </conditionalFormatting>
  <conditionalFormatting sqref="G58:I59 H92:I92">
    <cfRule type="expression" dxfId="4852" priority="284">
      <formula>$H$92 &gt; 0</formula>
    </cfRule>
    <cfRule type="expression" dxfId="4851" priority="285">
      <formula>$H$92 = 0</formula>
    </cfRule>
    <cfRule type="expression" dxfId="4850" priority="286">
      <formula>$H$92 &lt; 0</formula>
    </cfRule>
  </conditionalFormatting>
  <conditionalFormatting sqref="J58:L59 K92:L92">
    <cfRule type="expression" dxfId="4849" priority="281">
      <formula>$K$92 &gt; 0</formula>
    </cfRule>
    <cfRule type="expression" dxfId="4848" priority="282">
      <formula>$K$92 = 0</formula>
    </cfRule>
    <cfRule type="expression" dxfId="4847" priority="283">
      <formula>$K$92 &lt; 0</formula>
    </cfRule>
  </conditionalFormatting>
  <conditionalFormatting sqref="M58:O59 N92:O92">
    <cfRule type="expression" dxfId="4846" priority="278">
      <formula>$N$92 &gt; 0</formula>
    </cfRule>
    <cfRule type="expression" dxfId="4845" priority="279">
      <formula>$N$92 = 0</formula>
    </cfRule>
    <cfRule type="expression" dxfId="4844" priority="280">
      <formula>$N$92 &lt; 0</formula>
    </cfRule>
  </conditionalFormatting>
  <conditionalFormatting sqref="D60:F90">
    <cfRule type="expression" dxfId="4843" priority="275">
      <formula>AND($E60 &gt; 0, ISNUMBER($E60))</formula>
    </cfRule>
    <cfRule type="expression" dxfId="4842" priority="276">
      <formula>AND($E60 = 0, ISNUMBER($E60))</formula>
    </cfRule>
    <cfRule type="expression" dxfId="4841" priority="277">
      <formula>AND($E60 &lt; 0, ISNUMBER($E60))</formula>
    </cfRule>
  </conditionalFormatting>
  <conditionalFormatting sqref="G60:I90">
    <cfRule type="expression" dxfId="4840" priority="272">
      <formula>AND($H60 &gt; 0, ISNUMBER($H60))</formula>
    </cfRule>
    <cfRule type="expression" dxfId="4839" priority="273">
      <formula>AND($H60 = 0, ISNUMBER($H60))</formula>
    </cfRule>
    <cfRule type="expression" dxfId="4838" priority="274">
      <formula>AND($H60 &lt; 0, ISNUMBER($H60))</formula>
    </cfRule>
  </conditionalFormatting>
  <conditionalFormatting sqref="J60:L90">
    <cfRule type="expression" dxfId="4837" priority="269">
      <formula>AND($K60 &gt; 0, ISNUMBER($K60))</formula>
    </cfRule>
    <cfRule type="expression" dxfId="4836" priority="270">
      <formula>AND($K60 = 0, ISNUMBER($K60))</formula>
    </cfRule>
    <cfRule type="expression" dxfId="4835" priority="271">
      <formula>AND($K60 &lt; 0, ISNUMBER($K60))</formula>
    </cfRule>
  </conditionalFormatting>
  <conditionalFormatting sqref="M60:O90">
    <cfRule type="expression" dxfId="4834" priority="266">
      <formula>AND($N60 &gt; 0, ISNUMBER($N60))</formula>
    </cfRule>
    <cfRule type="expression" dxfId="4833" priority="267">
      <formula>AND($N60 = 0, ISNUMBER($N60))</formula>
    </cfRule>
    <cfRule type="expression" dxfId="4832" priority="268">
      <formula>AND($N60 &lt; 0, ISNUMBER($N60))</formula>
    </cfRule>
  </conditionalFormatting>
  <conditionalFormatting sqref="D96:F97 E130:F130">
    <cfRule type="expression" dxfId="4831" priority="263">
      <formula>$E$130 &gt; 0</formula>
    </cfRule>
    <cfRule type="expression" dxfId="4830" priority="264">
      <formula>$E$130 = 0</formula>
    </cfRule>
    <cfRule type="expression" dxfId="4829" priority="265">
      <formula>$E$130 &lt; 0</formula>
    </cfRule>
  </conditionalFormatting>
  <conditionalFormatting sqref="G96:I97 H130:I130">
    <cfRule type="expression" dxfId="4828" priority="260">
      <formula>$H$130 &gt; 0</formula>
    </cfRule>
    <cfRule type="expression" dxfId="4827" priority="261">
      <formula>$H$130 = 0</formula>
    </cfRule>
    <cfRule type="expression" dxfId="4826" priority="262">
      <formula>$H$130 &lt; 0</formula>
    </cfRule>
  </conditionalFormatting>
  <conditionalFormatting sqref="J96:L97 K130:L130">
    <cfRule type="expression" dxfId="4825" priority="257">
      <formula>$K$130 &gt; 0</formula>
    </cfRule>
    <cfRule type="expression" dxfId="4824" priority="258">
      <formula>$K$130 = 0</formula>
    </cfRule>
    <cfRule type="expression" dxfId="4823" priority="259">
      <formula>$K$130 &lt; 0</formula>
    </cfRule>
  </conditionalFormatting>
  <conditionalFormatting sqref="M96:O97 N130:O130">
    <cfRule type="expression" dxfId="4822" priority="254">
      <formula>$N$130 &gt; 0</formula>
    </cfRule>
    <cfRule type="expression" dxfId="4821" priority="255">
      <formula>$N$130 = 0</formula>
    </cfRule>
    <cfRule type="expression" dxfId="4820" priority="256">
      <formula>$N$130 &lt; 0</formula>
    </cfRule>
  </conditionalFormatting>
  <conditionalFormatting sqref="D98:F128">
    <cfRule type="expression" dxfId="4819" priority="251">
      <formula>AND($E98 &gt; 0, ISNUMBER($E98))</formula>
    </cfRule>
    <cfRule type="expression" dxfId="4818" priority="252">
      <formula>AND($E98 = 0, ISNUMBER($E98))</formula>
    </cfRule>
    <cfRule type="expression" dxfId="4817" priority="253">
      <formula>AND($E98 &lt; 0, ISNUMBER($E98))</formula>
    </cfRule>
  </conditionalFormatting>
  <conditionalFormatting sqref="G98:I128">
    <cfRule type="expression" dxfId="4816" priority="248">
      <formula>AND($H98 &gt; 0, ISNUMBER($H98))</formula>
    </cfRule>
    <cfRule type="expression" dxfId="4815" priority="249">
      <formula>AND($H98 = 0, ISNUMBER($H98))</formula>
    </cfRule>
    <cfRule type="expression" dxfId="4814" priority="250">
      <formula>AND($H98 &lt; 0, ISNUMBER($H98))</formula>
    </cfRule>
  </conditionalFormatting>
  <conditionalFormatting sqref="J98:L128">
    <cfRule type="expression" dxfId="4813" priority="245">
      <formula>AND($K98 &gt; 0, ISNUMBER($K98))</formula>
    </cfRule>
    <cfRule type="expression" dxfId="4812" priority="246">
      <formula>AND($K98 = 0, ISNUMBER($K98))</formula>
    </cfRule>
    <cfRule type="expression" dxfId="4811" priority="247">
      <formula>AND($K98 &lt; 0, ISNUMBER($K98))</formula>
    </cfRule>
  </conditionalFormatting>
  <conditionalFormatting sqref="M98:O128">
    <cfRule type="expression" dxfId="4810" priority="242">
      <formula>AND($N98 &gt; 0, ISNUMBER($N98))</formula>
    </cfRule>
    <cfRule type="expression" dxfId="4809" priority="243">
      <formula>AND($N98 = 0, ISNUMBER($N98))</formula>
    </cfRule>
    <cfRule type="expression" dxfId="4808" priority="244">
      <formula>AND($N98 &lt; 0, ISNUMBER($N98))</formula>
    </cfRule>
  </conditionalFormatting>
  <conditionalFormatting sqref="D134:F135 E168:F168">
    <cfRule type="expression" dxfId="4807" priority="239">
      <formula>$E$168 &gt; 0</formula>
    </cfRule>
    <cfRule type="expression" dxfId="4806" priority="240">
      <formula>$E$168 = 0</formula>
    </cfRule>
    <cfRule type="expression" dxfId="4805" priority="241">
      <formula>$E$168 &lt; 0</formula>
    </cfRule>
  </conditionalFormatting>
  <conditionalFormatting sqref="G134:I135 H168:I168">
    <cfRule type="expression" dxfId="4804" priority="236">
      <formula>$H$168 &gt; 0</formula>
    </cfRule>
    <cfRule type="expression" dxfId="4803" priority="237">
      <formula>$H$168 = 0</formula>
    </cfRule>
    <cfRule type="expression" dxfId="4802" priority="238">
      <formula>$H$168 &lt; 0</formula>
    </cfRule>
  </conditionalFormatting>
  <conditionalFormatting sqref="J134:L135 K168:L168">
    <cfRule type="expression" dxfId="4801" priority="233">
      <formula>$K$168 &gt; 0</formula>
    </cfRule>
    <cfRule type="expression" dxfId="4800" priority="234">
      <formula>$K$168 = 0</formula>
    </cfRule>
    <cfRule type="expression" dxfId="4799" priority="235">
      <formula>$K$168 &lt; 0</formula>
    </cfRule>
  </conditionalFormatting>
  <conditionalFormatting sqref="M134:O135 N168:O168">
    <cfRule type="expression" dxfId="4798" priority="230">
      <formula>$N$168 &gt; 0</formula>
    </cfRule>
    <cfRule type="expression" dxfId="4797" priority="231">
      <formula>$N$168 = 0</formula>
    </cfRule>
    <cfRule type="expression" dxfId="4796" priority="232">
      <formula>$N$168 &lt; 0</formula>
    </cfRule>
  </conditionalFormatting>
  <conditionalFormatting sqref="D136:F166">
    <cfRule type="expression" dxfId="4795" priority="227">
      <formula>AND($E136 &gt; 0, ISNUMBER($E136))</formula>
    </cfRule>
    <cfRule type="expression" dxfId="4794" priority="228">
      <formula>AND($E136 = 0, ISNUMBER($E136))</formula>
    </cfRule>
    <cfRule type="expression" dxfId="4793" priority="229">
      <formula>AND($E136 &lt; 0, ISNUMBER($E136))</formula>
    </cfRule>
  </conditionalFormatting>
  <conditionalFormatting sqref="G136:I166">
    <cfRule type="expression" dxfId="4792" priority="224">
      <formula>AND($H136 &gt; 0, ISNUMBER($H136))</formula>
    </cfRule>
    <cfRule type="expression" dxfId="4791" priority="225">
      <formula>AND($H136 = 0, ISNUMBER($H136))</formula>
    </cfRule>
    <cfRule type="expression" dxfId="4790" priority="226">
      <formula>AND($H136 &lt; 0, ISNUMBER($H136))</formula>
    </cfRule>
  </conditionalFormatting>
  <conditionalFormatting sqref="J136:L166">
    <cfRule type="expression" dxfId="4789" priority="221">
      <formula>AND($K136 &gt; 0, ISNUMBER($K136))</formula>
    </cfRule>
    <cfRule type="expression" dxfId="4788" priority="222">
      <formula>AND($K136 = 0, ISNUMBER($K136))</formula>
    </cfRule>
    <cfRule type="expression" dxfId="4787" priority="223">
      <formula>AND($K136 &lt; 0, ISNUMBER($K136))</formula>
    </cfRule>
  </conditionalFormatting>
  <conditionalFormatting sqref="M136:O166">
    <cfRule type="expression" dxfId="4786" priority="218">
      <formula>AND($N136 &gt; 0, ISNUMBER($N136))</formula>
    </cfRule>
    <cfRule type="expression" dxfId="4785" priority="219">
      <formula>AND($N136 = 0, ISNUMBER($N136))</formula>
    </cfRule>
    <cfRule type="expression" dxfId="4784" priority="220">
      <formula>AND($N136 &lt; 0, ISNUMBER($N136))</formula>
    </cfRule>
  </conditionalFormatting>
  <conditionalFormatting sqref="D172:F173 E206:F206">
    <cfRule type="expression" dxfId="4783" priority="215">
      <formula>$E$206 &gt; 0</formula>
    </cfRule>
    <cfRule type="expression" dxfId="4782" priority="216">
      <formula>$E$206 = 0</formula>
    </cfRule>
    <cfRule type="expression" dxfId="4781" priority="217">
      <formula>$E$206 &lt; 0</formula>
    </cfRule>
  </conditionalFormatting>
  <conditionalFormatting sqref="G172:I173 H206:I206">
    <cfRule type="expression" dxfId="4780" priority="212">
      <formula>$H$206 &gt; 0</formula>
    </cfRule>
    <cfRule type="expression" dxfId="4779" priority="213">
      <formula>$H$206 = 0</formula>
    </cfRule>
    <cfRule type="expression" dxfId="4778" priority="214">
      <formula>$H$206 &lt; 0</formula>
    </cfRule>
  </conditionalFormatting>
  <conditionalFormatting sqref="J172:L173 K206:L206">
    <cfRule type="expression" dxfId="4777" priority="209">
      <formula>$K$206 &gt; 0</formula>
    </cfRule>
    <cfRule type="expression" dxfId="4776" priority="210">
      <formula>$K$206 = 0</formula>
    </cfRule>
    <cfRule type="expression" dxfId="4775" priority="211">
      <formula>$K$206 &lt; 0</formula>
    </cfRule>
  </conditionalFormatting>
  <conditionalFormatting sqref="M172:O173 N206:O206">
    <cfRule type="expression" dxfId="4774" priority="206">
      <formula>$N$206 &gt; 0</formula>
    </cfRule>
    <cfRule type="expression" dxfId="4773" priority="207">
      <formula>$N$206 = 0</formula>
    </cfRule>
    <cfRule type="expression" dxfId="4772" priority="208">
      <formula>$N$206 &lt; 0</formula>
    </cfRule>
  </conditionalFormatting>
  <conditionalFormatting sqref="D174:F204">
    <cfRule type="expression" dxfId="4771" priority="203">
      <formula>AND($E174 &gt; 0, ISNUMBER($E174))</formula>
    </cfRule>
    <cfRule type="expression" dxfId="4770" priority="204">
      <formula>AND($E174 = 0, ISNUMBER($E174))</formula>
    </cfRule>
    <cfRule type="expression" dxfId="4769" priority="205">
      <formula>AND($E174 &lt; 0, ISNUMBER($E174))</formula>
    </cfRule>
  </conditionalFormatting>
  <conditionalFormatting sqref="G174:I204">
    <cfRule type="expression" dxfId="4768" priority="200">
      <formula>AND($H174 &gt; 0, ISNUMBER($H174))</formula>
    </cfRule>
    <cfRule type="expression" dxfId="4767" priority="201">
      <formula>AND($H174 = 0, ISNUMBER($H174))</formula>
    </cfRule>
    <cfRule type="expression" dxfId="4766" priority="202">
      <formula>AND($H174 &lt; 0, ISNUMBER($H174))</formula>
    </cfRule>
  </conditionalFormatting>
  <conditionalFormatting sqref="J174:L204">
    <cfRule type="expression" dxfId="4765" priority="197">
      <formula>AND($K174 &gt; 0, ISNUMBER($K174))</formula>
    </cfRule>
    <cfRule type="expression" dxfId="4764" priority="198">
      <formula>AND($K174 = 0, ISNUMBER($K174))</formula>
    </cfRule>
    <cfRule type="expression" dxfId="4763" priority="199">
      <formula>AND($K174 &lt; 0, ISNUMBER($K174))</formula>
    </cfRule>
  </conditionalFormatting>
  <conditionalFormatting sqref="M174:O204">
    <cfRule type="expression" dxfId="4762" priority="194">
      <formula>AND($N174 &gt; 0, ISNUMBER($N174))</formula>
    </cfRule>
    <cfRule type="expression" dxfId="4761" priority="195">
      <formula>AND($N174 = 0, ISNUMBER($N174))</formula>
    </cfRule>
    <cfRule type="expression" dxfId="4760" priority="196">
      <formula>AND($N174 &lt; 0, ISNUMBER($N174))</formula>
    </cfRule>
  </conditionalFormatting>
  <conditionalFormatting sqref="D210:F211 E244:F244">
    <cfRule type="expression" dxfId="4759" priority="191">
      <formula>$E$244 &gt; 0</formula>
    </cfRule>
    <cfRule type="expression" dxfId="4758" priority="192">
      <formula>$E$244 = 0</formula>
    </cfRule>
    <cfRule type="expression" dxfId="4757" priority="193">
      <formula>$E$244 &lt; 0</formula>
    </cfRule>
  </conditionalFormatting>
  <conditionalFormatting sqref="G210:I211 H244:I244">
    <cfRule type="expression" dxfId="4756" priority="188">
      <formula>$H$244 &gt; 0</formula>
    </cfRule>
    <cfRule type="expression" dxfId="4755" priority="189">
      <formula>$H$244 = 0</formula>
    </cfRule>
    <cfRule type="expression" dxfId="4754" priority="190">
      <formula>$H$244 &lt; 0</formula>
    </cfRule>
  </conditionalFormatting>
  <conditionalFormatting sqref="J210:L211 K244:L244">
    <cfRule type="expression" dxfId="4753" priority="185">
      <formula>$K$244 &gt; 0</formula>
    </cfRule>
    <cfRule type="expression" dxfId="4752" priority="186">
      <formula>$K$244 = 0</formula>
    </cfRule>
    <cfRule type="expression" dxfId="4751" priority="187">
      <formula>$K$244 &lt; 0</formula>
    </cfRule>
  </conditionalFormatting>
  <conditionalFormatting sqref="M210:O211 N244:O244">
    <cfRule type="expression" dxfId="4750" priority="182">
      <formula>$N$244 &gt; 0</formula>
    </cfRule>
    <cfRule type="expression" dxfId="4749" priority="183">
      <formula>$N$244 = 0</formula>
    </cfRule>
    <cfRule type="expression" dxfId="4748" priority="184">
      <formula>$N$244 &lt; 0</formula>
    </cfRule>
  </conditionalFormatting>
  <conditionalFormatting sqref="D212:F242">
    <cfRule type="expression" dxfId="4747" priority="179">
      <formula>AND($E212 &gt; 0, ISNUMBER($E212))</formula>
    </cfRule>
    <cfRule type="expression" dxfId="4746" priority="180">
      <formula>AND($E212 = 0, ISNUMBER($E212))</formula>
    </cfRule>
    <cfRule type="expression" dxfId="4745" priority="181">
      <formula>AND($E212 &lt; 0, ISNUMBER($E212))</formula>
    </cfRule>
  </conditionalFormatting>
  <conditionalFormatting sqref="G212:I242">
    <cfRule type="expression" dxfId="4744" priority="176">
      <formula>AND($H212 &gt; 0, ISNUMBER($H212))</formula>
    </cfRule>
    <cfRule type="expression" dxfId="4743" priority="177">
      <formula>AND($H212 = 0, ISNUMBER($H212))</formula>
    </cfRule>
    <cfRule type="expression" dxfId="4742" priority="178">
      <formula>AND($H212 &lt; 0, ISNUMBER($H212))</formula>
    </cfRule>
  </conditionalFormatting>
  <conditionalFormatting sqref="J212:L242">
    <cfRule type="expression" dxfId="4741" priority="173">
      <formula>AND($K212 &gt; 0, ISNUMBER($K212))</formula>
    </cfRule>
    <cfRule type="expression" dxfId="4740" priority="174">
      <formula>AND($K212 = 0, ISNUMBER($K212))</formula>
    </cfRule>
    <cfRule type="expression" dxfId="4739" priority="175">
      <formula>AND($K212 &lt; 0, ISNUMBER($K212))</formula>
    </cfRule>
  </conditionalFormatting>
  <conditionalFormatting sqref="M212:O242">
    <cfRule type="expression" dxfId="4738" priority="170">
      <formula>AND($N212 &gt; 0, ISNUMBER($N212))</formula>
    </cfRule>
    <cfRule type="expression" dxfId="4737" priority="171">
      <formula>AND($N212 = 0, ISNUMBER($N212))</formula>
    </cfRule>
    <cfRule type="expression" dxfId="4736" priority="172">
      <formula>AND($N212 &lt; 0, ISNUMBER($N212))</formula>
    </cfRule>
  </conditionalFormatting>
  <conditionalFormatting sqref="D248:F249 E282:F282">
    <cfRule type="expression" dxfId="4735" priority="167">
      <formula>$E$282 &gt; 0</formula>
    </cfRule>
    <cfRule type="expression" dxfId="4734" priority="168">
      <formula>$E$282 = 0</formula>
    </cfRule>
    <cfRule type="expression" dxfId="4733" priority="169">
      <formula>$E$282 &lt; 0</formula>
    </cfRule>
  </conditionalFormatting>
  <conditionalFormatting sqref="G248:I249 H282:I282">
    <cfRule type="expression" dxfId="4732" priority="164">
      <formula>$H$282 &gt; 0</formula>
    </cfRule>
    <cfRule type="expression" dxfId="4731" priority="165">
      <formula>$H$282 = 0</formula>
    </cfRule>
    <cfRule type="expression" dxfId="4730" priority="166">
      <formula>$H$282 &lt; 0</formula>
    </cfRule>
  </conditionalFormatting>
  <conditionalFormatting sqref="J248:L249 K282:L282">
    <cfRule type="expression" dxfId="4729" priority="161">
      <formula>$K$282 &gt; 0</formula>
    </cfRule>
    <cfRule type="expression" dxfId="4728" priority="162">
      <formula>$K$282 = 0</formula>
    </cfRule>
    <cfRule type="expression" dxfId="4727" priority="163">
      <formula>$K$282 &lt; 0</formula>
    </cfRule>
  </conditionalFormatting>
  <conditionalFormatting sqref="M248:O249 N282:O282">
    <cfRule type="expression" dxfId="4726" priority="158">
      <formula>$N$282 &gt; 0</formula>
    </cfRule>
    <cfRule type="expression" dxfId="4725" priority="159">
      <formula>$N$282 = 0</formula>
    </cfRule>
    <cfRule type="expression" dxfId="4724" priority="160">
      <formula>$N$282 &lt; 0</formula>
    </cfRule>
  </conditionalFormatting>
  <conditionalFormatting sqref="D250:F280">
    <cfRule type="expression" dxfId="4723" priority="155">
      <formula>AND($E250 &gt; 0, ISNUMBER($E250))</formula>
    </cfRule>
    <cfRule type="expression" dxfId="4722" priority="156">
      <formula>AND($E250 = 0, ISNUMBER($E250))</formula>
    </cfRule>
    <cfRule type="expression" dxfId="4721" priority="157">
      <formula>AND($E250 &lt; 0, ISNUMBER($E250))</formula>
    </cfRule>
  </conditionalFormatting>
  <conditionalFormatting sqref="G250:I280">
    <cfRule type="expression" dxfId="4720" priority="152">
      <formula>AND($H250 &gt; 0, ISNUMBER($H250))</formula>
    </cfRule>
    <cfRule type="expression" dxfId="4719" priority="153">
      <formula>AND($H250 = 0, ISNUMBER($H250))</formula>
    </cfRule>
    <cfRule type="expression" dxfId="4718" priority="154">
      <formula>AND($H250 &lt; 0, ISNUMBER($H250))</formula>
    </cfRule>
  </conditionalFormatting>
  <conditionalFormatting sqref="J250:L280">
    <cfRule type="expression" dxfId="4717" priority="149">
      <formula>AND($K250 &gt; 0, ISNUMBER($K250))</formula>
    </cfRule>
    <cfRule type="expression" dxfId="4716" priority="150">
      <formula>AND($K250 = 0, ISNUMBER($K250))</formula>
    </cfRule>
    <cfRule type="expression" dxfId="4715" priority="151">
      <formula>AND($K250 &lt; 0, ISNUMBER($K250))</formula>
    </cfRule>
  </conditionalFormatting>
  <conditionalFormatting sqref="M250:O280">
    <cfRule type="expression" dxfId="4714" priority="146">
      <formula>AND($N250 &gt; 0, ISNUMBER($N250))</formula>
    </cfRule>
    <cfRule type="expression" dxfId="4713" priority="147">
      <formula>AND($N250 = 0, ISNUMBER($N250))</formula>
    </cfRule>
    <cfRule type="expression" dxfId="4712" priority="148">
      <formula>AND($N250 &lt; 0, ISNUMBER($N250))</formula>
    </cfRule>
  </conditionalFormatting>
  <conditionalFormatting sqref="D5:F6">
    <cfRule type="expression" dxfId="4711" priority="143">
      <formula>$F$130 &gt; 0</formula>
    </cfRule>
    <cfRule type="expression" dxfId="4710" priority="144">
      <formula>$F$130 = 0</formula>
    </cfRule>
    <cfRule type="expression" dxfId="4709" priority="145">
      <formula>$F$130 &lt; 0</formula>
    </cfRule>
  </conditionalFormatting>
  <conditionalFormatting sqref="D7:F8">
    <cfRule type="expression" dxfId="4708" priority="140">
      <formula>$F$206 &gt; 0</formula>
    </cfRule>
    <cfRule type="expression" dxfId="4707" priority="141">
      <formula>$F$206 = 0</formula>
    </cfRule>
    <cfRule type="expression" dxfId="4706" priority="142">
      <formula>$F$206 &lt; 0</formula>
    </cfRule>
  </conditionalFormatting>
  <conditionalFormatting sqref="D9:F10">
    <cfRule type="expression" dxfId="4705" priority="137">
      <formula>$F$244 &gt; 0</formula>
    </cfRule>
    <cfRule type="expression" dxfId="4704" priority="138">
      <formula>$F$244 = 0</formula>
    </cfRule>
    <cfRule type="expression" dxfId="4703" priority="139">
      <formula>$F$244 &lt; 0</formula>
    </cfRule>
  </conditionalFormatting>
  <conditionalFormatting sqref="D11:F12">
    <cfRule type="expression" dxfId="4702" priority="134">
      <formula>$F$168 &gt; 0</formula>
    </cfRule>
    <cfRule type="expression" dxfId="4701" priority="135">
      <formula>$F$168 = 0</formula>
    </cfRule>
    <cfRule type="expression" dxfId="4700" priority="136">
      <formula>$F$168 &lt; 0</formula>
    </cfRule>
  </conditionalFormatting>
  <conditionalFormatting sqref="D13:F14">
    <cfRule type="expression" dxfId="4699" priority="92">
      <formula>$F$282 &gt; 0</formula>
    </cfRule>
    <cfRule type="expression" dxfId="4698" priority="93">
      <formula>$F$282 = 0</formula>
    </cfRule>
    <cfRule type="expression" dxfId="4697" priority="94">
      <formula>$F$282 &lt; 0</formula>
    </cfRule>
  </conditionalFormatting>
  <conditionalFormatting sqref="D15:F16">
    <cfRule type="expression" dxfId="4696" priority="77">
      <formula>$F$54 &gt; 0</formula>
    </cfRule>
    <cfRule type="expression" dxfId="4695" priority="78">
      <formula>$F$54 = 0</formula>
    </cfRule>
    <cfRule type="expression" dxfId="4694" priority="79">
      <formula>$F$54 &lt; 0</formula>
    </cfRule>
  </conditionalFormatting>
  <conditionalFormatting sqref="G5:I6">
    <cfRule type="expression" dxfId="4693" priority="65">
      <formula>$I$130 &gt; 0</formula>
    </cfRule>
    <cfRule type="expression" dxfId="4692" priority="66">
      <formula>$I$130 = 0</formula>
    </cfRule>
    <cfRule type="expression" dxfId="4691" priority="67">
      <formula>$I$130 &lt; 0</formula>
    </cfRule>
  </conditionalFormatting>
  <conditionalFormatting sqref="G7:I8">
    <cfRule type="expression" dxfId="4690" priority="62">
      <formula>$I$206 &gt; 0</formula>
    </cfRule>
    <cfRule type="expression" dxfId="4689" priority="63">
      <formula>$I$206 = 0</formula>
    </cfRule>
    <cfRule type="expression" dxfId="4688" priority="64">
      <formula>$I$206 &lt; 0</formula>
    </cfRule>
  </conditionalFormatting>
  <conditionalFormatting sqref="G9:I10">
    <cfRule type="expression" dxfId="4687" priority="59">
      <formula>$I$244 &gt; 0</formula>
    </cfRule>
    <cfRule type="expression" dxfId="4686" priority="60">
      <formula>$I$244 = 0</formula>
    </cfRule>
    <cfRule type="expression" dxfId="4685" priority="61">
      <formula>$I$244 &lt; 0</formula>
    </cfRule>
  </conditionalFormatting>
  <conditionalFormatting sqref="G11:I12">
    <cfRule type="expression" dxfId="4684" priority="56">
      <formula>$I$168 &gt; 0</formula>
    </cfRule>
    <cfRule type="expression" dxfId="4683" priority="57">
      <formula>$I$168 = 0</formula>
    </cfRule>
    <cfRule type="expression" dxfId="4682" priority="58">
      <formula>$I$168 &lt; 0</formula>
    </cfRule>
  </conditionalFormatting>
  <conditionalFormatting sqref="G13:I14">
    <cfRule type="expression" dxfId="4681" priority="53">
      <formula>$I$282 &gt; 0</formula>
    </cfRule>
    <cfRule type="expression" dxfId="4680" priority="54">
      <formula>$I$282 = 0</formula>
    </cfRule>
    <cfRule type="expression" dxfId="4679" priority="55">
      <formula>$I$282 &lt; 0</formula>
    </cfRule>
  </conditionalFormatting>
  <conditionalFormatting sqref="G15:I16">
    <cfRule type="expression" dxfId="4678" priority="50">
      <formula>$I$54 &gt; 0</formula>
    </cfRule>
    <cfRule type="expression" dxfId="4677" priority="51">
      <formula>$I$54 = 0</formula>
    </cfRule>
    <cfRule type="expression" dxfId="4676" priority="52">
      <formula>$I$54 &lt; 0</formula>
    </cfRule>
  </conditionalFormatting>
  <conditionalFormatting sqref="J5:L6">
    <cfRule type="expression" dxfId="4675" priority="47">
      <formula>$L$130 &gt; 0</formula>
    </cfRule>
    <cfRule type="expression" dxfId="4674" priority="48">
      <formula>$L$130 = 0</formula>
    </cfRule>
    <cfRule type="expression" dxfId="4673" priority="49">
      <formula>$L$130 &lt; 0</formula>
    </cfRule>
  </conditionalFormatting>
  <conditionalFormatting sqref="J7:L8">
    <cfRule type="expression" dxfId="4672" priority="44">
      <formula>$L$206 &gt; 0</formula>
    </cfRule>
    <cfRule type="expression" dxfId="4671" priority="45">
      <formula>$L$206 = 0</formula>
    </cfRule>
    <cfRule type="expression" dxfId="4670" priority="46">
      <formula>$L$206 &lt; 0</formula>
    </cfRule>
  </conditionalFormatting>
  <conditionalFormatting sqref="J9:L10">
    <cfRule type="expression" dxfId="4669" priority="41">
      <formula>$L$244 &gt; 0</formula>
    </cfRule>
    <cfRule type="expression" dxfId="4668" priority="42">
      <formula>$L$244 = 0</formula>
    </cfRule>
    <cfRule type="expression" dxfId="4667" priority="43">
      <formula>$L$244 &lt; 0</formula>
    </cfRule>
  </conditionalFormatting>
  <conditionalFormatting sqref="J11:L12">
    <cfRule type="expression" dxfId="4666" priority="38">
      <formula>$L$168 &gt; 0</formula>
    </cfRule>
    <cfRule type="expression" dxfId="4665" priority="39">
      <formula>$L$168 = 0</formula>
    </cfRule>
    <cfRule type="expression" dxfId="4664" priority="40">
      <formula>$L$168 &lt; 0</formula>
    </cfRule>
  </conditionalFormatting>
  <conditionalFormatting sqref="J13:L14">
    <cfRule type="expression" dxfId="4663" priority="35">
      <formula>$L$282 &gt; 0</formula>
    </cfRule>
    <cfRule type="expression" dxfId="4662" priority="36">
      <formula>$L$282 = 0</formula>
    </cfRule>
    <cfRule type="expression" dxfId="4661" priority="37">
      <formula>$L$282 &lt; 0</formula>
    </cfRule>
  </conditionalFormatting>
  <conditionalFormatting sqref="J15:L16">
    <cfRule type="expression" dxfId="4660" priority="32">
      <formula>$L$54 &gt; 0</formula>
    </cfRule>
    <cfRule type="expression" dxfId="4659" priority="33">
      <formula>$L$54 = 0</formula>
    </cfRule>
    <cfRule type="expression" dxfId="4658" priority="34">
      <formula>$L$54 &lt; 0</formula>
    </cfRule>
  </conditionalFormatting>
  <conditionalFormatting sqref="M5:O6">
    <cfRule type="expression" dxfId="4657" priority="29">
      <formula>$O$130 &gt; 0</formula>
    </cfRule>
    <cfRule type="expression" dxfId="4656" priority="30">
      <formula>$O$130 = 0</formula>
    </cfRule>
    <cfRule type="expression" dxfId="4655" priority="31">
      <formula>$O$130 &lt; 0</formula>
    </cfRule>
  </conditionalFormatting>
  <conditionalFormatting sqref="M7:O8">
    <cfRule type="expression" dxfId="4654" priority="26">
      <formula>$O$206 &gt; 0</formula>
    </cfRule>
    <cfRule type="expression" dxfId="4653" priority="27">
      <formula>$O$206 = 0</formula>
    </cfRule>
    <cfRule type="expression" dxfId="4652" priority="28">
      <formula>$O$206 &lt; 0</formula>
    </cfRule>
  </conditionalFormatting>
  <conditionalFormatting sqref="M9:O10">
    <cfRule type="expression" dxfId="4651" priority="23">
      <formula>$O$244 &gt; 0</formula>
    </cfRule>
    <cfRule type="expression" dxfId="4650" priority="24">
      <formula>$O$244 = 0</formula>
    </cfRule>
    <cfRule type="expression" dxfId="4649" priority="25">
      <formula>$O$244 &lt; 0</formula>
    </cfRule>
  </conditionalFormatting>
  <conditionalFormatting sqref="M11:O12">
    <cfRule type="expression" dxfId="4648" priority="20">
      <formula>$O$168 &gt; 0</formula>
    </cfRule>
    <cfRule type="expression" dxfId="4647" priority="21">
      <formula>$O$168 = 0</formula>
    </cfRule>
    <cfRule type="expression" dxfId="4646" priority="22">
      <formula>$O$168 &lt; 0</formula>
    </cfRule>
  </conditionalFormatting>
  <conditionalFormatting sqref="M13:O14">
    <cfRule type="expression" dxfId="4645" priority="17">
      <formula>$O$282 &gt; 0</formula>
    </cfRule>
    <cfRule type="expression" dxfId="4644" priority="18">
      <formula>$O$282 = 0</formula>
    </cfRule>
    <cfRule type="expression" dxfId="4643" priority="19">
      <formula>$O$282 &lt; 0</formula>
    </cfRule>
  </conditionalFormatting>
  <conditionalFormatting sqref="M15:O16">
    <cfRule type="expression" dxfId="4642" priority="14">
      <formula>$O$54 &gt; 0</formula>
    </cfRule>
    <cfRule type="expression" dxfId="4641" priority="15">
      <formula>$O$54 = 0</formula>
    </cfRule>
    <cfRule type="expression" dxfId="4640" priority="16">
      <formula>$O$54 &lt; 0</formula>
    </cfRule>
  </conditionalFormatting>
  <conditionalFormatting sqref="D3:F4">
    <cfRule type="expression" dxfId="4639" priority="13">
      <formula>$F$92 &lt; 0</formula>
    </cfRule>
    <cfRule type="expression" dxfId="4638" priority="12">
      <formula>$F$92 = 0</formula>
    </cfRule>
    <cfRule type="expression" dxfId="4637" priority="11">
      <formula>$F$92 &gt; 0</formula>
    </cfRule>
  </conditionalFormatting>
  <conditionalFormatting sqref="G3:I4">
    <cfRule type="expression" dxfId="4636" priority="10">
      <formula>$I$92 &lt; 0</formula>
    </cfRule>
    <cfRule type="expression" dxfId="4635" priority="9">
      <formula>$I$92 = 0</formula>
    </cfRule>
    <cfRule type="expression" dxfId="4634" priority="8">
      <formula>$I$92 &gt; 0</formula>
    </cfRule>
  </conditionalFormatting>
  <conditionalFormatting sqref="J3:L4">
    <cfRule type="expression" dxfId="4633" priority="5">
      <formula>$L$92 &gt; 0</formula>
    </cfRule>
    <cfRule type="expression" dxfId="4632" priority="6">
      <formula>$L$92 = 0</formula>
    </cfRule>
    <cfRule type="expression" dxfId="4631" priority="7">
      <formula>$L$92 &lt; 0</formula>
    </cfRule>
  </conditionalFormatting>
  <conditionalFormatting sqref="M3:O4">
    <cfRule type="expression" dxfId="4630" priority="2">
      <formula>$O$92 &gt; 0</formula>
    </cfRule>
    <cfRule type="expression" dxfId="4629" priority="3">
      <formula>$O$92 = 0</formula>
    </cfRule>
    <cfRule type="expression" dxfId="462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16D62-8F7F-4774-8136-9E04F3DBE41C}">
  <sheetPr codeName="Sheet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44927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-6,664 KRW (-0.22%)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9,465 KRW (0.32%)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-4,978 KRW (-0.17%)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19,528 KRW (0.65%)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2023-01-01(일) 오전 00:00</v>
      </c>
      <c r="C15" s="196"/>
      <c r="D15" s="170" t="str">
        <f>TEXT($G$1, "[$-ko-KR]yyyy-mm-dd(ddd) ") &amp; "오후 14:00"</f>
        <v>2023-01-01(일) 오후 14:00</v>
      </c>
      <c r="E15" s="171"/>
      <c r="F15" s="172"/>
      <c r="G15" s="170" t="str">
        <f>TEXT($G$1, "[$-ko-KR]yyyy-mm-dd(ddd) ") &amp; "오후 19:00"</f>
        <v>2023-01-01(일) 오후 19:00</v>
      </c>
      <c r="H15" s="171"/>
      <c r="I15" s="172"/>
      <c r="J15" s="170" t="str">
        <f>TEXT($G$1, "[$-ko-KR]yyyy-mm-dd(ddd) ") &amp; "오후 21:00"</f>
        <v>2023-01-01(일) 오후 21:00</v>
      </c>
      <c r="K15" s="171"/>
      <c r="L15" s="172"/>
      <c r="M15" s="170" t="str">
        <f>TEXT($G$1+1, "[$-ko-KR]yyyy-mm-dd(ddd) ") &amp; "오전 00:00"</f>
        <v>2023-01-02(월)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2023-01-01(일) 오전 00:00</v>
      </c>
      <c r="C42" s="198"/>
      <c r="D42" s="170" t="str">
        <f>TEXT($G$1, "[$-ko-KR]yyyy-mm-dd(ddd) ") &amp; "오후 14:00"</f>
        <v>2023-01-01(일) 오후 14:00</v>
      </c>
      <c r="E42" s="171"/>
      <c r="F42" s="172"/>
      <c r="G42" s="170" t="str">
        <f>TEXT($G$1, "[$-ko-KR]yyyy-mm-dd(ddd) ") &amp; "오후 19:00"</f>
        <v>2023-01-01(일) 오후 19:00</v>
      </c>
      <c r="H42" s="171"/>
      <c r="I42" s="172"/>
      <c r="J42" s="170" t="str">
        <f>TEXT($G$1, "[$-ko-KR]yyyy-mm-dd(ddd) ") &amp; "오후 21:00"</f>
        <v>2023-01-01(일) 오후 21:00</v>
      </c>
      <c r="K42" s="171"/>
      <c r="L42" s="172"/>
      <c r="M42" s="170" t="str">
        <f>TEXT($G$1+1, "[$-ko-KR]yyyy-mm-dd(ddd) ") &amp; "오전 00:00"</f>
        <v>2023-01-02(월)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205</v>
      </c>
      <c r="B44" s="108">
        <v>92</v>
      </c>
      <c r="C44" s="69">
        <v>4.5454545499999999E-2</v>
      </c>
      <c r="D44" s="13">
        <v>92.3</v>
      </c>
      <c r="E44" s="14">
        <f>IF(ISNUMBER(D44), (D44 - $B44) / $B44, "")</f>
        <v>3.2608695652173603E-3</v>
      </c>
      <c r="F44" s="16">
        <f>IF(ISNUMBER(D44), $B64 * E44, "")</f>
        <v>489.13043478260403</v>
      </c>
      <c r="G44" s="29">
        <v>92.7</v>
      </c>
      <c r="H44" s="14">
        <f>IF(ISNUMBER(G44), (G44 - $B44) / $B44, "")</f>
        <v>7.6086956521739437E-3</v>
      </c>
      <c r="I44" s="90">
        <f>IF(ISNUMBER(G44), $B64 * H44, "")</f>
        <v>1141.3043478260915</v>
      </c>
      <c r="J44" s="13">
        <v>92.7</v>
      </c>
      <c r="K44" s="14">
        <f>IF(ISNUMBER(J44), (J44 - $B44) / $B44, "")</f>
        <v>7.6086956521739437E-3</v>
      </c>
      <c r="L44" s="16">
        <f>IF(ISNUMBER(J44), $B64 * K44, "")</f>
        <v>1141.3043478260915</v>
      </c>
      <c r="M44" s="29">
        <v>90.3</v>
      </c>
      <c r="N44" s="14">
        <f>IF(ISNUMBER(M44), (M44 - $B44) / $B44, "")</f>
        <v>-1.8478260869565249E-2</v>
      </c>
      <c r="O44" s="16">
        <f>IF(ISNUMBER(M44), $B64 * N44, "")</f>
        <v>-2771.7391304347875</v>
      </c>
      <c r="Q44" s="156"/>
      <c r="R44" s="156"/>
      <c r="S44" s="156"/>
    </row>
    <row r="45" spans="1:19" ht="17.25" customHeight="1" thickBot="1">
      <c r="A45" s="109" t="s">
        <v>191</v>
      </c>
      <c r="B45" s="110">
        <v>47.2</v>
      </c>
      <c r="C45" s="70">
        <v>4.4247787599999998E-2</v>
      </c>
      <c r="D45" s="15">
        <v>47</v>
      </c>
      <c r="E45" s="32">
        <f t="shared" ref="E45:E48" si="14">IF(ISNUMBER(D45), (D45 - $B45) / $B45, "")</f>
        <v>-4.2372881355932802E-3</v>
      </c>
      <c r="F45" s="18">
        <f>IF(ISNUMBER(D45), $B64 * E45, "")</f>
        <v>-635.59322033899207</v>
      </c>
      <c r="G45" s="31">
        <v>50.7</v>
      </c>
      <c r="H45" s="32">
        <f t="shared" ref="H45:H48" si="15">IF(ISNUMBER(G45), (G45 - $B45) / $B45, "")</f>
        <v>7.4152542372881353E-2</v>
      </c>
      <c r="I45" s="91">
        <f>IF(ISNUMBER(G45), $B64 * H45, "")</f>
        <v>11122.881355932202</v>
      </c>
      <c r="J45" s="15">
        <v>50.7</v>
      </c>
      <c r="K45" s="32">
        <f t="shared" ref="K45:K48" si="16">IF(ISNUMBER(J45), (J45 - $B45) / $B45, "")</f>
        <v>7.4152542372881353E-2</v>
      </c>
      <c r="L45" s="18">
        <f>IF(ISNUMBER(J45), $B64 * K45, "")</f>
        <v>11122.881355932202</v>
      </c>
      <c r="M45" s="31">
        <v>48.9</v>
      </c>
      <c r="N45" s="32">
        <f t="shared" ref="N45:N48" si="17">IF(ISNUMBER(M45), (M45 - $B45) / $B45, "")</f>
        <v>3.6016949152542284E-2</v>
      </c>
      <c r="O45" s="18">
        <f>IF(ISNUMBER(M45), $B64 * N45, "")</f>
        <v>5402.542372881343</v>
      </c>
      <c r="Q45" s="156"/>
      <c r="R45" s="156"/>
      <c r="S45" s="156"/>
    </row>
    <row r="46" spans="1:19" ht="17.25" customHeight="1" thickBot="1">
      <c r="A46" s="109" t="s">
        <v>241</v>
      </c>
      <c r="B46" s="110">
        <v>87.9</v>
      </c>
      <c r="C46" s="70">
        <v>3.6556603799999997E-2</v>
      </c>
      <c r="D46" s="15">
        <v>87.5</v>
      </c>
      <c r="E46" s="32">
        <f t="shared" si="14"/>
        <v>-4.5506257110353313E-3</v>
      </c>
      <c r="F46" s="18">
        <f>IF(ISNUMBER(D46), $B64 * E46, "")</f>
        <v>-682.59385665529965</v>
      </c>
      <c r="G46" s="31">
        <v>87.5</v>
      </c>
      <c r="H46" s="32">
        <f t="shared" si="15"/>
        <v>-4.5506257110353313E-3</v>
      </c>
      <c r="I46" s="91">
        <f>IF(ISNUMBER(G46), $B64 * H46, "")</f>
        <v>-682.59385665529965</v>
      </c>
      <c r="J46" s="15">
        <v>87.5</v>
      </c>
      <c r="K46" s="32">
        <f t="shared" si="16"/>
        <v>-4.5506257110353313E-3</v>
      </c>
      <c r="L46" s="18">
        <f>IF(ISNUMBER(J46), $B64 * K46, "")</f>
        <v>-682.59385665529965</v>
      </c>
      <c r="M46" s="31">
        <v>86.9</v>
      </c>
      <c r="N46" s="32">
        <f t="shared" si="17"/>
        <v>-1.1376564277588168E-2</v>
      </c>
      <c r="O46" s="18">
        <f>IF(ISNUMBER(M46), $B64 * N46, "")</f>
        <v>-1706.4846416382252</v>
      </c>
      <c r="Q46" s="146"/>
      <c r="R46" s="146"/>
      <c r="S46" s="146"/>
    </row>
    <row r="47" spans="1:19" ht="17.25" customHeight="1" thickBot="1">
      <c r="A47" s="109" t="s">
        <v>71</v>
      </c>
      <c r="B47" s="110">
        <v>9.64</v>
      </c>
      <c r="C47" s="70">
        <v>2.22693531E-2</v>
      </c>
      <c r="D47" s="15">
        <v>9.86</v>
      </c>
      <c r="E47" s="32">
        <f t="shared" si="14"/>
        <v>2.2821576763485358E-2</v>
      </c>
      <c r="F47" s="18">
        <f>IF(ISNUMBER(D47), $B64 * E47, "")</f>
        <v>3423.2365145228036</v>
      </c>
      <c r="G47" s="31">
        <v>9.93</v>
      </c>
      <c r="H47" s="32">
        <f t="shared" si="15"/>
        <v>3.008298755186713E-2</v>
      </c>
      <c r="I47" s="91">
        <f>IF(ISNUMBER(G47), $B64 * H47, "")</f>
        <v>4512.4481327800695</v>
      </c>
      <c r="J47" s="15">
        <v>9.93</v>
      </c>
      <c r="K47" s="32">
        <f t="shared" si="16"/>
        <v>3.008298755186713E-2</v>
      </c>
      <c r="L47" s="18">
        <f>IF(ISNUMBER(J47), $B64 * K47, "")</f>
        <v>4512.4481327800695</v>
      </c>
      <c r="M47" s="31">
        <v>9.81</v>
      </c>
      <c r="N47" s="32">
        <f t="shared" si="17"/>
        <v>1.7634854771784225E-2</v>
      </c>
      <c r="O47" s="18">
        <f>IF(ISNUMBER(M47), $B64 * N47, "")</f>
        <v>2645.2282157676336</v>
      </c>
      <c r="Q47" s="146"/>
      <c r="R47" s="146"/>
      <c r="S47" s="146"/>
    </row>
    <row r="48" spans="1:19" ht="17.25" customHeight="1" thickBot="1">
      <c r="A48" s="111" t="s">
        <v>225</v>
      </c>
      <c r="B48" s="112">
        <v>51.7</v>
      </c>
      <c r="C48" s="71">
        <v>2.1739130400000001E-2</v>
      </c>
      <c r="D48" s="20">
        <v>51.5</v>
      </c>
      <c r="E48" s="21">
        <f t="shared" si="14"/>
        <v>-3.8684719535783912E-3</v>
      </c>
      <c r="F48" s="22">
        <f>IF(ISNUMBER(D48), $B64 * E48, "")</f>
        <v>-580.27079303675873</v>
      </c>
      <c r="G48" s="30">
        <v>52.1</v>
      </c>
      <c r="H48" s="21">
        <f t="shared" si="15"/>
        <v>7.7369439071566454E-3</v>
      </c>
      <c r="I48" s="95">
        <f>IF(ISNUMBER(G48), $B64 * H48, "")</f>
        <v>1160.5415860734968</v>
      </c>
      <c r="J48" s="20">
        <v>52.1</v>
      </c>
      <c r="K48" s="21">
        <f t="shared" si="16"/>
        <v>7.7369439071566454E-3</v>
      </c>
      <c r="L48" s="22">
        <f>IF(ISNUMBER(J48), $B64 * K48, "")</f>
        <v>1160.5415860734968</v>
      </c>
      <c r="M48" s="30">
        <v>51.2</v>
      </c>
      <c r="N48" s="21">
        <f t="shared" si="17"/>
        <v>-9.6711798839458404E-3</v>
      </c>
      <c r="O48" s="22">
        <f>IF(ISNUMBER(M48), $B64 * N48, "")</f>
        <v>-1450.6769825918761</v>
      </c>
      <c r="Q48" s="146"/>
      <c r="R48" s="146"/>
      <c r="S48" s="146"/>
    </row>
    <row r="49" spans="1:19" ht="17.25" customHeight="1" thickBot="1">
      <c r="A49" s="109" t="s">
        <v>138</v>
      </c>
      <c r="B49" s="113">
        <v>19.7</v>
      </c>
      <c r="C49" s="73">
        <v>5.1020407999999998E-3</v>
      </c>
      <c r="D49" s="96">
        <v>19.7</v>
      </c>
      <c r="E49" s="97">
        <f>IF(ISNUMBER(D49), (D49 - $B49) / $B49, "")</f>
        <v>0</v>
      </c>
      <c r="F49" s="98">
        <f>IF(ISNUMBER(D49), $B64 * E49, "")</f>
        <v>0</v>
      </c>
      <c r="G49" s="99">
        <v>19.7</v>
      </c>
      <c r="H49" s="97">
        <f>IF(ISNUMBER(G49), (G49 - $B49) / $B49, "")</f>
        <v>0</v>
      </c>
      <c r="I49" s="100">
        <f>IF(ISNUMBER(G49), $B64 * H49, "")</f>
        <v>0</v>
      </c>
      <c r="J49" s="96">
        <v>19.7</v>
      </c>
      <c r="K49" s="97">
        <f>IF(ISNUMBER(J49), (J49 - $B49) / $B49, "")</f>
        <v>0</v>
      </c>
      <c r="L49" s="98">
        <f>IF(ISNUMBER(J49), $B64 * K49, "")</f>
        <v>0</v>
      </c>
      <c r="M49" s="99">
        <v>19.8</v>
      </c>
      <c r="N49" s="97">
        <f>IF(ISNUMBER(M49), (M49 - $B49) / $B49, "")</f>
        <v>5.0761421319797679E-3</v>
      </c>
      <c r="O49" s="98">
        <f>IF(ISNUMBER(M49), $B64 * N49, "")</f>
        <v>761.42131979696524</v>
      </c>
      <c r="Q49" s="146"/>
      <c r="R49" s="146"/>
      <c r="S49" s="146"/>
    </row>
    <row r="50" spans="1:19" ht="17.25" customHeight="1" thickBot="1">
      <c r="A50" s="109" t="s">
        <v>145</v>
      </c>
      <c r="B50" s="110">
        <v>69.8</v>
      </c>
      <c r="C50" s="70">
        <v>4.3165468000000004E-3</v>
      </c>
      <c r="D50" s="15">
        <v>69.7</v>
      </c>
      <c r="E50" s="32">
        <f t="shared" ref="E50:E53" si="18">IF(ISNUMBER(D50), (D50 - $B50) / $B50, "")</f>
        <v>-1.43266475644691E-3</v>
      </c>
      <c r="F50" s="18">
        <f>IF(ISNUMBER(D50), $B64 * E50, "")</f>
        <v>-214.89971346703652</v>
      </c>
      <c r="G50" s="31">
        <v>69.599999999999994</v>
      </c>
      <c r="H50" s="32">
        <f t="shared" ref="H50:H53" si="19">IF(ISNUMBER(G50), (G50 - $B50) / $B50, "")</f>
        <v>-2.8653295128940235E-3</v>
      </c>
      <c r="I50" s="91">
        <f>IF(ISNUMBER(G50), $B64 * H50, "")</f>
        <v>-429.79942693410351</v>
      </c>
      <c r="J50" s="15">
        <v>69.599999999999994</v>
      </c>
      <c r="K50" s="32">
        <f t="shared" ref="K50:K53" si="20">IF(ISNUMBER(J50), (J50 - $B50) / $B50, "")</f>
        <v>-2.8653295128940235E-3</v>
      </c>
      <c r="L50" s="18">
        <f>IF(ISNUMBER(J50), $B64 * K50, "")</f>
        <v>-429.79942693410351</v>
      </c>
      <c r="M50" s="31">
        <v>69.7</v>
      </c>
      <c r="N50" s="32">
        <f t="shared" ref="N50:N53" si="21">IF(ISNUMBER(M50), (M50 - $B50) / $B50, "")</f>
        <v>-1.43266475644691E-3</v>
      </c>
      <c r="O50" s="18">
        <f>IF(ISNUMBER(M50), $B64 * N50, "")</f>
        <v>-214.89971346703652</v>
      </c>
      <c r="Q50" s="146"/>
      <c r="R50" s="146"/>
      <c r="S50" s="146"/>
    </row>
    <row r="51" spans="1:19" ht="17.25" customHeight="1" thickBot="1">
      <c r="A51" s="109" t="s">
        <v>155</v>
      </c>
      <c r="B51" s="110">
        <v>23.9</v>
      </c>
      <c r="C51" s="70">
        <v>4.2016807E-3</v>
      </c>
      <c r="D51" s="15">
        <v>23.7</v>
      </c>
      <c r="E51" s="32">
        <f t="shared" si="18"/>
        <v>-8.3682008368200552E-3</v>
      </c>
      <c r="F51" s="18">
        <f>IF(ISNUMBER(D51), $B64 * E51, "")</f>
        <v>-1255.2301255230084</v>
      </c>
      <c r="G51" s="31">
        <v>23.9</v>
      </c>
      <c r="H51" s="32">
        <f t="shared" si="19"/>
        <v>0</v>
      </c>
      <c r="I51" s="91">
        <f>IF(ISNUMBER(G51), $B64 * H51, "")</f>
        <v>0</v>
      </c>
      <c r="J51" s="15">
        <v>23.9</v>
      </c>
      <c r="K51" s="32">
        <f t="shared" si="20"/>
        <v>0</v>
      </c>
      <c r="L51" s="18">
        <f>IF(ISNUMBER(J51), $B64 * K51, "")</f>
        <v>0</v>
      </c>
      <c r="M51" s="31">
        <v>23.9</v>
      </c>
      <c r="N51" s="32">
        <f t="shared" si="21"/>
        <v>0</v>
      </c>
      <c r="O51" s="18">
        <f>IF(ISNUMBER(M51), $B64 * N51, "")</f>
        <v>0</v>
      </c>
      <c r="Q51" s="146"/>
      <c r="R51" s="146"/>
      <c r="S51" s="146"/>
    </row>
    <row r="52" spans="1:19" ht="17.25" customHeight="1" thickBot="1">
      <c r="A52" s="109" t="s">
        <v>323</v>
      </c>
      <c r="B52" s="110">
        <v>2.7799999999999998E-2</v>
      </c>
      <c r="C52" s="70">
        <v>3.6101083E-3</v>
      </c>
      <c r="D52" s="15">
        <v>2.8000000000000001E-2</v>
      </c>
      <c r="E52" s="32">
        <f t="shared" si="18"/>
        <v>7.1942446043166287E-3</v>
      </c>
      <c r="F52" s="18">
        <f>IF(ISNUMBER(D52), $B64 * E52, "")</f>
        <v>1079.1366906474943</v>
      </c>
      <c r="G52" s="31">
        <v>2.7799999999999998E-2</v>
      </c>
      <c r="H52" s="32">
        <f t="shared" si="19"/>
        <v>0</v>
      </c>
      <c r="I52" s="91">
        <f>IF(ISNUMBER(G52), $B64 * H52, "")</f>
        <v>0</v>
      </c>
      <c r="J52" s="15">
        <v>2.7799999999999998E-2</v>
      </c>
      <c r="K52" s="32">
        <f t="shared" si="20"/>
        <v>0</v>
      </c>
      <c r="L52" s="18">
        <f>IF(ISNUMBER(J52), $B64 * K52, "")</f>
        <v>0</v>
      </c>
      <c r="M52" s="31">
        <v>2.81E-2</v>
      </c>
      <c r="N52" s="32">
        <f t="shared" si="21"/>
        <v>1.079136690647488E-2</v>
      </c>
      <c r="O52" s="18">
        <f>IF(ISNUMBER(M52), $B64 * N52, "")</f>
        <v>1618.7050359712321</v>
      </c>
      <c r="Q52" s="33"/>
      <c r="R52" s="33"/>
    </row>
    <row r="53" spans="1:19" ht="17.25" customHeight="1" thickBot="1">
      <c r="A53" s="114" t="s">
        <v>207</v>
      </c>
      <c r="B53" s="115">
        <v>58.6</v>
      </c>
      <c r="C53" s="72">
        <v>1.7094017E-3</v>
      </c>
      <c r="D53" s="24">
        <v>58.7</v>
      </c>
      <c r="E53" s="25">
        <f t="shared" si="18"/>
        <v>1.7064846416382496E-3</v>
      </c>
      <c r="F53" s="94">
        <f>IF(ISNUMBER(D53), $B64 * E53, "")</f>
        <v>255.97269624573744</v>
      </c>
      <c r="G53" s="92">
        <v>59.5</v>
      </c>
      <c r="H53" s="25">
        <f t="shared" si="19"/>
        <v>1.5358361774744003E-2</v>
      </c>
      <c r="I53" s="93">
        <f>IF(ISNUMBER(G53), $B64 * H53, "")</f>
        <v>2303.7542662116002</v>
      </c>
      <c r="J53" s="24">
        <v>59.5</v>
      </c>
      <c r="K53" s="25">
        <f t="shared" si="20"/>
        <v>1.5358361774744003E-2</v>
      </c>
      <c r="L53" s="94">
        <f>IF(ISNUMBER(J53), $B64 * K53, "")</f>
        <v>2303.7542662116002</v>
      </c>
      <c r="M53" s="92">
        <v>58.4</v>
      </c>
      <c r="N53" s="25">
        <f t="shared" si="21"/>
        <v>-3.4129692832764991E-3</v>
      </c>
      <c r="O53" s="94">
        <f>IF(ISNUMBER(M53), $B64 * N53, "")</f>
        <v>-511.94539249147488</v>
      </c>
      <c r="Q53" s="147"/>
      <c r="R53" s="148"/>
      <c r="S53" s="149"/>
    </row>
    <row r="54" spans="1:19" ht="17.25" customHeight="1">
      <c r="A54" s="107" t="s">
        <v>324</v>
      </c>
      <c r="B54" s="108">
        <v>71.3</v>
      </c>
      <c r="C54" s="69">
        <v>1.4044944E-3</v>
      </c>
      <c r="D54" s="13">
        <v>71.400000000000006</v>
      </c>
      <c r="E54" s="14">
        <f>IF(ISNUMBER(D54), (D54 - $B54) / $B54, "")</f>
        <v>1.4025245441796428E-3</v>
      </c>
      <c r="F54" s="16">
        <f>IF(ISNUMBER(D54), $B64 * E54, "")</f>
        <v>210.37868162694642</v>
      </c>
      <c r="G54" s="29">
        <v>71.7</v>
      </c>
      <c r="H54" s="14">
        <f>IF(ISNUMBER(G54), (G54 - $B54) / $B54, "")</f>
        <v>5.6100981767181722E-3</v>
      </c>
      <c r="I54" s="90">
        <f>IF(ISNUMBER(G54), $B64 * H54, "")</f>
        <v>841.51472650772587</v>
      </c>
      <c r="J54" s="13">
        <v>71.7</v>
      </c>
      <c r="K54" s="14">
        <f>IF(ISNUMBER(J54), (J54 - $B54) / $B54, "")</f>
        <v>5.6100981767181722E-3</v>
      </c>
      <c r="L54" s="16">
        <f>IF(ISNUMBER(J54), $B64 * K54, "")</f>
        <v>841.51472650772587</v>
      </c>
      <c r="M54" s="29">
        <v>72.400000000000006</v>
      </c>
      <c r="N54" s="14">
        <f>IF(ISNUMBER(M54), (M54 - $B54) / $B54, "")</f>
        <v>1.5427769985974876E-2</v>
      </c>
      <c r="O54" s="16">
        <f>IF(ISNUMBER(M54), $B64 * N54, "")</f>
        <v>2314.1654978962315</v>
      </c>
      <c r="Q54" s="150"/>
      <c r="R54" s="151"/>
      <c r="S54" s="152"/>
    </row>
    <row r="55" spans="1:19" ht="17.25" customHeight="1" thickBot="1">
      <c r="A55" s="109" t="s">
        <v>97</v>
      </c>
      <c r="B55" s="110">
        <v>8.0000000000000004E-4</v>
      </c>
      <c r="C55" s="70">
        <v>0</v>
      </c>
      <c r="D55" s="15">
        <v>8.0000000000000004E-4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8.0000000000000004E-4</v>
      </c>
      <c r="H55" s="32">
        <f t="shared" ref="H55:H58" si="23">IF(ISNUMBER(G55), (G55 - $B55) / $B55, "")</f>
        <v>0</v>
      </c>
      <c r="I55" s="91">
        <f>IF(ISNUMBER(G55), $B64 * H55, "")</f>
        <v>0</v>
      </c>
      <c r="J55" s="15">
        <v>8.0000000000000004E-4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8.0000000000000004E-4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153"/>
      <c r="R55" s="154"/>
      <c r="S55" s="155"/>
    </row>
    <row r="56" spans="1:19" ht="17.25" customHeight="1" thickBot="1">
      <c r="A56" s="109" t="s">
        <v>329</v>
      </c>
      <c r="B56" s="110">
        <v>46.6</v>
      </c>
      <c r="C56" s="70">
        <v>0</v>
      </c>
      <c r="D56" s="15">
        <v>46.6</v>
      </c>
      <c r="E56" s="32">
        <f t="shared" si="22"/>
        <v>0</v>
      </c>
      <c r="F56" s="18">
        <f>IF(ISNUMBER(D56), $B64 * E56, "")</f>
        <v>0</v>
      </c>
      <c r="G56" s="31">
        <v>46.6</v>
      </c>
      <c r="H56" s="32">
        <f t="shared" si="23"/>
        <v>0</v>
      </c>
      <c r="I56" s="91">
        <f>IF(ISNUMBER(G56), $B64 * H56, "")</f>
        <v>0</v>
      </c>
      <c r="J56" s="15">
        <v>46.6</v>
      </c>
      <c r="K56" s="32">
        <f t="shared" si="24"/>
        <v>0</v>
      </c>
      <c r="L56" s="18">
        <f>IF(ISNUMBER(J56), $B64 * K56, "")</f>
        <v>0</v>
      </c>
      <c r="M56" s="31">
        <v>47</v>
      </c>
      <c r="N56" s="32">
        <f t="shared" si="25"/>
        <v>8.5836909871244323E-3</v>
      </c>
      <c r="O56" s="18">
        <f>IF(ISNUMBER(M56), $B64 * N56, "")</f>
        <v>1287.5536480686649</v>
      </c>
      <c r="Q56" s="146"/>
      <c r="R56" s="146"/>
      <c r="S56" s="146"/>
    </row>
    <row r="57" spans="1:19" ht="17.25" customHeight="1" thickBot="1">
      <c r="A57" s="109" t="s">
        <v>185</v>
      </c>
      <c r="B57" s="110">
        <v>22.3</v>
      </c>
      <c r="C57" s="70">
        <v>0</v>
      </c>
      <c r="D57" s="15">
        <v>22.2</v>
      </c>
      <c r="E57" s="32">
        <f t="shared" si="22"/>
        <v>-4.4843049327354893E-3</v>
      </c>
      <c r="F57" s="18">
        <f>IF(ISNUMBER(D57), $B64 * E57, "")</f>
        <v>-672.64573991032341</v>
      </c>
      <c r="G57" s="31">
        <v>22.5</v>
      </c>
      <c r="H57" s="32">
        <f t="shared" si="23"/>
        <v>8.9686098654708207E-3</v>
      </c>
      <c r="I57" s="91">
        <f>IF(ISNUMBER(G57), $B64 * H57, "")</f>
        <v>1345.2914798206232</v>
      </c>
      <c r="J57" s="15">
        <v>22.5</v>
      </c>
      <c r="K57" s="32">
        <f t="shared" si="24"/>
        <v>8.9686098654708207E-3</v>
      </c>
      <c r="L57" s="18">
        <f>IF(ISNUMBER(J57), $B64 * K57, "")</f>
        <v>1345.2914798206232</v>
      </c>
      <c r="M57" s="31">
        <v>22.4</v>
      </c>
      <c r="N57" s="32">
        <f t="shared" si="25"/>
        <v>4.4843049327353305E-3</v>
      </c>
      <c r="O57" s="18">
        <f>IF(ISNUMBER(M57), $B64 * N57, "")</f>
        <v>672.64573991029954</v>
      </c>
      <c r="Q57" s="156"/>
      <c r="R57" s="156"/>
      <c r="S57" s="156"/>
    </row>
    <row r="58" spans="1:19" ht="17.25" customHeight="1" thickBot="1">
      <c r="A58" s="111" t="s">
        <v>195</v>
      </c>
      <c r="B58" s="112">
        <v>5.47</v>
      </c>
      <c r="C58" s="71">
        <v>0</v>
      </c>
      <c r="D58" s="20">
        <v>5.45</v>
      </c>
      <c r="E58" s="21">
        <f t="shared" si="22"/>
        <v>-3.6563071297988255E-3</v>
      </c>
      <c r="F58" s="22">
        <f>IF(ISNUMBER(D58), $B64 * E58, "")</f>
        <v>-548.44606946982378</v>
      </c>
      <c r="G58" s="30">
        <v>5.45</v>
      </c>
      <c r="H58" s="21">
        <f t="shared" si="23"/>
        <v>-3.6563071297988255E-3</v>
      </c>
      <c r="I58" s="95">
        <f>IF(ISNUMBER(G58), $B64 * H58, "")</f>
        <v>-548.44606946982378</v>
      </c>
      <c r="J58" s="20">
        <v>5.45</v>
      </c>
      <c r="K58" s="21">
        <f t="shared" si="24"/>
        <v>-3.6563071297988255E-3</v>
      </c>
      <c r="L58" s="22">
        <f>IF(ISNUMBER(J58), $B64 * K58, "")</f>
        <v>-548.44606946982378</v>
      </c>
      <c r="M58" s="30">
        <v>5.46</v>
      </c>
      <c r="N58" s="21">
        <f t="shared" si="25"/>
        <v>-1.8281535648994127E-3</v>
      </c>
      <c r="O58" s="22">
        <f>IF(ISNUMBER(M58), $B64 * N58, "")</f>
        <v>-274.22303473491189</v>
      </c>
      <c r="Q58" s="156"/>
      <c r="R58" s="156"/>
      <c r="S58" s="156"/>
    </row>
    <row r="59" spans="1:19" ht="17.25" customHeight="1" thickBot="1">
      <c r="A59" s="109" t="s">
        <v>141</v>
      </c>
      <c r="B59" s="113">
        <v>2.88</v>
      </c>
      <c r="C59" s="73">
        <v>0</v>
      </c>
      <c r="D59" s="96">
        <v>2.89</v>
      </c>
      <c r="E59" s="97">
        <f>IF(ISNUMBER(D59), (D59 - $B59) / $B59, "")</f>
        <v>3.4722222222223027E-3</v>
      </c>
      <c r="F59" s="98">
        <f>IF(ISNUMBER(D59), $B64 * E59, "")</f>
        <v>520.83333333334542</v>
      </c>
      <c r="G59" s="99">
        <v>2.88</v>
      </c>
      <c r="H59" s="97">
        <f>IF(ISNUMBER(G59), (G59 - $B59) / $B59, "")</f>
        <v>0</v>
      </c>
      <c r="I59" s="100">
        <f>IF(ISNUMBER(G59), $B64 * H59, "")</f>
        <v>0</v>
      </c>
      <c r="J59" s="96">
        <v>2.88</v>
      </c>
      <c r="K59" s="97">
        <f>IF(ISNUMBER(J59), (J59 - $B59) / $B59, "")</f>
        <v>0</v>
      </c>
      <c r="L59" s="98">
        <f>IF(ISNUMBER(J59), $B64 * K59, "")</f>
        <v>0</v>
      </c>
      <c r="M59" s="99">
        <v>2.87</v>
      </c>
      <c r="N59" s="97">
        <f>IF(ISNUMBER(M59), (M59 - $B59) / $B59, "")</f>
        <v>-3.4722222222221483E-3</v>
      </c>
      <c r="O59" s="98">
        <f>IF(ISNUMBER(M59), $B64 * N59, "")</f>
        <v>-520.83333333332223</v>
      </c>
      <c r="Q59" s="146"/>
      <c r="R59" s="146"/>
      <c r="S59" s="146"/>
    </row>
    <row r="60" spans="1:19" ht="17.25" customHeight="1" thickBot="1">
      <c r="A60" s="109" t="s">
        <v>118</v>
      </c>
      <c r="B60" s="110">
        <v>4.5</v>
      </c>
      <c r="C60" s="70">
        <v>0</v>
      </c>
      <c r="D60" s="15">
        <v>4.53</v>
      </c>
      <c r="E60" s="32">
        <f t="shared" ref="E60:E63" si="26">IF(ISNUMBER(D60), (D60 - $B60) / $B60, "")</f>
        <v>6.6666666666667217E-3</v>
      </c>
      <c r="F60" s="18">
        <f>IF(ISNUMBER(D60), $B64 * E60, "")</f>
        <v>1000.0000000000083</v>
      </c>
      <c r="G60" s="31">
        <v>4.5199999999999996</v>
      </c>
      <c r="H60" s="32">
        <f t="shared" ref="H60:H63" si="27">IF(ISNUMBER(G60), (G60 - $B60) / $B60, "")</f>
        <v>4.4444444444443499E-3</v>
      </c>
      <c r="I60" s="91">
        <f>IF(ISNUMBER(G60), $B64 * H60, "")</f>
        <v>666.66666666665253</v>
      </c>
      <c r="J60" s="15">
        <v>4.5199999999999996</v>
      </c>
      <c r="K60" s="32">
        <f t="shared" ref="K60:K63" si="28">IF(ISNUMBER(J60), (J60 - $B60) / $B60, "")</f>
        <v>4.4444444444443499E-3</v>
      </c>
      <c r="L60" s="18">
        <f>IF(ISNUMBER(J60), $B64 * K60, "")</f>
        <v>666.66666666665253</v>
      </c>
      <c r="M60" s="31">
        <v>4.5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46"/>
      <c r="R60" s="146"/>
      <c r="S60" s="146"/>
    </row>
    <row r="61" spans="1:19" ht="17.25" customHeight="1" thickBot="1">
      <c r="A61" s="109" t="s">
        <v>132</v>
      </c>
      <c r="B61" s="110">
        <v>40.200000000000003</v>
      </c>
      <c r="C61" s="70">
        <v>0</v>
      </c>
      <c r="D61" s="15">
        <v>40.200000000000003</v>
      </c>
      <c r="E61" s="32">
        <f t="shared" si="26"/>
        <v>0</v>
      </c>
      <c r="F61" s="18">
        <f>IF(ISNUMBER(D61), $B64 * E61, "")</f>
        <v>0</v>
      </c>
      <c r="G61" s="31">
        <v>40.200000000000003</v>
      </c>
      <c r="H61" s="32">
        <f t="shared" si="27"/>
        <v>0</v>
      </c>
      <c r="I61" s="91">
        <f>IF(ISNUMBER(G61), $B64 * H61, "")</f>
        <v>0</v>
      </c>
      <c r="J61" s="15">
        <v>40.200000000000003</v>
      </c>
      <c r="K61" s="32">
        <f t="shared" si="28"/>
        <v>0</v>
      </c>
      <c r="L61" s="18">
        <f>IF(ISNUMBER(J61), $B64 * K61, "")</f>
        <v>0</v>
      </c>
      <c r="M61" s="31">
        <v>40</v>
      </c>
      <c r="N61" s="32">
        <f t="shared" si="29"/>
        <v>-4.9751243781095229E-3</v>
      </c>
      <c r="O61" s="18">
        <f>IF(ISNUMBER(M61), $B64 * N61, "")</f>
        <v>-746.26865671642838</v>
      </c>
      <c r="Q61" s="146"/>
      <c r="R61" s="146"/>
      <c r="S61" s="146"/>
    </row>
    <row r="62" spans="1:19" ht="17.25" customHeight="1">
      <c r="A62" s="109" t="s">
        <v>209</v>
      </c>
      <c r="B62" s="110">
        <v>68.900000000000006</v>
      </c>
      <c r="C62" s="70">
        <v>-1.4492754E-3</v>
      </c>
      <c r="D62" s="15">
        <v>69</v>
      </c>
      <c r="E62" s="32">
        <f t="shared" si="26"/>
        <v>1.4513788098692933E-3</v>
      </c>
      <c r="F62" s="18">
        <f>IF(ISNUMBER(D62), $B64 * E62, "")</f>
        <v>217.70682148039398</v>
      </c>
      <c r="G62" s="31">
        <v>70.3</v>
      </c>
      <c r="H62" s="32">
        <f t="shared" si="27"/>
        <v>2.0319303338171137E-2</v>
      </c>
      <c r="I62" s="91">
        <f>IF(ISNUMBER(G62), $B64 * H62, "")</f>
        <v>3047.8955007256704</v>
      </c>
      <c r="J62" s="15">
        <v>70.3</v>
      </c>
      <c r="K62" s="32">
        <f t="shared" si="28"/>
        <v>2.0319303338171137E-2</v>
      </c>
      <c r="L62" s="18">
        <f>IF(ISNUMBER(J62), $B64 * K62, "")</f>
        <v>3047.8955007256704</v>
      </c>
      <c r="M62" s="31">
        <v>70</v>
      </c>
      <c r="N62" s="32">
        <f t="shared" si="29"/>
        <v>1.5965166908563051E-2</v>
      </c>
      <c r="O62" s="18">
        <f>IF(ISNUMBER(M62), $B64 * N62, "")</f>
        <v>2394.7750362844577</v>
      </c>
      <c r="Q62" s="135"/>
      <c r="R62" s="136"/>
      <c r="S62" s="137"/>
    </row>
    <row r="63" spans="1:19" ht="17.25" customHeight="1" thickBot="1">
      <c r="A63" s="114" t="s">
        <v>217</v>
      </c>
      <c r="B63" s="115">
        <v>53.1</v>
      </c>
      <c r="C63" s="72">
        <v>-1.8796991999999999E-3</v>
      </c>
      <c r="D63" s="24">
        <v>53</v>
      </c>
      <c r="E63" s="25">
        <f t="shared" si="26"/>
        <v>-1.8832391713747914E-3</v>
      </c>
      <c r="F63" s="94">
        <f>IF(ISNUMBER(D63), $B64 * E63, "")</f>
        <v>-282.48587570621874</v>
      </c>
      <c r="G63" s="92">
        <v>53.2</v>
      </c>
      <c r="H63" s="25">
        <f t="shared" si="27"/>
        <v>1.8832391713747914E-3</v>
      </c>
      <c r="I63" s="93">
        <f>IF(ISNUMBER(G63), $B64 * H63, "")</f>
        <v>282.48587570621874</v>
      </c>
      <c r="J63" s="24">
        <v>53.2</v>
      </c>
      <c r="K63" s="25">
        <f t="shared" si="28"/>
        <v>1.8832391713747914E-3</v>
      </c>
      <c r="L63" s="94">
        <f>IF(ISNUMBER(J63), $B64 * K63, "")</f>
        <v>282.48587570621874</v>
      </c>
      <c r="M63" s="92">
        <v>53.3</v>
      </c>
      <c r="N63" s="25">
        <f t="shared" si="29"/>
        <v>3.7664783427494488E-3</v>
      </c>
      <c r="O63" s="94">
        <f>IF(ISNUMBER(M63), $B64 * N63, "")</f>
        <v>564.97175141241735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7.7474325951062408E-4</v>
      </c>
      <c r="F64" s="28">
        <f>SUM(F44:F63)</f>
        <v>2324.2297785318719</v>
      </c>
      <c r="G64" s="26" t="s">
        <v>258</v>
      </c>
      <c r="H64" s="27">
        <f>IF(COUNT(H44:H63), SUM(H44:H63) / COUNT(H44:H63), 0)</f>
        <v>8.2546481950637081E-3</v>
      </c>
      <c r="I64" s="28">
        <f>SUM(I44:I63)</f>
        <v>24763.944585191119</v>
      </c>
      <c r="J64" s="26" t="s">
        <v>258</v>
      </c>
      <c r="K64" s="27">
        <f>IF(COUNT(K44:K63), SUM(K44:K63) / COUNT(K44:K63), 0)</f>
        <v>8.2546481950637081E-3</v>
      </c>
      <c r="L64" s="28">
        <f>SUM(L44:L63)</f>
        <v>24763.944585191119</v>
      </c>
      <c r="M64" s="26" t="s">
        <v>258</v>
      </c>
      <c r="N64" s="27">
        <f>IF(COUNT(N44:N63), SUM(N44:N63) / COUNT(N44:N63), 0)</f>
        <v>3.1549792441937273E-3</v>
      </c>
      <c r="O64" s="28">
        <f>SUM(O44:O63)</f>
        <v>9464.9377325811802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2023-01-01(일) 오전 00:00</v>
      </c>
      <c r="C69" s="198"/>
      <c r="D69" s="170" t="str">
        <f>TEXT($G$1, "[$-ko-KR]yyyy-mm-dd(ddd) ") &amp; "오후 14:00"</f>
        <v>2023-01-01(일) 오후 14:00</v>
      </c>
      <c r="E69" s="171"/>
      <c r="F69" s="172"/>
      <c r="G69" s="170" t="str">
        <f>TEXT($G$1, "[$-ko-KR]yyyy-mm-dd(ddd) ") &amp; "오후 19:00"</f>
        <v>2023-01-01(일) 오후 19:00</v>
      </c>
      <c r="H69" s="171"/>
      <c r="I69" s="172"/>
      <c r="J69" s="170" t="str">
        <f>TEXT($G$1, "[$-ko-KR]yyyy-mm-dd(ddd) ") &amp; "오후 21:00"</f>
        <v>2023-01-01(일) 오후 21:00</v>
      </c>
      <c r="K69" s="171"/>
      <c r="L69" s="172"/>
      <c r="M69" s="170" t="str">
        <f>TEXT($G$1+1, "[$-ko-KR]yyyy-mm-dd(ddd) ") &amp; "오전 00:00"</f>
        <v>2023-01-02(월)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120</v>
      </c>
      <c r="B71" s="108">
        <v>109</v>
      </c>
      <c r="C71" s="69">
        <v>0.1413612565</v>
      </c>
      <c r="D71" s="13">
        <v>108</v>
      </c>
      <c r="E71" s="14">
        <f>IF(ISNUMBER(D71), (D71 - $B71) / $B71, "")</f>
        <v>-9.1743119266055051E-3</v>
      </c>
      <c r="F71" s="16">
        <f>IF(ISNUMBER(D71), $B91 * E71, "")</f>
        <v>-1376.1467889908258</v>
      </c>
      <c r="G71" s="29">
        <v>102</v>
      </c>
      <c r="H71" s="14">
        <f>IF(ISNUMBER(G71), (G71 - $B71) / $B71, "")</f>
        <v>-6.4220183486238536E-2</v>
      </c>
      <c r="I71" s="90">
        <f>IF(ISNUMBER(G71), $B91 * H71, "")</f>
        <v>-9633.0275229357812</v>
      </c>
      <c r="J71" s="13">
        <v>102</v>
      </c>
      <c r="K71" s="14">
        <f>IF(ISNUMBER(J71), (J71 - $B71) / $B71, "")</f>
        <v>-6.4220183486238536E-2</v>
      </c>
      <c r="L71" s="16">
        <f>IF(ISNUMBER(J71), $B91 * K71, "")</f>
        <v>-9633.0275229357812</v>
      </c>
      <c r="M71" s="29">
        <v>101</v>
      </c>
      <c r="N71" s="14">
        <f>IF(ISNUMBER(M71), (M71 - $B71) / $B71, "")</f>
        <v>-7.3394495412844041E-2</v>
      </c>
      <c r="O71" s="16">
        <f>IF(ISNUMBER(M71), $B91 * N71, "")</f>
        <v>-11009.174311926607</v>
      </c>
      <c r="Q71" s="156"/>
      <c r="R71" s="156"/>
      <c r="S71" s="156"/>
    </row>
    <row r="72" spans="1:19" ht="17.25" thickBot="1">
      <c r="A72" s="109" t="s">
        <v>101</v>
      </c>
      <c r="B72" s="110">
        <v>195</v>
      </c>
      <c r="C72" s="70">
        <v>1.5625E-2</v>
      </c>
      <c r="D72" s="15">
        <v>195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192</v>
      </c>
      <c r="H72" s="32">
        <f t="shared" ref="H72:H75" si="31">IF(ISNUMBER(G72), (G72 - $B72) / $B72, "")</f>
        <v>-1.5384615384615385E-2</v>
      </c>
      <c r="I72" s="91">
        <f>IF(ISNUMBER(G72), $B91 * H72, "")</f>
        <v>-2307.6923076923076</v>
      </c>
      <c r="J72" s="15">
        <v>192</v>
      </c>
      <c r="K72" s="32">
        <f t="shared" ref="K72:K75" si="32">IF(ISNUMBER(J72), (J72 - $B72) / $B72, "")</f>
        <v>-1.5384615384615385E-2</v>
      </c>
      <c r="L72" s="18">
        <f>IF(ISNUMBER(J72), $B91 * K72, "")</f>
        <v>-2307.6923076923076</v>
      </c>
      <c r="M72" s="31">
        <v>195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56"/>
      <c r="R72" s="156"/>
      <c r="S72" s="156"/>
    </row>
    <row r="73" spans="1:19" ht="17.25" thickBot="1">
      <c r="A73" s="109" t="s">
        <v>317</v>
      </c>
      <c r="B73" s="110">
        <v>576</v>
      </c>
      <c r="C73" s="70">
        <v>1.4084507E-2</v>
      </c>
      <c r="D73" s="15">
        <v>575</v>
      </c>
      <c r="E73" s="32">
        <f t="shared" si="30"/>
        <v>-1.736111111111111E-3</v>
      </c>
      <c r="F73" s="18">
        <f>IF(ISNUMBER(D73), $B91 * E73, "")</f>
        <v>-260.41666666666663</v>
      </c>
      <c r="G73" s="31">
        <v>574</v>
      </c>
      <c r="H73" s="32">
        <f t="shared" si="31"/>
        <v>-3.472222222222222E-3</v>
      </c>
      <c r="I73" s="91">
        <f>IF(ISNUMBER(G73), $B91 * H73, "")</f>
        <v>-520.83333333333326</v>
      </c>
      <c r="J73" s="15">
        <v>574</v>
      </c>
      <c r="K73" s="32">
        <f t="shared" si="32"/>
        <v>-3.472222222222222E-3</v>
      </c>
      <c r="L73" s="18">
        <f>IF(ISNUMBER(J73), $B91 * K73, "")</f>
        <v>-520.83333333333326</v>
      </c>
      <c r="M73" s="31">
        <v>571</v>
      </c>
      <c r="N73" s="32">
        <f t="shared" si="33"/>
        <v>-8.6805555555555559E-3</v>
      </c>
      <c r="O73" s="18">
        <f>IF(ISNUMBER(M73), $B91 * N73, "")</f>
        <v>-1302.0833333333335</v>
      </c>
      <c r="Q73" s="146"/>
      <c r="R73" s="146"/>
      <c r="S73" s="146"/>
    </row>
    <row r="74" spans="1:19" ht="17.25" thickBot="1">
      <c r="A74" s="109" t="s">
        <v>319</v>
      </c>
      <c r="B74" s="110">
        <v>295</v>
      </c>
      <c r="C74" s="70">
        <v>1.02739726E-2</v>
      </c>
      <c r="D74" s="15">
        <v>295</v>
      </c>
      <c r="E74" s="32">
        <f t="shared" si="30"/>
        <v>0</v>
      </c>
      <c r="F74" s="18">
        <f>IF(ISNUMBER(D74), $B91 * E74, "")</f>
        <v>0</v>
      </c>
      <c r="G74" s="31">
        <v>293</v>
      </c>
      <c r="H74" s="32">
        <f t="shared" si="31"/>
        <v>-6.7796610169491523E-3</v>
      </c>
      <c r="I74" s="91">
        <f>IF(ISNUMBER(G74), $B91 * H74, "")</f>
        <v>-1016.9491525423729</v>
      </c>
      <c r="J74" s="15">
        <v>293</v>
      </c>
      <c r="K74" s="32">
        <f t="shared" si="32"/>
        <v>-6.7796610169491523E-3</v>
      </c>
      <c r="L74" s="18">
        <f>IF(ISNUMBER(J74), $B91 * K74, "")</f>
        <v>-1016.9491525423729</v>
      </c>
      <c r="M74" s="31">
        <v>292</v>
      </c>
      <c r="N74" s="32">
        <f t="shared" si="33"/>
        <v>-1.0169491525423728E-2</v>
      </c>
      <c r="O74" s="18">
        <f>IF(ISNUMBER(M74), $B91 * N74, "")</f>
        <v>-1525.4237288135591</v>
      </c>
      <c r="Q74" s="146"/>
      <c r="R74" s="146"/>
      <c r="S74" s="146"/>
    </row>
    <row r="75" spans="1:19" ht="17.25" thickBot="1">
      <c r="A75" s="111" t="s">
        <v>183</v>
      </c>
      <c r="B75" s="112">
        <v>114</v>
      </c>
      <c r="C75" s="71">
        <v>8.8495575000000007E-3</v>
      </c>
      <c r="D75" s="20">
        <v>115</v>
      </c>
      <c r="E75" s="21">
        <f t="shared" si="30"/>
        <v>8.771929824561403E-3</v>
      </c>
      <c r="F75" s="22">
        <f>IF(ISNUMBER(D75), $B91 * E75, "")</f>
        <v>1315.7894736842104</v>
      </c>
      <c r="G75" s="30">
        <v>114</v>
      </c>
      <c r="H75" s="21">
        <f t="shared" si="31"/>
        <v>0</v>
      </c>
      <c r="I75" s="9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>
        <v>114</v>
      </c>
      <c r="N75" s="21">
        <f t="shared" si="33"/>
        <v>0</v>
      </c>
      <c r="O75" s="22">
        <f>IF(ISNUMBER(M75), $B91 * N75, "")</f>
        <v>0</v>
      </c>
      <c r="Q75" s="146"/>
      <c r="R75" s="146"/>
      <c r="S75" s="146"/>
    </row>
    <row r="76" spans="1:19" ht="17.25" thickBot="1">
      <c r="A76" s="109" t="s">
        <v>321</v>
      </c>
      <c r="B76" s="113">
        <v>150</v>
      </c>
      <c r="C76" s="73">
        <v>6.7114093999999999E-3</v>
      </c>
      <c r="D76" s="96">
        <v>151</v>
      </c>
      <c r="E76" s="97">
        <f>IF(ISNUMBER(D76), (D76 - $B76) / $B76, "")</f>
        <v>6.6666666666666671E-3</v>
      </c>
      <c r="F76" s="98">
        <f>IF(ISNUMBER(D76), $B91 * E76, "")</f>
        <v>1000.0000000000001</v>
      </c>
      <c r="G76" s="99">
        <v>151</v>
      </c>
      <c r="H76" s="97">
        <f>IF(ISNUMBER(G76), (G76 - $B76) / $B76, "")</f>
        <v>6.6666666666666671E-3</v>
      </c>
      <c r="I76" s="100">
        <f>IF(ISNUMBER(G76), $B91 * H76, "")</f>
        <v>1000.0000000000001</v>
      </c>
      <c r="J76" s="96">
        <v>151</v>
      </c>
      <c r="K76" s="97">
        <f>IF(ISNUMBER(J76), (J76 - $B76) / $B76, "")</f>
        <v>6.6666666666666671E-3</v>
      </c>
      <c r="L76" s="98">
        <f>IF(ISNUMBER(J76), $B91 * K76, "")</f>
        <v>1000.0000000000001</v>
      </c>
      <c r="M76" s="99">
        <v>150</v>
      </c>
      <c r="N76" s="97">
        <f>IF(ISNUMBER(M76), (M76 - $B76) / $B76, "")</f>
        <v>0</v>
      </c>
      <c r="O76" s="98">
        <f>IF(ISNUMBER(M76), $B91 * N76, "")</f>
        <v>0</v>
      </c>
      <c r="Q76" s="146"/>
      <c r="R76" s="146"/>
      <c r="S76" s="146"/>
    </row>
    <row r="77" spans="1:19" ht="17.25" thickBot="1">
      <c r="A77" s="109" t="s">
        <v>103</v>
      </c>
      <c r="B77" s="110">
        <v>190</v>
      </c>
      <c r="C77" s="70">
        <v>5.2910053000000002E-3</v>
      </c>
      <c r="D77" s="15">
        <v>189</v>
      </c>
      <c r="E77" s="32">
        <f t="shared" ref="E77:E80" si="34">IF(ISNUMBER(D77), (D77 - $B77) / $B77, "")</f>
        <v>-5.263157894736842E-3</v>
      </c>
      <c r="F77" s="18">
        <f>IF(ISNUMBER(D77), $B91 * E77, "")</f>
        <v>-789.47368421052624</v>
      </c>
      <c r="G77" s="31">
        <v>190</v>
      </c>
      <c r="H77" s="32">
        <f t="shared" ref="H77:H80" si="35">IF(ISNUMBER(G77), (G77 - $B77) / $B77, "")</f>
        <v>0</v>
      </c>
      <c r="I77" s="91">
        <f>IF(ISNUMBER(G77), $B91 * H77, "")</f>
        <v>0</v>
      </c>
      <c r="J77" s="15">
        <v>190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190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146"/>
      <c r="R77" s="146"/>
      <c r="S77" s="146"/>
    </row>
    <row r="78" spans="1:19" ht="17.25" thickBot="1">
      <c r="A78" s="109" t="s">
        <v>213</v>
      </c>
      <c r="B78" s="110">
        <v>400</v>
      </c>
      <c r="C78" s="70">
        <v>5.0251256000000003E-3</v>
      </c>
      <c r="D78" s="15">
        <v>404</v>
      </c>
      <c r="E78" s="32">
        <f t="shared" si="34"/>
        <v>0.01</v>
      </c>
      <c r="F78" s="18">
        <f>IF(ISNUMBER(D78), $B91 * E78, "")</f>
        <v>1500</v>
      </c>
      <c r="G78" s="31">
        <v>404</v>
      </c>
      <c r="H78" s="32">
        <f t="shared" si="35"/>
        <v>0.01</v>
      </c>
      <c r="I78" s="91">
        <f>IF(ISNUMBER(G78), $B91 * H78, "")</f>
        <v>1500</v>
      </c>
      <c r="J78" s="15">
        <v>404</v>
      </c>
      <c r="K78" s="32">
        <f t="shared" si="36"/>
        <v>0.01</v>
      </c>
      <c r="L78" s="18">
        <f>IF(ISNUMBER(J78), $B91 * K78, "")</f>
        <v>1500</v>
      </c>
      <c r="M78" s="31">
        <v>404</v>
      </c>
      <c r="N78" s="32">
        <f t="shared" si="37"/>
        <v>0.01</v>
      </c>
      <c r="O78" s="18">
        <f>IF(ISNUMBER(M78), $B91 * N78, "")</f>
        <v>1500</v>
      </c>
      <c r="Q78" s="146"/>
      <c r="R78" s="146"/>
      <c r="S78" s="146"/>
    </row>
    <row r="79" spans="1:19" ht="17.25" thickBot="1">
      <c r="A79" s="109" t="s">
        <v>239</v>
      </c>
      <c r="B79" s="110">
        <v>408</v>
      </c>
      <c r="C79" s="70">
        <v>4.9261084000000004E-3</v>
      </c>
      <c r="D79" s="15">
        <v>406</v>
      </c>
      <c r="E79" s="32">
        <f t="shared" si="34"/>
        <v>-4.9019607843137254E-3</v>
      </c>
      <c r="F79" s="18">
        <f>IF(ISNUMBER(D79), $B91 * E79, "")</f>
        <v>-735.29411764705878</v>
      </c>
      <c r="G79" s="31">
        <v>409</v>
      </c>
      <c r="H79" s="32">
        <f t="shared" si="35"/>
        <v>2.4509803921568627E-3</v>
      </c>
      <c r="I79" s="91">
        <f>IF(ISNUMBER(G79), $B91 * H79, "")</f>
        <v>367.64705882352939</v>
      </c>
      <c r="J79" s="15">
        <v>409</v>
      </c>
      <c r="K79" s="32">
        <f t="shared" si="36"/>
        <v>2.4509803921568627E-3</v>
      </c>
      <c r="L79" s="18">
        <f>IF(ISNUMBER(J79), $B91 * K79, "")</f>
        <v>367.64705882352939</v>
      </c>
      <c r="M79" s="31">
        <v>408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14" t="s">
        <v>169</v>
      </c>
      <c r="B80" s="115">
        <v>216</v>
      </c>
      <c r="C80" s="72">
        <v>4.6511627999999998E-3</v>
      </c>
      <c r="D80" s="24">
        <v>217</v>
      </c>
      <c r="E80" s="25">
        <f t="shared" si="34"/>
        <v>4.6296296296296294E-3</v>
      </c>
      <c r="F80" s="94">
        <f>IF(ISNUMBER(D80), $B91 * E80, "")</f>
        <v>694.44444444444446</v>
      </c>
      <c r="G80" s="92">
        <v>216</v>
      </c>
      <c r="H80" s="25">
        <f t="shared" si="35"/>
        <v>0</v>
      </c>
      <c r="I80" s="93">
        <f>IF(ISNUMBER(G80), $B91 * H80, "")</f>
        <v>0</v>
      </c>
      <c r="J80" s="24">
        <v>216</v>
      </c>
      <c r="K80" s="25">
        <f t="shared" si="36"/>
        <v>0</v>
      </c>
      <c r="L80" s="94">
        <f>IF(ISNUMBER(J80), $B91 * K80, "")</f>
        <v>0</v>
      </c>
      <c r="M80" s="92">
        <v>218</v>
      </c>
      <c r="N80" s="25">
        <f t="shared" si="37"/>
        <v>9.2592592592592587E-3</v>
      </c>
      <c r="O80" s="94">
        <f>IF(ISNUMBER(M80), $B91 * N80, "")</f>
        <v>1388.8888888888889</v>
      </c>
      <c r="Q80" s="147"/>
      <c r="R80" s="148"/>
      <c r="S80" s="149"/>
    </row>
    <row r="81" spans="1:19">
      <c r="A81" s="107" t="s">
        <v>231</v>
      </c>
      <c r="B81" s="108">
        <v>302</v>
      </c>
      <c r="C81" s="69">
        <v>3.3222591000000002E-3</v>
      </c>
      <c r="D81" s="13">
        <v>302</v>
      </c>
      <c r="E81" s="14">
        <f>IF(ISNUMBER(D81), (D81 - $B81) / $B81, "")</f>
        <v>0</v>
      </c>
      <c r="F81" s="16">
        <f>IF(ISNUMBER(D81), $B91 * E81, "")</f>
        <v>0</v>
      </c>
      <c r="G81" s="29">
        <v>301</v>
      </c>
      <c r="H81" s="14">
        <f>IF(ISNUMBER(G81), (G81 - $B81) / $B81, "")</f>
        <v>-3.3112582781456954E-3</v>
      </c>
      <c r="I81" s="90">
        <f>IF(ISNUMBER(G81), $B91 * H81, "")</f>
        <v>-496.68874172185429</v>
      </c>
      <c r="J81" s="13">
        <v>301</v>
      </c>
      <c r="K81" s="14">
        <f>IF(ISNUMBER(J81), (J81 - $B81) / $B81, "")</f>
        <v>-3.3112582781456954E-3</v>
      </c>
      <c r="L81" s="16">
        <f>IF(ISNUMBER(J81), $B91 * K81, "")</f>
        <v>-496.68874172185429</v>
      </c>
      <c r="M81" s="29">
        <v>303</v>
      </c>
      <c r="N81" s="14">
        <f>IF(ISNUMBER(M81), (M81 - $B81) / $B81, "")</f>
        <v>3.3112582781456954E-3</v>
      </c>
      <c r="O81" s="16">
        <f>IF(ISNUMBER(M81), $B91 * N81, "")</f>
        <v>496.68874172185429</v>
      </c>
      <c r="Q81" s="150"/>
      <c r="R81" s="151"/>
      <c r="S81" s="152"/>
    </row>
    <row r="82" spans="1:19" ht="17.25" thickBot="1">
      <c r="A82" s="109" t="s">
        <v>81</v>
      </c>
      <c r="B82" s="110">
        <v>313</v>
      </c>
      <c r="C82" s="70">
        <v>0</v>
      </c>
      <c r="D82" s="15">
        <v>312</v>
      </c>
      <c r="E82" s="32">
        <f t="shared" ref="E82:E85" si="38">IF(ISNUMBER(D82), (D82 - $B82) / $B82, "")</f>
        <v>-3.1948881789137379E-3</v>
      </c>
      <c r="F82" s="18">
        <f>IF(ISNUMBER(D82), $B91 * E82, "")</f>
        <v>-479.23322683706067</v>
      </c>
      <c r="G82" s="31">
        <v>313</v>
      </c>
      <c r="H82" s="32">
        <f t="shared" ref="H82:H85" si="39">IF(ISNUMBER(G82), (G82 - $B82) / $B82, "")</f>
        <v>0</v>
      </c>
      <c r="I82" s="91">
        <f>IF(ISNUMBER(G82), $B91 * H82, "")</f>
        <v>0</v>
      </c>
      <c r="J82" s="15">
        <v>313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314</v>
      </c>
      <c r="N82" s="32">
        <f t="shared" ref="N82:N85" si="41">IF(ISNUMBER(M82), (M82 - $B82) / $B82, "")</f>
        <v>3.1948881789137379E-3</v>
      </c>
      <c r="O82" s="18">
        <f>IF(ISNUMBER(M82), $B91 * N82, "")</f>
        <v>479.23322683706067</v>
      </c>
      <c r="Q82" s="153"/>
      <c r="R82" s="154"/>
      <c r="S82" s="155"/>
    </row>
    <row r="83" spans="1:19" ht="17.25" thickBot="1">
      <c r="A83" s="109" t="s">
        <v>326</v>
      </c>
      <c r="B83" s="110">
        <v>219</v>
      </c>
      <c r="C83" s="70">
        <v>0</v>
      </c>
      <c r="D83" s="15">
        <v>220</v>
      </c>
      <c r="E83" s="32">
        <f t="shared" si="38"/>
        <v>4.5662100456621002E-3</v>
      </c>
      <c r="F83" s="18">
        <f>IF(ISNUMBER(D83), $B91 * E83, "")</f>
        <v>684.93150684931504</v>
      </c>
      <c r="G83" s="31">
        <v>220</v>
      </c>
      <c r="H83" s="32">
        <f t="shared" si="39"/>
        <v>4.5662100456621002E-3</v>
      </c>
      <c r="I83" s="91">
        <f>IF(ISNUMBER(G83), $B91 * H83, "")</f>
        <v>684.93150684931504</v>
      </c>
      <c r="J83" s="15">
        <v>220</v>
      </c>
      <c r="K83" s="32">
        <f t="shared" si="40"/>
        <v>4.5662100456621002E-3</v>
      </c>
      <c r="L83" s="18">
        <f>IF(ISNUMBER(J83), $B91 * K83, "")</f>
        <v>684.93150684931504</v>
      </c>
      <c r="M83" s="31">
        <v>221</v>
      </c>
      <c r="N83" s="32">
        <f t="shared" si="41"/>
        <v>9.1324200913242004E-3</v>
      </c>
      <c r="O83" s="18">
        <f>IF(ISNUMBER(M83), $B91 * N83, "")</f>
        <v>1369.8630136986301</v>
      </c>
      <c r="Q83" s="146"/>
      <c r="R83" s="146"/>
      <c r="S83" s="146"/>
    </row>
    <row r="84" spans="1:19" ht="17.25" thickBot="1">
      <c r="A84" s="109" t="s">
        <v>79</v>
      </c>
      <c r="B84" s="110">
        <v>211</v>
      </c>
      <c r="C84" s="70">
        <v>0</v>
      </c>
      <c r="D84" s="15">
        <v>212</v>
      </c>
      <c r="E84" s="32">
        <f t="shared" si="38"/>
        <v>4.7393364928909956E-3</v>
      </c>
      <c r="F84" s="18">
        <f>IF(ISNUMBER(D84), $B91 * E84, "")</f>
        <v>710.90047393364932</v>
      </c>
      <c r="G84" s="31">
        <v>211</v>
      </c>
      <c r="H84" s="32">
        <f t="shared" si="39"/>
        <v>0</v>
      </c>
      <c r="I84" s="91">
        <f>IF(ISNUMBER(G84), $B91 * H84, "")</f>
        <v>0</v>
      </c>
      <c r="J84" s="15">
        <v>211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9.4786729857819912E-3</v>
      </c>
      <c r="O84" s="18">
        <f>IF(ISNUMBER(M84), $B91 * N84, "")</f>
        <v>1421.8009478672986</v>
      </c>
      <c r="Q84" s="156"/>
      <c r="R84" s="156"/>
      <c r="S84" s="156"/>
    </row>
    <row r="85" spans="1:19" ht="17.25" thickBot="1">
      <c r="A85" s="111" t="s">
        <v>85</v>
      </c>
      <c r="B85" s="112">
        <v>128</v>
      </c>
      <c r="C85" s="71">
        <v>0</v>
      </c>
      <c r="D85" s="20">
        <v>128</v>
      </c>
      <c r="E85" s="21">
        <f t="shared" si="38"/>
        <v>0</v>
      </c>
      <c r="F85" s="22">
        <f>IF(ISNUMBER(D85), $B91 * E85, "")</f>
        <v>0</v>
      </c>
      <c r="G85" s="30">
        <v>128</v>
      </c>
      <c r="H85" s="21">
        <f t="shared" si="39"/>
        <v>0</v>
      </c>
      <c r="I85" s="95">
        <f>IF(ISNUMBER(G85), $B91 * H85, "")</f>
        <v>0</v>
      </c>
      <c r="J85" s="20">
        <v>128</v>
      </c>
      <c r="K85" s="21">
        <f t="shared" si="40"/>
        <v>0</v>
      </c>
      <c r="L85" s="22">
        <f>IF(ISNUMBER(J85), $B91 * K85, "")</f>
        <v>0</v>
      </c>
      <c r="M85" s="30">
        <v>129</v>
      </c>
      <c r="N85" s="21">
        <f t="shared" si="41"/>
        <v>7.8125E-3</v>
      </c>
      <c r="O85" s="22">
        <f>IF(ISNUMBER(M85), $B91 * N85, "")</f>
        <v>1171.875</v>
      </c>
      <c r="Q85" s="156"/>
      <c r="R85" s="156"/>
      <c r="S85" s="156"/>
    </row>
    <row r="86" spans="1:19" ht="17.25" thickBot="1">
      <c r="A86" s="109" t="s">
        <v>149</v>
      </c>
      <c r="B86" s="113">
        <v>306</v>
      </c>
      <c r="C86" s="73">
        <v>0</v>
      </c>
      <c r="D86" s="96">
        <v>308</v>
      </c>
      <c r="E86" s="97">
        <f>IF(ISNUMBER(D86), (D86 - $B86) / $B86, "")</f>
        <v>6.5359477124183009E-3</v>
      </c>
      <c r="F86" s="98">
        <f>IF(ISNUMBER(D86), $B91 * E86, "")</f>
        <v>980.39215686274508</v>
      </c>
      <c r="G86" s="99">
        <v>309</v>
      </c>
      <c r="H86" s="97">
        <f>IF(ISNUMBER(G86), (G86 - $B86) / $B86, "")</f>
        <v>9.8039215686274508E-3</v>
      </c>
      <c r="I86" s="100">
        <f>IF(ISNUMBER(G86), $B91 * H86, "")</f>
        <v>1470.5882352941176</v>
      </c>
      <c r="J86" s="96">
        <v>309</v>
      </c>
      <c r="K86" s="97">
        <f>IF(ISNUMBER(J86), (J86 - $B86) / $B86, "")</f>
        <v>9.8039215686274508E-3</v>
      </c>
      <c r="L86" s="98">
        <f>IF(ISNUMBER(J86), $B91 * K86, "")</f>
        <v>1470.5882352941176</v>
      </c>
      <c r="M86" s="99">
        <v>307</v>
      </c>
      <c r="N86" s="97">
        <f>IF(ISNUMBER(M86), (M86 - $B86) / $B86, "")</f>
        <v>3.2679738562091504E-3</v>
      </c>
      <c r="O86" s="98">
        <f>IF(ISNUMBER(M86), $B91 * N86, "")</f>
        <v>490.19607843137254</v>
      </c>
      <c r="Q86" s="146"/>
      <c r="R86" s="146"/>
      <c r="S86" s="146"/>
    </row>
    <row r="87" spans="1:19" ht="17.25" thickBot="1">
      <c r="A87" s="109" t="s">
        <v>330</v>
      </c>
      <c r="B87" s="110">
        <v>256</v>
      </c>
      <c r="C87" s="70">
        <v>0</v>
      </c>
      <c r="D87" s="15">
        <v>256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255</v>
      </c>
      <c r="H87" s="32">
        <f t="shared" ref="H87:H90" si="43">IF(ISNUMBER(G87), (G87 - $B87) / $B87, "")</f>
        <v>-3.90625E-3</v>
      </c>
      <c r="I87" s="91">
        <f>IF(ISNUMBER(G87), $B91 * H87, "")</f>
        <v>-585.9375</v>
      </c>
      <c r="J87" s="15">
        <v>255</v>
      </c>
      <c r="K87" s="32">
        <f t="shared" ref="K87:K90" si="44">IF(ISNUMBER(J87), (J87 - $B87) / $B87, "")</f>
        <v>-3.90625E-3</v>
      </c>
      <c r="L87" s="18">
        <f>IF(ISNUMBER(J87), $B91 * K87, "")</f>
        <v>-585.9375</v>
      </c>
      <c r="M87" s="31">
        <v>255</v>
      </c>
      <c r="N87" s="32">
        <f t="shared" ref="N87:N90" si="45">IF(ISNUMBER(M87), (M87 - $B87) / $B87, "")</f>
        <v>-3.90625E-3</v>
      </c>
      <c r="O87" s="18">
        <f>IF(ISNUMBER(M87), $B91 * N87, "")</f>
        <v>-585.9375</v>
      </c>
      <c r="Q87" s="146"/>
      <c r="R87" s="146"/>
      <c r="S87" s="146"/>
    </row>
    <row r="88" spans="1:19" ht="17.25" thickBot="1">
      <c r="A88" s="109" t="s">
        <v>332</v>
      </c>
      <c r="B88" s="110">
        <v>487</v>
      </c>
      <c r="C88" s="70">
        <v>-2.0491802999999999E-3</v>
      </c>
      <c r="D88" s="15">
        <v>487</v>
      </c>
      <c r="E88" s="32">
        <f t="shared" si="42"/>
        <v>0</v>
      </c>
      <c r="F88" s="18">
        <f>IF(ISNUMBER(D88), $B91 * E88, "")</f>
        <v>0</v>
      </c>
      <c r="G88" s="31">
        <v>486</v>
      </c>
      <c r="H88" s="32">
        <f t="shared" si="43"/>
        <v>-2.0533880903490761E-3</v>
      </c>
      <c r="I88" s="91">
        <f>IF(ISNUMBER(G88), $B91 * H88, "")</f>
        <v>-308.00821355236138</v>
      </c>
      <c r="J88" s="15">
        <v>486</v>
      </c>
      <c r="K88" s="32">
        <f t="shared" si="44"/>
        <v>-2.0533880903490761E-3</v>
      </c>
      <c r="L88" s="18">
        <f>IF(ISNUMBER(J88), $B91 * K88, "")</f>
        <v>-308.00821355236138</v>
      </c>
      <c r="M88" s="31">
        <v>488</v>
      </c>
      <c r="N88" s="32">
        <f t="shared" si="45"/>
        <v>2.0533880903490761E-3</v>
      </c>
      <c r="O88" s="18">
        <f>IF(ISNUMBER(M88), $B91 * N88, "")</f>
        <v>308.00821355236138</v>
      </c>
      <c r="Q88" s="146"/>
      <c r="R88" s="146"/>
      <c r="S88" s="146"/>
    </row>
    <row r="89" spans="1:19">
      <c r="A89" s="109" t="s">
        <v>109</v>
      </c>
      <c r="B89" s="110">
        <v>917</v>
      </c>
      <c r="C89" s="70">
        <v>-5.4229934999999998E-3</v>
      </c>
      <c r="D89" s="15">
        <v>917</v>
      </c>
      <c r="E89" s="32">
        <f t="shared" si="42"/>
        <v>0</v>
      </c>
      <c r="F89" s="18">
        <f>IF(ISNUMBER(D89), $B91 * E89, "")</f>
        <v>0</v>
      </c>
      <c r="G89" s="31">
        <v>921</v>
      </c>
      <c r="H89" s="32">
        <f t="shared" si="43"/>
        <v>4.3620501635768813E-3</v>
      </c>
      <c r="I89" s="91">
        <f>IF(ISNUMBER(G89), $B91 * H89, "")</f>
        <v>654.30752453653224</v>
      </c>
      <c r="J89" s="15">
        <v>921</v>
      </c>
      <c r="K89" s="32">
        <f t="shared" si="44"/>
        <v>4.3620501635768813E-3</v>
      </c>
      <c r="L89" s="18">
        <f>IF(ISNUMBER(J89), $B91 * K89, "")</f>
        <v>654.30752453653224</v>
      </c>
      <c r="M89" s="31">
        <v>922</v>
      </c>
      <c r="N89" s="32">
        <f t="shared" si="45"/>
        <v>5.4525627044711015E-3</v>
      </c>
      <c r="O89" s="18">
        <f>IF(ISNUMBER(M89), $B91 * N89, "")</f>
        <v>817.88440567066527</v>
      </c>
      <c r="Q89" s="135"/>
      <c r="R89" s="136"/>
      <c r="S89" s="137"/>
    </row>
    <row r="90" spans="1:19" ht="17.25" thickBot="1">
      <c r="A90" s="114" t="s">
        <v>105</v>
      </c>
      <c r="B90" s="115">
        <v>179</v>
      </c>
      <c r="C90" s="72">
        <v>-5.5555556000000004E-3</v>
      </c>
      <c r="D90" s="24">
        <v>179</v>
      </c>
      <c r="E90" s="25">
        <f t="shared" si="42"/>
        <v>0</v>
      </c>
      <c r="F90" s="94">
        <f>IF(ISNUMBER(D90), $B91 * E90, "")</f>
        <v>0</v>
      </c>
      <c r="G90" s="92">
        <v>179</v>
      </c>
      <c r="H90" s="25">
        <f t="shared" si="43"/>
        <v>0</v>
      </c>
      <c r="I90" s="93">
        <f>IF(ISNUMBER(G90), $B91 * H90, "")</f>
        <v>0</v>
      </c>
      <c r="J90" s="24">
        <v>179</v>
      </c>
      <c r="K90" s="25">
        <f t="shared" si="44"/>
        <v>0</v>
      </c>
      <c r="L90" s="94">
        <f>IF(ISNUMBER(J90), $B91 * K90, "")</f>
        <v>0</v>
      </c>
      <c r="M90" s="92">
        <v>179</v>
      </c>
      <c r="N90" s="25">
        <f t="shared" si="45"/>
        <v>0</v>
      </c>
      <c r="O90" s="94">
        <f>IF(ISNUMBER(M90), $B91 * N90, "")</f>
        <v>0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1.0819645238074088E-3</v>
      </c>
      <c r="F91" s="28">
        <f>SUM(F71:F90)</f>
        <v>3245.8935714222266</v>
      </c>
      <c r="G91" s="26" t="s">
        <v>258</v>
      </c>
      <c r="H91" s="27">
        <f>IF(COUNT(H71:H90), SUM(H71:H90) / COUNT(H71:H90), 0)</f>
        <v>-3.0638874820915056E-3</v>
      </c>
      <c r="I91" s="28">
        <f>SUM(I71:I90)</f>
        <v>-9191.6624462745167</v>
      </c>
      <c r="J91" s="26" t="s">
        <v>258</v>
      </c>
      <c r="K91" s="27">
        <f>IF(COUNT(K71:K90), SUM(K71:K90) / COUNT(K71:K90), 0)</f>
        <v>-3.0638874820915056E-3</v>
      </c>
      <c r="L91" s="28">
        <f>SUM(L71:L90)</f>
        <v>-9191.6624462745167</v>
      </c>
      <c r="M91" s="26" t="s">
        <v>258</v>
      </c>
      <c r="N91" s="27">
        <f>IF(COUNT(N71:N90), SUM(N71:N90) / COUNT(N71:N90), 0)</f>
        <v>-1.6593934524684558E-3</v>
      </c>
      <c r="O91" s="28">
        <f>SUM(O71:O90)</f>
        <v>-4978.1803574053665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2023-01-01(일) 오전 00:00</v>
      </c>
      <c r="C96" s="198"/>
      <c r="D96" s="170" t="str">
        <f>TEXT($G$1, "[$-ko-KR]yyyy-mm-dd(ddd) ") &amp; "오후 14:00"</f>
        <v>2023-01-01(일) 오후 14:00</v>
      </c>
      <c r="E96" s="171"/>
      <c r="F96" s="172"/>
      <c r="G96" s="170" t="str">
        <f>TEXT($G$1, "[$-ko-KR]yyyy-mm-dd(ddd) ") &amp; "오후 19:00"</f>
        <v>2023-01-01(일) 오후 19:00</v>
      </c>
      <c r="H96" s="171"/>
      <c r="I96" s="172"/>
      <c r="J96" s="170" t="str">
        <f>TEXT($G$1, "[$-ko-KR]yyyy-mm-dd(ddd) ") &amp; "오후 21:00"</f>
        <v>2023-01-01(일) 오후 21:00</v>
      </c>
      <c r="K96" s="171"/>
      <c r="L96" s="172"/>
      <c r="M96" s="170" t="str">
        <f>TEXT($G$1+1, "[$-ko-KR]yyyy-mm-dd(ddd) ") &amp; "오전 00:00"</f>
        <v>2023-01-02(월)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120</v>
      </c>
      <c r="B98" s="108">
        <v>109</v>
      </c>
      <c r="C98" s="69">
        <v>0.1413612565</v>
      </c>
      <c r="D98" s="13">
        <v>108</v>
      </c>
      <c r="E98" s="14">
        <f>IF(ISNUMBER(D98), (D98 - $B98) / $B98, "")</f>
        <v>-9.1743119266055051E-3</v>
      </c>
      <c r="F98" s="16">
        <f>IF(ISNUMBER(D98), $B118 * E98, "")</f>
        <v>-1376.1467889908258</v>
      </c>
      <c r="G98" s="29">
        <v>102</v>
      </c>
      <c r="H98" s="14">
        <f>IF(ISNUMBER(G98), (G98 - $B98) / $B98, "")</f>
        <v>-6.4220183486238536E-2</v>
      </c>
      <c r="I98" s="90">
        <f>IF(ISNUMBER(G98), $B118 * H98, "")</f>
        <v>-9633.0275229357812</v>
      </c>
      <c r="J98" s="13">
        <v>102</v>
      </c>
      <c r="K98" s="14">
        <f>IF(ISNUMBER(J98), (J98 - $B98) / $B98, "")</f>
        <v>-6.4220183486238536E-2</v>
      </c>
      <c r="L98" s="16">
        <f>IF(ISNUMBER(J98), $B118 * K98, "")</f>
        <v>-9633.0275229357812</v>
      </c>
      <c r="M98" s="29">
        <v>101</v>
      </c>
      <c r="N98" s="14">
        <f>IF(ISNUMBER(M98), (M98 - $B98) / $B98, "")</f>
        <v>-7.3394495412844041E-2</v>
      </c>
      <c r="O98" s="16">
        <f>IF(ISNUMBER(M98), $B118 * N98, "")</f>
        <v>-11009.174311926607</v>
      </c>
      <c r="Q98" s="156"/>
      <c r="R98" s="156"/>
      <c r="S98" s="156"/>
    </row>
    <row r="99" spans="1:19" ht="17.25" thickBot="1">
      <c r="A99" s="109" t="s">
        <v>205</v>
      </c>
      <c r="B99" s="110">
        <v>92</v>
      </c>
      <c r="C99" s="70">
        <v>4.5454545499999999E-2</v>
      </c>
      <c r="D99" s="15">
        <v>92.3</v>
      </c>
      <c r="E99" s="32">
        <f t="shared" ref="E99:E102" si="46">IF(ISNUMBER(D99), (D99 - $B99) / $B99, "")</f>
        <v>3.2608695652173603E-3</v>
      </c>
      <c r="F99" s="18">
        <f>IF(ISNUMBER(D99), $B118 * E99, "")</f>
        <v>489.13043478260403</v>
      </c>
      <c r="G99" s="31">
        <v>92.7</v>
      </c>
      <c r="H99" s="32">
        <f t="shared" ref="H99:H102" si="47">IF(ISNUMBER(G99), (G99 - $B99) / $B99, "")</f>
        <v>7.6086956521739437E-3</v>
      </c>
      <c r="I99" s="91">
        <f>IF(ISNUMBER(G99), $B118 * H99, "")</f>
        <v>1141.3043478260915</v>
      </c>
      <c r="J99" s="15">
        <v>92.7</v>
      </c>
      <c r="K99" s="32">
        <f t="shared" ref="K99:K102" si="48">IF(ISNUMBER(J99), (J99 - $B99) / $B99, "")</f>
        <v>7.6086956521739437E-3</v>
      </c>
      <c r="L99" s="18">
        <f>IF(ISNUMBER(J99), $B118 * K99, "")</f>
        <v>1141.3043478260915</v>
      </c>
      <c r="M99" s="31">
        <v>90.3</v>
      </c>
      <c r="N99" s="32">
        <f t="shared" ref="N99:N102" si="49">IF(ISNUMBER(M99), (M99 - $B99) / $B99, "")</f>
        <v>-1.8478260869565249E-2</v>
      </c>
      <c r="O99" s="18">
        <f>IF(ISNUMBER(M99), $B118 * N99, "")</f>
        <v>-2771.7391304347875</v>
      </c>
      <c r="Q99" s="156"/>
      <c r="R99" s="156"/>
      <c r="S99" s="156"/>
    </row>
    <row r="100" spans="1:19" ht="17.25" thickBot="1">
      <c r="A100" s="109" t="s">
        <v>191</v>
      </c>
      <c r="B100" s="110">
        <v>47.2</v>
      </c>
      <c r="C100" s="70">
        <v>4.4247787599999998E-2</v>
      </c>
      <c r="D100" s="15">
        <v>47</v>
      </c>
      <c r="E100" s="32">
        <f t="shared" si="46"/>
        <v>-4.2372881355932802E-3</v>
      </c>
      <c r="F100" s="18">
        <f>IF(ISNUMBER(D100), $B118 * E100, "")</f>
        <v>-635.59322033899207</v>
      </c>
      <c r="G100" s="31">
        <v>50.7</v>
      </c>
      <c r="H100" s="32">
        <f t="shared" si="47"/>
        <v>7.4152542372881353E-2</v>
      </c>
      <c r="I100" s="91">
        <f>IF(ISNUMBER(G100), $B118 * H100, "")</f>
        <v>11122.881355932202</v>
      </c>
      <c r="J100" s="15">
        <v>50.7</v>
      </c>
      <c r="K100" s="32">
        <f t="shared" si="48"/>
        <v>7.4152542372881353E-2</v>
      </c>
      <c r="L100" s="18">
        <f>IF(ISNUMBER(J100), $B118 * K100, "")</f>
        <v>11122.881355932202</v>
      </c>
      <c r="M100" s="31">
        <v>48.9</v>
      </c>
      <c r="N100" s="32">
        <f t="shared" si="49"/>
        <v>3.6016949152542284E-2</v>
      </c>
      <c r="O100" s="18">
        <f>IF(ISNUMBER(M100), $B118 * N100, "")</f>
        <v>5402.542372881343</v>
      </c>
      <c r="Q100" s="146"/>
      <c r="R100" s="146"/>
      <c r="S100" s="146"/>
    </row>
    <row r="101" spans="1:19" ht="17.25" thickBot="1">
      <c r="A101" s="109" t="s">
        <v>241</v>
      </c>
      <c r="B101" s="110">
        <v>87.9</v>
      </c>
      <c r="C101" s="70">
        <v>3.6556603799999997E-2</v>
      </c>
      <c r="D101" s="15">
        <v>87.5</v>
      </c>
      <c r="E101" s="32">
        <f t="shared" si="46"/>
        <v>-4.5506257110353313E-3</v>
      </c>
      <c r="F101" s="18">
        <f>IF(ISNUMBER(D101), $B118 * E101, "")</f>
        <v>-682.59385665529965</v>
      </c>
      <c r="G101" s="31">
        <v>87.5</v>
      </c>
      <c r="H101" s="32">
        <f t="shared" si="47"/>
        <v>-4.5506257110353313E-3</v>
      </c>
      <c r="I101" s="91">
        <f>IF(ISNUMBER(G101), $B118 * H101, "")</f>
        <v>-682.59385665529965</v>
      </c>
      <c r="J101" s="15">
        <v>87.5</v>
      </c>
      <c r="K101" s="32">
        <f t="shared" si="48"/>
        <v>-4.5506257110353313E-3</v>
      </c>
      <c r="L101" s="18">
        <f>IF(ISNUMBER(J101), $B118 * K101, "")</f>
        <v>-682.59385665529965</v>
      </c>
      <c r="M101" s="31">
        <v>86.9</v>
      </c>
      <c r="N101" s="32">
        <f t="shared" si="49"/>
        <v>-1.1376564277588168E-2</v>
      </c>
      <c r="O101" s="18">
        <f>IF(ISNUMBER(M101), $B118 * N101, "")</f>
        <v>-1706.4846416382252</v>
      </c>
      <c r="Q101" s="146"/>
      <c r="R101" s="146"/>
      <c r="S101" s="146"/>
    </row>
    <row r="102" spans="1:19" ht="17.25" thickBot="1">
      <c r="A102" s="111" t="s">
        <v>71</v>
      </c>
      <c r="B102" s="112">
        <v>9.64</v>
      </c>
      <c r="C102" s="71">
        <v>2.22693531E-2</v>
      </c>
      <c r="D102" s="20">
        <v>9.86</v>
      </c>
      <c r="E102" s="21">
        <f t="shared" si="46"/>
        <v>2.2821576763485358E-2</v>
      </c>
      <c r="F102" s="22">
        <f>IF(ISNUMBER(D102), $B118 * E102, "")</f>
        <v>3423.2365145228036</v>
      </c>
      <c r="G102" s="30">
        <v>9.93</v>
      </c>
      <c r="H102" s="21">
        <f t="shared" si="47"/>
        <v>3.008298755186713E-2</v>
      </c>
      <c r="I102" s="95">
        <f>IF(ISNUMBER(G102), $B118 * H102, "")</f>
        <v>4512.4481327800695</v>
      </c>
      <c r="J102" s="20">
        <v>9.93</v>
      </c>
      <c r="K102" s="21">
        <f t="shared" si="48"/>
        <v>3.008298755186713E-2</v>
      </c>
      <c r="L102" s="22">
        <f>IF(ISNUMBER(J102), $B118 * K102, "")</f>
        <v>4512.4481327800695</v>
      </c>
      <c r="M102" s="30">
        <v>9.81</v>
      </c>
      <c r="N102" s="21">
        <f t="shared" si="49"/>
        <v>1.7634854771784225E-2</v>
      </c>
      <c r="O102" s="22">
        <f>IF(ISNUMBER(M102), $B118 * N102, "")</f>
        <v>2645.2282157676336</v>
      </c>
      <c r="Q102" s="146"/>
      <c r="R102" s="146"/>
      <c r="S102" s="146"/>
    </row>
    <row r="103" spans="1:19" ht="17.25" thickBot="1">
      <c r="A103" s="109" t="s">
        <v>225</v>
      </c>
      <c r="B103" s="113">
        <v>51.7</v>
      </c>
      <c r="C103" s="73">
        <v>2.1739130400000001E-2</v>
      </c>
      <c r="D103" s="96">
        <v>51.5</v>
      </c>
      <c r="E103" s="97">
        <f>IF(ISNUMBER(D103), (D103 - $B103) / $B103, "")</f>
        <v>-3.8684719535783912E-3</v>
      </c>
      <c r="F103" s="98">
        <f>IF(ISNUMBER(D103), $B118 * E103, "")</f>
        <v>-580.27079303675873</v>
      </c>
      <c r="G103" s="99">
        <v>52.1</v>
      </c>
      <c r="H103" s="97">
        <f>IF(ISNUMBER(G103), (G103 - $B103) / $B103, "")</f>
        <v>7.7369439071566454E-3</v>
      </c>
      <c r="I103" s="100">
        <f>IF(ISNUMBER(G103), $B118 * H103, "")</f>
        <v>1160.5415860734968</v>
      </c>
      <c r="J103" s="96">
        <v>52.1</v>
      </c>
      <c r="K103" s="97">
        <f>IF(ISNUMBER(J103), (J103 - $B103) / $B103, "")</f>
        <v>7.7369439071566454E-3</v>
      </c>
      <c r="L103" s="98">
        <f>IF(ISNUMBER(J103), $B118 * K103, "")</f>
        <v>1160.5415860734968</v>
      </c>
      <c r="M103" s="99">
        <v>51.2</v>
      </c>
      <c r="N103" s="97">
        <f>IF(ISNUMBER(M103), (M103 - $B103) / $B103, "")</f>
        <v>-9.6711798839458404E-3</v>
      </c>
      <c r="O103" s="98">
        <f>IF(ISNUMBER(M103), $B118 * N103, "")</f>
        <v>-1450.6769825918761</v>
      </c>
      <c r="Q103" s="146"/>
      <c r="R103" s="146"/>
      <c r="S103" s="146"/>
    </row>
    <row r="104" spans="1:19" ht="17.25" thickBot="1">
      <c r="A104" s="109" t="s">
        <v>134</v>
      </c>
      <c r="B104" s="110">
        <v>1330</v>
      </c>
      <c r="C104" s="70">
        <v>1.9157088100000001E-2</v>
      </c>
      <c r="D104" s="15">
        <v>1335</v>
      </c>
      <c r="E104" s="32">
        <f t="shared" ref="E104:E107" si="50">IF(ISNUMBER(D104), (D104 - $B104) / $B104, "")</f>
        <v>3.7593984962406013E-3</v>
      </c>
      <c r="F104" s="18">
        <f>IF(ISNUMBER(D104), $B118 * E104, "")</f>
        <v>563.90977443609017</v>
      </c>
      <c r="G104" s="31">
        <v>1320</v>
      </c>
      <c r="H104" s="32">
        <f t="shared" ref="H104:H107" si="51">IF(ISNUMBER(G104), (G104 - $B104) / $B104, "")</f>
        <v>-7.5187969924812026E-3</v>
      </c>
      <c r="I104" s="91">
        <f>IF(ISNUMBER(G104), $B118 * H104, "")</f>
        <v>-1127.8195488721803</v>
      </c>
      <c r="J104" s="15">
        <v>1320</v>
      </c>
      <c r="K104" s="32">
        <f t="shared" ref="K104:K107" si="52">IF(ISNUMBER(J104), (J104 - $B104) / $B104, "")</f>
        <v>-7.5187969924812026E-3</v>
      </c>
      <c r="L104" s="18">
        <f>IF(ISNUMBER(J104), $B118 * K104, "")</f>
        <v>-1127.8195488721803</v>
      </c>
      <c r="M104" s="31">
        <v>1330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46"/>
      <c r="R104" s="146"/>
      <c r="S104" s="146"/>
    </row>
    <row r="105" spans="1:19" ht="17.25" thickBot="1">
      <c r="A105" s="109" t="s">
        <v>101</v>
      </c>
      <c r="B105" s="110">
        <v>195</v>
      </c>
      <c r="C105" s="70">
        <v>1.5625E-2</v>
      </c>
      <c r="D105" s="15">
        <v>195</v>
      </c>
      <c r="E105" s="32">
        <f t="shared" si="50"/>
        <v>0</v>
      </c>
      <c r="F105" s="18">
        <f>IF(ISNUMBER(D105), $B118 * E105, "")</f>
        <v>0</v>
      </c>
      <c r="G105" s="31">
        <v>192</v>
      </c>
      <c r="H105" s="32">
        <f t="shared" si="51"/>
        <v>-1.5384615384615385E-2</v>
      </c>
      <c r="I105" s="91">
        <f>IF(ISNUMBER(G105), $B118 * H105, "")</f>
        <v>-2307.6923076923076</v>
      </c>
      <c r="J105" s="15">
        <v>192</v>
      </c>
      <c r="K105" s="32">
        <f t="shared" si="52"/>
        <v>-1.5384615384615385E-2</v>
      </c>
      <c r="L105" s="18">
        <f>IF(ISNUMBER(J105), $B118 * K105, "")</f>
        <v>-2307.6923076923076</v>
      </c>
      <c r="M105" s="31">
        <v>195</v>
      </c>
      <c r="N105" s="32">
        <f t="shared" si="53"/>
        <v>0</v>
      </c>
      <c r="O105" s="18">
        <f>IF(ISNUMBER(M105), $B118 * N105, "")</f>
        <v>0</v>
      </c>
      <c r="Q105" s="146"/>
      <c r="R105" s="146"/>
      <c r="S105" s="146"/>
    </row>
    <row r="106" spans="1:19" ht="17.25" thickBot="1">
      <c r="A106" s="109" t="s">
        <v>317</v>
      </c>
      <c r="B106" s="110">
        <v>576</v>
      </c>
      <c r="C106" s="70">
        <v>1.4084507E-2</v>
      </c>
      <c r="D106" s="15">
        <v>575</v>
      </c>
      <c r="E106" s="32">
        <f t="shared" si="50"/>
        <v>-1.736111111111111E-3</v>
      </c>
      <c r="F106" s="18">
        <f>IF(ISNUMBER(D106), $B118 * E106, "")</f>
        <v>-260.41666666666663</v>
      </c>
      <c r="G106" s="31">
        <v>574</v>
      </c>
      <c r="H106" s="32">
        <f t="shared" si="51"/>
        <v>-3.472222222222222E-3</v>
      </c>
      <c r="I106" s="91">
        <f>IF(ISNUMBER(G106), $B118 * H106, "")</f>
        <v>-520.83333333333326</v>
      </c>
      <c r="J106" s="15">
        <v>574</v>
      </c>
      <c r="K106" s="32">
        <f t="shared" si="52"/>
        <v>-3.472222222222222E-3</v>
      </c>
      <c r="L106" s="18">
        <f>IF(ISNUMBER(J106), $B118 * K106, "")</f>
        <v>-520.83333333333326</v>
      </c>
      <c r="M106" s="31">
        <v>571</v>
      </c>
      <c r="N106" s="32">
        <f t="shared" si="53"/>
        <v>-8.6805555555555559E-3</v>
      </c>
      <c r="O106" s="18">
        <f>IF(ISNUMBER(M106), $B118 * N106, "")</f>
        <v>-1302.0833333333335</v>
      </c>
      <c r="Q106" s="33"/>
      <c r="R106" s="33"/>
    </row>
    <row r="107" spans="1:19" ht="17.25" thickBot="1">
      <c r="A107" s="114" t="s">
        <v>319</v>
      </c>
      <c r="B107" s="115">
        <v>295</v>
      </c>
      <c r="C107" s="72">
        <v>1.02739726E-2</v>
      </c>
      <c r="D107" s="24">
        <v>295</v>
      </c>
      <c r="E107" s="25">
        <f t="shared" si="50"/>
        <v>0</v>
      </c>
      <c r="F107" s="94">
        <f>IF(ISNUMBER(D107), $B118 * E107, "")</f>
        <v>0</v>
      </c>
      <c r="G107" s="92">
        <v>293</v>
      </c>
      <c r="H107" s="25">
        <f t="shared" si="51"/>
        <v>-6.7796610169491523E-3</v>
      </c>
      <c r="I107" s="93">
        <f>IF(ISNUMBER(G107), $B118 * H107, "")</f>
        <v>-1016.9491525423729</v>
      </c>
      <c r="J107" s="24">
        <v>293</v>
      </c>
      <c r="K107" s="25">
        <f t="shared" si="52"/>
        <v>-6.7796610169491523E-3</v>
      </c>
      <c r="L107" s="94">
        <f>IF(ISNUMBER(J107), $B118 * K107, "")</f>
        <v>-1016.9491525423729</v>
      </c>
      <c r="M107" s="92">
        <v>292</v>
      </c>
      <c r="N107" s="25">
        <f t="shared" si="53"/>
        <v>-1.0169491525423728E-2</v>
      </c>
      <c r="O107" s="94">
        <f>IF(ISNUMBER(M107), $B118 * N107, "")</f>
        <v>-1525.4237288135591</v>
      </c>
      <c r="Q107" s="147"/>
      <c r="R107" s="148"/>
      <c r="S107" s="149"/>
    </row>
    <row r="108" spans="1:19">
      <c r="A108" s="107" t="s">
        <v>183</v>
      </c>
      <c r="B108" s="108">
        <v>114</v>
      </c>
      <c r="C108" s="69">
        <v>8.8495575000000007E-3</v>
      </c>
      <c r="D108" s="13">
        <v>115</v>
      </c>
      <c r="E108" s="14">
        <f>IF(ISNUMBER(D108), (D108 - $B108) / $B108, "")</f>
        <v>8.771929824561403E-3</v>
      </c>
      <c r="F108" s="16">
        <f>IF(ISNUMBER(D108), $B118 * E108, "")</f>
        <v>1315.7894736842104</v>
      </c>
      <c r="G108" s="29">
        <v>114</v>
      </c>
      <c r="H108" s="14">
        <f>IF(ISNUMBER(G108), (G108 - $B108) / $B108, "")</f>
        <v>0</v>
      </c>
      <c r="I108" s="90">
        <f>IF(ISNUMBER(G108), $B118 * H108, "")</f>
        <v>0</v>
      </c>
      <c r="J108" s="13">
        <v>114</v>
      </c>
      <c r="K108" s="14">
        <f>IF(ISNUMBER(J108), (J108 - $B108) / $B108, "")</f>
        <v>0</v>
      </c>
      <c r="L108" s="16">
        <f>IF(ISNUMBER(J108), $B118 * K108, "")</f>
        <v>0</v>
      </c>
      <c r="M108" s="29">
        <v>114</v>
      </c>
      <c r="N108" s="14">
        <f>IF(ISNUMBER(M108), (M108 - $B108) / $B108, "")</f>
        <v>0</v>
      </c>
      <c r="O108" s="16">
        <f>IF(ISNUMBER(M108), $B118 * N108, "")</f>
        <v>0</v>
      </c>
      <c r="Q108" s="150"/>
      <c r="R108" s="151"/>
      <c r="S108" s="152"/>
    </row>
    <row r="109" spans="1:19" ht="17.25" thickBot="1">
      <c r="A109" s="109" t="s">
        <v>321</v>
      </c>
      <c r="B109" s="110">
        <v>150</v>
      </c>
      <c r="C109" s="70">
        <v>6.7114093999999999E-3</v>
      </c>
      <c r="D109" s="15">
        <v>151</v>
      </c>
      <c r="E109" s="32">
        <f t="shared" ref="E109:E112" si="54">IF(ISNUMBER(D109), (D109 - $B109) / $B109, "")</f>
        <v>6.6666666666666671E-3</v>
      </c>
      <c r="F109" s="18">
        <f>IF(ISNUMBER(D109), $B118 * E109, "")</f>
        <v>1000.0000000000001</v>
      </c>
      <c r="G109" s="31">
        <v>151</v>
      </c>
      <c r="H109" s="32">
        <f t="shared" ref="H109:H112" si="55">IF(ISNUMBER(G109), (G109 - $B109) / $B109, "")</f>
        <v>6.6666666666666671E-3</v>
      </c>
      <c r="I109" s="91">
        <f>IF(ISNUMBER(G109), $B118 * H109, "")</f>
        <v>1000.0000000000001</v>
      </c>
      <c r="J109" s="15">
        <v>151</v>
      </c>
      <c r="K109" s="32">
        <f t="shared" ref="K109:K112" si="56">IF(ISNUMBER(J109), (J109 - $B109) / $B109, "")</f>
        <v>6.6666666666666671E-3</v>
      </c>
      <c r="L109" s="18">
        <f>IF(ISNUMBER(J109), $B118 * K109, "")</f>
        <v>1000.0000000000001</v>
      </c>
      <c r="M109" s="31">
        <v>150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153"/>
      <c r="R109" s="154"/>
      <c r="S109" s="155"/>
    </row>
    <row r="110" spans="1:19" ht="17.25" thickBot="1">
      <c r="A110" s="109" t="s">
        <v>103</v>
      </c>
      <c r="B110" s="110">
        <v>190</v>
      </c>
      <c r="C110" s="70">
        <v>5.2910053000000002E-3</v>
      </c>
      <c r="D110" s="15">
        <v>189</v>
      </c>
      <c r="E110" s="32">
        <f t="shared" si="54"/>
        <v>-5.263157894736842E-3</v>
      </c>
      <c r="F110" s="18">
        <f>IF(ISNUMBER(D110), $B118 * E110, "")</f>
        <v>-789.47368421052624</v>
      </c>
      <c r="G110" s="31">
        <v>190</v>
      </c>
      <c r="H110" s="32">
        <f t="shared" si="55"/>
        <v>0</v>
      </c>
      <c r="I110" s="91">
        <f>IF(ISNUMBER(G110), $B118 * H110, "")</f>
        <v>0</v>
      </c>
      <c r="J110" s="15">
        <v>190</v>
      </c>
      <c r="K110" s="32">
        <f t="shared" si="56"/>
        <v>0</v>
      </c>
      <c r="L110" s="18">
        <f>IF(ISNUMBER(J110), $B118 * K110, "")</f>
        <v>0</v>
      </c>
      <c r="M110" s="31">
        <v>190</v>
      </c>
      <c r="N110" s="32">
        <f t="shared" si="57"/>
        <v>0</v>
      </c>
      <c r="O110" s="18">
        <f>IF(ISNUMBER(M110), $B118 * N110, "")</f>
        <v>0</v>
      </c>
      <c r="Q110" s="146"/>
      <c r="R110" s="146"/>
      <c r="S110" s="146"/>
    </row>
    <row r="111" spans="1:19" ht="17.25" thickBot="1">
      <c r="A111" s="109" t="s">
        <v>138</v>
      </c>
      <c r="B111" s="110">
        <v>19.7</v>
      </c>
      <c r="C111" s="70">
        <v>5.1020407999999998E-3</v>
      </c>
      <c r="D111" s="15">
        <v>19.7</v>
      </c>
      <c r="E111" s="32">
        <f t="shared" si="54"/>
        <v>0</v>
      </c>
      <c r="F111" s="18">
        <f>IF(ISNUMBER(D111), $B118 * E111, "")</f>
        <v>0</v>
      </c>
      <c r="G111" s="31">
        <v>19.7</v>
      </c>
      <c r="H111" s="32">
        <f t="shared" si="55"/>
        <v>0</v>
      </c>
      <c r="I111" s="91">
        <f>IF(ISNUMBER(G111), $B118 * H111, "")</f>
        <v>0</v>
      </c>
      <c r="J111" s="15">
        <v>19.7</v>
      </c>
      <c r="K111" s="32">
        <f t="shared" si="56"/>
        <v>0</v>
      </c>
      <c r="L111" s="18">
        <f>IF(ISNUMBER(J111), $B118 * K111, "")</f>
        <v>0</v>
      </c>
      <c r="M111" s="31">
        <v>19.8</v>
      </c>
      <c r="N111" s="32">
        <f t="shared" si="57"/>
        <v>5.0761421319797679E-3</v>
      </c>
      <c r="O111" s="18">
        <f>IF(ISNUMBER(M111), $B118 * N111, "")</f>
        <v>761.42131979696524</v>
      </c>
      <c r="Q111" s="156"/>
      <c r="R111" s="156"/>
      <c r="S111" s="156"/>
    </row>
    <row r="112" spans="1:19" ht="17.25" thickBot="1">
      <c r="A112" s="111" t="s">
        <v>213</v>
      </c>
      <c r="B112" s="112">
        <v>400</v>
      </c>
      <c r="C112" s="71">
        <v>5.0251256000000003E-3</v>
      </c>
      <c r="D112" s="20">
        <v>404</v>
      </c>
      <c r="E112" s="21">
        <f t="shared" si="54"/>
        <v>0.01</v>
      </c>
      <c r="F112" s="22">
        <f>IF(ISNUMBER(D112), $B118 * E112, "")</f>
        <v>1500</v>
      </c>
      <c r="G112" s="30">
        <v>404</v>
      </c>
      <c r="H112" s="21">
        <f t="shared" si="55"/>
        <v>0.01</v>
      </c>
      <c r="I112" s="95">
        <f>IF(ISNUMBER(G112), $B118 * H112, "")</f>
        <v>1500</v>
      </c>
      <c r="J112" s="20">
        <v>404</v>
      </c>
      <c r="K112" s="21">
        <f t="shared" si="56"/>
        <v>0.01</v>
      </c>
      <c r="L112" s="22">
        <f>IF(ISNUMBER(J112), $B118 * K112, "")</f>
        <v>1500</v>
      </c>
      <c r="M112" s="30">
        <v>404</v>
      </c>
      <c r="N112" s="21">
        <f t="shared" si="57"/>
        <v>0.01</v>
      </c>
      <c r="O112" s="22">
        <f>IF(ISNUMBER(M112), $B118 * N112, "")</f>
        <v>1500</v>
      </c>
      <c r="Q112" s="156"/>
      <c r="R112" s="156"/>
      <c r="S112" s="156"/>
    </row>
    <row r="113" spans="1:19" ht="17.25" thickBot="1">
      <c r="A113" s="109" t="s">
        <v>239</v>
      </c>
      <c r="B113" s="113">
        <v>408</v>
      </c>
      <c r="C113" s="73">
        <v>4.9261084000000004E-3</v>
      </c>
      <c r="D113" s="96">
        <v>406</v>
      </c>
      <c r="E113" s="97">
        <f>IF(ISNUMBER(D113), (D113 - $B113) / $B113, "")</f>
        <v>-4.9019607843137254E-3</v>
      </c>
      <c r="F113" s="98">
        <f>IF(ISNUMBER(D113), $B118 * E113, "")</f>
        <v>-735.29411764705878</v>
      </c>
      <c r="G113" s="99">
        <v>409</v>
      </c>
      <c r="H113" s="97">
        <f>IF(ISNUMBER(G113), (G113 - $B113) / $B113, "")</f>
        <v>2.4509803921568627E-3</v>
      </c>
      <c r="I113" s="100">
        <f>IF(ISNUMBER(G113), $B118 * H113, "")</f>
        <v>367.64705882352939</v>
      </c>
      <c r="J113" s="96">
        <v>409</v>
      </c>
      <c r="K113" s="97">
        <f>IF(ISNUMBER(J113), (J113 - $B113) / $B113, "")</f>
        <v>2.4509803921568627E-3</v>
      </c>
      <c r="L113" s="98">
        <f>IF(ISNUMBER(J113), $B118 * K113, "")</f>
        <v>367.64705882352939</v>
      </c>
      <c r="M113" s="99">
        <v>408</v>
      </c>
      <c r="N113" s="97">
        <f>IF(ISNUMBER(M113), (M113 - $B113) / $B113, "")</f>
        <v>0</v>
      </c>
      <c r="O113" s="98">
        <f>IF(ISNUMBER(M113), $B118 * N113, "")</f>
        <v>0</v>
      </c>
      <c r="Q113" s="146"/>
      <c r="R113" s="146"/>
      <c r="S113" s="146"/>
    </row>
    <row r="114" spans="1:19" ht="17.25" thickBot="1">
      <c r="A114" s="109" t="s">
        <v>169</v>
      </c>
      <c r="B114" s="110">
        <v>216</v>
      </c>
      <c r="C114" s="70">
        <v>4.6511627999999998E-3</v>
      </c>
      <c r="D114" s="15">
        <v>217</v>
      </c>
      <c r="E114" s="32">
        <f t="shared" ref="E114:E117" si="58">IF(ISNUMBER(D114), (D114 - $B114) / $B114, "")</f>
        <v>4.6296296296296294E-3</v>
      </c>
      <c r="F114" s="18">
        <f>IF(ISNUMBER(D114), $B118 * E114, "")</f>
        <v>694.44444444444446</v>
      </c>
      <c r="G114" s="31">
        <v>216</v>
      </c>
      <c r="H114" s="32">
        <f t="shared" ref="H114:H117" si="59">IF(ISNUMBER(G114), (G114 - $B114) / $B114, "")</f>
        <v>0</v>
      </c>
      <c r="I114" s="91">
        <f>IF(ISNUMBER(G114), $B118 * H114, "")</f>
        <v>0</v>
      </c>
      <c r="J114" s="15">
        <v>216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218</v>
      </c>
      <c r="N114" s="32">
        <f t="shared" ref="N114:N117" si="61">IF(ISNUMBER(M114), (M114 - $B114) / $B114, "")</f>
        <v>9.2592592592592587E-3</v>
      </c>
      <c r="O114" s="18">
        <f>IF(ISNUMBER(M114), $B118 * N114, "")</f>
        <v>1388.8888888888889</v>
      </c>
      <c r="Q114" s="146"/>
      <c r="R114" s="146"/>
      <c r="S114" s="146"/>
    </row>
    <row r="115" spans="1:19" ht="17.25" thickBot="1">
      <c r="A115" s="109" t="s">
        <v>145</v>
      </c>
      <c r="B115" s="110">
        <v>69.8</v>
      </c>
      <c r="C115" s="70">
        <v>4.3165468000000004E-3</v>
      </c>
      <c r="D115" s="15">
        <v>69.7</v>
      </c>
      <c r="E115" s="32">
        <f t="shared" si="58"/>
        <v>-1.43266475644691E-3</v>
      </c>
      <c r="F115" s="18">
        <f>IF(ISNUMBER(D115), $B118 * E115, "")</f>
        <v>-214.89971346703652</v>
      </c>
      <c r="G115" s="31">
        <v>69.599999999999994</v>
      </c>
      <c r="H115" s="32">
        <f t="shared" si="59"/>
        <v>-2.8653295128940235E-3</v>
      </c>
      <c r="I115" s="91">
        <f>IF(ISNUMBER(G115), $B118 * H115, "")</f>
        <v>-429.79942693410351</v>
      </c>
      <c r="J115" s="15">
        <v>69.599999999999994</v>
      </c>
      <c r="K115" s="32">
        <f t="shared" si="60"/>
        <v>-2.8653295128940235E-3</v>
      </c>
      <c r="L115" s="18">
        <f>IF(ISNUMBER(J115), $B118 * K115, "")</f>
        <v>-429.79942693410351</v>
      </c>
      <c r="M115" s="31">
        <v>69.7</v>
      </c>
      <c r="N115" s="32">
        <f t="shared" si="61"/>
        <v>-1.43266475644691E-3</v>
      </c>
      <c r="O115" s="18">
        <f>IF(ISNUMBER(M115), $B118 * N115, "")</f>
        <v>-214.89971346703652</v>
      </c>
      <c r="Q115" s="146"/>
      <c r="R115" s="146"/>
      <c r="S115" s="146"/>
    </row>
    <row r="116" spans="1:19">
      <c r="A116" s="109" t="s">
        <v>155</v>
      </c>
      <c r="B116" s="110">
        <v>23.9</v>
      </c>
      <c r="C116" s="70">
        <v>4.2016807E-3</v>
      </c>
      <c r="D116" s="15">
        <v>23.7</v>
      </c>
      <c r="E116" s="32">
        <f t="shared" si="58"/>
        <v>-8.3682008368200552E-3</v>
      </c>
      <c r="F116" s="18">
        <f>IF(ISNUMBER(D116), $B118 * E116, "")</f>
        <v>-1255.2301255230084</v>
      </c>
      <c r="G116" s="31">
        <v>23.9</v>
      </c>
      <c r="H116" s="32">
        <f t="shared" si="59"/>
        <v>0</v>
      </c>
      <c r="I116" s="91">
        <f>IF(ISNUMBER(G116), $B118 * H116, "")</f>
        <v>0</v>
      </c>
      <c r="J116" s="15">
        <v>23.9</v>
      </c>
      <c r="K116" s="32">
        <f t="shared" si="60"/>
        <v>0</v>
      </c>
      <c r="L116" s="18">
        <f>IF(ISNUMBER(J116), $B118 * K116, "")</f>
        <v>0</v>
      </c>
      <c r="M116" s="31">
        <v>23.9</v>
      </c>
      <c r="N116" s="32">
        <f t="shared" si="61"/>
        <v>0</v>
      </c>
      <c r="O116" s="18">
        <f>IF(ISNUMBER(M116), $B118 * N116, "")</f>
        <v>0</v>
      </c>
      <c r="Q116" s="135"/>
      <c r="R116" s="136"/>
      <c r="S116" s="137"/>
    </row>
    <row r="117" spans="1:19" ht="17.25" thickBot="1">
      <c r="A117" s="114" t="s">
        <v>323</v>
      </c>
      <c r="B117" s="115">
        <v>2.7799999999999998E-2</v>
      </c>
      <c r="C117" s="72">
        <v>3.6101083E-3</v>
      </c>
      <c r="D117" s="24">
        <v>2.8000000000000001E-2</v>
      </c>
      <c r="E117" s="25">
        <f t="shared" si="58"/>
        <v>7.1942446043166287E-3</v>
      </c>
      <c r="F117" s="94">
        <f>IF(ISNUMBER(D117), $B118 * E117, "")</f>
        <v>1079.1366906474943</v>
      </c>
      <c r="G117" s="92">
        <v>2.7799999999999998E-2</v>
      </c>
      <c r="H117" s="25">
        <f t="shared" si="59"/>
        <v>0</v>
      </c>
      <c r="I117" s="93">
        <f>IF(ISNUMBER(G117), $B118 * H117, "")</f>
        <v>0</v>
      </c>
      <c r="J117" s="24">
        <v>2.7799999999999998E-2</v>
      </c>
      <c r="K117" s="25">
        <f t="shared" si="60"/>
        <v>0</v>
      </c>
      <c r="L117" s="94">
        <f>IF(ISNUMBER(J117), $B118 * K117, "")</f>
        <v>0</v>
      </c>
      <c r="M117" s="92">
        <v>2.81E-2</v>
      </c>
      <c r="N117" s="25">
        <f t="shared" si="61"/>
        <v>1.079136690647488E-2</v>
      </c>
      <c r="O117" s="94">
        <f>IF(ISNUMBER(M117), $B118 * N117, "")</f>
        <v>1618.7050359712321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1.1785761219938247E-3</v>
      </c>
      <c r="F118" s="28">
        <f>SUM(F98:F117)</f>
        <v>3535.7283659814739</v>
      </c>
      <c r="G118" s="26" t="s">
        <v>258</v>
      </c>
      <c r="H118" s="27">
        <f>IF(COUNT(H98:H117), SUM(H98:H117) / COUNT(H98:H117), 0)</f>
        <v>1.6953691108233374E-3</v>
      </c>
      <c r="I118" s="28">
        <f>SUM(I98:I117)</f>
        <v>5086.1073324700119</v>
      </c>
      <c r="J118" s="26" t="s">
        <v>258</v>
      </c>
      <c r="K118" s="27">
        <f>IF(COUNT(K98:K117), SUM(K98:K117) / COUNT(K98:K117), 0)</f>
        <v>1.6953691108233374E-3</v>
      </c>
      <c r="L118" s="28">
        <f>SUM(L98:L117)</f>
        <v>5086.1073324700119</v>
      </c>
      <c r="M118" s="26" t="s">
        <v>258</v>
      </c>
      <c r="N118" s="27">
        <f>IF(COUNT(N98:N117), SUM(N98:N117) / COUNT(N98:N117), 0)</f>
        <v>-2.2212320029664553E-3</v>
      </c>
      <c r="O118" s="28">
        <f>SUM(O98:O117)</f>
        <v>-6663.6960088993601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2023-01-01(일) 오전 00:00</v>
      </c>
      <c r="C123" s="198"/>
      <c r="D123" s="170" t="str">
        <f>TEXT($G$1, "[$-ko-KR]yyyy-mm-dd(ddd) ") &amp; "오후 14:00"</f>
        <v>2023-01-01(일) 오후 14:00</v>
      </c>
      <c r="E123" s="171"/>
      <c r="F123" s="172"/>
      <c r="G123" s="170" t="str">
        <f>TEXT($G$1, "[$-ko-KR]yyyy-mm-dd(ddd) ") &amp; "오후 19:00"</f>
        <v>2023-01-01(일) 오후 19:00</v>
      </c>
      <c r="H123" s="171"/>
      <c r="I123" s="172"/>
      <c r="J123" s="170" t="str">
        <f>TEXT($G$1, "[$-ko-KR]yyyy-mm-dd(ddd) ") &amp; "오후 21:00"</f>
        <v>2023-01-01(일) 오후 21:00</v>
      </c>
      <c r="K123" s="171"/>
      <c r="L123" s="172"/>
      <c r="M123" s="170" t="str">
        <f>TEXT($G$1+1, "[$-ko-KR]yyyy-mm-dd(ddd) ") &amp; "오전 00:00"</f>
        <v>2023-01-02(월)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217</v>
      </c>
      <c r="B125" s="108">
        <v>53.1</v>
      </c>
      <c r="C125" s="69">
        <v>-1.8796991999999999E-3</v>
      </c>
      <c r="D125" s="13">
        <v>53</v>
      </c>
      <c r="E125" s="14">
        <f>IF(ISNUMBER(D125), (D125 - $B125) / $B125, "")</f>
        <v>-1.8832391713747914E-3</v>
      </c>
      <c r="F125" s="16">
        <f>IF(ISNUMBER(D125), $B145 * E125, "")</f>
        <v>-282.48587570621874</v>
      </c>
      <c r="G125" s="29">
        <v>53.2</v>
      </c>
      <c r="H125" s="14">
        <f>IF(ISNUMBER(G125), (G125 - $B125) / $B125, "")</f>
        <v>1.8832391713747914E-3</v>
      </c>
      <c r="I125" s="90">
        <f>IF(ISNUMBER(G125), $B145 * H125, "")</f>
        <v>282.48587570621874</v>
      </c>
      <c r="J125" s="13">
        <v>53.2</v>
      </c>
      <c r="K125" s="14">
        <f>IF(ISNUMBER(J125), (J125 - $B125) / $B125, "")</f>
        <v>1.8832391713747914E-3</v>
      </c>
      <c r="L125" s="16">
        <f>IF(ISNUMBER(J125), $B145 * K125, "")</f>
        <v>282.48587570621874</v>
      </c>
      <c r="M125" s="29">
        <v>53.3</v>
      </c>
      <c r="N125" s="14">
        <f>IF(ISNUMBER(M125), (M125 - $B125) / $B125, "")</f>
        <v>3.7664783427494488E-3</v>
      </c>
      <c r="O125" s="16">
        <f>IF(ISNUMBER(M125), $B145 * N125, "")</f>
        <v>564.97175141241735</v>
      </c>
      <c r="Q125" s="156"/>
      <c r="R125" s="156"/>
      <c r="S125" s="156"/>
    </row>
    <row r="126" spans="1:19" ht="17.25" thickBot="1">
      <c r="A126" s="109" t="s">
        <v>51</v>
      </c>
      <c r="B126" s="110">
        <v>90.4</v>
      </c>
      <c r="C126" s="70">
        <v>-2.2075055E-3</v>
      </c>
      <c r="D126" s="15">
        <v>90.6</v>
      </c>
      <c r="E126" s="32">
        <f t="shared" ref="E126:E129" si="62">IF(ISNUMBER(D126), (D126 - $B126) / $B126, "")</f>
        <v>2.2123893805308477E-3</v>
      </c>
      <c r="F126" s="18">
        <f>IF(ISNUMBER(D126), $B145 * E126, "")</f>
        <v>331.85840707962717</v>
      </c>
      <c r="G126" s="31">
        <v>91.3</v>
      </c>
      <c r="H126" s="32">
        <f t="shared" ref="H126:H129" si="63">IF(ISNUMBER(G126), (G126 - $B126) / $B126, "")</f>
        <v>9.955752212389285E-3</v>
      </c>
      <c r="I126" s="91">
        <f>IF(ISNUMBER(G126), $B145 * H126, "")</f>
        <v>1493.3628318583928</v>
      </c>
      <c r="J126" s="15">
        <v>91.3</v>
      </c>
      <c r="K126" s="32">
        <f t="shared" ref="K126:K129" si="64">IF(ISNUMBER(J126), (J126 - $B126) / $B126, "")</f>
        <v>9.955752212389285E-3</v>
      </c>
      <c r="L126" s="18">
        <f>IF(ISNUMBER(J126), $B145 * K126, "")</f>
        <v>1493.3628318583928</v>
      </c>
      <c r="M126" s="31">
        <v>91.4</v>
      </c>
      <c r="N126" s="32">
        <f t="shared" ref="N126:N129" si="65">IF(ISNUMBER(M126), (M126 - $B126) / $B126, "")</f>
        <v>1.1061946902654867E-2</v>
      </c>
      <c r="O126" s="18">
        <f>IF(ISNUMBER(M126), $B145 * N126, "")</f>
        <v>1659.2920353982302</v>
      </c>
      <c r="Q126" s="156"/>
      <c r="R126" s="156"/>
      <c r="S126" s="156"/>
    </row>
    <row r="127" spans="1:19" ht="17.25" thickBot="1">
      <c r="A127" s="109" t="s">
        <v>64</v>
      </c>
      <c r="B127" s="110">
        <v>8.56</v>
      </c>
      <c r="C127" s="70">
        <v>-2.3310023000000001E-3</v>
      </c>
      <c r="D127" s="15">
        <v>8.57</v>
      </c>
      <c r="E127" s="32">
        <f t="shared" si="62"/>
        <v>1.1682242990653955E-3</v>
      </c>
      <c r="F127" s="18">
        <f>IF(ISNUMBER(D127), $B145 * E127, "")</f>
        <v>175.23364485980932</v>
      </c>
      <c r="G127" s="31">
        <v>8.59</v>
      </c>
      <c r="H127" s="32">
        <f t="shared" si="63"/>
        <v>3.5046728971961866E-3</v>
      </c>
      <c r="I127" s="91">
        <f>IF(ISNUMBER(G127), $B145 * H127, "")</f>
        <v>525.70093457942801</v>
      </c>
      <c r="J127" s="15">
        <v>8.59</v>
      </c>
      <c r="K127" s="32">
        <f t="shared" si="64"/>
        <v>3.5046728971961866E-3</v>
      </c>
      <c r="L127" s="18">
        <f>IF(ISNUMBER(J127), $B145 * K127, "")</f>
        <v>525.70093457942801</v>
      </c>
      <c r="M127" s="31">
        <v>8.6300000000000008</v>
      </c>
      <c r="N127" s="32">
        <f t="shared" si="65"/>
        <v>8.1775700934579761E-3</v>
      </c>
      <c r="O127" s="18">
        <f>IF(ISNUMBER(M127), $B145 * N127, "")</f>
        <v>1226.6355140186963</v>
      </c>
      <c r="Q127" s="146"/>
      <c r="R127" s="146"/>
      <c r="S127" s="146"/>
    </row>
    <row r="128" spans="1:19" ht="17.25" thickBot="1">
      <c r="A128" s="109" t="s">
        <v>181</v>
      </c>
      <c r="B128" s="110">
        <v>3.83</v>
      </c>
      <c r="C128" s="70">
        <v>-2.6041667E-3</v>
      </c>
      <c r="D128" s="15">
        <v>3.82</v>
      </c>
      <c r="E128" s="32">
        <f t="shared" si="62"/>
        <v>-2.6109660574413136E-3</v>
      </c>
      <c r="F128" s="18">
        <f>IF(ISNUMBER(D128), $B145 * E128, "")</f>
        <v>-391.64490861619703</v>
      </c>
      <c r="G128" s="31">
        <v>3.84</v>
      </c>
      <c r="H128" s="32">
        <f t="shared" si="63"/>
        <v>2.6109660574411974E-3</v>
      </c>
      <c r="I128" s="91">
        <f>IF(ISNUMBER(G128), $B145 * H128, "")</f>
        <v>391.64490861617958</v>
      </c>
      <c r="J128" s="15">
        <v>3.84</v>
      </c>
      <c r="K128" s="32">
        <f t="shared" si="64"/>
        <v>2.6109660574411974E-3</v>
      </c>
      <c r="L128" s="18">
        <f>IF(ISNUMBER(J128), $B145 * K128, "")</f>
        <v>391.64490861617958</v>
      </c>
      <c r="M128" s="31">
        <v>3.83</v>
      </c>
      <c r="N128" s="32">
        <f t="shared" si="65"/>
        <v>0</v>
      </c>
      <c r="O128" s="18">
        <f>IF(ISNUMBER(M128), $B145 * N128, "")</f>
        <v>0</v>
      </c>
      <c r="Q128" s="146"/>
      <c r="R128" s="146"/>
      <c r="S128" s="146"/>
    </row>
    <row r="129" spans="1:19" ht="17.25" thickBot="1">
      <c r="A129" s="111" t="s">
        <v>124</v>
      </c>
      <c r="B129" s="112">
        <v>26.7</v>
      </c>
      <c r="C129" s="71">
        <v>-3.7313432999999999E-3</v>
      </c>
      <c r="D129" s="20">
        <v>26.9</v>
      </c>
      <c r="E129" s="21">
        <f t="shared" si="62"/>
        <v>7.4906367041198234E-3</v>
      </c>
      <c r="F129" s="22">
        <f>IF(ISNUMBER(D129), $B145 * E129, "")</f>
        <v>1123.5955056179735</v>
      </c>
      <c r="G129" s="30">
        <v>26.9</v>
      </c>
      <c r="H129" s="21">
        <f t="shared" si="63"/>
        <v>7.4906367041198234E-3</v>
      </c>
      <c r="I129" s="95">
        <f>IF(ISNUMBER(G129), $B145 * H129, "")</f>
        <v>1123.5955056179735</v>
      </c>
      <c r="J129" s="20">
        <v>26.9</v>
      </c>
      <c r="K129" s="21">
        <f t="shared" si="64"/>
        <v>7.4906367041198234E-3</v>
      </c>
      <c r="L129" s="22">
        <f>IF(ISNUMBER(J129), $B145 * K129, "")</f>
        <v>1123.5955056179735</v>
      </c>
      <c r="M129" s="30">
        <v>26.8</v>
      </c>
      <c r="N129" s="21">
        <f t="shared" si="65"/>
        <v>3.7453183520599785E-3</v>
      </c>
      <c r="O129" s="22">
        <f>IF(ISNUMBER(M129), $B145 * N129, "")</f>
        <v>561.79775280899673</v>
      </c>
      <c r="Q129" s="146"/>
      <c r="R129" s="146"/>
      <c r="S129" s="146"/>
    </row>
    <row r="130" spans="1:19" ht="17.25" thickBot="1">
      <c r="A130" s="109" t="s">
        <v>237</v>
      </c>
      <c r="B130" s="113">
        <v>25.3</v>
      </c>
      <c r="C130" s="73">
        <v>-3.9370079000000001E-3</v>
      </c>
      <c r="D130" s="96">
        <v>25.1</v>
      </c>
      <c r="E130" s="97">
        <f>IF(ISNUMBER(D130), (D130 - $B130) / $B130, "")</f>
        <v>-7.9051383399209203E-3</v>
      </c>
      <c r="F130" s="98">
        <f>IF(ISNUMBER(D130), $B145 * E130, "")</f>
        <v>-1185.7707509881382</v>
      </c>
      <c r="G130" s="99">
        <v>25.1</v>
      </c>
      <c r="H130" s="97">
        <f>IF(ISNUMBER(G130), (G130 - $B130) / $B130, "")</f>
        <v>-7.9051383399209203E-3</v>
      </c>
      <c r="I130" s="100">
        <f>IF(ISNUMBER(G130), $B145 * H130, "")</f>
        <v>-1185.7707509881382</v>
      </c>
      <c r="J130" s="96">
        <v>25.1</v>
      </c>
      <c r="K130" s="97">
        <f>IF(ISNUMBER(J130), (J130 - $B130) / $B130, "")</f>
        <v>-7.9051383399209203E-3</v>
      </c>
      <c r="L130" s="98">
        <f>IF(ISNUMBER(J130), $B145 * K130, "")</f>
        <v>-1185.7707509881382</v>
      </c>
      <c r="M130" s="99">
        <v>25.2</v>
      </c>
      <c r="N130" s="97">
        <f>IF(ISNUMBER(M130), (M130 - $B130) / $B130, "")</f>
        <v>-3.9525691699605304E-3</v>
      </c>
      <c r="O130" s="98">
        <f>IF(ISNUMBER(M130), $B145 * N130, "")</f>
        <v>-592.88537549407954</v>
      </c>
      <c r="Q130" s="146"/>
      <c r="R130" s="146"/>
      <c r="S130" s="146"/>
    </row>
    <row r="131" spans="1:19" ht="17.25" thickBot="1">
      <c r="A131" s="109" t="s">
        <v>126</v>
      </c>
      <c r="B131" s="110">
        <v>20.100000000000001</v>
      </c>
      <c r="C131" s="70">
        <v>-4.9504950000000001E-3</v>
      </c>
      <c r="D131" s="15">
        <v>20.100000000000001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20.100000000000001</v>
      </c>
      <c r="H131" s="32">
        <f t="shared" ref="H131:H134" si="67">IF(ISNUMBER(G131), (G131 - $B131) / $B131, "")</f>
        <v>0</v>
      </c>
      <c r="I131" s="91">
        <f>IF(ISNUMBER(G131), $B145 * H131, "")</f>
        <v>0</v>
      </c>
      <c r="J131" s="15">
        <v>20.100000000000001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20.2</v>
      </c>
      <c r="N131" s="32">
        <f t="shared" ref="N131:N134" si="69">IF(ISNUMBER(M131), (M131 - $B131) / $B131, "")</f>
        <v>4.975124378109346E-3</v>
      </c>
      <c r="O131" s="18">
        <f>IF(ISNUMBER(M131), $B145 * N131, "")</f>
        <v>746.26865671640189</v>
      </c>
      <c r="Q131" s="146"/>
      <c r="R131" s="146"/>
      <c r="S131" s="146"/>
    </row>
    <row r="132" spans="1:19" ht="17.25" thickBot="1">
      <c r="A132" s="109" t="s">
        <v>197</v>
      </c>
      <c r="B132" s="110">
        <v>5.43</v>
      </c>
      <c r="C132" s="70">
        <v>-5.4945055E-3</v>
      </c>
      <c r="D132" s="15">
        <v>5.45</v>
      </c>
      <c r="E132" s="32">
        <f t="shared" si="66"/>
        <v>3.6832412523021109E-3</v>
      </c>
      <c r="F132" s="18">
        <f>IF(ISNUMBER(D132), $B145 * E132, "")</f>
        <v>552.48618784531664</v>
      </c>
      <c r="G132" s="31">
        <v>5.44</v>
      </c>
      <c r="H132" s="32">
        <f t="shared" si="67"/>
        <v>1.8416206261511372E-3</v>
      </c>
      <c r="I132" s="91">
        <f>IF(ISNUMBER(G132), $B145 * H132, "")</f>
        <v>276.2430939226706</v>
      </c>
      <c r="J132" s="15">
        <v>5.44</v>
      </c>
      <c r="K132" s="32">
        <f t="shared" si="68"/>
        <v>1.8416206261511372E-3</v>
      </c>
      <c r="L132" s="18">
        <f>IF(ISNUMBER(J132), $B145 * K132, "")</f>
        <v>276.2430939226706</v>
      </c>
      <c r="M132" s="31">
        <v>5.43</v>
      </c>
      <c r="N132" s="32">
        <f t="shared" si="69"/>
        <v>0</v>
      </c>
      <c r="O132" s="18">
        <f>IF(ISNUMBER(M132), $B145 * N132, "")</f>
        <v>0</v>
      </c>
      <c r="Q132" s="146"/>
      <c r="R132" s="146"/>
      <c r="S132" s="146"/>
    </row>
    <row r="133" spans="1:19" ht="17.25" thickBot="1">
      <c r="A133" s="109" t="s">
        <v>143</v>
      </c>
      <c r="B133" s="110">
        <v>3.27</v>
      </c>
      <c r="C133" s="70">
        <v>-6.0790274E-3</v>
      </c>
      <c r="D133" s="15">
        <v>3.28</v>
      </c>
      <c r="E133" s="32">
        <f t="shared" si="66"/>
        <v>3.0581039755351032E-3</v>
      </c>
      <c r="F133" s="18">
        <f>IF(ISNUMBER(D133), $B145 * E133, "")</f>
        <v>458.7155963302655</v>
      </c>
      <c r="G133" s="31">
        <v>3.26</v>
      </c>
      <c r="H133" s="32">
        <f t="shared" si="67"/>
        <v>-3.0581039755352389E-3</v>
      </c>
      <c r="I133" s="91">
        <f>IF(ISNUMBER(G133), $B145 * H133, "")</f>
        <v>-458.71559633028585</v>
      </c>
      <c r="J133" s="15">
        <v>3.26</v>
      </c>
      <c r="K133" s="32">
        <f t="shared" si="68"/>
        <v>-3.0581039755352389E-3</v>
      </c>
      <c r="L133" s="18">
        <f>IF(ISNUMBER(J133), $B145 * K133, "")</f>
        <v>-458.71559633028585</v>
      </c>
      <c r="M133" s="31">
        <v>3.27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14" t="s">
        <v>193</v>
      </c>
      <c r="B134" s="115">
        <v>14.7</v>
      </c>
      <c r="C134" s="72">
        <v>-6.7567568000000003E-3</v>
      </c>
      <c r="D134" s="24">
        <v>14.8</v>
      </c>
      <c r="E134" s="25">
        <f t="shared" si="66"/>
        <v>6.802721088435471E-3</v>
      </c>
      <c r="F134" s="94">
        <f>IF(ISNUMBER(D134), $B145 * E134, "")</f>
        <v>1020.4081632653207</v>
      </c>
      <c r="G134" s="92">
        <v>14.8</v>
      </c>
      <c r="H134" s="25">
        <f t="shared" si="67"/>
        <v>6.802721088435471E-3</v>
      </c>
      <c r="I134" s="93">
        <f>IF(ISNUMBER(G134), $B145 * H134, "")</f>
        <v>1020.4081632653207</v>
      </c>
      <c r="J134" s="24">
        <v>14.8</v>
      </c>
      <c r="K134" s="25">
        <f t="shared" si="68"/>
        <v>6.802721088435471E-3</v>
      </c>
      <c r="L134" s="94">
        <f>IF(ISNUMBER(J134), $B145 * K134, "")</f>
        <v>1020.4081632653207</v>
      </c>
      <c r="M134" s="92">
        <v>14.8</v>
      </c>
      <c r="N134" s="25">
        <f t="shared" si="69"/>
        <v>6.802721088435471E-3</v>
      </c>
      <c r="O134" s="94">
        <f>IF(ISNUMBER(M134), $B145 * N134, "")</f>
        <v>1020.4081632653207</v>
      </c>
      <c r="Q134" s="147"/>
      <c r="R134" s="148"/>
      <c r="S134" s="149"/>
    </row>
    <row r="135" spans="1:19">
      <c r="A135" s="107" t="s">
        <v>203</v>
      </c>
      <c r="B135" s="108">
        <v>2.89</v>
      </c>
      <c r="C135" s="69">
        <v>-6.8728521999999997E-3</v>
      </c>
      <c r="D135" s="13">
        <v>2.9</v>
      </c>
      <c r="E135" s="14">
        <f>IF(ISNUMBER(D135), (D135 - $B135) / $B135, "")</f>
        <v>3.4602076124566734E-3</v>
      </c>
      <c r="F135" s="16">
        <f>IF(ISNUMBER(D135), $B145 * E135, "")</f>
        <v>519.03114186850098</v>
      </c>
      <c r="G135" s="29">
        <v>2.91</v>
      </c>
      <c r="H135" s="14">
        <f>IF(ISNUMBER(G135), (G135 - $B135) / $B135, "")</f>
        <v>6.9204152249135011E-3</v>
      </c>
      <c r="I135" s="90">
        <f>IF(ISNUMBER(G135), $B145 * H135, "")</f>
        <v>1038.0622837370252</v>
      </c>
      <c r="J135" s="13">
        <v>2.91</v>
      </c>
      <c r="K135" s="14">
        <f>IF(ISNUMBER(J135), (J135 - $B135) / $B135, "")</f>
        <v>6.9204152249135011E-3</v>
      </c>
      <c r="L135" s="16">
        <f>IF(ISNUMBER(J135), $B145 * K135, "")</f>
        <v>1038.0622837370252</v>
      </c>
      <c r="M135" s="29">
        <v>2.91</v>
      </c>
      <c r="N135" s="14">
        <f>IF(ISNUMBER(M135), (M135 - $B135) / $B135, "")</f>
        <v>6.9204152249135011E-3</v>
      </c>
      <c r="O135" s="16">
        <f>IF(ISNUMBER(M135), $B145 * N135, "")</f>
        <v>1038.0622837370252</v>
      </c>
      <c r="Q135" s="150"/>
      <c r="R135" s="151"/>
      <c r="S135" s="152"/>
    </row>
    <row r="136" spans="1:19" ht="17.25" thickBot="1">
      <c r="A136" s="109" t="s">
        <v>333</v>
      </c>
      <c r="B136" s="110">
        <v>3.92</v>
      </c>
      <c r="C136" s="70">
        <v>-7.5949366999999999E-3</v>
      </c>
      <c r="D136" s="15">
        <v>3.95</v>
      </c>
      <c r="E136" s="32">
        <f t="shared" ref="E136:E139" si="70">IF(ISNUMBER(D136), (D136 - $B136) / $B136, "")</f>
        <v>7.6530612244898599E-3</v>
      </c>
      <c r="F136" s="18">
        <f>IF(ISNUMBER(D136), $B145 * E136, "")</f>
        <v>1147.9591836734789</v>
      </c>
      <c r="G136" s="31">
        <v>3.93</v>
      </c>
      <c r="H136" s="32">
        <f t="shared" ref="H136:H139" si="71">IF(ISNUMBER(G136), (G136 - $B136) / $B136, "")</f>
        <v>2.5510204081633241E-3</v>
      </c>
      <c r="I136" s="91">
        <f>IF(ISNUMBER(G136), $B145 * H136, "")</f>
        <v>382.65306122449863</v>
      </c>
      <c r="J136" s="15">
        <v>3.93</v>
      </c>
      <c r="K136" s="32">
        <f t="shared" ref="K136:K139" si="72">IF(ISNUMBER(J136), (J136 - $B136) / $B136, "")</f>
        <v>2.5510204081633241E-3</v>
      </c>
      <c r="L136" s="18">
        <f>IF(ISNUMBER(J136), $B145 * K136, "")</f>
        <v>382.65306122449863</v>
      </c>
      <c r="M136" s="31">
        <v>3.97</v>
      </c>
      <c r="N136" s="32">
        <f t="shared" ref="N136:N139" si="73">IF(ISNUMBER(M136), (M136 - $B136) / $B136, "")</f>
        <v>1.2755102040816394E-2</v>
      </c>
      <c r="O136" s="18">
        <f>IF(ISNUMBER(M136), $B145 * N136, "")</f>
        <v>1913.2653061224592</v>
      </c>
      <c r="Q136" s="153"/>
      <c r="R136" s="154"/>
      <c r="S136" s="155"/>
    </row>
    <row r="137" spans="1:19" ht="17.25" thickBot="1">
      <c r="A137" s="109" t="s">
        <v>122</v>
      </c>
      <c r="B137" s="110">
        <v>20</v>
      </c>
      <c r="C137" s="70">
        <v>-9.9009900999999997E-3</v>
      </c>
      <c r="D137" s="15">
        <v>20</v>
      </c>
      <c r="E137" s="32">
        <f t="shared" si="70"/>
        <v>0</v>
      </c>
      <c r="F137" s="18">
        <f>IF(ISNUMBER(D137), $B145 * E137, "")</f>
        <v>0</v>
      </c>
      <c r="G137" s="31">
        <v>20.100000000000001</v>
      </c>
      <c r="H137" s="32">
        <f t="shared" si="71"/>
        <v>5.0000000000000712E-3</v>
      </c>
      <c r="I137" s="91">
        <f>IF(ISNUMBER(G137), $B145 * H137, "")</f>
        <v>750.00000000001069</v>
      </c>
      <c r="J137" s="15">
        <v>20.100000000000001</v>
      </c>
      <c r="K137" s="32">
        <f t="shared" si="72"/>
        <v>5.0000000000000712E-3</v>
      </c>
      <c r="L137" s="18">
        <f>IF(ISNUMBER(J137), $B145 * K137, "")</f>
        <v>750.00000000001069</v>
      </c>
      <c r="M137" s="31">
        <v>20.399999999999999</v>
      </c>
      <c r="N137" s="32">
        <f t="shared" si="73"/>
        <v>1.9999999999999928E-2</v>
      </c>
      <c r="O137" s="18">
        <f>IF(ISNUMBER(M137), $B145 * N137, "")</f>
        <v>2999.9999999999891</v>
      </c>
      <c r="Q137" s="146"/>
      <c r="R137" s="146"/>
      <c r="S137" s="146"/>
    </row>
    <row r="138" spans="1:19" ht="17.25" thickBot="1">
      <c r="A138" s="109" t="s">
        <v>56</v>
      </c>
      <c r="B138" s="110">
        <v>36.1</v>
      </c>
      <c r="C138" s="70">
        <v>-1.09589041E-2</v>
      </c>
      <c r="D138" s="15">
        <v>36.200000000000003</v>
      </c>
      <c r="E138" s="32">
        <f t="shared" si="70"/>
        <v>2.7700831024931143E-3</v>
      </c>
      <c r="F138" s="18">
        <f>IF(ISNUMBER(D138), $B145 * E138, "")</f>
        <v>415.51246537396713</v>
      </c>
      <c r="G138" s="31">
        <v>36.299999999999997</v>
      </c>
      <c r="H138" s="32">
        <f t="shared" si="71"/>
        <v>5.5401662049860316E-3</v>
      </c>
      <c r="I138" s="91">
        <f>IF(ISNUMBER(G138), $B145 * H138, "")</f>
        <v>831.0249307479047</v>
      </c>
      <c r="J138" s="15">
        <v>36.299999999999997</v>
      </c>
      <c r="K138" s="32">
        <f t="shared" si="72"/>
        <v>5.5401662049860316E-3</v>
      </c>
      <c r="L138" s="18">
        <f>IF(ISNUMBER(J138), $B145 * K138, "")</f>
        <v>831.0249307479047</v>
      </c>
      <c r="M138" s="31">
        <v>36.700000000000003</v>
      </c>
      <c r="N138" s="32">
        <f t="shared" si="73"/>
        <v>1.6620498614958488E-2</v>
      </c>
      <c r="O138" s="18">
        <f>IF(ISNUMBER(M138), $B145 * N138, "")</f>
        <v>2493.0747922437731</v>
      </c>
      <c r="Q138" s="156"/>
      <c r="R138" s="156"/>
      <c r="S138" s="156"/>
    </row>
    <row r="139" spans="1:19" ht="17.25" thickBot="1">
      <c r="A139" s="111" t="s">
        <v>253</v>
      </c>
      <c r="B139" s="112">
        <v>88.3</v>
      </c>
      <c r="C139" s="71">
        <v>-1.23042506E-2</v>
      </c>
      <c r="D139" s="20">
        <v>88.7</v>
      </c>
      <c r="E139" s="21">
        <f t="shared" si="70"/>
        <v>4.5300113250283771E-3</v>
      </c>
      <c r="F139" s="22">
        <f>IF(ISNUMBER(D139), $B145 * E139, "")</f>
        <v>679.50169875425661</v>
      </c>
      <c r="G139" s="30">
        <v>88.7</v>
      </c>
      <c r="H139" s="21">
        <f t="shared" si="71"/>
        <v>4.5300113250283771E-3</v>
      </c>
      <c r="I139" s="95">
        <f>IF(ISNUMBER(G139), $B145 * H139, "")</f>
        <v>679.50169875425661</v>
      </c>
      <c r="J139" s="20">
        <v>88.7</v>
      </c>
      <c r="K139" s="21">
        <f t="shared" si="72"/>
        <v>4.5300113250283771E-3</v>
      </c>
      <c r="L139" s="22">
        <f>IF(ISNUMBER(J139), $B145 * K139, "")</f>
        <v>679.50169875425661</v>
      </c>
      <c r="M139" s="30">
        <v>88.7</v>
      </c>
      <c r="N139" s="21">
        <f t="shared" si="73"/>
        <v>4.5300113250283771E-3</v>
      </c>
      <c r="O139" s="22">
        <f>IF(ISNUMBER(M139), $B145 * N139, "")</f>
        <v>679.50169875425661</v>
      </c>
      <c r="Q139" s="156"/>
      <c r="R139" s="156"/>
      <c r="S139" s="156"/>
    </row>
    <row r="140" spans="1:19" ht="17.25" thickBot="1">
      <c r="A140" s="109" t="s">
        <v>107</v>
      </c>
      <c r="B140" s="113">
        <v>32.700000000000003</v>
      </c>
      <c r="C140" s="73">
        <v>-1.5060241E-2</v>
      </c>
      <c r="D140" s="96">
        <v>32.799999999999997</v>
      </c>
      <c r="E140" s="97">
        <f>IF(ISNUMBER(D140), (D140 - $B140) / $B140, "")</f>
        <v>3.0581039755349939E-3</v>
      </c>
      <c r="F140" s="98">
        <f>IF(ISNUMBER(D140), $B145 * E140, "")</f>
        <v>458.71559633024907</v>
      </c>
      <c r="G140" s="99">
        <v>33</v>
      </c>
      <c r="H140" s="97">
        <f>IF(ISNUMBER(G140), (G140 - $B140) / $B140, "")</f>
        <v>9.1743119266054166E-3</v>
      </c>
      <c r="I140" s="100">
        <f>IF(ISNUMBER(G140), $B145 * H140, "")</f>
        <v>1376.1467889908124</v>
      </c>
      <c r="J140" s="96">
        <v>33</v>
      </c>
      <c r="K140" s="97">
        <f>IF(ISNUMBER(J140), (J140 - $B140) / $B140, "")</f>
        <v>9.1743119266054166E-3</v>
      </c>
      <c r="L140" s="98">
        <f>IF(ISNUMBER(J140), $B145 * K140, "")</f>
        <v>1376.1467889908124</v>
      </c>
      <c r="M140" s="99">
        <v>32.9</v>
      </c>
      <c r="N140" s="97">
        <f>IF(ISNUMBER(M140), (M140 - $B140) / $B140, "")</f>
        <v>6.1162079510702055E-3</v>
      </c>
      <c r="O140" s="98">
        <f>IF(ISNUMBER(M140), $B145 * N140, "")</f>
        <v>917.43119266053077</v>
      </c>
      <c r="Q140" s="146"/>
      <c r="R140" s="146"/>
      <c r="S140" s="146"/>
    </row>
    <row r="141" spans="1:19" ht="17.25" thickBot="1">
      <c r="A141" s="109" t="s">
        <v>227</v>
      </c>
      <c r="B141" s="110">
        <v>32.5</v>
      </c>
      <c r="C141" s="70">
        <v>-1.51515152E-2</v>
      </c>
      <c r="D141" s="15">
        <v>32.9</v>
      </c>
      <c r="E141" s="32">
        <f t="shared" ref="E141:E144" si="74">IF(ISNUMBER(D141), (D141 - $B141) / $B141, "")</f>
        <v>1.2307692307692264E-2</v>
      </c>
      <c r="F141" s="18">
        <f>IF(ISNUMBER(D141), $B145 * E141, "")</f>
        <v>1846.1538461538396</v>
      </c>
      <c r="G141" s="31">
        <v>32.9</v>
      </c>
      <c r="H141" s="32">
        <f t="shared" ref="H141:H144" si="75">IF(ISNUMBER(G141), (G141 - $B141) / $B141, "")</f>
        <v>1.2307692307692264E-2</v>
      </c>
      <c r="I141" s="91">
        <f>IF(ISNUMBER(G141), $B145 * H141, "")</f>
        <v>1846.1538461538396</v>
      </c>
      <c r="J141" s="15">
        <v>32.9</v>
      </c>
      <c r="K141" s="32">
        <f t="shared" ref="K141:K144" si="76">IF(ISNUMBER(J141), (J141 - $B141) / $B141, "")</f>
        <v>1.2307692307692264E-2</v>
      </c>
      <c r="L141" s="18">
        <f>IF(ISNUMBER(J141), $B145 * K141, "")</f>
        <v>1846.1538461538396</v>
      </c>
      <c r="M141" s="31">
        <v>32.700000000000003</v>
      </c>
      <c r="N141" s="32">
        <f t="shared" ref="N141:N144" si="77">IF(ISNUMBER(M141), (M141 - $B141) / $B141, "")</f>
        <v>6.1538461538462414E-3</v>
      </c>
      <c r="O141" s="18">
        <f>IF(ISNUMBER(M141), $B145 * N141, "")</f>
        <v>923.07692307693617</v>
      </c>
      <c r="Q141" s="146"/>
      <c r="R141" s="146"/>
      <c r="S141" s="146"/>
    </row>
    <row r="142" spans="1:19" ht="17.25" thickBot="1">
      <c r="A142" s="109" t="s">
        <v>221</v>
      </c>
      <c r="B142" s="110">
        <v>17.100000000000001</v>
      </c>
      <c r="C142" s="70">
        <v>-1.7241379300000002E-2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>
        <v>17.3</v>
      </c>
      <c r="H142" s="32">
        <f t="shared" si="75"/>
        <v>1.1695906432748496E-2</v>
      </c>
      <c r="I142" s="91">
        <f>IF(ISNUMBER(G142), $B145 * H142, "")</f>
        <v>1754.3859649122744</v>
      </c>
      <c r="J142" s="15">
        <v>17.3</v>
      </c>
      <c r="K142" s="32">
        <f t="shared" si="76"/>
        <v>1.1695906432748496E-2</v>
      </c>
      <c r="L142" s="18">
        <f>IF(ISNUMBER(J142), $B145 * K142, "")</f>
        <v>1754.3859649122744</v>
      </c>
      <c r="M142" s="31">
        <v>17.2</v>
      </c>
      <c r="N142" s="32">
        <f t="shared" si="77"/>
        <v>5.8479532163741438E-3</v>
      </c>
      <c r="O142" s="18">
        <f>IF(ISNUMBER(M142), $B145 * N142, "")</f>
        <v>877.19298245612151</v>
      </c>
      <c r="Q142" s="146"/>
      <c r="R142" s="146"/>
      <c r="S142" s="146"/>
    </row>
    <row r="143" spans="1:19">
      <c r="A143" s="109" t="s">
        <v>349</v>
      </c>
      <c r="B143" s="110">
        <v>20.100000000000001</v>
      </c>
      <c r="C143" s="70">
        <v>-2.42718447E-2</v>
      </c>
      <c r="D143" s="15">
        <v>20.100000000000001</v>
      </c>
      <c r="E143" s="32">
        <f t="shared" si="74"/>
        <v>0</v>
      </c>
      <c r="F143" s="18">
        <f>IF(ISNUMBER(D143), $B145 * E143, "")</f>
        <v>0</v>
      </c>
      <c r="G143" s="31">
        <v>20.2</v>
      </c>
      <c r="H143" s="32">
        <f t="shared" si="75"/>
        <v>4.975124378109346E-3</v>
      </c>
      <c r="I143" s="91">
        <f>IF(ISNUMBER(G143), $B145 * H143, "")</f>
        <v>746.26865671640189</v>
      </c>
      <c r="J143" s="15">
        <v>20.2</v>
      </c>
      <c r="K143" s="32">
        <f t="shared" si="76"/>
        <v>4.975124378109346E-3</v>
      </c>
      <c r="L143" s="18">
        <f>IF(ISNUMBER(J143), $B145 * K143, "")</f>
        <v>746.26865671640189</v>
      </c>
      <c r="M143" s="31">
        <v>20.100000000000001</v>
      </c>
      <c r="N143" s="32">
        <f t="shared" si="77"/>
        <v>0</v>
      </c>
      <c r="O143" s="18">
        <f>IF(ISNUMBER(M143), $B145 * N143, "")</f>
        <v>0</v>
      </c>
      <c r="Q143" s="135"/>
      <c r="R143" s="136"/>
      <c r="S143" s="137"/>
    </row>
    <row r="144" spans="1:19" ht="17.25" thickBot="1">
      <c r="A144" s="114" t="s">
        <v>350</v>
      </c>
      <c r="B144" s="115">
        <v>5.47</v>
      </c>
      <c r="C144" s="72">
        <v>-3.0141844000000001E-2</v>
      </c>
      <c r="D144" s="24">
        <v>5.51</v>
      </c>
      <c r="E144" s="25">
        <f t="shared" si="74"/>
        <v>7.3126142595978131E-3</v>
      </c>
      <c r="F144" s="94">
        <f>IF(ISNUMBER(D144), $B145 * E144, "")</f>
        <v>1096.8921389396719</v>
      </c>
      <c r="G144" s="92">
        <v>5.6</v>
      </c>
      <c r="H144" s="25">
        <f t="shared" si="75"/>
        <v>2.3765996343692853E-2</v>
      </c>
      <c r="I144" s="93">
        <f>IF(ISNUMBER(G144), $B145 * H144, "")</f>
        <v>3564.899451553928</v>
      </c>
      <c r="J144" s="24">
        <v>5.6</v>
      </c>
      <c r="K144" s="25">
        <f t="shared" si="76"/>
        <v>2.3765996343692853E-2</v>
      </c>
      <c r="L144" s="94">
        <f>IF(ISNUMBER(J144), $B145 * K144, "")</f>
        <v>3564.899451553928</v>
      </c>
      <c r="M144" s="92">
        <v>5.54</v>
      </c>
      <c r="N144" s="25">
        <f t="shared" si="77"/>
        <v>1.2797074954296214E-2</v>
      </c>
      <c r="O144" s="94">
        <f>IF(ISNUMBER(M144), $B145 * N144, "")</f>
        <v>1919.561243144432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2.9477850077459481E-3</v>
      </c>
      <c r="F145" s="28">
        <f>SUM(F125:F144)</f>
        <v>8843.3550232378439</v>
      </c>
      <c r="G145" s="26" t="s">
        <v>258</v>
      </c>
      <c r="H145" s="27">
        <f>IF(COUNT(H125:H144), SUM(H125:H144) / COUNT(H125:H144), 0)</f>
        <v>5.479350549679571E-3</v>
      </c>
      <c r="I145" s="28">
        <f>SUM(I125:I144)</f>
        <v>16438.051649038713</v>
      </c>
      <c r="J145" s="26" t="s">
        <v>258</v>
      </c>
      <c r="K145" s="27">
        <f>IF(COUNT(K125:K144), SUM(K125:K144) / COUNT(K125:K144), 0)</f>
        <v>5.479350549679571E-3</v>
      </c>
      <c r="L145" s="28">
        <f>SUM(L125:L144)</f>
        <v>16438.051649038713</v>
      </c>
      <c r="M145" s="26" t="s">
        <v>258</v>
      </c>
      <c r="N145" s="27">
        <f>IF(COUNT(N125:N144), SUM(N125:N144) / COUNT(N125:N144), 0)</f>
        <v>6.3158849734405026E-3</v>
      </c>
      <c r="O145" s="28">
        <f>SUM(O125:O144)</f>
        <v>18947.654920321507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2023-01-01(일) 오전 00:00</v>
      </c>
      <c r="C150" s="198"/>
      <c r="D150" s="170" t="str">
        <f>TEXT($G$1, "[$-ko-KR]yyyy-mm-dd(ddd) ") &amp; "오후 14:00"</f>
        <v>2023-01-01(일) 오후 14:00</v>
      </c>
      <c r="E150" s="171"/>
      <c r="F150" s="172"/>
      <c r="G150" s="170" t="str">
        <f>TEXT($G$1, "[$-ko-KR]yyyy-mm-dd(ddd) ") &amp; "오후 19:00"</f>
        <v>2023-01-01(일) 오후 19:00</v>
      </c>
      <c r="H150" s="171"/>
      <c r="I150" s="172"/>
      <c r="J150" s="170" t="str">
        <f>TEXT($G$1, "[$-ko-KR]yyyy-mm-dd(ddd) ") &amp; "오후 21:00"</f>
        <v>2023-01-01(일) 오후 21:00</v>
      </c>
      <c r="K150" s="171"/>
      <c r="L150" s="172"/>
      <c r="M150" s="170" t="str">
        <f>TEXT($G$1+1, "[$-ko-KR]yyyy-mm-dd(ddd) ") &amp; "오전 00:00"</f>
        <v>2023-01-02(월)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199</v>
      </c>
      <c r="B152" s="108">
        <v>260</v>
      </c>
      <c r="C152" s="69">
        <v>-7.6335878000000001E-3</v>
      </c>
      <c r="D152" s="13">
        <v>260</v>
      </c>
      <c r="E152" s="14">
        <f>IF(ISNUMBER(D152), (D152 - $B152) / $B152, "")</f>
        <v>0</v>
      </c>
      <c r="F152" s="16">
        <f>IF(ISNUMBER(D152), $B172 * E152, "")</f>
        <v>0</v>
      </c>
      <c r="G152" s="29">
        <v>261</v>
      </c>
      <c r="H152" s="14">
        <f>IF(ISNUMBER(G152), (G152 - $B152) / $B152, "")</f>
        <v>3.8461538461538464E-3</v>
      </c>
      <c r="I152" s="90">
        <f>IF(ISNUMBER(G152), $B172 * H152, "")</f>
        <v>576.92307692307691</v>
      </c>
      <c r="J152" s="13">
        <v>261</v>
      </c>
      <c r="K152" s="14">
        <f>IF(ISNUMBER(J152), (J152 - $B152) / $B152, "")</f>
        <v>3.8461538461538464E-3</v>
      </c>
      <c r="L152" s="16">
        <f>IF(ISNUMBER(J152), $B172 * K152, "")</f>
        <v>576.92307692307691</v>
      </c>
      <c r="M152" s="29">
        <v>263</v>
      </c>
      <c r="N152" s="14">
        <f>IF(ISNUMBER(M152), (M152 - $B152) / $B152, "")</f>
        <v>1.1538461538461539E-2</v>
      </c>
      <c r="O152" s="16">
        <f>IF(ISNUMBER(M152), $B172 * N152, "")</f>
        <v>1730.7692307692309</v>
      </c>
      <c r="Q152" s="156"/>
      <c r="R152" s="156"/>
      <c r="S152" s="156"/>
    </row>
    <row r="153" spans="1:19" ht="17.25" thickBot="1">
      <c r="A153" s="109" t="s">
        <v>229</v>
      </c>
      <c r="B153" s="110">
        <v>227</v>
      </c>
      <c r="C153" s="70">
        <v>-8.7336245000000003E-3</v>
      </c>
      <c r="D153" s="15">
        <v>226</v>
      </c>
      <c r="E153" s="32">
        <f t="shared" ref="E153:E156" si="78">IF(ISNUMBER(D153), (D153 - $B153) / $B153, "")</f>
        <v>-4.4052863436123352E-3</v>
      </c>
      <c r="F153" s="18">
        <f>IF(ISNUMBER(D153), $B172 * E153, "")</f>
        <v>-660.79295154185024</v>
      </c>
      <c r="G153" s="31">
        <v>227</v>
      </c>
      <c r="H153" s="32">
        <f t="shared" ref="H153:H156" si="79">IF(ISNUMBER(G153), (G153 - $B153) / $B153, "")</f>
        <v>0</v>
      </c>
      <c r="I153" s="91">
        <f>IF(ISNUMBER(G153), $B172 * H153, "")</f>
        <v>0</v>
      </c>
      <c r="J153" s="15">
        <v>227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226</v>
      </c>
      <c r="N153" s="32">
        <f t="shared" ref="N153:N156" si="81">IF(ISNUMBER(M153), (M153 - $B153) / $B153, "")</f>
        <v>-4.4052863436123352E-3</v>
      </c>
      <c r="O153" s="18">
        <f>IF(ISNUMBER(M153), $B172 * N153, "")</f>
        <v>-660.79295154185024</v>
      </c>
      <c r="Q153" s="156"/>
      <c r="R153" s="156"/>
      <c r="S153" s="156"/>
    </row>
    <row r="154" spans="1:19" ht="17.25" thickBot="1">
      <c r="A154" s="109" t="s">
        <v>189</v>
      </c>
      <c r="B154" s="110">
        <v>826</v>
      </c>
      <c r="C154" s="70">
        <v>-9.5923260999999996E-3</v>
      </c>
      <c r="D154" s="15">
        <v>826</v>
      </c>
      <c r="E154" s="32">
        <f t="shared" si="78"/>
        <v>0</v>
      </c>
      <c r="F154" s="18">
        <f>IF(ISNUMBER(D154), $B172 * E154, "")</f>
        <v>0</v>
      </c>
      <c r="G154" s="31">
        <v>829</v>
      </c>
      <c r="H154" s="32">
        <f t="shared" si="79"/>
        <v>3.6319612590799033E-3</v>
      </c>
      <c r="I154" s="91">
        <f>IF(ISNUMBER(G154), $B172 * H154, "")</f>
        <v>544.7941888619855</v>
      </c>
      <c r="J154" s="15">
        <v>829</v>
      </c>
      <c r="K154" s="32">
        <f t="shared" si="80"/>
        <v>3.6319612590799033E-3</v>
      </c>
      <c r="L154" s="18">
        <f>IF(ISNUMBER(J154), $B172 * K154, "")</f>
        <v>544.7941888619855</v>
      </c>
      <c r="M154" s="31">
        <v>828</v>
      </c>
      <c r="N154" s="32">
        <f t="shared" si="81"/>
        <v>2.4213075060532689E-3</v>
      </c>
      <c r="O154" s="18">
        <f>IF(ISNUMBER(M154), $B172 * N154, "")</f>
        <v>363.19612590799034</v>
      </c>
      <c r="Q154" s="146"/>
      <c r="R154" s="146"/>
      <c r="S154" s="146"/>
    </row>
    <row r="155" spans="1:19" ht="17.25" thickBot="1">
      <c r="A155" s="109" t="s">
        <v>157</v>
      </c>
      <c r="B155" s="110">
        <v>197</v>
      </c>
      <c r="C155" s="70">
        <v>-1.00502513E-2</v>
      </c>
      <c r="D155" s="15">
        <v>198</v>
      </c>
      <c r="E155" s="32">
        <f t="shared" si="78"/>
        <v>5.076142131979695E-3</v>
      </c>
      <c r="F155" s="18">
        <f>IF(ISNUMBER(D155), $B172 * E155, "")</f>
        <v>761.42131979695421</v>
      </c>
      <c r="G155" s="31">
        <v>200</v>
      </c>
      <c r="H155" s="32">
        <f t="shared" si="79"/>
        <v>1.5228426395939087E-2</v>
      </c>
      <c r="I155" s="91">
        <f>IF(ISNUMBER(G155), $B172 * H155, "")</f>
        <v>2284.263959390863</v>
      </c>
      <c r="J155" s="15">
        <v>200</v>
      </c>
      <c r="K155" s="32">
        <f t="shared" si="80"/>
        <v>1.5228426395939087E-2</v>
      </c>
      <c r="L155" s="18">
        <f>IF(ISNUMBER(J155), $B172 * K155, "")</f>
        <v>2284.263959390863</v>
      </c>
      <c r="M155" s="31">
        <v>200</v>
      </c>
      <c r="N155" s="32">
        <f t="shared" si="81"/>
        <v>1.5228426395939087E-2</v>
      </c>
      <c r="O155" s="18">
        <f>IF(ISNUMBER(M155), $B172 * N155, "")</f>
        <v>2284.263959390863</v>
      </c>
      <c r="Q155" s="146"/>
      <c r="R155" s="146"/>
      <c r="S155" s="146"/>
    </row>
    <row r="156" spans="1:19" ht="17.25" thickBot="1">
      <c r="A156" s="111" t="s">
        <v>215</v>
      </c>
      <c r="B156" s="112">
        <v>277</v>
      </c>
      <c r="C156" s="71">
        <v>-1.0714285699999999E-2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95">
        <f>IF(ISNUMBER(G156), $B172 * H156, "")</f>
        <v>541.51624548736459</v>
      </c>
      <c r="J156" s="20">
        <v>278</v>
      </c>
      <c r="K156" s="21">
        <f t="shared" si="80"/>
        <v>3.6101083032490976E-3</v>
      </c>
      <c r="L156" s="22">
        <f>IF(ISNUMBER(J156), $B172 * K156, "")</f>
        <v>541.51624548736459</v>
      </c>
      <c r="M156" s="30">
        <v>280</v>
      </c>
      <c r="N156" s="21">
        <f t="shared" si="81"/>
        <v>1.0830324909747292E-2</v>
      </c>
      <c r="O156" s="22">
        <f>IF(ISNUMBER(M156), $B172 * N156, "")</f>
        <v>1624.5487364620938</v>
      </c>
      <c r="Q156" s="146"/>
      <c r="R156" s="146"/>
      <c r="S156" s="146"/>
    </row>
    <row r="157" spans="1:19" ht="17.25" thickBot="1">
      <c r="A157" s="109" t="s">
        <v>223</v>
      </c>
      <c r="B157" s="113">
        <v>184</v>
      </c>
      <c r="C157" s="73">
        <v>-1.0752688200000001E-2</v>
      </c>
      <c r="D157" s="96">
        <v>185</v>
      </c>
      <c r="E157" s="97">
        <f>IF(ISNUMBER(D157), (D157 - $B157) / $B157, "")</f>
        <v>5.434782608695652E-3</v>
      </c>
      <c r="F157" s="98">
        <f>IF(ISNUMBER(D157), $B172 * E157, "")</f>
        <v>815.21739130434776</v>
      </c>
      <c r="G157" s="99">
        <v>185</v>
      </c>
      <c r="H157" s="97">
        <f>IF(ISNUMBER(G157), (G157 - $B157) / $B157, "")</f>
        <v>5.434782608695652E-3</v>
      </c>
      <c r="I157" s="100">
        <f>IF(ISNUMBER(G157), $B172 * H157, "")</f>
        <v>815.21739130434776</v>
      </c>
      <c r="J157" s="96">
        <v>185</v>
      </c>
      <c r="K157" s="97">
        <f>IF(ISNUMBER(J157), (J157 - $B157) / $B157, "")</f>
        <v>5.434782608695652E-3</v>
      </c>
      <c r="L157" s="98">
        <f>IF(ISNUMBER(J157), $B172 * K157, "")</f>
        <v>815.21739130434776</v>
      </c>
      <c r="M157" s="99">
        <v>185</v>
      </c>
      <c r="N157" s="97">
        <f>IF(ISNUMBER(M157), (M157 - $B157) / $B157, "")</f>
        <v>5.434782608695652E-3</v>
      </c>
      <c r="O157" s="98">
        <f>IF(ISNUMBER(M157), $B172 * N157, "")</f>
        <v>815.21739130434776</v>
      </c>
      <c r="Q157" s="146"/>
      <c r="R157" s="146"/>
      <c r="S157" s="146"/>
    </row>
    <row r="158" spans="1:19" ht="17.25" thickBot="1">
      <c r="A158" s="109" t="s">
        <v>339</v>
      </c>
      <c r="B158" s="110">
        <v>955</v>
      </c>
      <c r="C158" s="70">
        <v>-1.13871636E-2</v>
      </c>
      <c r="D158" s="15">
        <v>959</v>
      </c>
      <c r="E158" s="32">
        <f t="shared" ref="E158:E161" si="82">IF(ISNUMBER(D158), (D158 - $B158) / $B158, "")</f>
        <v>4.1884816753926706E-3</v>
      </c>
      <c r="F158" s="18">
        <f>IF(ISNUMBER(D158), $B172 * E158, "")</f>
        <v>628.27225130890054</v>
      </c>
      <c r="G158" s="31">
        <v>965</v>
      </c>
      <c r="H158" s="32">
        <f t="shared" ref="H158:H161" si="83">IF(ISNUMBER(G158), (G158 - $B158) / $B158, "")</f>
        <v>1.0471204188481676E-2</v>
      </c>
      <c r="I158" s="91">
        <f>IF(ISNUMBER(G158), $B172 * H158, "")</f>
        <v>1570.6806282722514</v>
      </c>
      <c r="J158" s="15">
        <v>965</v>
      </c>
      <c r="K158" s="32">
        <f t="shared" ref="K158:K161" si="84">IF(ISNUMBER(J158), (J158 - $B158) / $B158, "")</f>
        <v>1.0471204188481676E-2</v>
      </c>
      <c r="L158" s="18">
        <f>IF(ISNUMBER(J158), $B172 * K158, "")</f>
        <v>1570.6806282722514</v>
      </c>
      <c r="M158" s="31">
        <v>962</v>
      </c>
      <c r="N158" s="32">
        <f t="shared" ref="N158:N161" si="85">IF(ISNUMBER(M158), (M158 - $B158) / $B158, "")</f>
        <v>7.3298429319371729E-3</v>
      </c>
      <c r="O158" s="18">
        <f>IF(ISNUMBER(M158), $B172 * N158, "")</f>
        <v>1099.476439790576</v>
      </c>
      <c r="Q158" s="146"/>
      <c r="R158" s="146"/>
      <c r="S158" s="146"/>
    </row>
    <row r="159" spans="1:19" ht="17.25" thickBot="1">
      <c r="A159" s="109" t="s">
        <v>201</v>
      </c>
      <c r="B159" s="110">
        <v>169</v>
      </c>
      <c r="C159" s="70">
        <v>-1.1695906400000001E-2</v>
      </c>
      <c r="D159" s="15">
        <v>170</v>
      </c>
      <c r="E159" s="32">
        <f t="shared" si="82"/>
        <v>5.9171597633136093E-3</v>
      </c>
      <c r="F159" s="18">
        <f>IF(ISNUMBER(D159), $B172 * E159, "")</f>
        <v>887.5739644970414</v>
      </c>
      <c r="G159" s="31">
        <v>170</v>
      </c>
      <c r="H159" s="32">
        <f t="shared" si="83"/>
        <v>5.9171597633136093E-3</v>
      </c>
      <c r="I159" s="91">
        <f>IF(ISNUMBER(G159), $B172 * H159, "")</f>
        <v>887.5739644970414</v>
      </c>
      <c r="J159" s="15">
        <v>170</v>
      </c>
      <c r="K159" s="32">
        <f t="shared" si="84"/>
        <v>5.9171597633136093E-3</v>
      </c>
      <c r="L159" s="18">
        <f>IF(ISNUMBER(J159), $B172 * K159, "")</f>
        <v>887.5739644970414</v>
      </c>
      <c r="M159" s="31">
        <v>171</v>
      </c>
      <c r="N159" s="32">
        <f t="shared" si="85"/>
        <v>1.1834319526627219E-2</v>
      </c>
      <c r="O159" s="18">
        <f>IF(ISNUMBER(M159), $B172 * N159, "")</f>
        <v>1775.1479289940828</v>
      </c>
      <c r="Q159" s="146"/>
      <c r="R159" s="146"/>
      <c r="S159" s="146"/>
    </row>
    <row r="160" spans="1:19" ht="17.25" thickBot="1">
      <c r="A160" s="109" t="s">
        <v>130</v>
      </c>
      <c r="B160" s="110">
        <v>574</v>
      </c>
      <c r="C160" s="70">
        <v>-1.20481928E-2</v>
      </c>
      <c r="D160" s="15">
        <v>575</v>
      </c>
      <c r="E160" s="32">
        <f t="shared" si="82"/>
        <v>1.7421602787456446E-3</v>
      </c>
      <c r="F160" s="18">
        <f>IF(ISNUMBER(D160), $B172 * E160, "")</f>
        <v>261.32404181184671</v>
      </c>
      <c r="G160" s="31">
        <v>576</v>
      </c>
      <c r="H160" s="32">
        <f t="shared" si="83"/>
        <v>3.4843205574912892E-3</v>
      </c>
      <c r="I160" s="91">
        <f>IF(ISNUMBER(G160), $B172 * H160, "")</f>
        <v>522.64808362369342</v>
      </c>
      <c r="J160" s="15">
        <v>576</v>
      </c>
      <c r="K160" s="32">
        <f t="shared" si="84"/>
        <v>3.4843205574912892E-3</v>
      </c>
      <c r="L160" s="18">
        <f>IF(ISNUMBER(J160), $B172 * K160, "")</f>
        <v>522.64808362369342</v>
      </c>
      <c r="M160" s="31">
        <v>577</v>
      </c>
      <c r="N160" s="32">
        <f t="shared" si="85"/>
        <v>5.2264808362369342E-3</v>
      </c>
      <c r="O160" s="18">
        <f>IF(ISNUMBER(M160), $B172 * N160, "")</f>
        <v>783.97212543554008</v>
      </c>
      <c r="Q160" s="33"/>
      <c r="R160" s="33"/>
    </row>
    <row r="161" spans="1:19" ht="17.25" thickBot="1">
      <c r="A161" s="114" t="s">
        <v>95</v>
      </c>
      <c r="B161" s="115">
        <v>902</v>
      </c>
      <c r="C161" s="72">
        <v>-1.20481928E-2</v>
      </c>
      <c r="D161" s="24">
        <v>904</v>
      </c>
      <c r="E161" s="25">
        <f t="shared" si="82"/>
        <v>2.2172949002217295E-3</v>
      </c>
      <c r="F161" s="94">
        <f>IF(ISNUMBER(D161), $B172 * E161, "")</f>
        <v>332.59423503325945</v>
      </c>
      <c r="G161" s="92">
        <v>905</v>
      </c>
      <c r="H161" s="25">
        <f t="shared" si="83"/>
        <v>3.3259423503325942E-3</v>
      </c>
      <c r="I161" s="93">
        <f>IF(ISNUMBER(G161), $B172 * H161, "")</f>
        <v>498.89135254988912</v>
      </c>
      <c r="J161" s="24">
        <v>905</v>
      </c>
      <c r="K161" s="25">
        <f t="shared" si="84"/>
        <v>3.3259423503325942E-3</v>
      </c>
      <c r="L161" s="94">
        <f>IF(ISNUMBER(J161), $B172 * K161, "")</f>
        <v>498.89135254988912</v>
      </c>
      <c r="M161" s="92">
        <v>910</v>
      </c>
      <c r="N161" s="25">
        <f t="shared" si="85"/>
        <v>8.869179600886918E-3</v>
      </c>
      <c r="O161" s="94">
        <f>IF(ISNUMBER(M161), $B172 * N161, "")</f>
        <v>1330.3769401330378</v>
      </c>
      <c r="Q161" s="147"/>
      <c r="R161" s="148"/>
      <c r="S161" s="149"/>
    </row>
    <row r="162" spans="1:19">
      <c r="A162" s="107" t="s">
        <v>235</v>
      </c>
      <c r="B162" s="108">
        <v>489</v>
      </c>
      <c r="C162" s="69">
        <v>-1.41129032E-2</v>
      </c>
      <c r="D162" s="13">
        <v>491</v>
      </c>
      <c r="E162" s="14">
        <f>IF(ISNUMBER(D162), (D162 - $B162) / $B162, "")</f>
        <v>4.0899795501022499E-3</v>
      </c>
      <c r="F162" s="16">
        <f>IF(ISNUMBER(D162), $B172 * E162, "")</f>
        <v>613.49693251533745</v>
      </c>
      <c r="G162" s="29">
        <v>492</v>
      </c>
      <c r="H162" s="14">
        <f>IF(ISNUMBER(G162), (G162 - $B162) / $B162, "")</f>
        <v>6.1349693251533744E-3</v>
      </c>
      <c r="I162" s="90">
        <f>IF(ISNUMBER(G162), $B172 * H162, "")</f>
        <v>920.24539877300617</v>
      </c>
      <c r="J162" s="13">
        <v>492</v>
      </c>
      <c r="K162" s="14">
        <f>IF(ISNUMBER(J162), (J162 - $B162) / $B162, "")</f>
        <v>6.1349693251533744E-3</v>
      </c>
      <c r="L162" s="16">
        <f>IF(ISNUMBER(J162), $B172 * K162, "")</f>
        <v>920.24539877300617</v>
      </c>
      <c r="M162" s="29">
        <v>493</v>
      </c>
      <c r="N162" s="14">
        <f>IF(ISNUMBER(M162), (M162 - $B162) / $B162, "")</f>
        <v>8.1799591002044997E-3</v>
      </c>
      <c r="O162" s="16">
        <f>IF(ISNUMBER(M162), $B172 * N162, "")</f>
        <v>1226.9938650306749</v>
      </c>
      <c r="Q162" s="150"/>
      <c r="R162" s="151"/>
      <c r="S162" s="152"/>
    </row>
    <row r="163" spans="1:19" ht="17.25" thickBot="1">
      <c r="A163" s="109" t="s">
        <v>341</v>
      </c>
      <c r="B163" s="110">
        <v>596</v>
      </c>
      <c r="C163" s="70">
        <v>-1.48760331E-2</v>
      </c>
      <c r="D163" s="15">
        <v>597</v>
      </c>
      <c r="E163" s="32">
        <f t="shared" ref="E163:E166" si="86">IF(ISNUMBER(D163), (D163 - $B163) / $B163, "")</f>
        <v>1.6778523489932886E-3</v>
      </c>
      <c r="F163" s="18">
        <f>IF(ISNUMBER(D163), $B172 * E163, "")</f>
        <v>251.67785234899327</v>
      </c>
      <c r="G163" s="31">
        <v>600</v>
      </c>
      <c r="H163" s="32">
        <f t="shared" ref="H163:H166" si="87">IF(ISNUMBER(G163), (G163 - $B163) / $B163, "")</f>
        <v>6.7114093959731542E-3</v>
      </c>
      <c r="I163" s="91">
        <f>IF(ISNUMBER(G163), $B172 * H163, "")</f>
        <v>1006.7114093959731</v>
      </c>
      <c r="J163" s="15">
        <v>600</v>
      </c>
      <c r="K163" s="32">
        <f t="shared" ref="K163:K166" si="88">IF(ISNUMBER(J163), (J163 - $B163) / $B163, "")</f>
        <v>6.7114093959731542E-3</v>
      </c>
      <c r="L163" s="18">
        <f>IF(ISNUMBER(J163), $B172 * K163, "")</f>
        <v>1006.7114093959731</v>
      </c>
      <c r="M163" s="31">
        <v>604</v>
      </c>
      <c r="N163" s="32">
        <f t="shared" ref="N163:N166" si="89">IF(ISNUMBER(M163), (M163 - $B163) / $B163, "")</f>
        <v>1.3422818791946308E-2</v>
      </c>
      <c r="O163" s="18">
        <f>IF(ISNUMBER(M163), $B172 * N163, "")</f>
        <v>2013.4228187919462</v>
      </c>
      <c r="Q163" s="153"/>
      <c r="R163" s="154"/>
      <c r="S163" s="155"/>
    </row>
    <row r="164" spans="1:19" ht="17.25" thickBot="1">
      <c r="A164" s="109" t="s">
        <v>60</v>
      </c>
      <c r="B164" s="110">
        <v>373</v>
      </c>
      <c r="C164" s="70">
        <v>-1.5831134600000001E-2</v>
      </c>
      <c r="D164" s="15">
        <v>373</v>
      </c>
      <c r="E164" s="32">
        <f t="shared" si="86"/>
        <v>0</v>
      </c>
      <c r="F164" s="18">
        <f>IF(ISNUMBER(D164), $B172 * E164, "")</f>
        <v>0</v>
      </c>
      <c r="G164" s="31">
        <v>378</v>
      </c>
      <c r="H164" s="32">
        <f t="shared" si="87"/>
        <v>1.3404825737265416E-2</v>
      </c>
      <c r="I164" s="91">
        <f>IF(ISNUMBER(G164), $B172 * H164, "")</f>
        <v>2010.7238605898124</v>
      </c>
      <c r="J164" s="15">
        <v>378</v>
      </c>
      <c r="K164" s="32">
        <f t="shared" si="88"/>
        <v>1.3404825737265416E-2</v>
      </c>
      <c r="L164" s="18">
        <f>IF(ISNUMBER(J164), $B172 * K164, "")</f>
        <v>2010.7238605898124</v>
      </c>
      <c r="M164" s="31">
        <v>379</v>
      </c>
      <c r="N164" s="32">
        <f t="shared" si="89"/>
        <v>1.6085790884718499E-2</v>
      </c>
      <c r="O164" s="18">
        <f>IF(ISNUMBER(M164), $B172 * N164, "")</f>
        <v>2412.8686327077749</v>
      </c>
      <c r="Q164" s="146"/>
      <c r="R164" s="146"/>
      <c r="S164" s="146"/>
    </row>
    <row r="165" spans="1:19" ht="17.25" thickBot="1">
      <c r="A165" s="109" t="s">
        <v>111</v>
      </c>
      <c r="B165" s="110">
        <v>480</v>
      </c>
      <c r="C165" s="70">
        <v>-1.6393442599999999E-2</v>
      </c>
      <c r="D165" s="15">
        <v>482</v>
      </c>
      <c r="E165" s="32">
        <f t="shared" si="86"/>
        <v>4.1666666666666666E-3</v>
      </c>
      <c r="F165" s="18">
        <f>IF(ISNUMBER(D165), $B172 * E165, "")</f>
        <v>625</v>
      </c>
      <c r="G165" s="31">
        <v>489</v>
      </c>
      <c r="H165" s="32">
        <f t="shared" si="87"/>
        <v>1.8749999999999999E-2</v>
      </c>
      <c r="I165" s="91">
        <f>IF(ISNUMBER(G165), $B172 * H165, "")</f>
        <v>2812.5</v>
      </c>
      <c r="J165" s="15">
        <v>489</v>
      </c>
      <c r="K165" s="32">
        <f t="shared" si="88"/>
        <v>1.8749999999999999E-2</v>
      </c>
      <c r="L165" s="18">
        <f>IF(ISNUMBER(J165), $B172 * K165, "")</f>
        <v>2812.5</v>
      </c>
      <c r="M165" s="31">
        <v>489</v>
      </c>
      <c r="N165" s="32">
        <f t="shared" si="89"/>
        <v>1.8749999999999999E-2</v>
      </c>
      <c r="O165" s="18">
        <f>IF(ISNUMBER(M165), $B172 * N165, "")</f>
        <v>2812.5</v>
      </c>
      <c r="Q165" s="156"/>
      <c r="R165" s="156"/>
      <c r="S165" s="156"/>
    </row>
    <row r="166" spans="1:19" ht="17.25" thickBot="1">
      <c r="A166" s="111" t="s">
        <v>68</v>
      </c>
      <c r="B166" s="112">
        <v>224</v>
      </c>
      <c r="C166" s="71">
        <v>-1.75438596E-2</v>
      </c>
      <c r="D166" s="20">
        <v>225</v>
      </c>
      <c r="E166" s="21">
        <f t="shared" si="86"/>
        <v>4.464285714285714E-3</v>
      </c>
      <c r="F166" s="22">
        <f>IF(ISNUMBER(D166), $B172 * E166, "")</f>
        <v>669.64285714285711</v>
      </c>
      <c r="G166" s="30">
        <v>224</v>
      </c>
      <c r="H166" s="21">
        <f t="shared" si="87"/>
        <v>0</v>
      </c>
      <c r="I166" s="95">
        <f>IF(ISNUMBER(G166), $B172 * H166, "")</f>
        <v>0</v>
      </c>
      <c r="J166" s="20">
        <v>224</v>
      </c>
      <c r="K166" s="21">
        <f t="shared" si="88"/>
        <v>0</v>
      </c>
      <c r="L166" s="22">
        <f>IF(ISNUMBER(J166), $B172 * K166, "")</f>
        <v>0</v>
      </c>
      <c r="M166" s="30">
        <v>225</v>
      </c>
      <c r="N166" s="21">
        <f t="shared" si="89"/>
        <v>4.464285714285714E-3</v>
      </c>
      <c r="O166" s="22">
        <f>IF(ISNUMBER(M166), $B172 * N166, "")</f>
        <v>669.64285714285711</v>
      </c>
      <c r="Q166" s="156"/>
      <c r="R166" s="156"/>
      <c r="S166" s="156"/>
    </row>
    <row r="167" spans="1:19" ht="17.25" thickBot="1">
      <c r="A167" s="109" t="s">
        <v>165</v>
      </c>
      <c r="B167" s="113">
        <v>873</v>
      </c>
      <c r="C167" s="73">
        <v>-1.79977503E-2</v>
      </c>
      <c r="D167" s="96">
        <v>874</v>
      </c>
      <c r="E167" s="97">
        <f>IF(ISNUMBER(D167), (D167 - $B167) / $B167, "")</f>
        <v>1.145475372279496E-3</v>
      </c>
      <c r="F167" s="98">
        <f>IF(ISNUMBER(D167), $B172 * E167, "")</f>
        <v>171.82130584192441</v>
      </c>
      <c r="G167" s="99">
        <v>870</v>
      </c>
      <c r="H167" s="97">
        <f>IF(ISNUMBER(G167), (G167 - $B167) / $B167, "")</f>
        <v>-3.4364261168384879E-3</v>
      </c>
      <c r="I167" s="100">
        <f>IF(ISNUMBER(G167), $B172 * H167, "")</f>
        <v>-515.46391752577324</v>
      </c>
      <c r="J167" s="96">
        <v>870</v>
      </c>
      <c r="K167" s="97">
        <f>IF(ISNUMBER(J167), (J167 - $B167) / $B167, "")</f>
        <v>-3.4364261168384879E-3</v>
      </c>
      <c r="L167" s="98">
        <f>IF(ISNUMBER(J167), $B172 * K167, "")</f>
        <v>-515.46391752577324</v>
      </c>
      <c r="M167" s="99">
        <v>871</v>
      </c>
      <c r="N167" s="97">
        <f>IF(ISNUMBER(M167), (M167 - $B167) / $B167, "")</f>
        <v>-2.2909507445589921E-3</v>
      </c>
      <c r="O167" s="98">
        <f>IF(ISNUMBER(M167), $B172 * N167, "")</f>
        <v>-343.64261168384883</v>
      </c>
      <c r="Q167" s="146"/>
      <c r="R167" s="146"/>
      <c r="S167" s="146"/>
    </row>
    <row r="168" spans="1:19" ht="17.25" thickBot="1">
      <c r="A168" s="109" t="s">
        <v>345</v>
      </c>
      <c r="B168" s="110">
        <v>105</v>
      </c>
      <c r="C168" s="70">
        <v>-1.8691588799999999E-2</v>
      </c>
      <c r="D168" s="15">
        <v>105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106</v>
      </c>
      <c r="H168" s="32">
        <f t="shared" ref="H168:H171" si="91">IF(ISNUMBER(G168), (G168 - $B168) / $B168, "")</f>
        <v>9.5238095238095247E-3</v>
      </c>
      <c r="I168" s="91">
        <f>IF(ISNUMBER(G168), $B172 * H168, "")</f>
        <v>1428.5714285714287</v>
      </c>
      <c r="J168" s="15">
        <v>106</v>
      </c>
      <c r="K168" s="32">
        <f t="shared" ref="K168:K171" si="92">IF(ISNUMBER(J168), (J168 - $B168) / $B168, "")</f>
        <v>9.5238095238095247E-3</v>
      </c>
      <c r="L168" s="18">
        <f>IF(ISNUMBER(J168), $B172 * K168, "")</f>
        <v>1428.5714285714287</v>
      </c>
      <c r="M168" s="31">
        <v>106</v>
      </c>
      <c r="N168" s="32">
        <f t="shared" ref="N168:N171" si="93">IF(ISNUMBER(M168), (M168 - $B168) / $B168, "")</f>
        <v>9.5238095238095247E-3</v>
      </c>
      <c r="O168" s="18">
        <f>IF(ISNUMBER(M168), $B172 * N168, "")</f>
        <v>1428.5714285714287</v>
      </c>
      <c r="Q168" s="146"/>
      <c r="R168" s="146"/>
      <c r="S168" s="146"/>
    </row>
    <row r="169" spans="1:19" ht="17.25" thickBot="1">
      <c r="A169" s="109" t="s">
        <v>211</v>
      </c>
      <c r="B169" s="110">
        <v>899</v>
      </c>
      <c r="C169" s="70">
        <v>-1.9629225699999999E-2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>
        <v>908</v>
      </c>
      <c r="H169" s="32">
        <f t="shared" si="91"/>
        <v>1.0011123470522803E-2</v>
      </c>
      <c r="I169" s="91">
        <f>IF(ISNUMBER(G169), $B172 * H169, "")</f>
        <v>1501.6685205784204</v>
      </c>
      <c r="J169" s="15">
        <v>908</v>
      </c>
      <c r="K169" s="32">
        <f t="shared" si="92"/>
        <v>1.0011123470522803E-2</v>
      </c>
      <c r="L169" s="18">
        <f>IF(ISNUMBER(J169), $B172 * K169, "")</f>
        <v>1501.6685205784204</v>
      </c>
      <c r="M169" s="31">
        <v>908</v>
      </c>
      <c r="N169" s="32">
        <f t="shared" si="93"/>
        <v>1.0011123470522803E-2</v>
      </c>
      <c r="O169" s="18">
        <f>IF(ISNUMBER(M169), $B172 * N169, "")</f>
        <v>1501.6685205784204</v>
      </c>
      <c r="Q169" s="146"/>
      <c r="R169" s="146"/>
      <c r="S169" s="146"/>
    </row>
    <row r="170" spans="1:19">
      <c r="A170" s="109" t="s">
        <v>161</v>
      </c>
      <c r="B170" s="110">
        <v>268</v>
      </c>
      <c r="C170" s="70">
        <v>-2.1897810199999999E-2</v>
      </c>
      <c r="D170" s="15">
        <v>269</v>
      </c>
      <c r="E170" s="32">
        <f t="shared" si="90"/>
        <v>3.7313432835820895E-3</v>
      </c>
      <c r="F170" s="18">
        <f>IF(ISNUMBER(D170), $B172 * E170, "")</f>
        <v>559.70149253731347</v>
      </c>
      <c r="G170" s="31">
        <v>270</v>
      </c>
      <c r="H170" s="32">
        <f t="shared" si="91"/>
        <v>7.462686567164179E-3</v>
      </c>
      <c r="I170" s="91">
        <f>IF(ISNUMBER(G170), $B172 * H170, "")</f>
        <v>1119.4029850746269</v>
      </c>
      <c r="J170" s="15">
        <v>270</v>
      </c>
      <c r="K170" s="32">
        <f t="shared" si="92"/>
        <v>7.462686567164179E-3</v>
      </c>
      <c r="L170" s="18">
        <f>IF(ISNUMBER(J170), $B172 * K170, "")</f>
        <v>1119.4029850746269</v>
      </c>
      <c r="M170" s="31">
        <v>271</v>
      </c>
      <c r="N170" s="32">
        <f t="shared" si="93"/>
        <v>1.1194029850746268E-2</v>
      </c>
      <c r="O170" s="18">
        <f>IF(ISNUMBER(M170), $B172 * N170, "")</f>
        <v>1679.1044776119402</v>
      </c>
      <c r="Q170" s="135"/>
      <c r="R170" s="136"/>
      <c r="S170" s="137"/>
    </row>
    <row r="171" spans="1:19" ht="17.25" thickBot="1">
      <c r="A171" s="114" t="s">
        <v>116</v>
      </c>
      <c r="B171" s="115">
        <v>940</v>
      </c>
      <c r="C171" s="72">
        <v>-5.9059059099999998E-2</v>
      </c>
      <c r="D171" s="24">
        <v>938</v>
      </c>
      <c r="E171" s="25">
        <f t="shared" si="90"/>
        <v>-2.1276595744680851E-3</v>
      </c>
      <c r="F171" s="94">
        <f>IF(ISNUMBER(D171), $B172 * E171, "")</f>
        <v>-319.14893617021278</v>
      </c>
      <c r="G171" s="92">
        <v>935</v>
      </c>
      <c r="H171" s="25">
        <f t="shared" si="91"/>
        <v>-5.3191489361702126E-3</v>
      </c>
      <c r="I171" s="93">
        <f>IF(ISNUMBER(G171), $B172 * H171, "")</f>
        <v>-797.87234042553189</v>
      </c>
      <c r="J171" s="24">
        <v>935</v>
      </c>
      <c r="K171" s="25">
        <f t="shared" si="92"/>
        <v>-5.3191489361702126E-3</v>
      </c>
      <c r="L171" s="94">
        <f>IF(ISNUMBER(J171), $B172 * K171, "")</f>
        <v>-797.87234042553189</v>
      </c>
      <c r="M171" s="92">
        <v>928</v>
      </c>
      <c r="N171" s="25">
        <f t="shared" si="93"/>
        <v>-1.276595744680851E-2</v>
      </c>
      <c r="O171" s="94">
        <f>IF(ISNUMBER(M171), $B172 * N171, "")</f>
        <v>-1914.8936170212764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1.9215512714229198E-3</v>
      </c>
      <c r="F172" s="28">
        <f>SUM(F152:F171)</f>
        <v>5764.6538142687596</v>
      </c>
      <c r="G172" s="26" t="s">
        <v>258</v>
      </c>
      <c r="H172" s="27">
        <f>IF(COUNT(H152:H171), SUM(H152:H171) / COUNT(H152:H171), 0)</f>
        <v>5.909665411980825E-3</v>
      </c>
      <c r="I172" s="28">
        <f>SUM(I152:I171)</f>
        <v>17728.996235942475</v>
      </c>
      <c r="J172" s="26" t="s">
        <v>258</v>
      </c>
      <c r="K172" s="27">
        <f>IF(COUNT(K152:K171), SUM(K152:K171) / COUNT(K152:K171), 0)</f>
        <v>5.909665411980825E-3</v>
      </c>
      <c r="L172" s="28">
        <f>SUM(L152:L171)</f>
        <v>17728.996235942475</v>
      </c>
      <c r="M172" s="26" t="s">
        <v>258</v>
      </c>
      <c r="N172" s="27">
        <f>IF(COUNT(N152:N171), SUM(N152:N171) / COUNT(N152:N171), 0)</f>
        <v>7.5441374327919431E-3</v>
      </c>
      <c r="O172" s="28">
        <f>SUM(O152:O171)</f>
        <v>22632.412298375832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2023-01-01(일) 오전 00:00</v>
      </c>
      <c r="C177" s="198"/>
      <c r="D177" s="170" t="str">
        <f>TEXT($G$1, "[$-ko-KR]yyyy-mm-dd(ddd) ") &amp; "오후 14:00"</f>
        <v>2023-01-01(일) 오후 14:00</v>
      </c>
      <c r="E177" s="171"/>
      <c r="F177" s="172"/>
      <c r="G177" s="170" t="str">
        <f>TEXT($G$1, "[$-ko-KR]yyyy-mm-dd(ddd) ") &amp; "오후 19:00"</f>
        <v>2023-01-01(일) 오후 19:00</v>
      </c>
      <c r="H177" s="171"/>
      <c r="I177" s="172"/>
      <c r="J177" s="170" t="str">
        <f>TEXT($G$1, "[$-ko-KR]yyyy-mm-dd(ddd) ") &amp; "오후 21:00"</f>
        <v>2023-01-01(일) 오후 21:00</v>
      </c>
      <c r="K177" s="171"/>
      <c r="L177" s="172"/>
      <c r="M177" s="170" t="str">
        <f>TEXT($G$1+1, "[$-ko-KR]yyyy-mm-dd(ddd) ") &amp; "오전 00:00"</f>
        <v>2023-01-02(월)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341</v>
      </c>
      <c r="B179" s="108">
        <v>596</v>
      </c>
      <c r="C179" s="69">
        <v>-1.48760331E-2</v>
      </c>
      <c r="D179" s="13">
        <v>597</v>
      </c>
      <c r="E179" s="14">
        <f>IF(ISNUMBER(D179), (D179 - $B179) / $B179, "")</f>
        <v>1.6778523489932886E-3</v>
      </c>
      <c r="F179" s="16">
        <f>IF(ISNUMBER(D179), $B199 * E179, "")</f>
        <v>251.67785234899327</v>
      </c>
      <c r="G179" s="29">
        <v>600</v>
      </c>
      <c r="H179" s="14">
        <f>IF(ISNUMBER(G179), (G179 - $B179) / $B179, "")</f>
        <v>6.7114093959731542E-3</v>
      </c>
      <c r="I179" s="90">
        <f>IF(ISNUMBER(G179), $B199 * H179, "")</f>
        <v>1006.7114093959731</v>
      </c>
      <c r="J179" s="13">
        <v>600</v>
      </c>
      <c r="K179" s="14">
        <f>IF(ISNUMBER(J179), (J179 - $B179) / $B179, "")</f>
        <v>6.7114093959731542E-3</v>
      </c>
      <c r="L179" s="16">
        <f>IF(ISNUMBER(J179), $B199 * K179, "")</f>
        <v>1006.7114093959731</v>
      </c>
      <c r="M179" s="29">
        <v>604</v>
      </c>
      <c r="N179" s="14">
        <f>IF(ISNUMBER(M179), (M179 - $B179) / $B179, "")</f>
        <v>1.3422818791946308E-2</v>
      </c>
      <c r="O179" s="16">
        <f>IF(ISNUMBER(M179), $B199 * N179, "")</f>
        <v>2013.4228187919462</v>
      </c>
      <c r="Q179" s="156"/>
      <c r="R179" s="156"/>
      <c r="S179" s="156"/>
    </row>
    <row r="180" spans="1:19" ht="17.25" thickBot="1">
      <c r="A180" s="109" t="s">
        <v>107</v>
      </c>
      <c r="B180" s="110">
        <v>32.700000000000003</v>
      </c>
      <c r="C180" s="70">
        <v>-1.5060241E-2</v>
      </c>
      <c r="D180" s="15">
        <v>32.799999999999997</v>
      </c>
      <c r="E180" s="32">
        <f t="shared" ref="E180:E183" si="94">IF(ISNUMBER(D180), (D180 - $B180) / $B180, "")</f>
        <v>3.0581039755349939E-3</v>
      </c>
      <c r="F180" s="18">
        <f>IF(ISNUMBER(D180), $B199 * E180, "")</f>
        <v>458.71559633024907</v>
      </c>
      <c r="G180" s="31">
        <v>33</v>
      </c>
      <c r="H180" s="32">
        <f t="shared" ref="H180:H183" si="95">IF(ISNUMBER(G180), (G180 - $B180) / $B180, "")</f>
        <v>9.1743119266054166E-3</v>
      </c>
      <c r="I180" s="91">
        <f>IF(ISNUMBER(G180), $B199 * H180, "")</f>
        <v>1376.1467889908124</v>
      </c>
      <c r="J180" s="15">
        <v>33</v>
      </c>
      <c r="K180" s="32">
        <f t="shared" ref="K180:K183" si="96">IF(ISNUMBER(J180), (J180 - $B180) / $B180, "")</f>
        <v>9.1743119266054166E-3</v>
      </c>
      <c r="L180" s="18">
        <f>IF(ISNUMBER(J180), $B199 * K180, "")</f>
        <v>1376.1467889908124</v>
      </c>
      <c r="M180" s="31">
        <v>32.9</v>
      </c>
      <c r="N180" s="32">
        <f t="shared" ref="N180:N183" si="97">IF(ISNUMBER(M180), (M180 - $B180) / $B180, "")</f>
        <v>6.1162079510702055E-3</v>
      </c>
      <c r="O180" s="18">
        <f>IF(ISNUMBER(M180), $B199 * N180, "")</f>
        <v>917.43119266053077</v>
      </c>
      <c r="Q180" s="156"/>
      <c r="R180" s="156"/>
      <c r="S180" s="156"/>
    </row>
    <row r="181" spans="1:19" ht="17.25" thickBot="1">
      <c r="A181" s="109" t="s">
        <v>227</v>
      </c>
      <c r="B181" s="110">
        <v>32.5</v>
      </c>
      <c r="C181" s="70">
        <v>-1.51515152E-2</v>
      </c>
      <c r="D181" s="15">
        <v>32.9</v>
      </c>
      <c r="E181" s="32">
        <f t="shared" si="94"/>
        <v>1.2307692307692264E-2</v>
      </c>
      <c r="F181" s="18">
        <f>IF(ISNUMBER(D181), $B199 * E181, "")</f>
        <v>1846.1538461538396</v>
      </c>
      <c r="G181" s="31">
        <v>32.9</v>
      </c>
      <c r="H181" s="32">
        <f t="shared" si="95"/>
        <v>1.2307692307692264E-2</v>
      </c>
      <c r="I181" s="91">
        <f>IF(ISNUMBER(G181), $B199 * H181, "")</f>
        <v>1846.1538461538396</v>
      </c>
      <c r="J181" s="15">
        <v>32.9</v>
      </c>
      <c r="K181" s="32">
        <f t="shared" si="96"/>
        <v>1.2307692307692264E-2</v>
      </c>
      <c r="L181" s="18">
        <f>IF(ISNUMBER(J181), $B199 * K181, "")</f>
        <v>1846.1538461538396</v>
      </c>
      <c r="M181" s="31">
        <v>32.700000000000003</v>
      </c>
      <c r="N181" s="32">
        <f t="shared" si="97"/>
        <v>6.1538461538462414E-3</v>
      </c>
      <c r="O181" s="18">
        <f>IF(ISNUMBER(M181), $B199 * N181, "")</f>
        <v>923.07692307693617</v>
      </c>
      <c r="Q181" s="146"/>
      <c r="R181" s="146"/>
      <c r="S181" s="146"/>
    </row>
    <row r="182" spans="1:19" ht="17.25" thickBot="1">
      <c r="A182" s="109" t="s">
        <v>60</v>
      </c>
      <c r="B182" s="110">
        <v>373</v>
      </c>
      <c r="C182" s="70">
        <v>-1.5831134600000001E-2</v>
      </c>
      <c r="D182" s="15">
        <v>373</v>
      </c>
      <c r="E182" s="32">
        <f t="shared" si="94"/>
        <v>0</v>
      </c>
      <c r="F182" s="18">
        <f>IF(ISNUMBER(D182), $B199 * E182, "")</f>
        <v>0</v>
      </c>
      <c r="G182" s="31">
        <v>378</v>
      </c>
      <c r="H182" s="32">
        <f t="shared" si="95"/>
        <v>1.3404825737265416E-2</v>
      </c>
      <c r="I182" s="91">
        <f>IF(ISNUMBER(G182), $B199 * H182, "")</f>
        <v>2010.7238605898124</v>
      </c>
      <c r="J182" s="15">
        <v>378</v>
      </c>
      <c r="K182" s="32">
        <f t="shared" si="96"/>
        <v>1.3404825737265416E-2</v>
      </c>
      <c r="L182" s="18">
        <f>IF(ISNUMBER(J182), $B199 * K182, "")</f>
        <v>2010.7238605898124</v>
      </c>
      <c r="M182" s="31">
        <v>379</v>
      </c>
      <c r="N182" s="32">
        <f t="shared" si="97"/>
        <v>1.6085790884718499E-2</v>
      </c>
      <c r="O182" s="18">
        <f>IF(ISNUMBER(M182), $B199 * N182, "")</f>
        <v>2412.8686327077749</v>
      </c>
      <c r="Q182" s="146"/>
      <c r="R182" s="146"/>
      <c r="S182" s="146"/>
    </row>
    <row r="183" spans="1:19" ht="17.25" thickBot="1">
      <c r="A183" s="111" t="s">
        <v>111</v>
      </c>
      <c r="B183" s="112">
        <v>480</v>
      </c>
      <c r="C183" s="71">
        <v>-1.6393442599999999E-2</v>
      </c>
      <c r="D183" s="20">
        <v>482</v>
      </c>
      <c r="E183" s="21">
        <f t="shared" si="94"/>
        <v>4.1666666666666666E-3</v>
      </c>
      <c r="F183" s="22">
        <f>IF(ISNUMBER(D183), $B199 * E183, "")</f>
        <v>625</v>
      </c>
      <c r="G183" s="30">
        <v>489</v>
      </c>
      <c r="H183" s="21">
        <f t="shared" si="95"/>
        <v>1.8749999999999999E-2</v>
      </c>
      <c r="I183" s="95">
        <f>IF(ISNUMBER(G183), $B199 * H183, "")</f>
        <v>2812.5</v>
      </c>
      <c r="J183" s="20">
        <v>489</v>
      </c>
      <c r="K183" s="21">
        <f t="shared" si="96"/>
        <v>1.8749999999999999E-2</v>
      </c>
      <c r="L183" s="22">
        <f>IF(ISNUMBER(J183), $B199 * K183, "")</f>
        <v>2812.5</v>
      </c>
      <c r="M183" s="30">
        <v>489</v>
      </c>
      <c r="N183" s="21">
        <f t="shared" si="97"/>
        <v>1.8749999999999999E-2</v>
      </c>
      <c r="O183" s="22">
        <f>IF(ISNUMBER(M183), $B199 * N183, "")</f>
        <v>2812.5</v>
      </c>
      <c r="Q183" s="146"/>
      <c r="R183" s="146"/>
      <c r="S183" s="146"/>
    </row>
    <row r="184" spans="1:19" ht="17.25" thickBot="1">
      <c r="A184" s="109" t="s">
        <v>174</v>
      </c>
      <c r="B184" s="113">
        <v>11310</v>
      </c>
      <c r="C184" s="73">
        <v>-1.6521739099999998E-2</v>
      </c>
      <c r="D184" s="96">
        <v>11350</v>
      </c>
      <c r="E184" s="97">
        <f>IF(ISNUMBER(D184), (D184 - $B184) / $B184, "")</f>
        <v>3.5366931918656055E-3</v>
      </c>
      <c r="F184" s="98">
        <f>IF(ISNUMBER(D184), $B199 * E184, "")</f>
        <v>530.50397877984085</v>
      </c>
      <c r="G184" s="99">
        <v>11430</v>
      </c>
      <c r="H184" s="97">
        <f>IF(ISNUMBER(G184), (G184 - $B184) / $B184, "")</f>
        <v>1.0610079575596816E-2</v>
      </c>
      <c r="I184" s="100">
        <f>IF(ISNUMBER(G184), $B199 * H184, "")</f>
        <v>1591.5119363395224</v>
      </c>
      <c r="J184" s="96">
        <v>11430</v>
      </c>
      <c r="K184" s="97">
        <f>IF(ISNUMBER(J184), (J184 - $B184) / $B184, "")</f>
        <v>1.0610079575596816E-2</v>
      </c>
      <c r="L184" s="98">
        <f>IF(ISNUMBER(J184), $B199 * K184, "")</f>
        <v>1591.5119363395224</v>
      </c>
      <c r="M184" s="99">
        <v>11370</v>
      </c>
      <c r="N184" s="97">
        <f>IF(ISNUMBER(M184), (M184 - $B184) / $B184, "")</f>
        <v>5.3050397877984082E-3</v>
      </c>
      <c r="O184" s="98">
        <f>IF(ISNUMBER(M184), $B199 * N184, "")</f>
        <v>795.75596816976122</v>
      </c>
      <c r="Q184" s="146"/>
      <c r="R184" s="146"/>
      <c r="S184" s="146"/>
    </row>
    <row r="185" spans="1:19" ht="17.25" thickBot="1">
      <c r="A185" s="109" t="s">
        <v>221</v>
      </c>
      <c r="B185" s="110">
        <v>17.100000000000001</v>
      </c>
      <c r="C185" s="70">
        <v>-1.7241379300000002E-2</v>
      </c>
      <c r="D185" s="15">
        <v>17.2</v>
      </c>
      <c r="E185" s="32">
        <f t="shared" ref="E185:E188" si="98">IF(ISNUMBER(D185), (D185 - $B185) / $B185, "")</f>
        <v>5.8479532163741438E-3</v>
      </c>
      <c r="F185" s="18">
        <f>IF(ISNUMBER(D185), $B199 * E185, "")</f>
        <v>877.19298245612151</v>
      </c>
      <c r="G185" s="31">
        <v>17.3</v>
      </c>
      <c r="H185" s="32">
        <f t="shared" ref="H185:H188" si="99">IF(ISNUMBER(G185), (G185 - $B185) / $B185, "")</f>
        <v>1.1695906432748496E-2</v>
      </c>
      <c r="I185" s="91">
        <f>IF(ISNUMBER(G185), $B199 * H185, "")</f>
        <v>1754.3859649122744</v>
      </c>
      <c r="J185" s="15">
        <v>17.3</v>
      </c>
      <c r="K185" s="32">
        <f t="shared" ref="K185:K188" si="100">IF(ISNUMBER(J185), (J185 - $B185) / $B185, "")</f>
        <v>1.1695906432748496E-2</v>
      </c>
      <c r="L185" s="18">
        <f>IF(ISNUMBER(J185), $B199 * K185, "")</f>
        <v>1754.3859649122744</v>
      </c>
      <c r="M185" s="31">
        <v>17.2</v>
      </c>
      <c r="N185" s="32">
        <f t="shared" ref="N185:N188" si="101">IF(ISNUMBER(M185), (M185 - $B185) / $B185, "")</f>
        <v>5.8479532163741438E-3</v>
      </c>
      <c r="O185" s="18">
        <f>IF(ISNUMBER(M185), $B199 * N185, "")</f>
        <v>877.19298245612151</v>
      </c>
      <c r="Q185" s="146"/>
      <c r="R185" s="146"/>
      <c r="S185" s="146"/>
    </row>
    <row r="186" spans="1:19" ht="17.25" thickBot="1">
      <c r="A186" s="109" t="s">
        <v>68</v>
      </c>
      <c r="B186" s="110">
        <v>224</v>
      </c>
      <c r="C186" s="70">
        <v>-1.75438596E-2</v>
      </c>
      <c r="D186" s="15">
        <v>225</v>
      </c>
      <c r="E186" s="32">
        <f t="shared" si="98"/>
        <v>4.464285714285714E-3</v>
      </c>
      <c r="F186" s="18">
        <f>IF(ISNUMBER(D186), $B199 * E186, "")</f>
        <v>669.64285714285711</v>
      </c>
      <c r="G186" s="31">
        <v>224</v>
      </c>
      <c r="H186" s="32">
        <f t="shared" si="99"/>
        <v>0</v>
      </c>
      <c r="I186" s="91">
        <f>IF(ISNUMBER(G186), $B199 * H186, "")</f>
        <v>0</v>
      </c>
      <c r="J186" s="15">
        <v>224</v>
      </c>
      <c r="K186" s="32">
        <f t="shared" si="100"/>
        <v>0</v>
      </c>
      <c r="L186" s="18">
        <f>IF(ISNUMBER(J186), $B199 * K186, "")</f>
        <v>0</v>
      </c>
      <c r="M186" s="31">
        <v>225</v>
      </c>
      <c r="N186" s="32">
        <f t="shared" si="101"/>
        <v>4.464285714285714E-3</v>
      </c>
      <c r="O186" s="18">
        <f>IF(ISNUMBER(M186), $B199 * N186, "")</f>
        <v>669.64285714285711</v>
      </c>
      <c r="Q186" s="146"/>
      <c r="R186" s="146"/>
      <c r="S186" s="146"/>
    </row>
    <row r="187" spans="1:19" ht="17.25" thickBot="1">
      <c r="A187" s="109" t="s">
        <v>165</v>
      </c>
      <c r="B187" s="110">
        <v>873</v>
      </c>
      <c r="C187" s="70">
        <v>-1.79977503E-2</v>
      </c>
      <c r="D187" s="15">
        <v>874</v>
      </c>
      <c r="E187" s="32">
        <f t="shared" si="98"/>
        <v>1.145475372279496E-3</v>
      </c>
      <c r="F187" s="18">
        <f>IF(ISNUMBER(D187), $B199 * E187, "")</f>
        <v>171.82130584192441</v>
      </c>
      <c r="G187" s="31">
        <v>870</v>
      </c>
      <c r="H187" s="32">
        <f t="shared" si="99"/>
        <v>-3.4364261168384879E-3</v>
      </c>
      <c r="I187" s="91">
        <f>IF(ISNUMBER(G187), $B199 * H187, "")</f>
        <v>-515.46391752577324</v>
      </c>
      <c r="J187" s="15">
        <v>870</v>
      </c>
      <c r="K187" s="32">
        <f t="shared" si="100"/>
        <v>-3.4364261168384879E-3</v>
      </c>
      <c r="L187" s="18">
        <f>IF(ISNUMBER(J187), $B199 * K187, "")</f>
        <v>-515.46391752577324</v>
      </c>
      <c r="M187" s="31">
        <v>871</v>
      </c>
      <c r="N187" s="32">
        <f t="shared" si="101"/>
        <v>-2.2909507445589921E-3</v>
      </c>
      <c r="O187" s="18">
        <f>IF(ISNUMBER(M187), $B199 * N187, "")</f>
        <v>-343.64261168384883</v>
      </c>
      <c r="Q187" s="33"/>
      <c r="R187" s="33"/>
    </row>
    <row r="188" spans="1:19" ht="17.25" thickBot="1">
      <c r="A188" s="114" t="s">
        <v>343</v>
      </c>
      <c r="B188" s="115">
        <v>12460</v>
      </c>
      <c r="C188" s="72">
        <v>-1.8124507500000001E-2</v>
      </c>
      <c r="D188" s="24">
        <v>12540</v>
      </c>
      <c r="E188" s="25">
        <f t="shared" si="98"/>
        <v>6.420545746388443E-3</v>
      </c>
      <c r="F188" s="94">
        <f>IF(ISNUMBER(D188), $B199 * E188, "")</f>
        <v>963.08186195826647</v>
      </c>
      <c r="G188" s="92">
        <v>12640</v>
      </c>
      <c r="H188" s="25">
        <f t="shared" si="99"/>
        <v>1.4446227929373997E-2</v>
      </c>
      <c r="I188" s="93">
        <f>IF(ISNUMBER(G188), $B199 * H188, "")</f>
        <v>2166.9341894060994</v>
      </c>
      <c r="J188" s="24">
        <v>12640</v>
      </c>
      <c r="K188" s="25">
        <f t="shared" si="100"/>
        <v>1.4446227929373997E-2</v>
      </c>
      <c r="L188" s="94">
        <f>IF(ISNUMBER(J188), $B199 * K188, "")</f>
        <v>2166.9341894060994</v>
      </c>
      <c r="M188" s="92">
        <v>12550</v>
      </c>
      <c r="N188" s="25">
        <f t="shared" si="101"/>
        <v>7.2231139646869984E-3</v>
      </c>
      <c r="O188" s="94">
        <f>IF(ISNUMBER(M188), $B199 * N188, "")</f>
        <v>1083.4670947030497</v>
      </c>
      <c r="Q188" s="147"/>
      <c r="R188" s="148"/>
      <c r="S188" s="149"/>
    </row>
    <row r="189" spans="1:19">
      <c r="A189" s="107" t="s">
        <v>178</v>
      </c>
      <c r="B189" s="108">
        <v>1320</v>
      </c>
      <c r="C189" s="69">
        <v>-1.8587360599999998E-2</v>
      </c>
      <c r="D189" s="13">
        <v>1325</v>
      </c>
      <c r="E189" s="14">
        <f>IF(ISNUMBER(D189), (D189 - $B189) / $B189, "")</f>
        <v>3.787878787878788E-3</v>
      </c>
      <c r="F189" s="16">
        <f>IF(ISNUMBER(D189), $B199 * E189, "")</f>
        <v>568.18181818181824</v>
      </c>
      <c r="G189" s="29">
        <v>1325</v>
      </c>
      <c r="H189" s="14">
        <f>IF(ISNUMBER(G189), (G189 - $B189) / $B189, "")</f>
        <v>3.787878787878788E-3</v>
      </c>
      <c r="I189" s="90">
        <f>IF(ISNUMBER(G189), $B199 * H189, "")</f>
        <v>568.18181818181824</v>
      </c>
      <c r="J189" s="13">
        <v>1325</v>
      </c>
      <c r="K189" s="14">
        <f>IF(ISNUMBER(J189), (J189 - $B189) / $B189, "")</f>
        <v>3.787878787878788E-3</v>
      </c>
      <c r="L189" s="16">
        <f>IF(ISNUMBER(J189), $B199 * K189, "")</f>
        <v>568.18181818181824</v>
      </c>
      <c r="M189" s="29">
        <v>1325</v>
      </c>
      <c r="N189" s="14">
        <f>IF(ISNUMBER(M189), (M189 - $B189) / $B189, "")</f>
        <v>3.787878787878788E-3</v>
      </c>
      <c r="O189" s="16">
        <f>IF(ISNUMBER(M189), $B199 * N189, "")</f>
        <v>568.18181818181824</v>
      </c>
      <c r="Q189" s="150"/>
      <c r="R189" s="151"/>
      <c r="S189" s="152"/>
    </row>
    <row r="190" spans="1:19" ht="17.25" thickBot="1">
      <c r="A190" s="109" t="s">
        <v>345</v>
      </c>
      <c r="B190" s="110">
        <v>105</v>
      </c>
      <c r="C190" s="70">
        <v>-1.8691588799999999E-2</v>
      </c>
      <c r="D190" s="15">
        <v>105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106</v>
      </c>
      <c r="H190" s="32">
        <f t="shared" ref="H190:H193" si="103">IF(ISNUMBER(G190), (G190 - $B190) / $B190, "")</f>
        <v>9.5238095238095247E-3</v>
      </c>
      <c r="I190" s="91">
        <f>IF(ISNUMBER(G190), $B199 * H190, "")</f>
        <v>1428.5714285714287</v>
      </c>
      <c r="J190" s="15">
        <v>106</v>
      </c>
      <c r="K190" s="32">
        <f t="shared" ref="K190:K193" si="104">IF(ISNUMBER(J190), (J190 - $B190) / $B190, "")</f>
        <v>9.5238095238095247E-3</v>
      </c>
      <c r="L190" s="18">
        <f>IF(ISNUMBER(J190), $B199 * K190, "")</f>
        <v>1428.5714285714287</v>
      </c>
      <c r="M190" s="31">
        <v>106</v>
      </c>
      <c r="N190" s="32">
        <f t="shared" ref="N190:N193" si="105">IF(ISNUMBER(M190), (M190 - $B190) / $B190, "")</f>
        <v>9.5238095238095247E-3</v>
      </c>
      <c r="O190" s="18">
        <f>IF(ISNUMBER(M190), $B199 * N190, "")</f>
        <v>1428.5714285714287</v>
      </c>
      <c r="Q190" s="153"/>
      <c r="R190" s="154"/>
      <c r="S190" s="155"/>
    </row>
    <row r="191" spans="1:19" ht="17.25" thickBot="1">
      <c r="A191" s="109" t="s">
        <v>347</v>
      </c>
      <c r="B191" s="110">
        <v>13640</v>
      </c>
      <c r="C191" s="70">
        <v>-1.9410495999999999E-2</v>
      </c>
      <c r="D191" s="15">
        <v>13690</v>
      </c>
      <c r="E191" s="32">
        <f t="shared" si="102"/>
        <v>3.6656891495601175E-3</v>
      </c>
      <c r="F191" s="18">
        <f>IF(ISNUMBER(D191), $B199 * E191, "")</f>
        <v>549.85337243401761</v>
      </c>
      <c r="G191" s="31">
        <v>13680</v>
      </c>
      <c r="H191" s="32">
        <f t="shared" si="103"/>
        <v>2.9325513196480938E-3</v>
      </c>
      <c r="I191" s="91">
        <f>IF(ISNUMBER(G191), $B199 * H191, "")</f>
        <v>439.88269794721407</v>
      </c>
      <c r="J191" s="15">
        <v>13680</v>
      </c>
      <c r="K191" s="32">
        <f t="shared" si="104"/>
        <v>2.9325513196480938E-3</v>
      </c>
      <c r="L191" s="18">
        <f>IF(ISNUMBER(J191), $B199 * K191, "")</f>
        <v>439.88269794721407</v>
      </c>
      <c r="M191" s="31">
        <v>13690</v>
      </c>
      <c r="N191" s="32">
        <f t="shared" si="105"/>
        <v>3.6656891495601175E-3</v>
      </c>
      <c r="O191" s="18">
        <f>IF(ISNUMBER(M191), $B199 * N191, "")</f>
        <v>549.85337243401761</v>
      </c>
      <c r="Q191" s="146"/>
      <c r="R191" s="146"/>
      <c r="S191" s="146"/>
    </row>
    <row r="192" spans="1:19" ht="17.25" thickBot="1">
      <c r="A192" s="109" t="s">
        <v>211</v>
      </c>
      <c r="B192" s="110">
        <v>899</v>
      </c>
      <c r="C192" s="70">
        <v>-1.9629225699999999E-2</v>
      </c>
      <c r="D192" s="15">
        <v>900</v>
      </c>
      <c r="E192" s="32">
        <f t="shared" si="102"/>
        <v>1.1123470522803114E-3</v>
      </c>
      <c r="F192" s="18">
        <f>IF(ISNUMBER(D192), $B199 * E192, "")</f>
        <v>166.85205784204672</v>
      </c>
      <c r="G192" s="31">
        <v>908</v>
      </c>
      <c r="H192" s="32">
        <f t="shared" si="103"/>
        <v>1.0011123470522803E-2</v>
      </c>
      <c r="I192" s="91">
        <f>IF(ISNUMBER(G192), $B199 * H192, "")</f>
        <v>1501.6685205784204</v>
      </c>
      <c r="J192" s="15">
        <v>908</v>
      </c>
      <c r="K192" s="32">
        <f t="shared" si="104"/>
        <v>1.0011123470522803E-2</v>
      </c>
      <c r="L192" s="18">
        <f>IF(ISNUMBER(J192), $B199 * K192, "")</f>
        <v>1501.6685205784204</v>
      </c>
      <c r="M192" s="31">
        <v>908</v>
      </c>
      <c r="N192" s="32">
        <f t="shared" si="105"/>
        <v>1.0011123470522803E-2</v>
      </c>
      <c r="O192" s="18">
        <f>IF(ISNUMBER(M192), $B199 * N192, "")</f>
        <v>1501.6685205784204</v>
      </c>
      <c r="Q192" s="156"/>
      <c r="R192" s="156"/>
      <c r="S192" s="156"/>
    </row>
    <row r="193" spans="1:19" ht="17.25" thickBot="1">
      <c r="A193" s="111" t="s">
        <v>161</v>
      </c>
      <c r="B193" s="112">
        <v>268</v>
      </c>
      <c r="C193" s="71">
        <v>-2.1897810199999999E-2</v>
      </c>
      <c r="D193" s="20">
        <v>269</v>
      </c>
      <c r="E193" s="21">
        <f t="shared" si="102"/>
        <v>3.7313432835820895E-3</v>
      </c>
      <c r="F193" s="22">
        <f>IF(ISNUMBER(D193), $B199 * E193, "")</f>
        <v>559.70149253731347</v>
      </c>
      <c r="G193" s="30">
        <v>270</v>
      </c>
      <c r="H193" s="21">
        <f t="shared" si="103"/>
        <v>7.462686567164179E-3</v>
      </c>
      <c r="I193" s="95">
        <f>IF(ISNUMBER(G193), $B199 * H193, "")</f>
        <v>1119.4029850746269</v>
      </c>
      <c r="J193" s="20">
        <v>270</v>
      </c>
      <c r="K193" s="21">
        <f t="shared" si="104"/>
        <v>7.462686567164179E-3</v>
      </c>
      <c r="L193" s="22">
        <f>IF(ISNUMBER(J193), $B199 * K193, "")</f>
        <v>1119.4029850746269</v>
      </c>
      <c r="M193" s="30">
        <v>271</v>
      </c>
      <c r="N193" s="21">
        <f t="shared" si="105"/>
        <v>1.1194029850746268E-2</v>
      </c>
      <c r="O193" s="22">
        <f>IF(ISNUMBER(M193), $B199 * N193, "")</f>
        <v>1679.1044776119402</v>
      </c>
      <c r="Q193" s="156"/>
      <c r="R193" s="156"/>
      <c r="S193" s="156"/>
    </row>
    <row r="194" spans="1:19" ht="17.25" thickBot="1">
      <c r="A194" s="109" t="s">
        <v>151</v>
      </c>
      <c r="B194" s="113">
        <v>1630</v>
      </c>
      <c r="C194" s="73">
        <v>-2.39520958E-2</v>
      </c>
      <c r="D194" s="96">
        <v>1635</v>
      </c>
      <c r="E194" s="97">
        <f>IF(ISNUMBER(D194), (D194 - $B194) / $B194, "")</f>
        <v>3.0674846625766872E-3</v>
      </c>
      <c r="F194" s="98">
        <f>IF(ISNUMBER(D194), $B199 * E194, "")</f>
        <v>460.12269938650309</v>
      </c>
      <c r="G194" s="99">
        <v>1645</v>
      </c>
      <c r="H194" s="97">
        <f>IF(ISNUMBER(G194), (G194 - $B194) / $B194, "")</f>
        <v>9.202453987730062E-3</v>
      </c>
      <c r="I194" s="100">
        <f>IF(ISNUMBER(G194), $B199 * H194, "")</f>
        <v>1380.3680981595094</v>
      </c>
      <c r="J194" s="96">
        <v>1645</v>
      </c>
      <c r="K194" s="97">
        <f>IF(ISNUMBER(J194), (J194 - $B194) / $B194, "")</f>
        <v>9.202453987730062E-3</v>
      </c>
      <c r="L194" s="98">
        <f>IF(ISNUMBER(J194), $B199 * K194, "")</f>
        <v>1380.3680981595094</v>
      </c>
      <c r="M194" s="99">
        <v>1640</v>
      </c>
      <c r="N194" s="97">
        <f>IF(ISNUMBER(M194), (M194 - $B194) / $B194, "")</f>
        <v>6.1349693251533744E-3</v>
      </c>
      <c r="O194" s="98">
        <f>IF(ISNUMBER(M194), $B199 * N194, "")</f>
        <v>920.24539877300617</v>
      </c>
      <c r="Q194" s="146"/>
      <c r="R194" s="146"/>
      <c r="S194" s="146"/>
    </row>
    <row r="195" spans="1:19" ht="17.25" thickBot="1">
      <c r="A195" s="109" t="s">
        <v>349</v>
      </c>
      <c r="B195" s="110">
        <v>20.100000000000001</v>
      </c>
      <c r="C195" s="70">
        <v>-2.42718447E-2</v>
      </c>
      <c r="D195" s="15">
        <v>20.100000000000001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20.2</v>
      </c>
      <c r="H195" s="32">
        <f t="shared" ref="H195:H198" si="107">IF(ISNUMBER(G195), (G195 - $B195) / $B195, "")</f>
        <v>4.975124378109346E-3</v>
      </c>
      <c r="I195" s="91">
        <f>IF(ISNUMBER(G195), $B199 * H195, "")</f>
        <v>746.26865671640189</v>
      </c>
      <c r="J195" s="15">
        <v>20.2</v>
      </c>
      <c r="K195" s="32">
        <f t="shared" ref="K195:K198" si="108">IF(ISNUMBER(J195), (J195 - $B195) / $B195, "")</f>
        <v>4.975124378109346E-3</v>
      </c>
      <c r="L195" s="18">
        <f>IF(ISNUMBER(J195), $B199 * K195, "")</f>
        <v>746.26865671640189</v>
      </c>
      <c r="M195" s="31">
        <v>20.100000000000001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146"/>
      <c r="R195" s="146"/>
      <c r="S195" s="146"/>
    </row>
    <row r="196" spans="1:19" ht="17.25" thickBot="1">
      <c r="A196" s="109" t="s">
        <v>350</v>
      </c>
      <c r="B196" s="110">
        <v>5.47</v>
      </c>
      <c r="C196" s="70">
        <v>-3.0141844000000001E-2</v>
      </c>
      <c r="D196" s="15">
        <v>5.51</v>
      </c>
      <c r="E196" s="32">
        <f t="shared" si="106"/>
        <v>7.3126142595978131E-3</v>
      </c>
      <c r="F196" s="18">
        <f>IF(ISNUMBER(D196), $B199 * E196, "")</f>
        <v>1096.8921389396719</v>
      </c>
      <c r="G196" s="31">
        <v>5.6</v>
      </c>
      <c r="H196" s="32">
        <f t="shared" si="107"/>
        <v>2.3765996343692853E-2</v>
      </c>
      <c r="I196" s="91">
        <f>IF(ISNUMBER(G196), $B199 * H196, "")</f>
        <v>3564.899451553928</v>
      </c>
      <c r="J196" s="15">
        <v>5.6</v>
      </c>
      <c r="K196" s="32">
        <f t="shared" si="108"/>
        <v>2.3765996343692853E-2</v>
      </c>
      <c r="L196" s="18">
        <f>IF(ISNUMBER(J196), $B199 * K196, "")</f>
        <v>3564.899451553928</v>
      </c>
      <c r="M196" s="31">
        <v>5.54</v>
      </c>
      <c r="N196" s="32">
        <f t="shared" si="109"/>
        <v>1.2797074954296214E-2</v>
      </c>
      <c r="O196" s="18">
        <f>IF(ISNUMBER(M196), $B199 * N196, "")</f>
        <v>1919.561243144432</v>
      </c>
      <c r="Q196" s="146"/>
      <c r="R196" s="146"/>
      <c r="S196" s="146"/>
    </row>
    <row r="197" spans="1:19">
      <c r="A197" s="109" t="s">
        <v>113</v>
      </c>
      <c r="B197" s="110">
        <v>1050</v>
      </c>
      <c r="C197" s="70">
        <v>-4.1095890400000001E-2</v>
      </c>
      <c r="D197" s="15">
        <v>1050</v>
      </c>
      <c r="E197" s="32">
        <f t="shared" si="106"/>
        <v>0</v>
      </c>
      <c r="F197" s="18">
        <f>IF(ISNUMBER(D197), $B199 * E197, "")</f>
        <v>0</v>
      </c>
      <c r="G197" s="31">
        <v>1055</v>
      </c>
      <c r="H197" s="32">
        <f t="shared" si="107"/>
        <v>4.7619047619047623E-3</v>
      </c>
      <c r="I197" s="91">
        <f>IF(ISNUMBER(G197), $B199 * H197, "")</f>
        <v>714.28571428571433</v>
      </c>
      <c r="J197" s="15">
        <v>1055</v>
      </c>
      <c r="K197" s="32">
        <f t="shared" si="108"/>
        <v>4.7619047619047623E-3</v>
      </c>
      <c r="L197" s="18">
        <f>IF(ISNUMBER(J197), $B199 * K197, "")</f>
        <v>714.28571428571433</v>
      </c>
      <c r="M197" s="31">
        <v>1055</v>
      </c>
      <c r="N197" s="32">
        <f t="shared" si="109"/>
        <v>4.7619047619047623E-3</v>
      </c>
      <c r="O197" s="18">
        <f>IF(ISNUMBER(M197), $B199 * N197, "")</f>
        <v>714.28571428571433</v>
      </c>
      <c r="Q197" s="135"/>
      <c r="R197" s="136"/>
      <c r="S197" s="137"/>
    </row>
    <row r="198" spans="1:19" ht="17.25" thickBot="1">
      <c r="A198" s="114" t="s">
        <v>116</v>
      </c>
      <c r="B198" s="115">
        <v>940</v>
      </c>
      <c r="C198" s="72">
        <v>-5.9059059099999998E-2</v>
      </c>
      <c r="D198" s="24">
        <v>938</v>
      </c>
      <c r="E198" s="25">
        <f t="shared" si="106"/>
        <v>-2.1276595744680851E-3</v>
      </c>
      <c r="F198" s="94">
        <f>IF(ISNUMBER(D198), $B199 * E198, "")</f>
        <v>-319.14893617021278</v>
      </c>
      <c r="G198" s="92">
        <v>935</v>
      </c>
      <c r="H198" s="25">
        <f t="shared" si="107"/>
        <v>-5.3191489361702126E-3</v>
      </c>
      <c r="I198" s="93">
        <f>IF(ISNUMBER(G198), $B199 * H198, "")</f>
        <v>-797.87234042553189</v>
      </c>
      <c r="J198" s="24">
        <v>935</v>
      </c>
      <c r="K198" s="25">
        <f t="shared" si="108"/>
        <v>-5.3191489361702126E-3</v>
      </c>
      <c r="L198" s="94">
        <f>IF(ISNUMBER(J198), $B199 * K198, "")</f>
        <v>-797.87234042553189</v>
      </c>
      <c r="M198" s="92">
        <v>928</v>
      </c>
      <c r="N198" s="25">
        <f t="shared" si="109"/>
        <v>-1.276595744680851E-2</v>
      </c>
      <c r="O198" s="94">
        <f>IF(ISNUMBER(M198), $B199 * N198, "")</f>
        <v>-1914.8936170212764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3.1587483080544169E-3</v>
      </c>
      <c r="F199" s="28">
        <f>SUM(F179:F198)</f>
        <v>9476.2449241632512</v>
      </c>
      <c r="G199" s="26" t="s">
        <v>258</v>
      </c>
      <c r="H199" s="27">
        <f>IF(COUNT(H179:H198), SUM(H179:H198) / COUNT(H179:H198), 0)</f>
        <v>8.2384203696353638E-3</v>
      </c>
      <c r="I199" s="28">
        <f>SUM(I179:I198)</f>
        <v>24715.261108906088</v>
      </c>
      <c r="J199" s="26" t="s">
        <v>258</v>
      </c>
      <c r="K199" s="27">
        <f>IF(COUNT(K179:K198), SUM(K179:K198) / COUNT(K179:K198), 0)</f>
        <v>8.2384203696353638E-3</v>
      </c>
      <c r="L199" s="28">
        <f>SUM(L179:L198)</f>
        <v>24715.261108906088</v>
      </c>
      <c r="M199" s="26" t="s">
        <v>258</v>
      </c>
      <c r="N199" s="27">
        <f>IF(COUNT(N179:N198), SUM(N179:N198) / COUNT(N179:N198), 0)</f>
        <v>6.5094314048615431E-3</v>
      </c>
      <c r="O199" s="28">
        <f>SUM(O179:O198)</f>
        <v>19528.294214584628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6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17" priority="157">
      <formula>AND($N17 &gt; 0, ISNUMBER($N17))</formula>
    </cfRule>
    <cfRule type="expression" dxfId="4616" priority="158">
      <formula>AND($N17 = 0 * ISNUMBER($N17))</formula>
    </cfRule>
    <cfRule type="expression" dxfId="4615" priority="159">
      <formula>AND($N17 &lt; 0, ISNUMBER($N17))</formula>
    </cfRule>
  </conditionalFormatting>
  <conditionalFormatting sqref="A17:F36">
    <cfRule type="expression" dxfId="4614" priority="166">
      <formula>AND($E17 &gt; 0, ISNUMBER($E17))</formula>
    </cfRule>
    <cfRule type="expression" dxfId="4613" priority="167">
      <formula>AND($E17 = 0 * ISNUMBER($E17))</formula>
    </cfRule>
    <cfRule type="expression" dxfId="4612" priority="168">
      <formula>AND($E17 &lt; 0, ISNUMBER($E17))</formula>
    </cfRule>
  </conditionalFormatting>
  <conditionalFormatting sqref="A17:C36 G17:I36">
    <cfRule type="expression" dxfId="4611" priority="163">
      <formula>AND($H17 &gt; 0, ISNUMBER($H17))</formula>
    </cfRule>
    <cfRule type="expression" dxfId="4610" priority="164">
      <formula>AND($H17 = 0 * ISNUMBER($H17))</formula>
    </cfRule>
    <cfRule type="expression" dxfId="4609" priority="165">
      <formula>AND($H17 &lt; 0, ISNUMBER($H17))</formula>
    </cfRule>
  </conditionalFormatting>
  <conditionalFormatting sqref="A17:C36 J17:L36">
    <cfRule type="expression" dxfId="4608" priority="160">
      <formula>AND($K17 &gt; 0, ISNUMBER($K17))</formula>
    </cfRule>
    <cfRule type="expression" dxfId="4607" priority="161">
      <formula>AND($K17 = 0 * ISNUMBER($K17))</formula>
    </cfRule>
    <cfRule type="expression" dxfId="4606" priority="162">
      <formula>AND($K17 &lt; 0, ISNUMBER($K17))</formula>
    </cfRule>
  </conditionalFormatting>
  <conditionalFormatting sqref="D15:F16 E37:F37">
    <cfRule type="expression" dxfId="4605" priority="154">
      <formula>$E$37 &gt; 0</formula>
    </cfRule>
    <cfRule type="expression" dxfId="4604" priority="155">
      <formula>$E$37 = 0</formula>
    </cfRule>
    <cfRule type="expression" dxfId="4603" priority="156">
      <formula>$E$37 &lt; 0</formula>
    </cfRule>
  </conditionalFormatting>
  <conditionalFormatting sqref="G15:I16 H37:I37">
    <cfRule type="expression" dxfId="4602" priority="151">
      <formula>$H$37 &gt; 0</formula>
    </cfRule>
    <cfRule type="expression" dxfId="4601" priority="152">
      <formula>$H$37 = 0</formula>
    </cfRule>
    <cfRule type="expression" dxfId="4600" priority="153">
      <formula>$H$37 &lt; 0</formula>
    </cfRule>
  </conditionalFormatting>
  <conditionalFormatting sqref="J15:L16 K37:L37">
    <cfRule type="expression" dxfId="4599" priority="148">
      <formula>$K$37 &gt; 0</formula>
    </cfRule>
    <cfRule type="expression" dxfId="4598" priority="149">
      <formula>$K$37 = 0</formula>
    </cfRule>
    <cfRule type="expression" dxfId="4597" priority="150">
      <formula>$K$37 &lt; 0</formula>
    </cfRule>
  </conditionalFormatting>
  <conditionalFormatting sqref="M15:O16 N37:O37">
    <cfRule type="expression" dxfId="4596" priority="145">
      <formula>$N$37 &gt; 0</formula>
    </cfRule>
    <cfRule type="expression" dxfId="4595" priority="146">
      <formula>$N$37 = 0</formula>
    </cfRule>
    <cfRule type="expression" dxfId="4594" priority="147">
      <formula>$N$37 &lt; 0</formula>
    </cfRule>
  </conditionalFormatting>
  <conditionalFormatting sqref="A44:C63 M44:O63">
    <cfRule type="expression" dxfId="4593" priority="133">
      <formula>AND($N44 &gt; 0, ISNUMBER($N44))</formula>
    </cfRule>
    <cfRule type="expression" dxfId="4592" priority="134">
      <formula>AND($N44 = 0 * ISNUMBER($N44))</formula>
    </cfRule>
    <cfRule type="expression" dxfId="4591" priority="135">
      <formula>AND($N44 &lt; 0, ISNUMBER($N44))</formula>
    </cfRule>
  </conditionalFormatting>
  <conditionalFormatting sqref="A44:F63">
    <cfRule type="expression" dxfId="4590" priority="142">
      <formula>AND($E44 &gt; 0, ISNUMBER($E44))</formula>
    </cfRule>
    <cfRule type="expression" dxfId="4589" priority="143">
      <formula>AND($E44 = 0 * ISNUMBER($E44))</formula>
    </cfRule>
    <cfRule type="expression" dxfId="4588" priority="144">
      <formula>AND($E44 &lt; 0, ISNUMBER($E44))</formula>
    </cfRule>
  </conditionalFormatting>
  <conditionalFormatting sqref="A44:C63 G44:I63">
    <cfRule type="expression" dxfId="4587" priority="139">
      <formula>AND($H44 &gt; 0, ISNUMBER($H44))</formula>
    </cfRule>
    <cfRule type="expression" dxfId="4586" priority="140">
      <formula>AND($H44 = 0 * ISNUMBER($H44))</formula>
    </cfRule>
    <cfRule type="expression" dxfId="4585" priority="141">
      <formula>AND($H44 &lt; 0, ISNUMBER($H44))</formula>
    </cfRule>
  </conditionalFormatting>
  <conditionalFormatting sqref="A44:C63 J44:L63">
    <cfRule type="expression" dxfId="4584" priority="136">
      <formula>AND($K44 &gt; 0, ISNUMBER($K44))</formula>
    </cfRule>
    <cfRule type="expression" dxfId="4583" priority="137">
      <formula>AND($K44 = 0 * ISNUMBER($K44))</formula>
    </cfRule>
    <cfRule type="expression" dxfId="4582" priority="138">
      <formula>AND($K44 &lt; 0, ISNUMBER($K44))</formula>
    </cfRule>
  </conditionalFormatting>
  <conditionalFormatting sqref="D42:F43 E64:F64">
    <cfRule type="expression" dxfId="4581" priority="130">
      <formula>$E$64 &gt; 0</formula>
    </cfRule>
    <cfRule type="expression" dxfId="4580" priority="131">
      <formula>$E$64 = 0</formula>
    </cfRule>
    <cfRule type="expression" dxfId="4579" priority="132">
      <formula>$E$64 &lt; 0</formula>
    </cfRule>
  </conditionalFormatting>
  <conditionalFormatting sqref="G42:I43 H64:I64">
    <cfRule type="expression" dxfId="4578" priority="127">
      <formula>$H$64 &gt; 0</formula>
    </cfRule>
    <cfRule type="expression" dxfId="4577" priority="128">
      <formula>$H$64 = 0</formula>
    </cfRule>
    <cfRule type="expression" dxfId="4576" priority="129">
      <formula>$H$64 &lt; 0</formula>
    </cfRule>
  </conditionalFormatting>
  <conditionalFormatting sqref="J42:L43 K64:L64">
    <cfRule type="expression" dxfId="4575" priority="124">
      <formula>$K$64 &gt; 0</formula>
    </cfRule>
    <cfRule type="expression" dxfId="4574" priority="125">
      <formula>$K$64 = 0</formula>
    </cfRule>
    <cfRule type="expression" dxfId="4573" priority="126">
      <formula>$K$64 &lt; 0</formula>
    </cfRule>
  </conditionalFormatting>
  <conditionalFormatting sqref="M42:O43 N64:O64">
    <cfRule type="expression" dxfId="4572" priority="121">
      <formula>$N$64 &gt; 0</formula>
    </cfRule>
    <cfRule type="expression" dxfId="4571" priority="122">
      <formula>$N$64 = 0</formula>
    </cfRule>
    <cfRule type="expression" dxfId="4570" priority="123">
      <formula>$N$64 &lt; 0</formula>
    </cfRule>
  </conditionalFormatting>
  <conditionalFormatting sqref="A71:C90 M71:O90">
    <cfRule type="expression" dxfId="4569" priority="109">
      <formula>AND($N71 &gt; 0, ISNUMBER($N71))</formula>
    </cfRule>
    <cfRule type="expression" dxfId="4568" priority="110">
      <formula>AND($N71 = 0 * ISNUMBER($N71))</formula>
    </cfRule>
    <cfRule type="expression" dxfId="4567" priority="111">
      <formula>AND($N71 &lt; 0, ISNUMBER($N71))</formula>
    </cfRule>
  </conditionalFormatting>
  <conditionalFormatting sqref="A71:F90">
    <cfRule type="expression" dxfId="4566" priority="118">
      <formula>AND($E71 &gt; 0, ISNUMBER($E71))</formula>
    </cfRule>
    <cfRule type="expression" dxfId="4565" priority="119">
      <formula>AND($E71 = 0 * ISNUMBER($E71))</formula>
    </cfRule>
    <cfRule type="expression" dxfId="4564" priority="120">
      <formula>AND($E71 &lt; 0, ISNUMBER($E71))</formula>
    </cfRule>
  </conditionalFormatting>
  <conditionalFormatting sqref="A71:C90 G71:I90">
    <cfRule type="expression" dxfId="4563" priority="115">
      <formula>AND($H71 &gt; 0, ISNUMBER($H71))</formula>
    </cfRule>
    <cfRule type="expression" dxfId="4562" priority="116">
      <formula>AND($H71 = 0 * ISNUMBER($H71))</formula>
    </cfRule>
    <cfRule type="expression" dxfId="4561" priority="117">
      <formula>AND($H71 &lt; 0, ISNUMBER($H71))</formula>
    </cfRule>
  </conditionalFormatting>
  <conditionalFormatting sqref="A71:C90 J71:L90">
    <cfRule type="expression" dxfId="4560" priority="112">
      <formula>AND($K71 &gt; 0, ISNUMBER($K71))</formula>
    </cfRule>
    <cfRule type="expression" dxfId="4559" priority="113">
      <formula>AND($K71 = 0 * ISNUMBER($K71))</formula>
    </cfRule>
    <cfRule type="expression" dxfId="4558" priority="114">
      <formula>AND($K71 &lt; 0, ISNUMBER($K71))</formula>
    </cfRule>
  </conditionalFormatting>
  <conditionalFormatting sqref="D69:F70 E91:F91">
    <cfRule type="expression" dxfId="4557" priority="106">
      <formula>$E$91 &gt; 0</formula>
    </cfRule>
    <cfRule type="expression" dxfId="4556" priority="107">
      <formula>$E$91 = 0</formula>
    </cfRule>
    <cfRule type="expression" dxfId="4555" priority="108">
      <formula>$E$91 &lt; 0</formula>
    </cfRule>
  </conditionalFormatting>
  <conditionalFormatting sqref="G69:I70 H91:I91">
    <cfRule type="expression" dxfId="4554" priority="103">
      <formula>$H$91 &gt; 0</formula>
    </cfRule>
    <cfRule type="expression" dxfId="4553" priority="104">
      <formula>$H$91 = 0</formula>
    </cfRule>
    <cfRule type="expression" dxfId="4552" priority="105">
      <formula>$H$91 &lt; 0</formula>
    </cfRule>
  </conditionalFormatting>
  <conditionalFormatting sqref="J69:L70 K91:L91">
    <cfRule type="expression" dxfId="4551" priority="100">
      <formula>$K$91 &gt; 0</formula>
    </cfRule>
    <cfRule type="expression" dxfId="4550" priority="101">
      <formula>$K$91 = 0</formula>
    </cfRule>
    <cfRule type="expression" dxfId="4549" priority="102">
      <formula>$K$91 &lt; 0</formula>
    </cfRule>
  </conditionalFormatting>
  <conditionalFormatting sqref="M69:O70 N91:O91">
    <cfRule type="expression" dxfId="4548" priority="97">
      <formula>$N$91 &gt; 0</formula>
    </cfRule>
    <cfRule type="expression" dxfId="4547" priority="98">
      <formula>$N$91 = 0</formula>
    </cfRule>
    <cfRule type="expression" dxfId="4546" priority="99">
      <formula>$N$91 &lt; 0</formula>
    </cfRule>
  </conditionalFormatting>
  <conditionalFormatting sqref="A98:C117 M98:O117">
    <cfRule type="expression" dxfId="4545" priority="85">
      <formula>AND($N98 &gt; 0, ISNUMBER($N98))</formula>
    </cfRule>
    <cfRule type="expression" dxfId="4544" priority="86">
      <formula>AND($N98 = 0 * ISNUMBER($N98))</formula>
    </cfRule>
    <cfRule type="expression" dxfId="4543" priority="87">
      <formula>AND($N98 &lt; 0, ISNUMBER($N98))</formula>
    </cfRule>
  </conditionalFormatting>
  <conditionalFormatting sqref="A98:F117">
    <cfRule type="expression" dxfId="4542" priority="94">
      <formula>AND($E98 &gt; 0, ISNUMBER($E98))</formula>
    </cfRule>
    <cfRule type="expression" dxfId="4541" priority="95">
      <formula>AND($E98 = 0 * ISNUMBER($E98))</formula>
    </cfRule>
    <cfRule type="expression" dxfId="4540" priority="96">
      <formula>AND($E98 &lt; 0, ISNUMBER($E98))</formula>
    </cfRule>
  </conditionalFormatting>
  <conditionalFormatting sqref="A98:C117 G98:I117">
    <cfRule type="expression" dxfId="4539" priority="91">
      <formula>AND($H98 &gt; 0, ISNUMBER($H98))</formula>
    </cfRule>
    <cfRule type="expression" dxfId="4538" priority="92">
      <formula>AND($H98 = 0 * ISNUMBER($H98))</formula>
    </cfRule>
    <cfRule type="expression" dxfId="4537" priority="93">
      <formula>AND($H98 &lt; 0, ISNUMBER($H98))</formula>
    </cfRule>
  </conditionalFormatting>
  <conditionalFormatting sqref="A98:C117 J98:L117">
    <cfRule type="expression" dxfId="4536" priority="88">
      <formula>AND($K98 &gt; 0, ISNUMBER($K98))</formula>
    </cfRule>
    <cfRule type="expression" dxfId="4535" priority="89">
      <formula>AND($K98 = 0 * ISNUMBER($K98))</formula>
    </cfRule>
    <cfRule type="expression" dxfId="4534" priority="90">
      <formula>AND($K98 &lt; 0, ISNUMBER($K98))</formula>
    </cfRule>
  </conditionalFormatting>
  <conditionalFormatting sqref="D96:F97 E118:F118">
    <cfRule type="expression" dxfId="4533" priority="82">
      <formula>$E$118 &gt; 0</formula>
    </cfRule>
    <cfRule type="expression" dxfId="4532" priority="83">
      <formula>$E$118 = 0</formula>
    </cfRule>
    <cfRule type="expression" dxfId="4531" priority="84">
      <formula>$E$118 &lt; 0</formula>
    </cfRule>
  </conditionalFormatting>
  <conditionalFormatting sqref="G96:I97 H118:I118">
    <cfRule type="expression" dxfId="4530" priority="79">
      <formula>$H$118 &gt; 0</formula>
    </cfRule>
    <cfRule type="expression" dxfId="4529" priority="80">
      <formula>$H$118 = 0</formula>
    </cfRule>
    <cfRule type="expression" dxfId="4528" priority="81">
      <formula>$H$118 &lt; 0</formula>
    </cfRule>
  </conditionalFormatting>
  <conditionalFormatting sqref="J96:L97 K118:L118">
    <cfRule type="expression" dxfId="4527" priority="76">
      <formula>$K$118 &gt; 0</formula>
    </cfRule>
    <cfRule type="expression" dxfId="4526" priority="77">
      <formula>$K$118 = 0</formula>
    </cfRule>
    <cfRule type="expression" dxfId="4525" priority="78">
      <formula>$K$118 &lt; 0</formula>
    </cfRule>
  </conditionalFormatting>
  <conditionalFormatting sqref="M96:O97 N118:O118">
    <cfRule type="expression" dxfId="4524" priority="73">
      <formula>$N$118 &gt; 0</formula>
    </cfRule>
    <cfRule type="expression" dxfId="4523" priority="74">
      <formula>$N$118 = 0</formula>
    </cfRule>
    <cfRule type="expression" dxfId="4522" priority="75">
      <formula>$N$118 &lt; 0</formula>
    </cfRule>
  </conditionalFormatting>
  <conditionalFormatting sqref="A125:C144 M125:O144">
    <cfRule type="expression" dxfId="4521" priority="61">
      <formula>AND($N125 &gt; 0, ISNUMBER($N125))</formula>
    </cfRule>
    <cfRule type="expression" dxfId="4520" priority="62">
      <formula>AND($N125 = 0 * ISNUMBER($N125))</formula>
    </cfRule>
    <cfRule type="expression" dxfId="4519" priority="63">
      <formula>AND($N125 &lt; 0, ISNUMBER($N125))</formula>
    </cfRule>
  </conditionalFormatting>
  <conditionalFormatting sqref="A125:F144">
    <cfRule type="expression" dxfId="4518" priority="70">
      <formula>AND($E125 &gt; 0, ISNUMBER($E125))</formula>
    </cfRule>
    <cfRule type="expression" dxfId="4517" priority="71">
      <formula>AND($E125 = 0 * ISNUMBER($E125))</formula>
    </cfRule>
    <cfRule type="expression" dxfId="4516" priority="72">
      <formula>AND($E125 &lt; 0, ISNUMBER($E125))</formula>
    </cfRule>
  </conditionalFormatting>
  <conditionalFormatting sqref="A125:C144 G125:I144">
    <cfRule type="expression" dxfId="4515" priority="67">
      <formula>AND($H125 &gt; 0, ISNUMBER($H125))</formula>
    </cfRule>
    <cfRule type="expression" dxfId="4514" priority="68">
      <formula>AND($H125 = 0 * ISNUMBER($H125))</formula>
    </cfRule>
    <cfRule type="expression" dxfId="4513" priority="69">
      <formula>AND($H125 &lt; 0, ISNUMBER($H125))</formula>
    </cfRule>
  </conditionalFormatting>
  <conditionalFormatting sqref="A125:C144 J125:L144">
    <cfRule type="expression" dxfId="4512" priority="64">
      <formula>AND($K125 &gt; 0, ISNUMBER($K125))</formula>
    </cfRule>
    <cfRule type="expression" dxfId="4511" priority="65">
      <formula>AND($K125 = 0 * ISNUMBER($K125))</formula>
    </cfRule>
    <cfRule type="expression" dxfId="4510" priority="66">
      <formula>AND($K125 &lt; 0, ISNUMBER($K125))</formula>
    </cfRule>
  </conditionalFormatting>
  <conditionalFormatting sqref="D123:F124 E145:F145">
    <cfRule type="expression" dxfId="4509" priority="58">
      <formula>$E$145 &gt; 0</formula>
    </cfRule>
    <cfRule type="expression" dxfId="4508" priority="59">
      <formula>$E$145 = 0</formula>
    </cfRule>
    <cfRule type="expression" dxfId="4507" priority="60">
      <formula>$E$145 &lt; 0</formula>
    </cfRule>
  </conditionalFormatting>
  <conditionalFormatting sqref="G123:I124 H145:I145">
    <cfRule type="expression" dxfId="4506" priority="55">
      <formula>$H$145 &gt; 0</formula>
    </cfRule>
    <cfRule type="expression" dxfId="4505" priority="56">
      <formula>$H$145 = 0</formula>
    </cfRule>
    <cfRule type="expression" dxfId="4504" priority="57">
      <formula>$H$145 &lt; 0</formula>
    </cfRule>
  </conditionalFormatting>
  <conditionalFormatting sqref="J123:L124 K145:L145">
    <cfRule type="expression" dxfId="4503" priority="52">
      <formula>$K$145 &gt; 0</formula>
    </cfRule>
    <cfRule type="expression" dxfId="4502" priority="53">
      <formula>$K$145 = 0</formula>
    </cfRule>
    <cfRule type="expression" dxfId="4501" priority="54">
      <formula>$K$145 &lt; 0</formula>
    </cfRule>
  </conditionalFormatting>
  <conditionalFormatting sqref="M123:O124 N145:O145">
    <cfRule type="expression" dxfId="4500" priority="49">
      <formula>$N$145 &gt; 0</formula>
    </cfRule>
    <cfRule type="expression" dxfId="4499" priority="50">
      <formula>$N$145 = 0</formula>
    </cfRule>
    <cfRule type="expression" dxfId="4498" priority="51">
      <formula>$N$145 &lt; 0</formula>
    </cfRule>
  </conditionalFormatting>
  <conditionalFormatting sqref="A152:C171 M152:O171">
    <cfRule type="expression" dxfId="4497" priority="37">
      <formula>AND($N152 &gt; 0, ISNUMBER($N152))</formula>
    </cfRule>
    <cfRule type="expression" dxfId="4496" priority="38">
      <formula>AND($N152 = 0 * ISNUMBER($N152))</formula>
    </cfRule>
    <cfRule type="expression" dxfId="4495" priority="39">
      <formula>AND($N152 &lt; 0, ISNUMBER($N152))</formula>
    </cfRule>
  </conditionalFormatting>
  <conditionalFormatting sqref="A152:F171">
    <cfRule type="expression" dxfId="4494" priority="46">
      <formula>AND($E152 &gt; 0, ISNUMBER($E152))</formula>
    </cfRule>
    <cfRule type="expression" dxfId="4493" priority="47">
      <formula>AND($E152 = 0 * ISNUMBER($E152))</formula>
    </cfRule>
    <cfRule type="expression" dxfId="4492" priority="48">
      <formula>AND($E152 &lt; 0, ISNUMBER($E152))</formula>
    </cfRule>
  </conditionalFormatting>
  <conditionalFormatting sqref="A152:C171 G152:I171">
    <cfRule type="expression" dxfId="4491" priority="43">
      <formula>AND($H152 &gt; 0, ISNUMBER($H152))</formula>
    </cfRule>
    <cfRule type="expression" dxfId="4490" priority="44">
      <formula>AND($H152 = 0 * ISNUMBER($H152))</formula>
    </cfRule>
    <cfRule type="expression" dxfId="4489" priority="45">
      <formula>AND($H152 &lt; 0, ISNUMBER($H152))</formula>
    </cfRule>
  </conditionalFormatting>
  <conditionalFormatting sqref="A152:C171 J152:L171">
    <cfRule type="expression" dxfId="4488" priority="40">
      <formula>AND($K152 &gt; 0, ISNUMBER($K152))</formula>
    </cfRule>
    <cfRule type="expression" dxfId="4487" priority="41">
      <formula>AND($K152 = 0 * ISNUMBER($K152))</formula>
    </cfRule>
    <cfRule type="expression" dxfId="4486" priority="42">
      <formula>AND($K152 &lt; 0, ISNUMBER($K152))</formula>
    </cfRule>
  </conditionalFormatting>
  <conditionalFormatting sqref="D150:F151 E172:F172">
    <cfRule type="expression" dxfId="4485" priority="34">
      <formula>$E$172 &gt; 0</formula>
    </cfRule>
    <cfRule type="expression" dxfId="4484" priority="35">
      <formula>$E$172 = 0</formula>
    </cfRule>
    <cfRule type="expression" dxfId="4483" priority="36">
      <formula>$E$172 &lt; 0</formula>
    </cfRule>
  </conditionalFormatting>
  <conditionalFormatting sqref="G150:I151 H172:I172">
    <cfRule type="expression" dxfId="4482" priority="31">
      <formula>$H$172 &gt; 0</formula>
    </cfRule>
    <cfRule type="expression" dxfId="4481" priority="32">
      <formula>$H$172 = 0</formula>
    </cfRule>
    <cfRule type="expression" dxfId="4480" priority="33">
      <formula>$H$172 &lt; 0</formula>
    </cfRule>
  </conditionalFormatting>
  <conditionalFormatting sqref="J150:L151 K172:L172">
    <cfRule type="expression" dxfId="4479" priority="28">
      <formula>$K$172 &gt; 0</formula>
    </cfRule>
    <cfRule type="expression" dxfId="4478" priority="29">
      <formula>$K$172 = 0</formula>
    </cfRule>
    <cfRule type="expression" dxfId="4477" priority="30">
      <formula>$K$172 &lt; 0</formula>
    </cfRule>
  </conditionalFormatting>
  <conditionalFormatting sqref="M150:O151 N172:O172">
    <cfRule type="expression" dxfId="4476" priority="25">
      <formula>$N$172 &gt; 0</formula>
    </cfRule>
    <cfRule type="expression" dxfId="4475" priority="26">
      <formula>$N$172 = 0</formula>
    </cfRule>
    <cfRule type="expression" dxfId="4474" priority="27">
      <formula>$N$172 &lt; 0</formula>
    </cfRule>
  </conditionalFormatting>
  <conditionalFormatting sqref="A179:C198 M179:O198">
    <cfRule type="expression" dxfId="4473" priority="13">
      <formula>AND($N179 &gt; 0, ISNUMBER($N179))</formula>
    </cfRule>
    <cfRule type="expression" dxfId="4472" priority="14">
      <formula>AND($N179 = 0 * ISNUMBER($N179))</formula>
    </cfRule>
    <cfRule type="expression" dxfId="4471" priority="15">
      <formula>AND($N179 &lt; 0, ISNUMBER($N179))</formula>
    </cfRule>
  </conditionalFormatting>
  <conditionalFormatting sqref="A179:F198">
    <cfRule type="expression" dxfId="4470" priority="22">
      <formula>AND($E179 &gt; 0, ISNUMBER($E179))</formula>
    </cfRule>
    <cfRule type="expression" dxfId="4469" priority="23">
      <formula>AND($E179 = 0 * ISNUMBER($E179))</formula>
    </cfRule>
    <cfRule type="expression" dxfId="4468" priority="24">
      <formula>AND($E179 &lt; 0, ISNUMBER($E179))</formula>
    </cfRule>
  </conditionalFormatting>
  <conditionalFormatting sqref="A179:C198 G179:I198">
    <cfRule type="expression" dxfId="4467" priority="19">
      <formula>AND($H179 &gt; 0, ISNUMBER($H179))</formula>
    </cfRule>
    <cfRule type="expression" dxfId="4466" priority="20">
      <formula>AND($H179 = 0 * ISNUMBER($H179))</formula>
    </cfRule>
    <cfRule type="expression" dxfId="4465" priority="21">
      <formula>AND($H179 &lt; 0, ISNUMBER($H179))</formula>
    </cfRule>
  </conditionalFormatting>
  <conditionalFormatting sqref="A179:C198 J179:L198">
    <cfRule type="expression" dxfId="4464" priority="16">
      <formula>AND($K179 &gt; 0, ISNUMBER($K179))</formula>
    </cfRule>
    <cfRule type="expression" dxfId="4463" priority="17">
      <formula>AND($K179 = 0 * ISNUMBER($K179))</formula>
    </cfRule>
    <cfRule type="expression" dxfId="4462" priority="18">
      <formula>AND($K179 &lt; 0, ISNUMBER($K179))</formula>
    </cfRule>
  </conditionalFormatting>
  <conditionalFormatting sqref="D177:F178 E199:F199">
    <cfRule type="expression" dxfId="4461" priority="10">
      <formula>$E$199 &gt; 0</formula>
    </cfRule>
    <cfRule type="expression" dxfId="4460" priority="11">
      <formula>$E$199 = 0</formula>
    </cfRule>
    <cfRule type="expression" dxfId="4459" priority="12">
      <formula>$E$199 &lt; 0</formula>
    </cfRule>
  </conditionalFormatting>
  <conditionalFormatting sqref="G177:I178 H199:I199">
    <cfRule type="expression" dxfId="4458" priority="7">
      <formula>$H$199 &gt; 0</formula>
    </cfRule>
    <cfRule type="expression" dxfId="4457" priority="8">
      <formula>$H$199 = 0</formula>
    </cfRule>
    <cfRule type="expression" dxfId="4456" priority="9">
      <formula>$H$199 &lt; 0</formula>
    </cfRule>
  </conditionalFormatting>
  <conditionalFormatting sqref="J177:L178 K199:L199">
    <cfRule type="expression" dxfId="4455" priority="4">
      <formula>$K$199 &gt; 0</formula>
    </cfRule>
    <cfRule type="expression" dxfId="4454" priority="5">
      <formula>$K$199 = 0</formula>
    </cfRule>
    <cfRule type="expression" dxfId="4453" priority="6">
      <formula>$K$199 &lt; 0</formula>
    </cfRule>
  </conditionalFormatting>
  <conditionalFormatting sqref="M177:O178 N199:O199">
    <cfRule type="expression" dxfId="4452" priority="1">
      <formula>$N$199 &gt; 0</formula>
    </cfRule>
    <cfRule type="expression" dxfId="4451" priority="2">
      <formula>$N$199 = 0</formula>
    </cfRule>
    <cfRule type="expression" dxfId="44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2807-12A3-4EFE-8089-2BF7F30F660D}">
  <sheetPr codeName="Sheet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44928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39,395 KRW (1.31%)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37,541 KRW (1.25%)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54,773 KRW (1.83%)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63,515 KRW (2.12%)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2023-01-02(월) 오전 00:00</v>
      </c>
      <c r="C15" s="196"/>
      <c r="D15" s="170" t="str">
        <f>TEXT($G$1, "[$-ko-KR]yyyy-mm-dd(ddd) ") &amp; "오후 14:00"</f>
        <v>2023-01-02(월) 오후 14:00</v>
      </c>
      <c r="E15" s="171"/>
      <c r="F15" s="172"/>
      <c r="G15" s="170" t="str">
        <f>TEXT($G$1, "[$-ko-KR]yyyy-mm-dd(ddd) ") &amp; "오후 19:00"</f>
        <v>2023-01-02(월) 오후 19:00</v>
      </c>
      <c r="H15" s="171"/>
      <c r="I15" s="172"/>
      <c r="J15" s="170" t="str">
        <f>TEXT($G$1, "[$-ko-KR]yyyy-mm-dd(ddd) ") &amp; "오후 21:00"</f>
        <v>2023-01-02(월) 오후 21:00</v>
      </c>
      <c r="K15" s="171"/>
      <c r="L15" s="172"/>
      <c r="M15" s="170" t="str">
        <f>TEXT($G$1+1, "[$-ko-KR]yyyy-mm-dd(ddd) ") &amp; "오전 00:00"</f>
        <v>2023-01-03(화)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2023-01-02(월) 오전 00:00</v>
      </c>
      <c r="C42" s="198"/>
      <c r="D42" s="170" t="str">
        <f>TEXT($G$1, "[$-ko-KR]yyyy-mm-dd(ddd) ") &amp; "오후 14:00"</f>
        <v>2023-01-02(월) 오후 14:00</v>
      </c>
      <c r="E42" s="171"/>
      <c r="F42" s="172"/>
      <c r="G42" s="170" t="str">
        <f>TEXT($G$1, "[$-ko-KR]yyyy-mm-dd(ddd) ") &amp; "오후 19:00"</f>
        <v>2023-01-02(월) 오후 19:00</v>
      </c>
      <c r="H42" s="171"/>
      <c r="I42" s="172"/>
      <c r="J42" s="170" t="str">
        <f>TEXT($G$1, "[$-ko-KR]yyyy-mm-dd(ddd) ") &amp; "오후 21:00"</f>
        <v>2023-01-02(월) 오후 21:00</v>
      </c>
      <c r="K42" s="171"/>
      <c r="L42" s="172"/>
      <c r="M42" s="170" t="str">
        <f>TEXT($G$1+1, "[$-ko-KR]yyyy-mm-dd(ddd) ") &amp; "오전 00:00"</f>
        <v>2023-01-03(화)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191</v>
      </c>
      <c r="B44" s="108">
        <v>48.9</v>
      </c>
      <c r="C44" s="69">
        <v>8.1858407100000002E-2</v>
      </c>
      <c r="D44" s="13">
        <v>51.8</v>
      </c>
      <c r="E44" s="14">
        <f>IF(ISNUMBER(D44), (D44 - $B44) / $B44, "")</f>
        <v>5.930470347648259E-2</v>
      </c>
      <c r="F44" s="16">
        <f>IF(ISNUMBER(D44), $B64 * E44, "")</f>
        <v>8895.7055214723878</v>
      </c>
      <c r="G44" s="29">
        <v>50.4</v>
      </c>
      <c r="H44" s="14">
        <f>IF(ISNUMBER(G44), (G44 - $B44) / $B44, "")</f>
        <v>3.0674846625766871E-2</v>
      </c>
      <c r="I44" s="90">
        <f>IF(ISNUMBER(G44), $B64 * H44, "")</f>
        <v>4601.2269938650306</v>
      </c>
      <c r="J44" s="13">
        <v>50.3</v>
      </c>
      <c r="K44" s="14">
        <f>IF(ISNUMBER(J44), (J44 - $B44) / $B44, "")</f>
        <v>2.8629856850715719E-2</v>
      </c>
      <c r="L44" s="16">
        <f>IF(ISNUMBER(J44), $B64 * K44, "")</f>
        <v>4294.478527607358</v>
      </c>
      <c r="M44" s="29">
        <v>50.2</v>
      </c>
      <c r="N44" s="14">
        <f>IF(ISNUMBER(M44), (M44 - $B44) / $B44, "")</f>
        <v>2.6584867075664709E-2</v>
      </c>
      <c r="O44" s="16">
        <f>IF(ISNUMBER(M44), $B64 * N44, "")</f>
        <v>3987.7300613497064</v>
      </c>
      <c r="Q44" s="156"/>
      <c r="R44" s="156"/>
      <c r="S44" s="156"/>
    </row>
    <row r="45" spans="1:19" ht="17.25" customHeight="1" thickBot="1">
      <c r="A45" s="109" t="s">
        <v>71</v>
      </c>
      <c r="B45" s="110">
        <v>9.81</v>
      </c>
      <c r="C45" s="70">
        <v>4.02969247E-2</v>
      </c>
      <c r="D45" s="15">
        <v>9.9499999999999993</v>
      </c>
      <c r="E45" s="32">
        <f t="shared" ref="E45:E48" si="14">IF(ISNUMBER(D45), (D45 - $B45) / $B45, "")</f>
        <v>1.4271151885830662E-2</v>
      </c>
      <c r="F45" s="18">
        <f>IF(ISNUMBER(D45), $B64 * E45, "")</f>
        <v>2140.6727828745993</v>
      </c>
      <c r="G45" s="31">
        <v>9.93</v>
      </c>
      <c r="H45" s="32">
        <f t="shared" ref="H45:H48" si="15">IF(ISNUMBER(G45), (G45 - $B45) / $B45, "")</f>
        <v>1.2232415902140593E-2</v>
      </c>
      <c r="I45" s="91">
        <f>IF(ISNUMBER(G45), $B64 * H45, "")</f>
        <v>1834.8623853210891</v>
      </c>
      <c r="J45" s="15">
        <v>9.93</v>
      </c>
      <c r="K45" s="32">
        <f t="shared" ref="K45:K48" si="16">IF(ISNUMBER(J45), (J45 - $B45) / $B45, "")</f>
        <v>1.2232415902140593E-2</v>
      </c>
      <c r="L45" s="18">
        <f>IF(ISNUMBER(J45), $B64 * K45, "")</f>
        <v>1834.8623853210891</v>
      </c>
      <c r="M45" s="31">
        <v>9.92</v>
      </c>
      <c r="N45" s="32">
        <f t="shared" ref="N45:N48" si="17">IF(ISNUMBER(M45), (M45 - $B45) / $B45, "")</f>
        <v>1.1213047910295558E-2</v>
      </c>
      <c r="O45" s="18">
        <f>IF(ISNUMBER(M45), $B64 * N45, "")</f>
        <v>1681.9571865443338</v>
      </c>
      <c r="Q45" s="156"/>
      <c r="R45" s="156"/>
      <c r="S45" s="156"/>
    </row>
    <row r="46" spans="1:19" ht="17.25" customHeight="1" thickBot="1">
      <c r="A46" s="109" t="s">
        <v>205</v>
      </c>
      <c r="B46" s="110">
        <v>90.3</v>
      </c>
      <c r="C46" s="70">
        <v>2.61363636E-2</v>
      </c>
      <c r="D46" s="15">
        <v>93.8</v>
      </c>
      <c r="E46" s="32">
        <f t="shared" si="14"/>
        <v>3.875968992248062E-2</v>
      </c>
      <c r="F46" s="18">
        <f>IF(ISNUMBER(D46), $B64 * E46, "")</f>
        <v>5813.9534883720926</v>
      </c>
      <c r="G46" s="31">
        <v>91.4</v>
      </c>
      <c r="H46" s="32">
        <f t="shared" si="15"/>
        <v>1.2181616832779718E-2</v>
      </c>
      <c r="I46" s="91">
        <f>IF(ISNUMBER(G46), $B64 * H46, "")</f>
        <v>1827.2425249169576</v>
      </c>
      <c r="J46" s="15">
        <v>91.6</v>
      </c>
      <c r="K46" s="32">
        <f t="shared" si="16"/>
        <v>1.4396456256921342E-2</v>
      </c>
      <c r="L46" s="18">
        <f>IF(ISNUMBER(J46), $B64 * K46, "")</f>
        <v>2159.4684385382011</v>
      </c>
      <c r="M46" s="31">
        <v>91.4</v>
      </c>
      <c r="N46" s="32">
        <f t="shared" si="17"/>
        <v>1.2181616832779718E-2</v>
      </c>
      <c r="O46" s="18">
        <f>IF(ISNUMBER(M46), $B64 * N46, "")</f>
        <v>1827.2425249169576</v>
      </c>
      <c r="Q46" s="146"/>
      <c r="R46" s="146"/>
      <c r="S46" s="146"/>
    </row>
    <row r="47" spans="1:19" ht="17.25" customHeight="1" thickBot="1">
      <c r="A47" s="109" t="s">
        <v>241</v>
      </c>
      <c r="B47" s="110">
        <v>86.9</v>
      </c>
      <c r="C47" s="70">
        <v>2.47641509E-2</v>
      </c>
      <c r="D47" s="15">
        <v>86.8</v>
      </c>
      <c r="E47" s="32">
        <f t="shared" si="14"/>
        <v>-1.1507479861911222E-3</v>
      </c>
      <c r="F47" s="18">
        <f>IF(ISNUMBER(D47), $B64 * E47, "")</f>
        <v>-172.61219792866834</v>
      </c>
      <c r="G47" s="31">
        <v>87.1</v>
      </c>
      <c r="H47" s="32">
        <f t="shared" si="15"/>
        <v>2.3014959723819174E-3</v>
      </c>
      <c r="I47" s="91">
        <f>IF(ISNUMBER(G47), $B64 * H47, "")</f>
        <v>345.22439585728762</v>
      </c>
      <c r="J47" s="15">
        <v>87.2</v>
      </c>
      <c r="K47" s="32">
        <f t="shared" si="16"/>
        <v>3.4522439585730398E-3</v>
      </c>
      <c r="L47" s="18">
        <f>IF(ISNUMBER(J47), $B64 * K47, "")</f>
        <v>517.83659378595598</v>
      </c>
      <c r="M47" s="31">
        <v>87</v>
      </c>
      <c r="N47" s="32">
        <f t="shared" si="17"/>
        <v>1.1507479861909587E-3</v>
      </c>
      <c r="O47" s="18">
        <f>IF(ISNUMBER(M47), $B64 * N47, "")</f>
        <v>172.61219792864381</v>
      </c>
      <c r="Q47" s="146"/>
      <c r="R47" s="146"/>
      <c r="S47" s="146"/>
    </row>
    <row r="48" spans="1:19" ht="17.25" customHeight="1" thickBot="1">
      <c r="A48" s="111" t="s">
        <v>324</v>
      </c>
      <c r="B48" s="112">
        <v>72.400000000000006</v>
      </c>
      <c r="C48" s="71">
        <v>1.68539326E-2</v>
      </c>
      <c r="D48" s="20">
        <v>72.3</v>
      </c>
      <c r="E48" s="21">
        <f t="shared" si="14"/>
        <v>-1.3812154696133774E-3</v>
      </c>
      <c r="F48" s="22">
        <f>IF(ISNUMBER(D48), $B64 * E48, "")</f>
        <v>-207.18232044200661</v>
      </c>
      <c r="G48" s="30">
        <v>73</v>
      </c>
      <c r="H48" s="21">
        <f t="shared" si="15"/>
        <v>8.2872928176794796E-3</v>
      </c>
      <c r="I48" s="95">
        <f>IF(ISNUMBER(G48), $B64 * H48, "")</f>
        <v>1243.093922651922</v>
      </c>
      <c r="J48" s="20">
        <v>73</v>
      </c>
      <c r="K48" s="21">
        <f t="shared" si="16"/>
        <v>8.2872928176794796E-3</v>
      </c>
      <c r="L48" s="22">
        <f>IF(ISNUMBER(J48), $B64 * K48, "")</f>
        <v>1243.093922651922</v>
      </c>
      <c r="M48" s="30">
        <v>72.7</v>
      </c>
      <c r="N48" s="21">
        <f t="shared" si="17"/>
        <v>4.1436464088397398E-3</v>
      </c>
      <c r="O48" s="22">
        <f>IF(ISNUMBER(M48), $B64 * N48, "")</f>
        <v>621.54696132596098</v>
      </c>
      <c r="Q48" s="146"/>
      <c r="R48" s="146"/>
      <c r="S48" s="146"/>
    </row>
    <row r="49" spans="1:19" ht="17.25" customHeight="1" thickBot="1">
      <c r="A49" s="109" t="s">
        <v>209</v>
      </c>
      <c r="B49" s="113">
        <v>70</v>
      </c>
      <c r="C49" s="73">
        <v>1.44927536E-2</v>
      </c>
      <c r="D49" s="96">
        <v>70.5</v>
      </c>
      <c r="E49" s="97">
        <f>IF(ISNUMBER(D49), (D49 - $B49) / $B49, "")</f>
        <v>7.1428571428571426E-3</v>
      </c>
      <c r="F49" s="98">
        <f>IF(ISNUMBER(D49), $B64 * E49, "")</f>
        <v>1071.4285714285713</v>
      </c>
      <c r="G49" s="99">
        <v>70.400000000000006</v>
      </c>
      <c r="H49" s="97">
        <f>IF(ISNUMBER(G49), (G49 - $B49) / $B49, "")</f>
        <v>5.7142857142857958E-3</v>
      </c>
      <c r="I49" s="100">
        <f>IF(ISNUMBER(G49), $B64 * H49, "")</f>
        <v>857.14285714286939</v>
      </c>
      <c r="J49" s="96">
        <v>70.3</v>
      </c>
      <c r="K49" s="97">
        <f>IF(ISNUMBER(J49), (J49 - $B49) / $B49, "")</f>
        <v>4.2857142857142452E-3</v>
      </c>
      <c r="L49" s="98">
        <f>IF(ISNUMBER(J49), $B64 * K49, "")</f>
        <v>642.85714285713675</v>
      </c>
      <c r="M49" s="99">
        <v>70.5</v>
      </c>
      <c r="N49" s="97">
        <f>IF(ISNUMBER(M49), (M49 - $B49) / $B49, "")</f>
        <v>7.1428571428571426E-3</v>
      </c>
      <c r="O49" s="98">
        <f>IF(ISNUMBER(M49), $B64 * N49, "")</f>
        <v>1071.4285714285713</v>
      </c>
      <c r="Q49" s="146"/>
      <c r="R49" s="146"/>
      <c r="S49" s="146"/>
    </row>
    <row r="50" spans="1:19" ht="17.25" customHeight="1" thickBot="1">
      <c r="A50" s="109" t="s">
        <v>323</v>
      </c>
      <c r="B50" s="110">
        <v>2.81E-2</v>
      </c>
      <c r="C50" s="70">
        <v>1.44404332E-2</v>
      </c>
      <c r="D50" s="15">
        <v>2.8000000000000001E-2</v>
      </c>
      <c r="E50" s="32">
        <f t="shared" ref="E50:E53" si="18">IF(ISNUMBER(D50), (D50 - $B50) / $B50, "")</f>
        <v>-3.558718861209943E-3</v>
      </c>
      <c r="F50" s="18">
        <f>IF(ISNUMBER(D50), $B64 * E50, "")</f>
        <v>-533.80782918149146</v>
      </c>
      <c r="G50" s="31">
        <v>2.8500000000000001E-2</v>
      </c>
      <c r="H50" s="32">
        <f t="shared" ref="H50:H53" si="19">IF(ISNUMBER(G50), (G50 - $B50) / $B50, "")</f>
        <v>1.4234875444839895E-2</v>
      </c>
      <c r="I50" s="91">
        <f>IF(ISNUMBER(G50), $B64 * H50, "")</f>
        <v>2135.2313167259845</v>
      </c>
      <c r="J50" s="15">
        <v>2.8199999999999999E-2</v>
      </c>
      <c r="K50" s="32">
        <f t="shared" ref="K50:K53" si="20">IF(ISNUMBER(J50), (J50 - $B50) / $B50, "")</f>
        <v>3.558718861209943E-3</v>
      </c>
      <c r="L50" s="18">
        <f>IF(ISNUMBER(J50), $B64 * K50, "")</f>
        <v>533.80782918149146</v>
      </c>
      <c r="M50" s="31">
        <v>2.8299999999999999E-2</v>
      </c>
      <c r="N50" s="32">
        <f t="shared" ref="N50:N53" si="21">IF(ISNUMBER(M50), (M50 - $B50) / $B50, "")</f>
        <v>7.117437722419886E-3</v>
      </c>
      <c r="O50" s="18">
        <f>IF(ISNUMBER(M50), $B64 * N50, "")</f>
        <v>1067.6156583629829</v>
      </c>
      <c r="Q50" s="146"/>
      <c r="R50" s="146"/>
      <c r="S50" s="146"/>
    </row>
    <row r="51" spans="1:19" ht="17.25" customHeight="1" thickBot="1">
      <c r="A51" s="109" t="s">
        <v>225</v>
      </c>
      <c r="B51" s="110">
        <v>51.2</v>
      </c>
      <c r="C51" s="70">
        <v>1.18577075E-2</v>
      </c>
      <c r="D51" s="15">
        <v>52.1</v>
      </c>
      <c r="E51" s="32">
        <f t="shared" si="18"/>
        <v>1.7578124999999972E-2</v>
      </c>
      <c r="F51" s="18">
        <f>IF(ISNUMBER(D51), $B64 * E51, "")</f>
        <v>2636.7187499999959</v>
      </c>
      <c r="G51" s="31">
        <v>52.5</v>
      </c>
      <c r="H51" s="32">
        <f t="shared" si="19"/>
        <v>2.5390624999999944E-2</v>
      </c>
      <c r="I51" s="91">
        <f>IF(ISNUMBER(G51), $B64 * H51, "")</f>
        <v>3808.5937499999918</v>
      </c>
      <c r="J51" s="15">
        <v>52.2</v>
      </c>
      <c r="K51" s="32">
        <f t="shared" si="20"/>
        <v>1.953125E-2</v>
      </c>
      <c r="L51" s="18">
        <f>IF(ISNUMBER(J51), $B64 * K51, "")</f>
        <v>2929.6875</v>
      </c>
      <c r="M51" s="31">
        <v>51.7</v>
      </c>
      <c r="N51" s="32">
        <f t="shared" si="21"/>
        <v>9.765625E-3</v>
      </c>
      <c r="O51" s="18">
        <f>IF(ISNUMBER(M51), $B64 * N51, "")</f>
        <v>1464.84375</v>
      </c>
      <c r="Q51" s="146"/>
      <c r="R51" s="146"/>
      <c r="S51" s="146"/>
    </row>
    <row r="52" spans="1:19" ht="17.25" customHeight="1" thickBot="1">
      <c r="A52" s="109" t="s">
        <v>138</v>
      </c>
      <c r="B52" s="110">
        <v>19.8</v>
      </c>
      <c r="C52" s="70">
        <v>1.02040816E-2</v>
      </c>
      <c r="D52" s="15">
        <v>19.899999999999999</v>
      </c>
      <c r="E52" s="32">
        <f t="shared" si="18"/>
        <v>5.0505050505049425E-3</v>
      </c>
      <c r="F52" s="18">
        <f>IF(ISNUMBER(D52), $B64 * E52, "")</f>
        <v>757.57575757574136</v>
      </c>
      <c r="G52" s="31">
        <v>20.2</v>
      </c>
      <c r="H52" s="32">
        <f t="shared" si="19"/>
        <v>2.0202020202020131E-2</v>
      </c>
      <c r="I52" s="91">
        <f>IF(ISNUMBER(G52), $B64 * H52, "")</f>
        <v>3030.3030303030196</v>
      </c>
      <c r="J52" s="15">
        <v>20.100000000000001</v>
      </c>
      <c r="K52" s="32">
        <f t="shared" si="20"/>
        <v>1.5151515151515187E-2</v>
      </c>
      <c r="L52" s="18">
        <f>IF(ISNUMBER(J52), $B64 * K52, "")</f>
        <v>2272.727272727278</v>
      </c>
      <c r="M52" s="31">
        <v>20</v>
      </c>
      <c r="N52" s="32">
        <f t="shared" si="21"/>
        <v>1.0101010101010065E-2</v>
      </c>
      <c r="O52" s="18">
        <f>IF(ISNUMBER(M52), $B64 * N52, "")</f>
        <v>1515.1515151515098</v>
      </c>
      <c r="Q52" s="33"/>
      <c r="R52" s="33"/>
    </row>
    <row r="53" spans="1:19" ht="17.25" customHeight="1" thickBot="1">
      <c r="A53" s="114" t="s">
        <v>122</v>
      </c>
      <c r="B53" s="115">
        <v>20.399999999999999</v>
      </c>
      <c r="C53" s="72">
        <v>9.9009900999999997E-3</v>
      </c>
      <c r="D53" s="24">
        <v>20.3</v>
      </c>
      <c r="E53" s="25">
        <f t="shared" si="18"/>
        <v>-4.9019607843136213E-3</v>
      </c>
      <c r="F53" s="94">
        <f>IF(ISNUMBER(D53), $B64 * E53, "")</f>
        <v>-735.29411764704321</v>
      </c>
      <c r="G53" s="92">
        <v>20.6</v>
      </c>
      <c r="H53" s="25">
        <f t="shared" si="19"/>
        <v>9.8039215686275914E-3</v>
      </c>
      <c r="I53" s="93">
        <f>IF(ISNUMBER(G53), $B64 * H53, "")</f>
        <v>1470.5882352941387</v>
      </c>
      <c r="J53" s="24">
        <v>20.6</v>
      </c>
      <c r="K53" s="25">
        <f t="shared" si="20"/>
        <v>9.8039215686275914E-3</v>
      </c>
      <c r="L53" s="94">
        <f>IF(ISNUMBER(J53), $B64 * K53, "")</f>
        <v>1470.5882352941387</v>
      </c>
      <c r="M53" s="92">
        <v>20.399999999999999</v>
      </c>
      <c r="N53" s="25">
        <f t="shared" si="21"/>
        <v>0</v>
      </c>
      <c r="O53" s="94">
        <f>IF(ISNUMBER(M53), $B64 * N53, "")</f>
        <v>0</v>
      </c>
      <c r="Q53" s="147"/>
      <c r="R53" s="148"/>
      <c r="S53" s="149"/>
    </row>
    <row r="54" spans="1:19" ht="17.25" customHeight="1">
      <c r="A54" s="107" t="s">
        <v>51</v>
      </c>
      <c r="B54" s="108">
        <v>91.4</v>
      </c>
      <c r="C54" s="69">
        <v>8.8300220999999995E-3</v>
      </c>
      <c r="D54" s="13">
        <v>91.7</v>
      </c>
      <c r="E54" s="14">
        <f>IF(ISNUMBER(D54), (D54 - $B54) / $B54, "")</f>
        <v>3.2822757111597061E-3</v>
      </c>
      <c r="F54" s="16">
        <f>IF(ISNUMBER(D54), $B64 * E54, "")</f>
        <v>492.34135667395589</v>
      </c>
      <c r="G54" s="29">
        <v>93.4</v>
      </c>
      <c r="H54" s="14">
        <f>IF(ISNUMBER(G54), (G54 - $B54) / $B54, "")</f>
        <v>2.1881838074398249E-2</v>
      </c>
      <c r="I54" s="90">
        <f>IF(ISNUMBER(G54), $B64 * H54, "")</f>
        <v>3282.2757111597375</v>
      </c>
      <c r="J54" s="13">
        <v>92.8</v>
      </c>
      <c r="K54" s="14">
        <f>IF(ISNUMBER(J54), (J54 - $B54) / $B54, "")</f>
        <v>1.531728665207868E-2</v>
      </c>
      <c r="L54" s="16">
        <f>IF(ISNUMBER(J54), $B64 * K54, "")</f>
        <v>2297.592997811802</v>
      </c>
      <c r="M54" s="29">
        <v>93</v>
      </c>
      <c r="N54" s="14">
        <f>IF(ISNUMBER(M54), (M54 - $B54) / $B54, "")</f>
        <v>1.7505470459518536E-2</v>
      </c>
      <c r="O54" s="16">
        <f>IF(ISNUMBER(M54), $B64 * N54, "")</f>
        <v>2625.8205689277806</v>
      </c>
      <c r="Q54" s="150"/>
      <c r="R54" s="151"/>
      <c r="S54" s="152"/>
    </row>
    <row r="55" spans="1:19" ht="17.25" customHeight="1" thickBot="1">
      <c r="A55" s="109" t="s">
        <v>329</v>
      </c>
      <c r="B55" s="110">
        <v>47</v>
      </c>
      <c r="C55" s="70">
        <v>8.5836909999999992E-3</v>
      </c>
      <c r="D55" s="15">
        <v>48.4</v>
      </c>
      <c r="E55" s="32">
        <f t="shared" ref="E55:E58" si="22">IF(ISNUMBER(D55), (D55 - $B55) / $B55, "")</f>
        <v>2.9787234042553162E-2</v>
      </c>
      <c r="F55" s="18">
        <f>IF(ISNUMBER(D55), $B64 * E55, "")</f>
        <v>4468.0851063829741</v>
      </c>
      <c r="G55" s="31">
        <v>49.1</v>
      </c>
      <c r="H55" s="32">
        <f t="shared" ref="H55:H58" si="23">IF(ISNUMBER(G55), (G55 - $B55) / $B55, "")</f>
        <v>4.4680851063829817E-2</v>
      </c>
      <c r="I55" s="91">
        <f>IF(ISNUMBER(G55), $B64 * H55, "")</f>
        <v>6702.127659574473</v>
      </c>
      <c r="J55" s="15">
        <v>49.2</v>
      </c>
      <c r="K55" s="32">
        <f t="shared" ref="K55:K58" si="24">IF(ISNUMBER(J55), (J55 - $B55) / $B55, "")</f>
        <v>4.6808510638297933E-2</v>
      </c>
      <c r="L55" s="18">
        <f>IF(ISNUMBER(J55), $B64 * K55, "")</f>
        <v>7021.27659574469</v>
      </c>
      <c r="M55" s="31">
        <v>48.9</v>
      </c>
      <c r="N55" s="32">
        <f t="shared" ref="N55:N58" si="25">IF(ISNUMBER(M55), (M55 - $B55) / $B55, "")</f>
        <v>4.0425531914893585E-2</v>
      </c>
      <c r="O55" s="18">
        <f>IF(ISNUMBER(M55), $B64 * N55, "")</f>
        <v>6063.8297872340381</v>
      </c>
      <c r="Q55" s="153"/>
      <c r="R55" s="154"/>
      <c r="S55" s="155"/>
    </row>
    <row r="56" spans="1:19" ht="17.25" customHeight="1" thickBot="1">
      <c r="A56" s="109" t="s">
        <v>64</v>
      </c>
      <c r="B56" s="110">
        <v>8.6300000000000008</v>
      </c>
      <c r="C56" s="70">
        <v>5.8275057999999996E-3</v>
      </c>
      <c r="D56" s="15">
        <v>8.82</v>
      </c>
      <c r="E56" s="32">
        <f t="shared" si="22"/>
        <v>2.2016222479721841E-2</v>
      </c>
      <c r="F56" s="18">
        <f>IF(ISNUMBER(D56), $B64 * E56, "")</f>
        <v>3302.433371958276</v>
      </c>
      <c r="G56" s="31">
        <v>8.8699999999999992</v>
      </c>
      <c r="H56" s="32">
        <f t="shared" si="23"/>
        <v>2.7809965237543269E-2</v>
      </c>
      <c r="I56" s="91">
        <f>IF(ISNUMBER(G56), $B64 * H56, "")</f>
        <v>4171.4947856314902</v>
      </c>
      <c r="J56" s="15">
        <v>8.8699999999999992</v>
      </c>
      <c r="K56" s="32">
        <f t="shared" si="24"/>
        <v>2.7809965237543269E-2</v>
      </c>
      <c r="L56" s="18">
        <f>IF(ISNUMBER(J56), $B64 * K56, "")</f>
        <v>4171.4947856314902</v>
      </c>
      <c r="M56" s="31">
        <v>8.83</v>
      </c>
      <c r="N56" s="32">
        <f t="shared" si="25"/>
        <v>2.3174971031286126E-2</v>
      </c>
      <c r="O56" s="18">
        <f>IF(ISNUMBER(M56), $B64 * N56, "")</f>
        <v>3476.2456546929188</v>
      </c>
      <c r="Q56" s="146"/>
      <c r="R56" s="146"/>
      <c r="S56" s="146"/>
    </row>
    <row r="57" spans="1:19" ht="17.25" customHeight="1" thickBot="1">
      <c r="A57" s="109" t="s">
        <v>56</v>
      </c>
      <c r="B57" s="110">
        <v>36.700000000000003</v>
      </c>
      <c r="C57" s="70">
        <v>5.4794520999999997E-3</v>
      </c>
      <c r="D57" s="15">
        <v>36.799999999999997</v>
      </c>
      <c r="E57" s="32">
        <f t="shared" si="22"/>
        <v>2.7247956403268206E-3</v>
      </c>
      <c r="F57" s="18">
        <f>IF(ISNUMBER(D57), $B64 * E57, "")</f>
        <v>408.7193460490231</v>
      </c>
      <c r="G57" s="31">
        <v>37.4</v>
      </c>
      <c r="H57" s="32">
        <f t="shared" si="23"/>
        <v>1.9073569482288711E-2</v>
      </c>
      <c r="I57" s="91">
        <f>IF(ISNUMBER(G57), $B64 * H57, "")</f>
        <v>2861.0354223433064</v>
      </c>
      <c r="J57" s="15">
        <v>37.200000000000003</v>
      </c>
      <c r="K57" s="32">
        <f t="shared" si="24"/>
        <v>1.3623978201634876E-2</v>
      </c>
      <c r="L57" s="18">
        <f>IF(ISNUMBER(J57), $B64 * K57, "")</f>
        <v>2043.5967302452314</v>
      </c>
      <c r="M57" s="31">
        <v>37.1</v>
      </c>
      <c r="N57" s="32">
        <f t="shared" si="25"/>
        <v>1.0899182561307862E-2</v>
      </c>
      <c r="O57" s="18">
        <f>IF(ISNUMBER(M57), $B64 * N57, "")</f>
        <v>1634.8773841961793</v>
      </c>
      <c r="Q57" s="156"/>
      <c r="R57" s="156"/>
      <c r="S57" s="156"/>
    </row>
    <row r="58" spans="1:19" ht="17.25" customHeight="1" thickBot="1">
      <c r="A58" s="111" t="s">
        <v>333</v>
      </c>
      <c r="B58" s="112">
        <v>3.97</v>
      </c>
      <c r="C58" s="71">
        <v>5.0632910999999997E-3</v>
      </c>
      <c r="D58" s="20">
        <v>3.97</v>
      </c>
      <c r="E58" s="21">
        <f t="shared" si="22"/>
        <v>0</v>
      </c>
      <c r="F58" s="22">
        <f>IF(ISNUMBER(D58), $B64 * E58, "")</f>
        <v>0</v>
      </c>
      <c r="G58" s="30">
        <v>4.01</v>
      </c>
      <c r="H58" s="21">
        <f t="shared" si="23"/>
        <v>1.007556675062962E-2</v>
      </c>
      <c r="I58" s="95">
        <f>IF(ISNUMBER(G58), $B64 * H58, "")</f>
        <v>1511.335012594443</v>
      </c>
      <c r="J58" s="20">
        <v>3.98</v>
      </c>
      <c r="K58" s="21">
        <f t="shared" si="24"/>
        <v>2.5188916876573769E-3</v>
      </c>
      <c r="L58" s="22">
        <f>IF(ISNUMBER(J58), $B64 * K58, "")</f>
        <v>377.83375314860655</v>
      </c>
      <c r="M58" s="30">
        <v>3.99</v>
      </c>
      <c r="N58" s="21">
        <f t="shared" si="25"/>
        <v>5.0377833753148657E-3</v>
      </c>
      <c r="O58" s="22">
        <f>IF(ISNUMBER(M58), $B64 * N58, "")</f>
        <v>755.66750629722981</v>
      </c>
      <c r="Q58" s="156"/>
      <c r="R58" s="156"/>
      <c r="S58" s="156"/>
    </row>
    <row r="59" spans="1:19" ht="17.25" customHeight="1" thickBot="1">
      <c r="A59" s="109" t="s">
        <v>185</v>
      </c>
      <c r="B59" s="113">
        <v>22.4</v>
      </c>
      <c r="C59" s="73">
        <v>4.4843048999999996E-3</v>
      </c>
      <c r="D59" s="96">
        <v>22.9</v>
      </c>
      <c r="E59" s="97">
        <f>IF(ISNUMBER(D59), (D59 - $B59) / $B59, "")</f>
        <v>2.2321428571428572E-2</v>
      </c>
      <c r="F59" s="98">
        <f>IF(ISNUMBER(D59), $B64 * E59, "")</f>
        <v>3348.2142857142858</v>
      </c>
      <c r="G59" s="99">
        <v>23</v>
      </c>
      <c r="H59" s="97">
        <f>IF(ISNUMBER(G59), (G59 - $B59) / $B59, "")</f>
        <v>2.678571428571435E-2</v>
      </c>
      <c r="I59" s="100">
        <f>IF(ISNUMBER(G59), $B64 * H59, "")</f>
        <v>4017.8571428571527</v>
      </c>
      <c r="J59" s="96">
        <v>22.9</v>
      </c>
      <c r="K59" s="97">
        <f>IF(ISNUMBER(J59), (J59 - $B59) / $B59, "")</f>
        <v>2.2321428571428572E-2</v>
      </c>
      <c r="L59" s="98">
        <f>IF(ISNUMBER(J59), $B64 * K59, "")</f>
        <v>3348.2142857142858</v>
      </c>
      <c r="M59" s="99">
        <v>23</v>
      </c>
      <c r="N59" s="97">
        <f>IF(ISNUMBER(M59), (M59 - $B59) / $B59, "")</f>
        <v>2.678571428571435E-2</v>
      </c>
      <c r="O59" s="98">
        <f>IF(ISNUMBER(M59), $B64 * N59, "")</f>
        <v>4017.8571428571527</v>
      </c>
      <c r="Q59" s="146"/>
      <c r="R59" s="146"/>
      <c r="S59" s="146"/>
    </row>
    <row r="60" spans="1:19" ht="17.25" customHeight="1" thickBot="1">
      <c r="A60" s="109" t="s">
        <v>155</v>
      </c>
      <c r="B60" s="110">
        <v>23.9</v>
      </c>
      <c r="C60" s="70">
        <v>4.2016807E-3</v>
      </c>
      <c r="D60" s="15">
        <v>23.9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24.2</v>
      </c>
      <c r="H60" s="32">
        <f t="shared" ref="H60:H63" si="27">IF(ISNUMBER(G60), (G60 - $B60) / $B60, "")</f>
        <v>1.2552301255230157E-2</v>
      </c>
      <c r="I60" s="91">
        <f>IF(ISNUMBER(G60), $B64 * H60, "")</f>
        <v>1882.8451882845234</v>
      </c>
      <c r="J60" s="15">
        <v>24.2</v>
      </c>
      <c r="K60" s="32">
        <f t="shared" ref="K60:K63" si="28">IF(ISNUMBER(J60), (J60 - $B60) / $B60, "")</f>
        <v>1.2552301255230157E-2</v>
      </c>
      <c r="L60" s="18">
        <f>IF(ISNUMBER(J60), $B64 * K60, "")</f>
        <v>1882.8451882845234</v>
      </c>
      <c r="M60" s="31">
        <v>24.3</v>
      </c>
      <c r="N60" s="32">
        <f t="shared" ref="N60:N63" si="29">IF(ISNUMBER(M60), (M60 - $B60) / $B60, "")</f>
        <v>1.6736401673640256E-2</v>
      </c>
      <c r="O60" s="18">
        <f>IF(ISNUMBER(M60), $B64 * N60, "")</f>
        <v>2510.4602510460386</v>
      </c>
      <c r="Q60" s="146"/>
      <c r="R60" s="146"/>
      <c r="S60" s="146"/>
    </row>
    <row r="61" spans="1:19" ht="17.25" customHeight="1" thickBot="1">
      <c r="A61" s="109" t="s">
        <v>145</v>
      </c>
      <c r="B61" s="110">
        <v>69.7</v>
      </c>
      <c r="C61" s="70">
        <v>2.8776978000000001E-3</v>
      </c>
      <c r="D61" s="15">
        <v>69.599999999999994</v>
      </c>
      <c r="E61" s="32">
        <f t="shared" si="26"/>
        <v>-1.4347202295553591E-3</v>
      </c>
      <c r="F61" s="18">
        <f>IF(ISNUMBER(D61), $B64 * E61, "")</f>
        <v>-215.20803443330388</v>
      </c>
      <c r="G61" s="31">
        <v>70.400000000000006</v>
      </c>
      <c r="H61" s="32">
        <f t="shared" si="27"/>
        <v>1.0043041606886698E-2</v>
      </c>
      <c r="I61" s="91">
        <f>IF(ISNUMBER(G61), $B64 * H61, "")</f>
        <v>1506.4562410330047</v>
      </c>
      <c r="J61" s="15">
        <v>70.5</v>
      </c>
      <c r="K61" s="32">
        <f t="shared" si="28"/>
        <v>1.1477761836441853E-2</v>
      </c>
      <c r="L61" s="18">
        <f>IF(ISNUMBER(J61), $B64 * K61, "")</f>
        <v>1721.664275466278</v>
      </c>
      <c r="M61" s="31">
        <v>70.2</v>
      </c>
      <c r="N61" s="32">
        <f t="shared" si="29"/>
        <v>7.1736011477761836E-3</v>
      </c>
      <c r="O61" s="18">
        <f>IF(ISNUMBER(M61), $B64 * N61, "")</f>
        <v>1076.0401721664275</v>
      </c>
      <c r="Q61" s="146"/>
      <c r="R61" s="146"/>
      <c r="S61" s="146"/>
    </row>
    <row r="62" spans="1:19" ht="17.25" customHeight="1">
      <c r="A62" s="109" t="s">
        <v>217</v>
      </c>
      <c r="B62" s="110">
        <v>53.3</v>
      </c>
      <c r="C62" s="70">
        <v>1.8796991999999999E-3</v>
      </c>
      <c r="D62" s="15">
        <v>53.2</v>
      </c>
      <c r="E62" s="32">
        <f t="shared" si="26"/>
        <v>-1.8761726078798185E-3</v>
      </c>
      <c r="F62" s="18">
        <f>IF(ISNUMBER(D62), $B64 * E62, "")</f>
        <v>-281.42589118197276</v>
      </c>
      <c r="G62" s="31">
        <v>54</v>
      </c>
      <c r="H62" s="32">
        <f t="shared" si="27"/>
        <v>1.3133208255159529E-2</v>
      </c>
      <c r="I62" s="91">
        <f>IF(ISNUMBER(G62), $B64 * H62, "")</f>
        <v>1969.9812382739294</v>
      </c>
      <c r="J62" s="15">
        <v>54.1</v>
      </c>
      <c r="K62" s="32">
        <f t="shared" si="28"/>
        <v>1.5009380863039481E-2</v>
      </c>
      <c r="L62" s="18">
        <f>IF(ISNUMBER(J62), $B64 * K62, "")</f>
        <v>2251.4071294559221</v>
      </c>
      <c r="M62" s="31">
        <v>54</v>
      </c>
      <c r="N62" s="32">
        <f t="shared" si="29"/>
        <v>1.3133208255159529E-2</v>
      </c>
      <c r="O62" s="18">
        <f>IF(ISNUMBER(M62), $B64 * N62, "")</f>
        <v>1969.9812382739294</v>
      </c>
      <c r="Q62" s="135"/>
      <c r="R62" s="136"/>
      <c r="S62" s="137"/>
    </row>
    <row r="63" spans="1:19" ht="17.25" customHeight="1" thickBot="1">
      <c r="A63" s="114" t="s">
        <v>97</v>
      </c>
      <c r="B63" s="115">
        <v>8.0000000000000004E-4</v>
      </c>
      <c r="C63" s="72">
        <v>0</v>
      </c>
      <c r="D63" s="24">
        <v>8.0000000000000004E-4</v>
      </c>
      <c r="E63" s="25">
        <f t="shared" si="26"/>
        <v>0</v>
      </c>
      <c r="F63" s="94">
        <f>IF(ISNUMBER(D63), $B64 * E63, "")</f>
        <v>0</v>
      </c>
      <c r="G63" s="92">
        <v>6.9999999999999999E-4</v>
      </c>
      <c r="H63" s="25">
        <f t="shared" si="27"/>
        <v>-0.12500000000000006</v>
      </c>
      <c r="I63" s="93">
        <f>IF(ISNUMBER(G63), $B64 * H63, "")</f>
        <v>-18750.000000000007</v>
      </c>
      <c r="J63" s="24">
        <v>8.0000000000000004E-4</v>
      </c>
      <c r="K63" s="25">
        <f t="shared" si="28"/>
        <v>0</v>
      </c>
      <c r="L63" s="94">
        <f>IF(ISNUMBER(J63), $B64 * K63, "")</f>
        <v>0</v>
      </c>
      <c r="M63" s="92">
        <v>8.0000000000000004E-4</v>
      </c>
      <c r="N63" s="25">
        <f t="shared" si="29"/>
        <v>0</v>
      </c>
      <c r="O63" s="94">
        <f>IF(ISNUMBER(M63), $B64 * N63, "")</f>
        <v>0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1.0396772649229141E-2</v>
      </c>
      <c r="F64" s="28">
        <f>SUM(F44:F63)</f>
        <v>31190.317947687414</v>
      </c>
      <c r="G64" s="26" t="s">
        <v>258</v>
      </c>
      <c r="H64" s="27">
        <f>IF(COUNT(H44:H63), SUM(H44:H63) / COUNT(H44:H63), 0)</f>
        <v>1.010297260461011E-2</v>
      </c>
      <c r="I64" s="28">
        <f>SUM(I44:I63)</f>
        <v>30308.917813830354</v>
      </c>
      <c r="J64" s="26" t="s">
        <v>258</v>
      </c>
      <c r="K64" s="27">
        <f>IF(COUNT(K44:K63), SUM(K44:K63) / COUNT(K44:K63), 0)</f>
        <v>1.4338444529822464E-2</v>
      </c>
      <c r="L64" s="28">
        <f>SUM(L44:L63)</f>
        <v>43015.333589467395</v>
      </c>
      <c r="M64" s="26" t="s">
        <v>258</v>
      </c>
      <c r="N64" s="27">
        <f>IF(COUNT(N44:N63), SUM(N44:N63) / COUNT(N44:N63), 0)</f>
        <v>1.2513636044233455E-2</v>
      </c>
      <c r="O64" s="28">
        <f>SUM(O44:O63)</f>
        <v>37540.908132700366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2023-01-02(월) 오전 00:00</v>
      </c>
      <c r="C69" s="198"/>
      <c r="D69" s="170" t="str">
        <f>TEXT($G$1, "[$-ko-KR]yyyy-mm-dd(ddd) ") &amp; "오후 14:00"</f>
        <v>2023-01-02(월) 오후 14:00</v>
      </c>
      <c r="E69" s="171"/>
      <c r="F69" s="172"/>
      <c r="G69" s="170" t="str">
        <f>TEXT($G$1, "[$-ko-KR]yyyy-mm-dd(ddd) ") &amp; "오후 19:00"</f>
        <v>2023-01-02(월) 오후 19:00</v>
      </c>
      <c r="H69" s="171"/>
      <c r="I69" s="172"/>
      <c r="J69" s="170" t="str">
        <f>TEXT($G$1, "[$-ko-KR]yyyy-mm-dd(ddd) ") &amp; "오후 21:00"</f>
        <v>2023-01-02(월) 오후 21:00</v>
      </c>
      <c r="K69" s="171"/>
      <c r="L69" s="172"/>
      <c r="M69" s="170" t="str">
        <f>TEXT($G$1+1, "[$-ko-KR]yyyy-mm-dd(ddd) ") &amp; "오전 00:00"</f>
        <v>2023-01-03(화)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120</v>
      </c>
      <c r="B71" s="108">
        <v>101</v>
      </c>
      <c r="C71" s="69">
        <v>5.7591623000000002E-2</v>
      </c>
      <c r="D71" s="13">
        <v>101</v>
      </c>
      <c r="E71" s="14">
        <f>IF(ISNUMBER(D71), (D71 - $B71) / $B71, "")</f>
        <v>0</v>
      </c>
      <c r="F71" s="16">
        <f>IF(ISNUMBER(D71), $B91 * E71, "")</f>
        <v>0</v>
      </c>
      <c r="G71" s="29">
        <v>103</v>
      </c>
      <c r="H71" s="14">
        <f>IF(ISNUMBER(G71), (G71 - $B71) / $B71, "")</f>
        <v>1.9801980198019802E-2</v>
      </c>
      <c r="I71" s="90">
        <f>IF(ISNUMBER(G71), $B91 * H71, "")</f>
        <v>2970.2970297029701</v>
      </c>
      <c r="J71" s="13">
        <v>103</v>
      </c>
      <c r="K71" s="14">
        <f>IF(ISNUMBER(J71), (J71 - $B71) / $B71, "")</f>
        <v>1.9801980198019802E-2</v>
      </c>
      <c r="L71" s="16">
        <f>IF(ISNUMBER(J71), $B91 * K71, "")</f>
        <v>2970.2970297029701</v>
      </c>
      <c r="M71" s="29">
        <v>102</v>
      </c>
      <c r="N71" s="14">
        <f>IF(ISNUMBER(M71), (M71 - $B71) / $B71, "")</f>
        <v>9.9009900990099011E-3</v>
      </c>
      <c r="O71" s="16">
        <f>IF(ISNUMBER(M71), $B91 * N71, "")</f>
        <v>1485.1485148514851</v>
      </c>
      <c r="Q71" s="156"/>
      <c r="R71" s="156"/>
      <c r="S71" s="156"/>
    </row>
    <row r="72" spans="1:19" ht="17.25" thickBot="1">
      <c r="A72" s="109" t="s">
        <v>101</v>
      </c>
      <c r="B72" s="110">
        <v>195</v>
      </c>
      <c r="C72" s="70">
        <v>1.5625E-2</v>
      </c>
      <c r="D72" s="15">
        <v>193</v>
      </c>
      <c r="E72" s="32">
        <f t="shared" ref="E72:E75" si="30">IF(ISNUMBER(D72), (D72 - $B72) / $B72, "")</f>
        <v>-1.0256410256410256E-2</v>
      </c>
      <c r="F72" s="18">
        <f>IF(ISNUMBER(D72), $B91 * E72, "")</f>
        <v>-1538.4615384615386</v>
      </c>
      <c r="G72" s="31">
        <v>196</v>
      </c>
      <c r="H72" s="32">
        <f t="shared" ref="H72:H75" si="31">IF(ISNUMBER(G72), (G72 - $B72) / $B72, "")</f>
        <v>5.1282051282051282E-3</v>
      </c>
      <c r="I72" s="91">
        <f>IF(ISNUMBER(G72), $B91 * H72, "")</f>
        <v>769.23076923076928</v>
      </c>
      <c r="J72" s="15">
        <v>195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195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56"/>
      <c r="R72" s="156"/>
      <c r="S72" s="156"/>
    </row>
    <row r="73" spans="1:19" ht="17.25" thickBot="1">
      <c r="A73" s="109" t="s">
        <v>213</v>
      </c>
      <c r="B73" s="110">
        <v>404</v>
      </c>
      <c r="C73" s="70">
        <v>1.50753769E-2</v>
      </c>
      <c r="D73" s="15">
        <v>404</v>
      </c>
      <c r="E73" s="32">
        <f t="shared" si="30"/>
        <v>0</v>
      </c>
      <c r="F73" s="18">
        <f>IF(ISNUMBER(D73), $B91 * E73, "")</f>
        <v>0</v>
      </c>
      <c r="G73" s="31">
        <v>407</v>
      </c>
      <c r="H73" s="32">
        <f t="shared" si="31"/>
        <v>7.4257425742574254E-3</v>
      </c>
      <c r="I73" s="91">
        <f>IF(ISNUMBER(G73), $B91 * H73, "")</f>
        <v>1113.8613861386139</v>
      </c>
      <c r="J73" s="15">
        <v>406</v>
      </c>
      <c r="K73" s="32">
        <f t="shared" si="32"/>
        <v>4.9504950495049506E-3</v>
      </c>
      <c r="L73" s="18">
        <f>IF(ISNUMBER(J73), $B91 * K73, "")</f>
        <v>742.57425742574253</v>
      </c>
      <c r="M73" s="31">
        <v>405</v>
      </c>
      <c r="N73" s="32">
        <f t="shared" si="33"/>
        <v>2.4752475247524753E-3</v>
      </c>
      <c r="O73" s="18">
        <f>IF(ISNUMBER(M73), $B91 * N73, "")</f>
        <v>371.28712871287127</v>
      </c>
      <c r="Q73" s="146"/>
      <c r="R73" s="146"/>
      <c r="S73" s="146"/>
    </row>
    <row r="74" spans="1:19" ht="17.25" thickBot="1">
      <c r="A74" s="109" t="s">
        <v>169</v>
      </c>
      <c r="B74" s="110">
        <v>218</v>
      </c>
      <c r="C74" s="70">
        <v>1.39534884E-2</v>
      </c>
      <c r="D74" s="15">
        <v>219</v>
      </c>
      <c r="E74" s="32">
        <f t="shared" si="30"/>
        <v>4.5871559633027525E-3</v>
      </c>
      <c r="F74" s="18">
        <f>IF(ISNUMBER(D74), $B91 * E74, "")</f>
        <v>688.07339449541291</v>
      </c>
      <c r="G74" s="31">
        <v>225</v>
      </c>
      <c r="H74" s="32">
        <f t="shared" si="31"/>
        <v>3.2110091743119268E-2</v>
      </c>
      <c r="I74" s="91">
        <f>IF(ISNUMBER(G74), $B91 * H74, "")</f>
        <v>4816.5137614678906</v>
      </c>
      <c r="J74" s="15">
        <v>224</v>
      </c>
      <c r="K74" s="32">
        <f t="shared" si="32"/>
        <v>2.7522935779816515E-2</v>
      </c>
      <c r="L74" s="18">
        <f>IF(ISNUMBER(J74), $B91 * K74, "")</f>
        <v>4128.440366972477</v>
      </c>
      <c r="M74" s="31">
        <v>226</v>
      </c>
      <c r="N74" s="32">
        <f t="shared" si="33"/>
        <v>3.669724770642202E-2</v>
      </c>
      <c r="O74" s="18">
        <f>IF(ISNUMBER(M74), $B91 * N74, "")</f>
        <v>5504.5871559633033</v>
      </c>
      <c r="Q74" s="146"/>
      <c r="R74" s="146"/>
      <c r="S74" s="146"/>
    </row>
    <row r="75" spans="1:19" ht="17.25" thickBot="1">
      <c r="A75" s="111" t="s">
        <v>79</v>
      </c>
      <c r="B75" s="112">
        <v>213</v>
      </c>
      <c r="C75" s="71">
        <v>9.478673E-3</v>
      </c>
      <c r="D75" s="20">
        <v>214</v>
      </c>
      <c r="E75" s="21">
        <f t="shared" si="30"/>
        <v>4.6948356807511738E-3</v>
      </c>
      <c r="F75" s="22">
        <f>IF(ISNUMBER(D75), $B91 * E75, "")</f>
        <v>704.22535211267609</v>
      </c>
      <c r="G75" s="30">
        <v>219</v>
      </c>
      <c r="H75" s="21">
        <f t="shared" si="31"/>
        <v>2.8169014084507043E-2</v>
      </c>
      <c r="I75" s="95">
        <f>IF(ISNUMBER(G75), $B91 * H75, "")</f>
        <v>4225.3521126760561</v>
      </c>
      <c r="J75" s="20">
        <v>218</v>
      </c>
      <c r="K75" s="21">
        <f t="shared" si="32"/>
        <v>2.3474178403755867E-2</v>
      </c>
      <c r="L75" s="22">
        <f>IF(ISNUMBER(J75), $B91 * K75, "")</f>
        <v>3521.1267605633802</v>
      </c>
      <c r="M75" s="30">
        <v>217</v>
      </c>
      <c r="N75" s="21">
        <f t="shared" si="33"/>
        <v>1.8779342723004695E-2</v>
      </c>
      <c r="O75" s="22">
        <f>IF(ISNUMBER(M75), $B91 * N75, "")</f>
        <v>2816.9014084507044</v>
      </c>
      <c r="Q75" s="146"/>
      <c r="R75" s="146"/>
      <c r="S75" s="146"/>
    </row>
    <row r="76" spans="1:19" ht="17.25" thickBot="1">
      <c r="A76" s="109" t="s">
        <v>326</v>
      </c>
      <c r="B76" s="113">
        <v>221</v>
      </c>
      <c r="C76" s="73">
        <v>9.1324201000000001E-3</v>
      </c>
      <c r="D76" s="96">
        <v>226</v>
      </c>
      <c r="E76" s="97">
        <f>IF(ISNUMBER(D76), (D76 - $B76) / $B76, "")</f>
        <v>2.2624434389140271E-2</v>
      </c>
      <c r="F76" s="98">
        <f>IF(ISNUMBER(D76), $B91 * E76, "")</f>
        <v>3393.6651583710404</v>
      </c>
      <c r="G76" s="99">
        <v>231</v>
      </c>
      <c r="H76" s="97">
        <f>IF(ISNUMBER(G76), (G76 - $B76) / $B76, "")</f>
        <v>4.5248868778280542E-2</v>
      </c>
      <c r="I76" s="100">
        <f>IF(ISNUMBER(G76), $B91 * H76, "")</f>
        <v>6787.3303167420809</v>
      </c>
      <c r="J76" s="96">
        <v>230</v>
      </c>
      <c r="K76" s="97">
        <f>IF(ISNUMBER(J76), (J76 - $B76) / $B76, "")</f>
        <v>4.072398190045249E-2</v>
      </c>
      <c r="L76" s="98">
        <f>IF(ISNUMBER(J76), $B91 * K76, "")</f>
        <v>6108.5972850678736</v>
      </c>
      <c r="M76" s="99">
        <v>230</v>
      </c>
      <c r="N76" s="97">
        <f>IF(ISNUMBER(M76), (M76 - $B76) / $B76, "")</f>
        <v>4.072398190045249E-2</v>
      </c>
      <c r="O76" s="98">
        <f>IF(ISNUMBER(M76), $B91 * N76, "")</f>
        <v>6108.5972850678736</v>
      </c>
      <c r="Q76" s="146"/>
      <c r="R76" s="146"/>
      <c r="S76" s="146"/>
    </row>
    <row r="77" spans="1:19" ht="17.25" thickBot="1">
      <c r="A77" s="109" t="s">
        <v>183</v>
      </c>
      <c r="B77" s="110">
        <v>114</v>
      </c>
      <c r="C77" s="70">
        <v>8.8495575000000007E-3</v>
      </c>
      <c r="D77" s="15">
        <v>114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116</v>
      </c>
      <c r="H77" s="32">
        <f t="shared" ref="H77:H80" si="35">IF(ISNUMBER(G77), (G77 - $B77) / $B77, "")</f>
        <v>1.7543859649122806E-2</v>
      </c>
      <c r="I77" s="91">
        <f>IF(ISNUMBER(G77), $B91 * H77, "")</f>
        <v>2631.5789473684208</v>
      </c>
      <c r="J77" s="15">
        <v>115</v>
      </c>
      <c r="K77" s="32">
        <f t="shared" ref="K77:K80" si="36">IF(ISNUMBER(J77), (J77 - $B77) / $B77, "")</f>
        <v>8.771929824561403E-3</v>
      </c>
      <c r="L77" s="18">
        <f>IF(ISNUMBER(J77), $B91 * K77, "")</f>
        <v>1315.7894736842104</v>
      </c>
      <c r="M77" s="31">
        <v>115</v>
      </c>
      <c r="N77" s="32">
        <f t="shared" ref="N77:N80" si="37">IF(ISNUMBER(M77), (M77 - $B77) / $B77, "")</f>
        <v>8.771929824561403E-3</v>
      </c>
      <c r="O77" s="18">
        <f>IF(ISNUMBER(M77), $B91 * N77, "")</f>
        <v>1315.7894736842104</v>
      </c>
      <c r="Q77" s="146"/>
      <c r="R77" s="146"/>
      <c r="S77" s="146"/>
    </row>
    <row r="78" spans="1:19" ht="17.25" thickBot="1">
      <c r="A78" s="109" t="s">
        <v>85</v>
      </c>
      <c r="B78" s="110">
        <v>129</v>
      </c>
      <c r="C78" s="70">
        <v>7.8125E-3</v>
      </c>
      <c r="D78" s="15">
        <v>127</v>
      </c>
      <c r="E78" s="32">
        <f t="shared" si="34"/>
        <v>-1.5503875968992248E-2</v>
      </c>
      <c r="F78" s="18">
        <f>IF(ISNUMBER(D78), $B91 * E78, "")</f>
        <v>-2325.5813953488373</v>
      </c>
      <c r="G78" s="31">
        <v>131</v>
      </c>
      <c r="H78" s="32">
        <f t="shared" si="35"/>
        <v>1.5503875968992248E-2</v>
      </c>
      <c r="I78" s="91">
        <f>IF(ISNUMBER(G78), $B91 * H78, "")</f>
        <v>2325.5813953488373</v>
      </c>
      <c r="J78" s="15">
        <v>131</v>
      </c>
      <c r="K78" s="32">
        <f t="shared" si="36"/>
        <v>1.5503875968992248E-2</v>
      </c>
      <c r="L78" s="18">
        <f>IF(ISNUMBER(J78), $B91 * K78, "")</f>
        <v>2325.5813953488373</v>
      </c>
      <c r="M78" s="31">
        <v>130</v>
      </c>
      <c r="N78" s="32">
        <f t="shared" si="37"/>
        <v>7.7519379844961239E-3</v>
      </c>
      <c r="O78" s="18">
        <f>IF(ISNUMBER(M78), $B91 * N78, "")</f>
        <v>1162.7906976744187</v>
      </c>
      <c r="Q78" s="146"/>
      <c r="R78" s="146"/>
      <c r="S78" s="146"/>
    </row>
    <row r="79" spans="1:19" ht="17.25" thickBot="1">
      <c r="A79" s="109" t="s">
        <v>321</v>
      </c>
      <c r="B79" s="110">
        <v>150</v>
      </c>
      <c r="C79" s="70">
        <v>6.7114093999999999E-3</v>
      </c>
      <c r="D79" s="15">
        <v>151</v>
      </c>
      <c r="E79" s="32">
        <f t="shared" si="34"/>
        <v>6.6666666666666671E-3</v>
      </c>
      <c r="F79" s="18">
        <f>IF(ISNUMBER(D79), $B91 * E79, "")</f>
        <v>1000.0000000000001</v>
      </c>
      <c r="G79" s="31">
        <v>153</v>
      </c>
      <c r="H79" s="32">
        <f t="shared" si="35"/>
        <v>0.02</v>
      </c>
      <c r="I79" s="91">
        <f>IF(ISNUMBER(G79), $B91 * H79, "")</f>
        <v>3000</v>
      </c>
      <c r="J79" s="15">
        <v>154</v>
      </c>
      <c r="K79" s="32">
        <f t="shared" si="36"/>
        <v>2.6666666666666668E-2</v>
      </c>
      <c r="L79" s="18">
        <f>IF(ISNUMBER(J79), $B91 * K79, "")</f>
        <v>4000.0000000000005</v>
      </c>
      <c r="M79" s="31">
        <v>153</v>
      </c>
      <c r="N79" s="32">
        <f t="shared" si="37"/>
        <v>0.02</v>
      </c>
      <c r="O79" s="18">
        <f>IF(ISNUMBER(M79), $B91 * N79, "")</f>
        <v>3000</v>
      </c>
      <c r="Q79" s="33"/>
      <c r="R79" s="33"/>
    </row>
    <row r="80" spans="1:19" ht="17.25" thickBot="1">
      <c r="A80" s="114" t="s">
        <v>231</v>
      </c>
      <c r="B80" s="115">
        <v>303</v>
      </c>
      <c r="C80" s="72">
        <v>6.6445183E-3</v>
      </c>
      <c r="D80" s="24">
        <v>301</v>
      </c>
      <c r="E80" s="25">
        <f t="shared" si="34"/>
        <v>-6.6006600660066007E-3</v>
      </c>
      <c r="F80" s="94">
        <f>IF(ISNUMBER(D80), $B91 * E80, "")</f>
        <v>-990.09900990099015</v>
      </c>
      <c r="G80" s="92">
        <v>305</v>
      </c>
      <c r="H80" s="25">
        <f t="shared" si="35"/>
        <v>6.6006600660066007E-3</v>
      </c>
      <c r="I80" s="93">
        <f>IF(ISNUMBER(G80), $B91 * H80, "")</f>
        <v>990.09900990099015</v>
      </c>
      <c r="J80" s="24">
        <v>305</v>
      </c>
      <c r="K80" s="25">
        <f t="shared" si="36"/>
        <v>6.6006600660066007E-3</v>
      </c>
      <c r="L80" s="94">
        <f>IF(ISNUMBER(J80), $B91 * K80, "")</f>
        <v>990.09900990099015</v>
      </c>
      <c r="M80" s="92">
        <v>305</v>
      </c>
      <c r="N80" s="25">
        <f t="shared" si="37"/>
        <v>6.6006600660066007E-3</v>
      </c>
      <c r="O80" s="94">
        <f>IF(ISNUMBER(M80), $B91 * N80, "")</f>
        <v>990.09900990099015</v>
      </c>
      <c r="Q80" s="147"/>
      <c r="R80" s="148"/>
      <c r="S80" s="149"/>
    </row>
    <row r="81" spans="1:19">
      <c r="A81" s="107" t="s">
        <v>103</v>
      </c>
      <c r="B81" s="108">
        <v>190</v>
      </c>
      <c r="C81" s="69">
        <v>5.2910053000000002E-3</v>
      </c>
      <c r="D81" s="13">
        <v>190</v>
      </c>
      <c r="E81" s="14">
        <f>IF(ISNUMBER(D81), (D81 - $B81) / $B81, "")</f>
        <v>0</v>
      </c>
      <c r="F81" s="16">
        <f>IF(ISNUMBER(D81), $B91 * E81, "")</f>
        <v>0</v>
      </c>
      <c r="G81" s="29">
        <v>196</v>
      </c>
      <c r="H81" s="14">
        <f>IF(ISNUMBER(G81), (G81 - $B81) / $B81, "")</f>
        <v>3.1578947368421054E-2</v>
      </c>
      <c r="I81" s="90">
        <f>IF(ISNUMBER(G81), $B91 * H81, "")</f>
        <v>4736.8421052631584</v>
      </c>
      <c r="J81" s="13">
        <v>197</v>
      </c>
      <c r="K81" s="14">
        <f>IF(ISNUMBER(J81), (J81 - $B81) / $B81, "")</f>
        <v>3.6842105263157891E-2</v>
      </c>
      <c r="L81" s="16">
        <f>IF(ISNUMBER(J81), $B91 * K81, "")</f>
        <v>5526.3157894736833</v>
      </c>
      <c r="M81" s="29">
        <v>197</v>
      </c>
      <c r="N81" s="14">
        <f>IF(ISNUMBER(M81), (M81 - $B81) / $B81, "")</f>
        <v>3.6842105263157891E-2</v>
      </c>
      <c r="O81" s="16">
        <f>IF(ISNUMBER(M81), $B91 * N81, "")</f>
        <v>5526.3157894736833</v>
      </c>
      <c r="Q81" s="150"/>
      <c r="R81" s="151"/>
      <c r="S81" s="152"/>
    </row>
    <row r="82" spans="1:19" ht="17.25" thickBot="1">
      <c r="A82" s="109" t="s">
        <v>317</v>
      </c>
      <c r="B82" s="110">
        <v>571</v>
      </c>
      <c r="C82" s="70">
        <v>5.2816900999999999E-3</v>
      </c>
      <c r="D82" s="15">
        <v>557</v>
      </c>
      <c r="E82" s="32">
        <f t="shared" ref="E82:E85" si="38">IF(ISNUMBER(D82), (D82 - $B82) / $B82, "")</f>
        <v>-2.4518388791593695E-2</v>
      </c>
      <c r="F82" s="18">
        <f>IF(ISNUMBER(D82), $B91 * E82, "")</f>
        <v>-3677.7583187390542</v>
      </c>
      <c r="G82" s="31">
        <v>564</v>
      </c>
      <c r="H82" s="32">
        <f t="shared" ref="H82:H85" si="39">IF(ISNUMBER(G82), (G82 - $B82) / $B82, "")</f>
        <v>-1.2259194395796848E-2</v>
      </c>
      <c r="I82" s="91">
        <f>IF(ISNUMBER(G82), $B91 * H82, "")</f>
        <v>-1838.8791593695271</v>
      </c>
      <c r="J82" s="15">
        <v>564</v>
      </c>
      <c r="K82" s="32">
        <f t="shared" ref="K82:K85" si="40">IF(ISNUMBER(J82), (J82 - $B82) / $B82, "")</f>
        <v>-1.2259194395796848E-2</v>
      </c>
      <c r="L82" s="18">
        <f>IF(ISNUMBER(J82), $B91 * K82, "")</f>
        <v>-1838.8791593695271</v>
      </c>
      <c r="M82" s="31">
        <v>566</v>
      </c>
      <c r="N82" s="32">
        <f t="shared" ref="N82:N85" si="41">IF(ISNUMBER(M82), (M82 - $B82) / $B82, "")</f>
        <v>-8.7565674255691769E-3</v>
      </c>
      <c r="O82" s="18">
        <f>IF(ISNUMBER(M82), $B91 * N82, "")</f>
        <v>-1313.4851138353765</v>
      </c>
      <c r="Q82" s="153"/>
      <c r="R82" s="154"/>
      <c r="S82" s="155"/>
    </row>
    <row r="83" spans="1:19" ht="17.25" thickBot="1">
      <c r="A83" s="109" t="s">
        <v>157</v>
      </c>
      <c r="B83" s="110">
        <v>200</v>
      </c>
      <c r="C83" s="70">
        <v>5.0251256000000003E-3</v>
      </c>
      <c r="D83" s="15">
        <v>202</v>
      </c>
      <c r="E83" s="32">
        <f t="shared" si="38"/>
        <v>0.01</v>
      </c>
      <c r="F83" s="18">
        <f>IF(ISNUMBER(D83), $B91 * E83, "")</f>
        <v>1500</v>
      </c>
      <c r="G83" s="31">
        <v>203</v>
      </c>
      <c r="H83" s="32">
        <f t="shared" si="39"/>
        <v>1.4999999999999999E-2</v>
      </c>
      <c r="I83" s="91">
        <f>IF(ISNUMBER(G83), $B91 * H83, "")</f>
        <v>2250</v>
      </c>
      <c r="J83" s="15">
        <v>205</v>
      </c>
      <c r="K83" s="32">
        <f t="shared" si="40"/>
        <v>2.5000000000000001E-2</v>
      </c>
      <c r="L83" s="18">
        <f>IF(ISNUMBER(J83), $B91 * K83, "")</f>
        <v>3750</v>
      </c>
      <c r="M83" s="31">
        <v>204</v>
      </c>
      <c r="N83" s="32">
        <f t="shared" si="41"/>
        <v>0.02</v>
      </c>
      <c r="O83" s="18">
        <f>IF(ISNUMBER(M83), $B91 * N83, "")</f>
        <v>3000</v>
      </c>
      <c r="Q83" s="146"/>
      <c r="R83" s="146"/>
      <c r="S83" s="146"/>
    </row>
    <row r="84" spans="1:19" ht="17.25" thickBot="1">
      <c r="A84" s="109" t="s">
        <v>239</v>
      </c>
      <c r="B84" s="110">
        <v>408</v>
      </c>
      <c r="C84" s="70">
        <v>4.9261084000000004E-3</v>
      </c>
      <c r="D84" s="15">
        <v>409</v>
      </c>
      <c r="E84" s="32">
        <f t="shared" si="38"/>
        <v>2.4509803921568627E-3</v>
      </c>
      <c r="F84" s="18">
        <f>IF(ISNUMBER(D84), $B91 * E84, "")</f>
        <v>367.64705882352939</v>
      </c>
      <c r="G84" s="31">
        <v>411</v>
      </c>
      <c r="H84" s="32">
        <f t="shared" si="39"/>
        <v>7.3529411764705881E-3</v>
      </c>
      <c r="I84" s="91">
        <f>IF(ISNUMBER(G84), $B91 * H84, "")</f>
        <v>1102.9411764705883</v>
      </c>
      <c r="J84" s="15">
        <v>411</v>
      </c>
      <c r="K84" s="32">
        <f t="shared" si="40"/>
        <v>7.3529411764705881E-3</v>
      </c>
      <c r="L84" s="18">
        <f>IF(ISNUMBER(J84), $B91 * K84, "")</f>
        <v>1102.9411764705883</v>
      </c>
      <c r="M84" s="31">
        <v>410</v>
      </c>
      <c r="N84" s="32">
        <f t="shared" si="41"/>
        <v>4.9019607843137254E-3</v>
      </c>
      <c r="O84" s="18">
        <f>IF(ISNUMBER(M84), $B91 * N84, "")</f>
        <v>735.29411764705878</v>
      </c>
      <c r="Q84" s="156"/>
      <c r="R84" s="156"/>
      <c r="S84" s="156"/>
    </row>
    <row r="85" spans="1:19" ht="17.25" thickBot="1">
      <c r="A85" s="111" t="s">
        <v>199</v>
      </c>
      <c r="B85" s="112">
        <v>263</v>
      </c>
      <c r="C85" s="71">
        <v>3.8167939000000001E-3</v>
      </c>
      <c r="D85" s="20">
        <v>263</v>
      </c>
      <c r="E85" s="21">
        <f t="shared" si="38"/>
        <v>0</v>
      </c>
      <c r="F85" s="22">
        <f>IF(ISNUMBER(D85), $B91 * E85, "")</f>
        <v>0</v>
      </c>
      <c r="G85" s="30">
        <v>266</v>
      </c>
      <c r="H85" s="21">
        <f t="shared" si="39"/>
        <v>1.1406844106463879E-2</v>
      </c>
      <c r="I85" s="95">
        <f>IF(ISNUMBER(G85), $B91 * H85, "")</f>
        <v>1711.0266159695818</v>
      </c>
      <c r="J85" s="20">
        <v>267</v>
      </c>
      <c r="K85" s="21">
        <f t="shared" si="40"/>
        <v>1.5209125475285171E-2</v>
      </c>
      <c r="L85" s="22">
        <f>IF(ISNUMBER(J85), $B91 * K85, "")</f>
        <v>2281.3688212927755</v>
      </c>
      <c r="M85" s="30">
        <v>267</v>
      </c>
      <c r="N85" s="21">
        <f t="shared" si="41"/>
        <v>1.5209125475285171E-2</v>
      </c>
      <c r="O85" s="22">
        <f>IF(ISNUMBER(M85), $B91 * N85, "")</f>
        <v>2281.3688212927755</v>
      </c>
      <c r="Q85" s="156"/>
      <c r="R85" s="156"/>
      <c r="S85" s="156"/>
    </row>
    <row r="86" spans="1:19" ht="17.25" thickBot="1">
      <c r="A86" s="109" t="s">
        <v>176</v>
      </c>
      <c r="B86" s="113">
        <v>274</v>
      </c>
      <c r="C86" s="73">
        <v>3.6630037E-3</v>
      </c>
      <c r="D86" s="96">
        <v>278</v>
      </c>
      <c r="E86" s="97">
        <f>IF(ISNUMBER(D86), (D86 - $B86) / $B86, "")</f>
        <v>1.4598540145985401E-2</v>
      </c>
      <c r="F86" s="98">
        <f>IF(ISNUMBER(D86), $B91 * E86, "")</f>
        <v>2189.7810218978102</v>
      </c>
      <c r="G86" s="99">
        <v>279</v>
      </c>
      <c r="H86" s="97">
        <f>IF(ISNUMBER(G86), (G86 - $B86) / $B86, "")</f>
        <v>1.824817518248175E-2</v>
      </c>
      <c r="I86" s="100">
        <f>IF(ISNUMBER(G86), $B91 * H86, "")</f>
        <v>2737.2262773722628</v>
      </c>
      <c r="J86" s="96">
        <v>280</v>
      </c>
      <c r="K86" s="97">
        <f>IF(ISNUMBER(J86), (J86 - $B86) / $B86, "")</f>
        <v>2.1897810218978103E-2</v>
      </c>
      <c r="L86" s="98">
        <f>IF(ISNUMBER(J86), $B91 * K86, "")</f>
        <v>3284.6715328467153</v>
      </c>
      <c r="M86" s="99">
        <v>281</v>
      </c>
      <c r="N86" s="97">
        <f>IF(ISNUMBER(M86), (M86 - $B86) / $B86, "")</f>
        <v>2.5547445255474453E-2</v>
      </c>
      <c r="O86" s="98">
        <f>IF(ISNUMBER(M86), $B91 * N86, "")</f>
        <v>3832.1167883211679</v>
      </c>
      <c r="Q86" s="146"/>
      <c r="R86" s="146"/>
      <c r="S86" s="146"/>
    </row>
    <row r="87" spans="1:19" ht="17.25" thickBot="1">
      <c r="A87" s="109" t="s">
        <v>149</v>
      </c>
      <c r="B87" s="110">
        <v>307</v>
      </c>
      <c r="C87" s="70">
        <v>3.2679738999999998E-3</v>
      </c>
      <c r="D87" s="15">
        <v>306</v>
      </c>
      <c r="E87" s="32">
        <f t="shared" ref="E87:E90" si="42">IF(ISNUMBER(D87), (D87 - $B87) / $B87, "")</f>
        <v>-3.2573289902280132E-3</v>
      </c>
      <c r="F87" s="18">
        <f>IF(ISNUMBER(D87), $B91 * E87, "")</f>
        <v>-488.59934853420197</v>
      </c>
      <c r="G87" s="31">
        <v>315</v>
      </c>
      <c r="H87" s="32">
        <f t="shared" ref="H87:H90" si="43">IF(ISNUMBER(G87), (G87 - $B87) / $B87, "")</f>
        <v>2.6058631921824105E-2</v>
      </c>
      <c r="I87" s="91">
        <f>IF(ISNUMBER(G87), $B91 * H87, "")</f>
        <v>3908.7947882736157</v>
      </c>
      <c r="J87" s="15">
        <v>313</v>
      </c>
      <c r="K87" s="32">
        <f t="shared" ref="K87:K90" si="44">IF(ISNUMBER(J87), (J87 - $B87) / $B87, "")</f>
        <v>1.9543973941368076E-2</v>
      </c>
      <c r="L87" s="18">
        <f>IF(ISNUMBER(J87), $B91 * K87, "")</f>
        <v>2931.5960912052115</v>
      </c>
      <c r="M87" s="31">
        <v>314</v>
      </c>
      <c r="N87" s="32">
        <f t="shared" ref="N87:N90" si="45">IF(ISNUMBER(M87), (M87 - $B87) / $B87, "")</f>
        <v>2.2801302931596091E-2</v>
      </c>
      <c r="O87" s="18">
        <f>IF(ISNUMBER(M87), $B91 * N87, "")</f>
        <v>3420.1954397394138</v>
      </c>
      <c r="Q87" s="146"/>
      <c r="R87" s="146"/>
      <c r="S87" s="146"/>
    </row>
    <row r="88" spans="1:19" ht="17.25" thickBot="1">
      <c r="A88" s="109" t="s">
        <v>81</v>
      </c>
      <c r="B88" s="110">
        <v>314</v>
      </c>
      <c r="C88" s="70">
        <v>3.1948882E-3</v>
      </c>
      <c r="D88" s="15">
        <v>319</v>
      </c>
      <c r="E88" s="32">
        <f t="shared" si="42"/>
        <v>1.5923566878980892E-2</v>
      </c>
      <c r="F88" s="18">
        <f>IF(ISNUMBER(D88), $B91 * E88, "")</f>
        <v>2388.5350318471337</v>
      </c>
      <c r="G88" s="31">
        <v>324</v>
      </c>
      <c r="H88" s="32">
        <f t="shared" si="43"/>
        <v>3.1847133757961783E-2</v>
      </c>
      <c r="I88" s="91">
        <f>IF(ISNUMBER(G88), $B91 * H88, "")</f>
        <v>4777.0700636942674</v>
      </c>
      <c r="J88" s="15">
        <v>324</v>
      </c>
      <c r="K88" s="32">
        <f t="shared" si="44"/>
        <v>3.1847133757961783E-2</v>
      </c>
      <c r="L88" s="18">
        <f>IF(ISNUMBER(J88), $B91 * K88, "")</f>
        <v>4777.0700636942674</v>
      </c>
      <c r="M88" s="31">
        <v>322</v>
      </c>
      <c r="N88" s="32">
        <f t="shared" si="45"/>
        <v>2.5477707006369428E-2</v>
      </c>
      <c r="O88" s="18">
        <f>IF(ISNUMBER(M88), $B91 * N88, "")</f>
        <v>3821.6560509554142</v>
      </c>
      <c r="Q88" s="146"/>
      <c r="R88" s="146"/>
      <c r="S88" s="146"/>
    </row>
    <row r="89" spans="1:19">
      <c r="A89" s="109" t="s">
        <v>219</v>
      </c>
      <c r="B89" s="110">
        <v>330</v>
      </c>
      <c r="C89" s="70">
        <v>3.0395137E-3</v>
      </c>
      <c r="D89" s="15">
        <v>330</v>
      </c>
      <c r="E89" s="32">
        <f t="shared" si="42"/>
        <v>0</v>
      </c>
      <c r="F89" s="18">
        <f>IF(ISNUMBER(D89), $B91 * E89, "")</f>
        <v>0</v>
      </c>
      <c r="G89" s="31">
        <v>333</v>
      </c>
      <c r="H89" s="32">
        <f t="shared" si="43"/>
        <v>9.0909090909090905E-3</v>
      </c>
      <c r="I89" s="91">
        <f>IF(ISNUMBER(G89), $B91 * H89, "")</f>
        <v>1363.6363636363635</v>
      </c>
      <c r="J89" s="15">
        <v>334</v>
      </c>
      <c r="K89" s="32">
        <f t="shared" si="44"/>
        <v>1.2121212121212121E-2</v>
      </c>
      <c r="L89" s="18">
        <f>IF(ISNUMBER(J89), $B91 * K89, "")</f>
        <v>1818.1818181818182</v>
      </c>
      <c r="M89" s="31">
        <v>334</v>
      </c>
      <c r="N89" s="32">
        <f t="shared" si="45"/>
        <v>1.2121212121212121E-2</v>
      </c>
      <c r="O89" s="18">
        <f>IF(ISNUMBER(M89), $B91 * N89, "")</f>
        <v>1818.1818181818182</v>
      </c>
      <c r="Q89" s="135"/>
      <c r="R89" s="136"/>
      <c r="S89" s="137"/>
    </row>
    <row r="90" spans="1:19" ht="17.25" thickBot="1">
      <c r="A90" s="114" t="s">
        <v>111</v>
      </c>
      <c r="B90" s="115">
        <v>489</v>
      </c>
      <c r="C90" s="72">
        <v>2.0491802999999999E-3</v>
      </c>
      <c r="D90" s="24">
        <v>497</v>
      </c>
      <c r="E90" s="25">
        <f t="shared" si="42"/>
        <v>1.6359918200408999E-2</v>
      </c>
      <c r="F90" s="94">
        <f>IF(ISNUMBER(D90), $B91 * E90, "")</f>
        <v>2453.9877300613498</v>
      </c>
      <c r="G90" s="92">
        <v>514</v>
      </c>
      <c r="H90" s="25">
        <f t="shared" si="43"/>
        <v>5.112474437627812E-2</v>
      </c>
      <c r="I90" s="93">
        <f>IF(ISNUMBER(G90), $B91 * H90, "")</f>
        <v>7668.7116564417183</v>
      </c>
      <c r="J90" s="24">
        <v>513</v>
      </c>
      <c r="K90" s="25">
        <f t="shared" si="44"/>
        <v>4.9079754601226995E-2</v>
      </c>
      <c r="L90" s="94">
        <f>IF(ISNUMBER(J90), $B91 * K90, "")</f>
        <v>7361.9631901840494</v>
      </c>
      <c r="M90" s="92">
        <v>518</v>
      </c>
      <c r="N90" s="25">
        <f t="shared" si="45"/>
        <v>5.9304703476482618E-2</v>
      </c>
      <c r="O90" s="94">
        <f>IF(ISNUMBER(M90), $B91 * N90, "")</f>
        <v>8895.7055214723932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1.8884717122081105E-3</v>
      </c>
      <c r="F91" s="28">
        <f>SUM(F71:F90)</f>
        <v>5665.4151366243304</v>
      </c>
      <c r="G91" s="26" t="s">
        <v>258</v>
      </c>
      <c r="H91" s="27">
        <f>IF(COUNT(H71:H90), SUM(H71:H90) / COUNT(H71:H90), 0)</f>
        <v>1.934907153877622E-2</v>
      </c>
      <c r="I91" s="28">
        <f>SUM(I71:I90)</f>
        <v>58047.214616328652</v>
      </c>
      <c r="J91" s="26" t="s">
        <v>258</v>
      </c>
      <c r="K91" s="27">
        <f>IF(COUNT(K71:K90), SUM(K71:K90) / COUNT(K71:K90), 0)</f>
        <v>1.9032578300882022E-2</v>
      </c>
      <c r="L91" s="28">
        <f>SUM(L71:L90)</f>
        <v>57097.734902646051</v>
      </c>
      <c r="M91" s="26" t="s">
        <v>258</v>
      </c>
      <c r="N91" s="27">
        <f>IF(COUNT(N71:N90), SUM(N71:N90) / COUNT(N71:N90), 0)</f>
        <v>1.8257516635851401E-2</v>
      </c>
      <c r="O91" s="28">
        <f>SUM(O71:O90)</f>
        <v>54772.549907554203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2023-01-02(월) 오전 00:00</v>
      </c>
      <c r="C96" s="198"/>
      <c r="D96" s="170" t="str">
        <f>TEXT($G$1, "[$-ko-KR]yyyy-mm-dd(ddd) ") &amp; "오후 14:00"</f>
        <v>2023-01-02(월) 오후 14:00</v>
      </c>
      <c r="E96" s="171"/>
      <c r="F96" s="172"/>
      <c r="G96" s="170" t="str">
        <f>TEXT($G$1, "[$-ko-KR]yyyy-mm-dd(ddd) ") &amp; "오후 19:00"</f>
        <v>2023-01-02(월) 오후 19:00</v>
      </c>
      <c r="H96" s="171"/>
      <c r="I96" s="172"/>
      <c r="J96" s="170" t="str">
        <f>TEXT($G$1, "[$-ko-KR]yyyy-mm-dd(ddd) ") &amp; "오후 21:00"</f>
        <v>2023-01-02(월) 오후 21:00</v>
      </c>
      <c r="K96" s="171"/>
      <c r="L96" s="172"/>
      <c r="M96" s="170" t="str">
        <f>TEXT($G$1+1, "[$-ko-KR]yyyy-mm-dd(ddd) ") &amp; "오전 00:00"</f>
        <v>2023-01-03(화)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191</v>
      </c>
      <c r="B98" s="108">
        <v>48.9</v>
      </c>
      <c r="C98" s="69">
        <v>8.1858407100000002E-2</v>
      </c>
      <c r="D98" s="13">
        <v>51.8</v>
      </c>
      <c r="E98" s="14">
        <f>IF(ISNUMBER(D98), (D98 - $B98) / $B98, "")</f>
        <v>5.930470347648259E-2</v>
      </c>
      <c r="F98" s="16">
        <f>IF(ISNUMBER(D98), $B118 * E98, "")</f>
        <v>8895.7055214723878</v>
      </c>
      <c r="G98" s="29">
        <v>50.4</v>
      </c>
      <c r="H98" s="14">
        <f>IF(ISNUMBER(G98), (G98 - $B98) / $B98, "")</f>
        <v>3.0674846625766871E-2</v>
      </c>
      <c r="I98" s="90">
        <f>IF(ISNUMBER(G98), $B118 * H98, "")</f>
        <v>4601.2269938650306</v>
      </c>
      <c r="J98" s="13">
        <v>50.3</v>
      </c>
      <c r="K98" s="14">
        <f>IF(ISNUMBER(J98), (J98 - $B98) / $B98, "")</f>
        <v>2.8629856850715719E-2</v>
      </c>
      <c r="L98" s="16">
        <f>IF(ISNUMBER(J98), $B118 * K98, "")</f>
        <v>4294.478527607358</v>
      </c>
      <c r="M98" s="29">
        <v>50.2</v>
      </c>
      <c r="N98" s="14">
        <f>IF(ISNUMBER(M98), (M98 - $B98) / $B98, "")</f>
        <v>2.6584867075664709E-2</v>
      </c>
      <c r="O98" s="16">
        <f>IF(ISNUMBER(M98), $B118 * N98, "")</f>
        <v>3987.7300613497064</v>
      </c>
      <c r="Q98" s="156"/>
      <c r="R98" s="156"/>
      <c r="S98" s="156"/>
    </row>
    <row r="99" spans="1:19" ht="17.25" thickBot="1">
      <c r="A99" s="109" t="s">
        <v>120</v>
      </c>
      <c r="B99" s="110">
        <v>101</v>
      </c>
      <c r="C99" s="70">
        <v>5.7591623000000002E-2</v>
      </c>
      <c r="D99" s="15">
        <v>101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103</v>
      </c>
      <c r="H99" s="32">
        <f t="shared" ref="H99:H102" si="47">IF(ISNUMBER(G99), (G99 - $B99) / $B99, "")</f>
        <v>1.9801980198019802E-2</v>
      </c>
      <c r="I99" s="91">
        <f>IF(ISNUMBER(G99), $B118 * H99, "")</f>
        <v>2970.2970297029701</v>
      </c>
      <c r="J99" s="15">
        <v>103</v>
      </c>
      <c r="K99" s="32">
        <f t="shared" ref="K99:K102" si="48">IF(ISNUMBER(J99), (J99 - $B99) / $B99, "")</f>
        <v>1.9801980198019802E-2</v>
      </c>
      <c r="L99" s="18">
        <f>IF(ISNUMBER(J99), $B118 * K99, "")</f>
        <v>2970.2970297029701</v>
      </c>
      <c r="M99" s="31">
        <v>102</v>
      </c>
      <c r="N99" s="32">
        <f t="shared" ref="N99:N102" si="49">IF(ISNUMBER(M99), (M99 - $B99) / $B99, "")</f>
        <v>9.9009900990099011E-3</v>
      </c>
      <c r="O99" s="18">
        <f>IF(ISNUMBER(M99), $B118 * N99, "")</f>
        <v>1485.1485148514851</v>
      </c>
      <c r="Q99" s="156"/>
      <c r="R99" s="156"/>
      <c r="S99" s="156"/>
    </row>
    <row r="100" spans="1:19" ht="17.25" thickBot="1">
      <c r="A100" s="109" t="s">
        <v>62</v>
      </c>
      <c r="B100" s="110">
        <v>8185</v>
      </c>
      <c r="C100" s="70">
        <v>4.5338441899999998E-2</v>
      </c>
      <c r="D100" s="15">
        <v>8135</v>
      </c>
      <c r="E100" s="32">
        <f t="shared" si="46"/>
        <v>-6.1087354917532073E-3</v>
      </c>
      <c r="F100" s="18">
        <f>IF(ISNUMBER(D100), $B118 * E100, "")</f>
        <v>-916.31032376298106</v>
      </c>
      <c r="G100" s="31">
        <v>8220</v>
      </c>
      <c r="H100" s="32">
        <f t="shared" si="47"/>
        <v>4.2761148442272447E-3</v>
      </c>
      <c r="I100" s="91">
        <f>IF(ISNUMBER(G100), $B118 * H100, "")</f>
        <v>641.41722663408666</v>
      </c>
      <c r="J100" s="15">
        <v>8215</v>
      </c>
      <c r="K100" s="32">
        <f t="shared" si="48"/>
        <v>3.6652412950519244E-3</v>
      </c>
      <c r="L100" s="18">
        <f>IF(ISNUMBER(J100), $B118 * K100, "")</f>
        <v>549.78619425778868</v>
      </c>
      <c r="M100" s="31">
        <v>8195</v>
      </c>
      <c r="N100" s="32">
        <f t="shared" si="49"/>
        <v>1.2217470983506415E-3</v>
      </c>
      <c r="O100" s="18">
        <f>IF(ISNUMBER(M100), $B118 * N100, "")</f>
        <v>183.26206475259622</v>
      </c>
      <c r="Q100" s="146"/>
      <c r="R100" s="146"/>
      <c r="S100" s="146"/>
    </row>
    <row r="101" spans="1:19" ht="17.25" thickBot="1">
      <c r="A101" s="109" t="s">
        <v>71</v>
      </c>
      <c r="B101" s="110">
        <v>9.81</v>
      </c>
      <c r="C101" s="70">
        <v>4.02969247E-2</v>
      </c>
      <c r="D101" s="15">
        <v>9.9499999999999993</v>
      </c>
      <c r="E101" s="32">
        <f t="shared" si="46"/>
        <v>1.4271151885830662E-2</v>
      </c>
      <c r="F101" s="18">
        <f>IF(ISNUMBER(D101), $B118 * E101, "")</f>
        <v>2140.6727828745993</v>
      </c>
      <c r="G101" s="31">
        <v>9.93</v>
      </c>
      <c r="H101" s="32">
        <f t="shared" si="47"/>
        <v>1.2232415902140593E-2</v>
      </c>
      <c r="I101" s="91">
        <f>IF(ISNUMBER(G101), $B118 * H101, "")</f>
        <v>1834.8623853210891</v>
      </c>
      <c r="J101" s="15">
        <v>9.93</v>
      </c>
      <c r="K101" s="32">
        <f t="shared" si="48"/>
        <v>1.2232415902140593E-2</v>
      </c>
      <c r="L101" s="18">
        <f>IF(ISNUMBER(J101), $B118 * K101, "")</f>
        <v>1834.8623853210891</v>
      </c>
      <c r="M101" s="31">
        <v>9.92</v>
      </c>
      <c r="N101" s="32">
        <f t="shared" si="49"/>
        <v>1.1213047910295558E-2</v>
      </c>
      <c r="O101" s="18">
        <f>IF(ISNUMBER(M101), $B118 * N101, "")</f>
        <v>1681.9571865443338</v>
      </c>
      <c r="Q101" s="146"/>
      <c r="R101" s="146"/>
      <c r="S101" s="146"/>
    </row>
    <row r="102" spans="1:19" ht="17.25" thickBot="1">
      <c r="A102" s="111" t="s">
        <v>205</v>
      </c>
      <c r="B102" s="112">
        <v>90.3</v>
      </c>
      <c r="C102" s="71">
        <v>2.61363636E-2</v>
      </c>
      <c r="D102" s="20">
        <v>93.8</v>
      </c>
      <c r="E102" s="21">
        <f t="shared" si="46"/>
        <v>3.875968992248062E-2</v>
      </c>
      <c r="F102" s="22">
        <f>IF(ISNUMBER(D102), $B118 * E102, "")</f>
        <v>5813.9534883720926</v>
      </c>
      <c r="G102" s="30">
        <v>91.4</v>
      </c>
      <c r="H102" s="21">
        <f t="shared" si="47"/>
        <v>1.2181616832779718E-2</v>
      </c>
      <c r="I102" s="95">
        <f>IF(ISNUMBER(G102), $B118 * H102, "")</f>
        <v>1827.2425249169576</v>
      </c>
      <c r="J102" s="20">
        <v>91.6</v>
      </c>
      <c r="K102" s="21">
        <f t="shared" si="48"/>
        <v>1.4396456256921342E-2</v>
      </c>
      <c r="L102" s="22">
        <f>IF(ISNUMBER(J102), $B118 * K102, "")</f>
        <v>2159.4684385382011</v>
      </c>
      <c r="M102" s="30">
        <v>91.4</v>
      </c>
      <c r="N102" s="21">
        <f t="shared" si="49"/>
        <v>1.2181616832779718E-2</v>
      </c>
      <c r="O102" s="22">
        <f>IF(ISNUMBER(M102), $B118 * N102, "")</f>
        <v>1827.2425249169576</v>
      </c>
      <c r="Q102" s="146"/>
      <c r="R102" s="146"/>
      <c r="S102" s="146"/>
    </row>
    <row r="103" spans="1:19" ht="17.25" thickBot="1">
      <c r="A103" s="109" t="s">
        <v>241</v>
      </c>
      <c r="B103" s="113">
        <v>86.9</v>
      </c>
      <c r="C103" s="73">
        <v>2.47641509E-2</v>
      </c>
      <c r="D103" s="96">
        <v>86.8</v>
      </c>
      <c r="E103" s="97">
        <f>IF(ISNUMBER(D103), (D103 - $B103) / $B103, "")</f>
        <v>-1.1507479861911222E-3</v>
      </c>
      <c r="F103" s="98">
        <f>IF(ISNUMBER(D103), $B118 * E103, "")</f>
        <v>-172.61219792866834</v>
      </c>
      <c r="G103" s="99">
        <v>87.1</v>
      </c>
      <c r="H103" s="97">
        <f>IF(ISNUMBER(G103), (G103 - $B103) / $B103, "")</f>
        <v>2.3014959723819174E-3</v>
      </c>
      <c r="I103" s="100">
        <f>IF(ISNUMBER(G103), $B118 * H103, "")</f>
        <v>345.22439585728762</v>
      </c>
      <c r="J103" s="96">
        <v>87.2</v>
      </c>
      <c r="K103" s="97">
        <f>IF(ISNUMBER(J103), (J103 - $B103) / $B103, "")</f>
        <v>3.4522439585730398E-3</v>
      </c>
      <c r="L103" s="98">
        <f>IF(ISNUMBER(J103), $B118 * K103, "")</f>
        <v>517.83659378595598</v>
      </c>
      <c r="M103" s="99">
        <v>87</v>
      </c>
      <c r="N103" s="97">
        <f>IF(ISNUMBER(M103), (M103 - $B103) / $B103, "")</f>
        <v>1.1507479861909587E-3</v>
      </c>
      <c r="O103" s="98">
        <f>IF(ISNUMBER(M103), $B118 * N103, "")</f>
        <v>172.61219792864381</v>
      </c>
      <c r="Q103" s="146"/>
      <c r="R103" s="146"/>
      <c r="S103" s="146"/>
    </row>
    <row r="104" spans="1:19" ht="17.25" thickBot="1">
      <c r="A104" s="109" t="s">
        <v>172</v>
      </c>
      <c r="B104" s="110">
        <v>2380</v>
      </c>
      <c r="C104" s="70">
        <v>1.9271948600000002E-2</v>
      </c>
      <c r="D104" s="15">
        <v>2380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2420</v>
      </c>
      <c r="H104" s="32">
        <f t="shared" ref="H104:H107" si="51">IF(ISNUMBER(G104), (G104 - $B104) / $B104, "")</f>
        <v>1.680672268907563E-2</v>
      </c>
      <c r="I104" s="91">
        <f>IF(ISNUMBER(G104), $B118 * H104, "")</f>
        <v>2521.0084033613443</v>
      </c>
      <c r="J104" s="15">
        <v>2410</v>
      </c>
      <c r="K104" s="32">
        <f t="shared" ref="K104:K107" si="52">IF(ISNUMBER(J104), (J104 - $B104) / $B104, "")</f>
        <v>1.2605042016806723E-2</v>
      </c>
      <c r="L104" s="18">
        <f>IF(ISNUMBER(J104), $B118 * K104, "")</f>
        <v>1890.7563025210084</v>
      </c>
      <c r="M104" s="31">
        <v>2415</v>
      </c>
      <c r="N104" s="32">
        <f t="shared" ref="N104:N107" si="53">IF(ISNUMBER(M104), (M104 - $B104) / $B104, "")</f>
        <v>1.4705882352941176E-2</v>
      </c>
      <c r="O104" s="18">
        <f>IF(ISNUMBER(M104), $B118 * N104, "")</f>
        <v>2205.8823529411766</v>
      </c>
      <c r="Q104" s="146"/>
      <c r="R104" s="146"/>
      <c r="S104" s="146"/>
    </row>
    <row r="105" spans="1:19" ht="17.25" thickBot="1">
      <c r="A105" s="109" t="s">
        <v>134</v>
      </c>
      <c r="B105" s="110">
        <v>1330</v>
      </c>
      <c r="C105" s="70">
        <v>1.9157088100000001E-2</v>
      </c>
      <c r="D105" s="15">
        <v>1315</v>
      </c>
      <c r="E105" s="32">
        <f t="shared" si="50"/>
        <v>-1.1278195488721804E-2</v>
      </c>
      <c r="F105" s="18">
        <f>IF(ISNUMBER(D105), $B118 * E105, "")</f>
        <v>-1691.7293233082705</v>
      </c>
      <c r="G105" s="31">
        <v>1340</v>
      </c>
      <c r="H105" s="32">
        <f t="shared" si="51"/>
        <v>7.5187969924812026E-3</v>
      </c>
      <c r="I105" s="91">
        <f>IF(ISNUMBER(G105), $B118 * H105, "")</f>
        <v>1127.8195488721803</v>
      </c>
      <c r="J105" s="15">
        <v>1335</v>
      </c>
      <c r="K105" s="32">
        <f t="shared" si="52"/>
        <v>3.7593984962406013E-3</v>
      </c>
      <c r="L105" s="18">
        <f>IF(ISNUMBER(J105), $B118 * K105, "")</f>
        <v>563.90977443609017</v>
      </c>
      <c r="M105" s="31">
        <v>1340</v>
      </c>
      <c r="N105" s="32">
        <f t="shared" si="53"/>
        <v>7.5187969924812026E-3</v>
      </c>
      <c r="O105" s="18">
        <f>IF(ISNUMBER(M105), $B118 * N105, "")</f>
        <v>1127.8195488721803</v>
      </c>
      <c r="Q105" s="146"/>
      <c r="R105" s="146"/>
      <c r="S105" s="146"/>
    </row>
    <row r="106" spans="1:19" ht="17.25" thickBot="1">
      <c r="A106" s="109" t="s">
        <v>324</v>
      </c>
      <c r="B106" s="110">
        <v>72.400000000000006</v>
      </c>
      <c r="C106" s="70">
        <v>1.68539326E-2</v>
      </c>
      <c r="D106" s="15">
        <v>72.3</v>
      </c>
      <c r="E106" s="32">
        <f t="shared" si="50"/>
        <v>-1.3812154696133774E-3</v>
      </c>
      <c r="F106" s="18">
        <f>IF(ISNUMBER(D106), $B118 * E106, "")</f>
        <v>-207.18232044200661</v>
      </c>
      <c r="G106" s="31">
        <v>73</v>
      </c>
      <c r="H106" s="32">
        <f t="shared" si="51"/>
        <v>8.2872928176794796E-3</v>
      </c>
      <c r="I106" s="91">
        <f>IF(ISNUMBER(G106), $B118 * H106, "")</f>
        <v>1243.093922651922</v>
      </c>
      <c r="J106" s="15">
        <v>73</v>
      </c>
      <c r="K106" s="32">
        <f t="shared" si="52"/>
        <v>8.2872928176794796E-3</v>
      </c>
      <c r="L106" s="18">
        <f>IF(ISNUMBER(J106), $B118 * K106, "")</f>
        <v>1243.093922651922</v>
      </c>
      <c r="M106" s="31">
        <v>72.7</v>
      </c>
      <c r="N106" s="32">
        <f t="shared" si="53"/>
        <v>4.1436464088397398E-3</v>
      </c>
      <c r="O106" s="18">
        <f>IF(ISNUMBER(M106), $B118 * N106, "")</f>
        <v>621.54696132596098</v>
      </c>
      <c r="Q106" s="33"/>
      <c r="R106" s="33"/>
    </row>
    <row r="107" spans="1:19" ht="17.25" thickBot="1">
      <c r="A107" s="114" t="s">
        <v>101</v>
      </c>
      <c r="B107" s="115">
        <v>195</v>
      </c>
      <c r="C107" s="72">
        <v>1.5625E-2</v>
      </c>
      <c r="D107" s="24">
        <v>193</v>
      </c>
      <c r="E107" s="25">
        <f t="shared" si="50"/>
        <v>-1.0256410256410256E-2</v>
      </c>
      <c r="F107" s="94">
        <f>IF(ISNUMBER(D107), $B118 * E107, "")</f>
        <v>-1538.4615384615386</v>
      </c>
      <c r="G107" s="92">
        <v>196</v>
      </c>
      <c r="H107" s="25">
        <f t="shared" si="51"/>
        <v>5.1282051282051282E-3</v>
      </c>
      <c r="I107" s="93">
        <f>IF(ISNUMBER(G107), $B118 * H107, "")</f>
        <v>769.23076923076928</v>
      </c>
      <c r="J107" s="24">
        <v>195</v>
      </c>
      <c r="K107" s="25">
        <f t="shared" si="52"/>
        <v>0</v>
      </c>
      <c r="L107" s="94">
        <f>IF(ISNUMBER(J107), $B118 * K107, "")</f>
        <v>0</v>
      </c>
      <c r="M107" s="92">
        <v>195</v>
      </c>
      <c r="N107" s="25">
        <f t="shared" si="53"/>
        <v>0</v>
      </c>
      <c r="O107" s="94">
        <f>IF(ISNUMBER(M107), $B118 * N107, "")</f>
        <v>0</v>
      </c>
      <c r="Q107" s="147"/>
      <c r="R107" s="148"/>
      <c r="S107" s="149"/>
    </row>
    <row r="108" spans="1:19">
      <c r="A108" s="107" t="s">
        <v>213</v>
      </c>
      <c r="B108" s="108">
        <v>404</v>
      </c>
      <c r="C108" s="69">
        <v>1.50753769E-2</v>
      </c>
      <c r="D108" s="13">
        <v>404</v>
      </c>
      <c r="E108" s="14">
        <f>IF(ISNUMBER(D108), (D108 - $B108) / $B108, "")</f>
        <v>0</v>
      </c>
      <c r="F108" s="16">
        <f>IF(ISNUMBER(D108), $B118 * E108, "")</f>
        <v>0</v>
      </c>
      <c r="G108" s="29">
        <v>407</v>
      </c>
      <c r="H108" s="14">
        <f>IF(ISNUMBER(G108), (G108 - $B108) / $B108, "")</f>
        <v>7.4257425742574254E-3</v>
      </c>
      <c r="I108" s="90">
        <f>IF(ISNUMBER(G108), $B118 * H108, "")</f>
        <v>1113.8613861386139</v>
      </c>
      <c r="J108" s="13">
        <v>406</v>
      </c>
      <c r="K108" s="14">
        <f>IF(ISNUMBER(J108), (J108 - $B108) / $B108, "")</f>
        <v>4.9504950495049506E-3</v>
      </c>
      <c r="L108" s="16">
        <f>IF(ISNUMBER(J108), $B118 * K108, "")</f>
        <v>742.57425742574253</v>
      </c>
      <c r="M108" s="29">
        <v>405</v>
      </c>
      <c r="N108" s="14">
        <f>IF(ISNUMBER(M108), (M108 - $B108) / $B108, "")</f>
        <v>2.4752475247524753E-3</v>
      </c>
      <c r="O108" s="16">
        <f>IF(ISNUMBER(M108), $B118 * N108, "")</f>
        <v>371.28712871287127</v>
      </c>
      <c r="Q108" s="150"/>
      <c r="R108" s="151"/>
      <c r="S108" s="152"/>
    </row>
    <row r="109" spans="1:19" ht="17.25" thickBot="1">
      <c r="A109" s="109" t="s">
        <v>209</v>
      </c>
      <c r="B109" s="110">
        <v>70</v>
      </c>
      <c r="C109" s="70">
        <v>1.44927536E-2</v>
      </c>
      <c r="D109" s="15">
        <v>70.5</v>
      </c>
      <c r="E109" s="32">
        <f t="shared" ref="E109:E112" si="54">IF(ISNUMBER(D109), (D109 - $B109) / $B109, "")</f>
        <v>7.1428571428571426E-3</v>
      </c>
      <c r="F109" s="18">
        <f>IF(ISNUMBER(D109), $B118 * E109, "")</f>
        <v>1071.4285714285713</v>
      </c>
      <c r="G109" s="31">
        <v>70.400000000000006</v>
      </c>
      <c r="H109" s="32">
        <f t="shared" ref="H109:H112" si="55">IF(ISNUMBER(G109), (G109 - $B109) / $B109, "")</f>
        <v>5.7142857142857958E-3</v>
      </c>
      <c r="I109" s="91">
        <f>IF(ISNUMBER(G109), $B118 * H109, "")</f>
        <v>857.14285714286939</v>
      </c>
      <c r="J109" s="15">
        <v>70.3</v>
      </c>
      <c r="K109" s="32">
        <f t="shared" ref="K109:K112" si="56">IF(ISNUMBER(J109), (J109 - $B109) / $B109, "")</f>
        <v>4.2857142857142452E-3</v>
      </c>
      <c r="L109" s="18">
        <f>IF(ISNUMBER(J109), $B118 * K109, "")</f>
        <v>642.85714285713675</v>
      </c>
      <c r="M109" s="31">
        <v>70.5</v>
      </c>
      <c r="N109" s="32">
        <f t="shared" ref="N109:N112" si="57">IF(ISNUMBER(M109), (M109 - $B109) / $B109, "")</f>
        <v>7.1428571428571426E-3</v>
      </c>
      <c r="O109" s="18">
        <f>IF(ISNUMBER(M109), $B118 * N109, "")</f>
        <v>1071.4285714285713</v>
      </c>
      <c r="Q109" s="153"/>
      <c r="R109" s="154"/>
      <c r="S109" s="155"/>
    </row>
    <row r="110" spans="1:19" ht="17.25" thickBot="1">
      <c r="A110" s="109" t="s">
        <v>323</v>
      </c>
      <c r="B110" s="110">
        <v>2.81E-2</v>
      </c>
      <c r="C110" s="70">
        <v>1.44404332E-2</v>
      </c>
      <c r="D110" s="15">
        <v>2.8000000000000001E-2</v>
      </c>
      <c r="E110" s="32">
        <f t="shared" si="54"/>
        <v>-3.558718861209943E-3</v>
      </c>
      <c r="F110" s="18">
        <f>IF(ISNUMBER(D110), $B118 * E110, "")</f>
        <v>-533.80782918149146</v>
      </c>
      <c r="G110" s="31">
        <v>2.8500000000000001E-2</v>
      </c>
      <c r="H110" s="32">
        <f t="shared" si="55"/>
        <v>1.4234875444839895E-2</v>
      </c>
      <c r="I110" s="91">
        <f>IF(ISNUMBER(G110), $B118 * H110, "")</f>
        <v>2135.2313167259845</v>
      </c>
      <c r="J110" s="15">
        <v>2.8199999999999999E-2</v>
      </c>
      <c r="K110" s="32">
        <f t="shared" si="56"/>
        <v>3.558718861209943E-3</v>
      </c>
      <c r="L110" s="18">
        <f>IF(ISNUMBER(J110), $B118 * K110, "")</f>
        <v>533.80782918149146</v>
      </c>
      <c r="M110" s="31">
        <v>2.8299999999999999E-2</v>
      </c>
      <c r="N110" s="32">
        <f t="shared" si="57"/>
        <v>7.117437722419886E-3</v>
      </c>
      <c r="O110" s="18">
        <f>IF(ISNUMBER(M110), $B118 * N110, "")</f>
        <v>1067.6156583629829</v>
      </c>
      <c r="Q110" s="146"/>
      <c r="R110" s="146"/>
      <c r="S110" s="146"/>
    </row>
    <row r="111" spans="1:19" ht="17.25" thickBot="1">
      <c r="A111" s="109" t="s">
        <v>169</v>
      </c>
      <c r="B111" s="110">
        <v>218</v>
      </c>
      <c r="C111" s="70">
        <v>1.39534884E-2</v>
      </c>
      <c r="D111" s="15">
        <v>219</v>
      </c>
      <c r="E111" s="32">
        <f t="shared" si="54"/>
        <v>4.5871559633027525E-3</v>
      </c>
      <c r="F111" s="18">
        <f>IF(ISNUMBER(D111), $B118 * E111, "")</f>
        <v>688.07339449541291</v>
      </c>
      <c r="G111" s="31">
        <v>225</v>
      </c>
      <c r="H111" s="32">
        <f t="shared" si="55"/>
        <v>3.2110091743119268E-2</v>
      </c>
      <c r="I111" s="91">
        <f>IF(ISNUMBER(G111), $B118 * H111, "")</f>
        <v>4816.5137614678906</v>
      </c>
      <c r="J111" s="15">
        <v>224</v>
      </c>
      <c r="K111" s="32">
        <f t="shared" si="56"/>
        <v>2.7522935779816515E-2</v>
      </c>
      <c r="L111" s="18">
        <f>IF(ISNUMBER(J111), $B118 * K111, "")</f>
        <v>4128.440366972477</v>
      </c>
      <c r="M111" s="31">
        <v>226</v>
      </c>
      <c r="N111" s="32">
        <f t="shared" si="57"/>
        <v>3.669724770642202E-2</v>
      </c>
      <c r="O111" s="18">
        <f>IF(ISNUMBER(M111), $B118 * N111, "")</f>
        <v>5504.5871559633033</v>
      </c>
      <c r="Q111" s="156"/>
      <c r="R111" s="156"/>
      <c r="S111" s="156"/>
    </row>
    <row r="112" spans="1:19" ht="17.25" thickBot="1">
      <c r="A112" s="111" t="s">
        <v>225</v>
      </c>
      <c r="B112" s="112">
        <v>51.2</v>
      </c>
      <c r="C112" s="71">
        <v>1.18577075E-2</v>
      </c>
      <c r="D112" s="20">
        <v>52.1</v>
      </c>
      <c r="E112" s="21">
        <f t="shared" si="54"/>
        <v>1.7578124999999972E-2</v>
      </c>
      <c r="F112" s="22">
        <f>IF(ISNUMBER(D112), $B118 * E112, "")</f>
        <v>2636.7187499999959</v>
      </c>
      <c r="G112" s="30">
        <v>52.5</v>
      </c>
      <c r="H112" s="21">
        <f t="shared" si="55"/>
        <v>2.5390624999999944E-2</v>
      </c>
      <c r="I112" s="95">
        <f>IF(ISNUMBER(G112), $B118 * H112, "")</f>
        <v>3808.5937499999918</v>
      </c>
      <c r="J112" s="20">
        <v>52.2</v>
      </c>
      <c r="K112" s="21">
        <f t="shared" si="56"/>
        <v>1.953125E-2</v>
      </c>
      <c r="L112" s="22">
        <f>IF(ISNUMBER(J112), $B118 * K112, "")</f>
        <v>2929.6875</v>
      </c>
      <c r="M112" s="30">
        <v>51.7</v>
      </c>
      <c r="N112" s="21">
        <f t="shared" si="57"/>
        <v>9.765625E-3</v>
      </c>
      <c r="O112" s="22">
        <f>IF(ISNUMBER(M112), $B118 * N112, "")</f>
        <v>1464.84375</v>
      </c>
      <c r="Q112" s="156"/>
      <c r="R112" s="156"/>
      <c r="S112" s="156"/>
    </row>
    <row r="113" spans="1:19" ht="17.25" thickBot="1">
      <c r="A113" s="109" t="s">
        <v>138</v>
      </c>
      <c r="B113" s="113">
        <v>19.8</v>
      </c>
      <c r="C113" s="73">
        <v>1.02040816E-2</v>
      </c>
      <c r="D113" s="96">
        <v>19.899999999999999</v>
      </c>
      <c r="E113" s="97">
        <f>IF(ISNUMBER(D113), (D113 - $B113) / $B113, "")</f>
        <v>5.0505050505049425E-3</v>
      </c>
      <c r="F113" s="98">
        <f>IF(ISNUMBER(D113), $B118 * E113, "")</f>
        <v>757.57575757574136</v>
      </c>
      <c r="G113" s="99">
        <v>20.2</v>
      </c>
      <c r="H113" s="97">
        <f>IF(ISNUMBER(G113), (G113 - $B113) / $B113, "")</f>
        <v>2.0202020202020131E-2</v>
      </c>
      <c r="I113" s="100">
        <f>IF(ISNUMBER(G113), $B118 * H113, "")</f>
        <v>3030.3030303030196</v>
      </c>
      <c r="J113" s="96">
        <v>20.100000000000001</v>
      </c>
      <c r="K113" s="97">
        <f>IF(ISNUMBER(J113), (J113 - $B113) / $B113, "")</f>
        <v>1.5151515151515187E-2</v>
      </c>
      <c r="L113" s="98">
        <f>IF(ISNUMBER(J113), $B118 * K113, "")</f>
        <v>2272.727272727278</v>
      </c>
      <c r="M113" s="99">
        <v>20</v>
      </c>
      <c r="N113" s="97">
        <f>IF(ISNUMBER(M113), (M113 - $B113) / $B113, "")</f>
        <v>1.0101010101010065E-2</v>
      </c>
      <c r="O113" s="98">
        <f>IF(ISNUMBER(M113), $B118 * N113, "")</f>
        <v>1515.1515151515098</v>
      </c>
      <c r="Q113" s="146"/>
      <c r="R113" s="146"/>
      <c r="S113" s="146"/>
    </row>
    <row r="114" spans="1:19" ht="17.25" thickBot="1">
      <c r="A114" s="109" t="s">
        <v>122</v>
      </c>
      <c r="B114" s="110">
        <v>20.399999999999999</v>
      </c>
      <c r="C114" s="70">
        <v>9.9009900999999997E-3</v>
      </c>
      <c r="D114" s="15">
        <v>20.3</v>
      </c>
      <c r="E114" s="32">
        <f t="shared" ref="E114:E117" si="58">IF(ISNUMBER(D114), (D114 - $B114) / $B114, "")</f>
        <v>-4.9019607843136213E-3</v>
      </c>
      <c r="F114" s="18">
        <f>IF(ISNUMBER(D114), $B118 * E114, "")</f>
        <v>-735.29411764704321</v>
      </c>
      <c r="G114" s="31">
        <v>20.6</v>
      </c>
      <c r="H114" s="32">
        <f t="shared" ref="H114:H117" si="59">IF(ISNUMBER(G114), (G114 - $B114) / $B114, "")</f>
        <v>9.8039215686275914E-3</v>
      </c>
      <c r="I114" s="91">
        <f>IF(ISNUMBER(G114), $B118 * H114, "")</f>
        <v>1470.5882352941387</v>
      </c>
      <c r="J114" s="15">
        <v>20.6</v>
      </c>
      <c r="K114" s="32">
        <f t="shared" ref="K114:K117" si="60">IF(ISNUMBER(J114), (J114 - $B114) / $B114, "")</f>
        <v>9.8039215686275914E-3</v>
      </c>
      <c r="L114" s="18">
        <f>IF(ISNUMBER(J114), $B118 * K114, "")</f>
        <v>1470.5882352941387</v>
      </c>
      <c r="M114" s="31">
        <v>20.399999999999999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146"/>
      <c r="R114" s="146"/>
      <c r="S114" s="146"/>
    </row>
    <row r="115" spans="1:19" ht="17.25" thickBot="1">
      <c r="A115" s="109" t="s">
        <v>79</v>
      </c>
      <c r="B115" s="110">
        <v>213</v>
      </c>
      <c r="C115" s="70">
        <v>9.478673E-3</v>
      </c>
      <c r="D115" s="15">
        <v>214</v>
      </c>
      <c r="E115" s="32">
        <f t="shared" si="58"/>
        <v>4.6948356807511738E-3</v>
      </c>
      <c r="F115" s="18">
        <f>IF(ISNUMBER(D115), $B118 * E115, "")</f>
        <v>704.22535211267609</v>
      </c>
      <c r="G115" s="31">
        <v>219</v>
      </c>
      <c r="H115" s="32">
        <f t="shared" si="59"/>
        <v>2.8169014084507043E-2</v>
      </c>
      <c r="I115" s="91">
        <f>IF(ISNUMBER(G115), $B118 * H115, "")</f>
        <v>4225.3521126760561</v>
      </c>
      <c r="J115" s="15">
        <v>218</v>
      </c>
      <c r="K115" s="32">
        <f t="shared" si="60"/>
        <v>2.3474178403755867E-2</v>
      </c>
      <c r="L115" s="18">
        <f>IF(ISNUMBER(J115), $B118 * K115, "")</f>
        <v>3521.1267605633802</v>
      </c>
      <c r="M115" s="31">
        <v>217</v>
      </c>
      <c r="N115" s="32">
        <f t="shared" si="61"/>
        <v>1.8779342723004695E-2</v>
      </c>
      <c r="O115" s="18">
        <f>IF(ISNUMBER(M115), $B118 * N115, "")</f>
        <v>2816.9014084507044</v>
      </c>
      <c r="Q115" s="146"/>
      <c r="R115" s="146"/>
      <c r="S115" s="146"/>
    </row>
    <row r="116" spans="1:19">
      <c r="A116" s="109" t="s">
        <v>326</v>
      </c>
      <c r="B116" s="110">
        <v>221</v>
      </c>
      <c r="C116" s="70">
        <v>9.1324201000000001E-3</v>
      </c>
      <c r="D116" s="15">
        <v>226</v>
      </c>
      <c r="E116" s="32">
        <f t="shared" si="58"/>
        <v>2.2624434389140271E-2</v>
      </c>
      <c r="F116" s="18">
        <f>IF(ISNUMBER(D116), $B118 * E116, "")</f>
        <v>3393.6651583710404</v>
      </c>
      <c r="G116" s="31">
        <v>231</v>
      </c>
      <c r="H116" s="32">
        <f t="shared" si="59"/>
        <v>4.5248868778280542E-2</v>
      </c>
      <c r="I116" s="91">
        <f>IF(ISNUMBER(G116), $B118 * H116, "")</f>
        <v>6787.3303167420809</v>
      </c>
      <c r="J116" s="15">
        <v>230</v>
      </c>
      <c r="K116" s="32">
        <f t="shared" si="60"/>
        <v>4.072398190045249E-2</v>
      </c>
      <c r="L116" s="18">
        <f>IF(ISNUMBER(J116), $B118 * K116, "")</f>
        <v>6108.5972850678736</v>
      </c>
      <c r="M116" s="31">
        <v>230</v>
      </c>
      <c r="N116" s="32">
        <f t="shared" si="61"/>
        <v>4.072398190045249E-2</v>
      </c>
      <c r="O116" s="18">
        <f>IF(ISNUMBER(M116), $B118 * N116, "")</f>
        <v>6108.5972850678736</v>
      </c>
      <c r="Q116" s="135"/>
      <c r="R116" s="136"/>
      <c r="S116" s="137"/>
    </row>
    <row r="117" spans="1:19" ht="17.25" thickBot="1">
      <c r="A117" s="114" t="s">
        <v>147</v>
      </c>
      <c r="B117" s="115">
        <v>7765</v>
      </c>
      <c r="C117" s="72">
        <v>9.0968161000000002E-3</v>
      </c>
      <c r="D117" s="24">
        <v>7960</v>
      </c>
      <c r="E117" s="25">
        <f t="shared" si="58"/>
        <v>2.5112685125563427E-2</v>
      </c>
      <c r="F117" s="94">
        <f>IF(ISNUMBER(D117), $B118 * E117, "")</f>
        <v>3766.9027688345141</v>
      </c>
      <c r="G117" s="92">
        <v>8125</v>
      </c>
      <c r="H117" s="25">
        <f t="shared" si="59"/>
        <v>4.6361880231809399E-2</v>
      </c>
      <c r="I117" s="93">
        <f>IF(ISNUMBER(G117), $B118 * H117, "")</f>
        <v>6954.2820347714096</v>
      </c>
      <c r="J117" s="24">
        <v>8130</v>
      </c>
      <c r="K117" s="25">
        <f t="shared" si="60"/>
        <v>4.7005795235028978E-2</v>
      </c>
      <c r="L117" s="94">
        <f>IF(ISNUMBER(J117), $B118 * K117, "")</f>
        <v>7050.8692852543463</v>
      </c>
      <c r="M117" s="92">
        <v>8085</v>
      </c>
      <c r="N117" s="25">
        <f t="shared" si="61"/>
        <v>4.12105602060528E-2</v>
      </c>
      <c r="O117" s="94">
        <f>IF(ISNUMBER(M117), $B118 * N117, "")</f>
        <v>6181.5840309079204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8.0245079649350105E-3</v>
      </c>
      <c r="F118" s="28">
        <f>SUM(F98:F117)</f>
        <v>24073.523894805032</v>
      </c>
      <c r="G118" s="26" t="s">
        <v>258</v>
      </c>
      <c r="H118" s="27">
        <f>IF(COUNT(H98:H117), SUM(H98:H117) / COUNT(H98:H117), 0)</f>
        <v>1.7693540667225234E-2</v>
      </c>
      <c r="I118" s="28">
        <f>SUM(I98:I117)</f>
        <v>53080.622001675692</v>
      </c>
      <c r="J118" s="26" t="s">
        <v>258</v>
      </c>
      <c r="K118" s="27">
        <f>IF(COUNT(K98:K117), SUM(K98:K117) / COUNT(K98:K117), 0)</f>
        <v>1.514192170138875E-2</v>
      </c>
      <c r="L118" s="28">
        <f>SUM(L98:L117)</f>
        <v>45425.765104166247</v>
      </c>
      <c r="M118" s="26" t="s">
        <v>258</v>
      </c>
      <c r="N118" s="27">
        <f>IF(COUNT(N98:N117), SUM(N98:N117) / COUNT(N98:N117), 0)</f>
        <v>1.3131732639176257E-2</v>
      </c>
      <c r="O118" s="28">
        <f>SUM(O98:O117)</f>
        <v>39395.197917528778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2023-01-02(월) 오전 00:00</v>
      </c>
      <c r="C123" s="198"/>
      <c r="D123" s="170" t="str">
        <f>TEXT($G$1, "[$-ko-KR]yyyy-mm-dd(ddd) ") &amp; "오후 14:00"</f>
        <v>2023-01-02(월) 오후 14:00</v>
      </c>
      <c r="E123" s="171"/>
      <c r="F123" s="172"/>
      <c r="G123" s="170" t="str">
        <f>TEXT($G$1, "[$-ko-KR]yyyy-mm-dd(ddd) ") &amp; "오후 19:00"</f>
        <v>2023-01-02(월) 오후 19:00</v>
      </c>
      <c r="H123" s="171"/>
      <c r="I123" s="172"/>
      <c r="J123" s="170" t="str">
        <f>TEXT($G$1, "[$-ko-KR]yyyy-mm-dd(ddd) ") &amp; "오후 21:00"</f>
        <v>2023-01-02(월) 오후 21:00</v>
      </c>
      <c r="K123" s="171"/>
      <c r="L123" s="172"/>
      <c r="M123" s="170" t="str">
        <f>TEXT($G$1+1, "[$-ko-KR]yyyy-mm-dd(ddd) ") &amp; "오전 00:00"</f>
        <v>2023-01-03(화)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97</v>
      </c>
      <c r="B125" s="108">
        <v>8.0000000000000004E-4</v>
      </c>
      <c r="C125" s="69">
        <v>0</v>
      </c>
      <c r="D125" s="13">
        <v>8.0000000000000004E-4</v>
      </c>
      <c r="E125" s="14">
        <f>IF(ISNUMBER(D125), (D125 - $B125) / $B125, "")</f>
        <v>0</v>
      </c>
      <c r="F125" s="16">
        <f>IF(ISNUMBER(D125), $B145 * E125, "")</f>
        <v>0</v>
      </c>
      <c r="G125" s="29">
        <v>6.9999999999999999E-4</v>
      </c>
      <c r="H125" s="14">
        <f>IF(ISNUMBER(G125), (G125 - $B125) / $B125, "")</f>
        <v>-0.12500000000000006</v>
      </c>
      <c r="I125" s="90">
        <f>IF(ISNUMBER(G125), $B145 * H125, "")</f>
        <v>-18750.000000000007</v>
      </c>
      <c r="J125" s="13">
        <v>8.0000000000000004E-4</v>
      </c>
      <c r="K125" s="14">
        <f>IF(ISNUMBER(J125), (J125 - $B125) / $B125, "")</f>
        <v>0</v>
      </c>
      <c r="L125" s="16">
        <f>IF(ISNUMBER(J125), $B145 * K125, "")</f>
        <v>0</v>
      </c>
      <c r="M125" s="29">
        <v>8.0000000000000004E-4</v>
      </c>
      <c r="N125" s="14">
        <f>IF(ISNUMBER(M125), (M125 - $B125) / $B125, "")</f>
        <v>0</v>
      </c>
      <c r="O125" s="16">
        <f>IF(ISNUMBER(M125), $B145 * N125, "")</f>
        <v>0</v>
      </c>
      <c r="Q125" s="156"/>
      <c r="R125" s="156"/>
      <c r="S125" s="156"/>
    </row>
    <row r="126" spans="1:19" ht="17.25" thickBot="1">
      <c r="A126" s="109" t="s">
        <v>203</v>
      </c>
      <c r="B126" s="110">
        <v>2.91</v>
      </c>
      <c r="C126" s="70">
        <v>0</v>
      </c>
      <c r="D126" s="15">
        <v>2.9</v>
      </c>
      <c r="E126" s="32">
        <f t="shared" ref="E126:E129" si="62">IF(ISNUMBER(D126), (D126 - $B126) / $B126, "")</f>
        <v>-3.4364261168385673E-3</v>
      </c>
      <c r="F126" s="18">
        <f>IF(ISNUMBER(D126), $B145 * E126, "")</f>
        <v>-515.46391752578506</v>
      </c>
      <c r="G126" s="31">
        <v>2.94</v>
      </c>
      <c r="H126" s="32">
        <f t="shared" ref="H126:H129" si="63">IF(ISNUMBER(G126), (G126 - $B126) / $B126, "")</f>
        <v>1.0309278350515396E-2</v>
      </c>
      <c r="I126" s="91">
        <f>IF(ISNUMBER(G126), $B145 * H126, "")</f>
        <v>1546.3917525773095</v>
      </c>
      <c r="J126" s="15">
        <v>2.94</v>
      </c>
      <c r="K126" s="32">
        <f t="shared" ref="K126:K129" si="64">IF(ISNUMBER(J126), (J126 - $B126) / $B126, "")</f>
        <v>1.0309278350515396E-2</v>
      </c>
      <c r="L126" s="18">
        <f>IF(ISNUMBER(J126), $B145 * K126, "")</f>
        <v>1546.3917525773095</v>
      </c>
      <c r="M126" s="31">
        <v>2.94</v>
      </c>
      <c r="N126" s="32">
        <f t="shared" ref="N126:N129" si="65">IF(ISNUMBER(M126), (M126 - $B126) / $B126, "")</f>
        <v>1.0309278350515396E-2</v>
      </c>
      <c r="O126" s="18">
        <f>IF(ISNUMBER(M126), $B145 * N126, "")</f>
        <v>1546.3917525773095</v>
      </c>
      <c r="Q126" s="156"/>
      <c r="R126" s="156"/>
      <c r="S126" s="156"/>
    </row>
    <row r="127" spans="1:19" ht="17.25" thickBot="1">
      <c r="A127" s="109" t="s">
        <v>193</v>
      </c>
      <c r="B127" s="110">
        <v>14.8</v>
      </c>
      <c r="C127" s="70">
        <v>0</v>
      </c>
      <c r="D127" s="15">
        <v>15</v>
      </c>
      <c r="E127" s="32">
        <f t="shared" si="62"/>
        <v>1.3513513513513466E-2</v>
      </c>
      <c r="F127" s="18">
        <f>IF(ISNUMBER(D127), $B145 * E127, "")</f>
        <v>2027.0270270270198</v>
      </c>
      <c r="G127" s="31">
        <v>15.1</v>
      </c>
      <c r="H127" s="32">
        <f t="shared" si="63"/>
        <v>2.0270270270270199E-2</v>
      </c>
      <c r="I127" s="91">
        <f>IF(ISNUMBER(G127), $B145 * H127, "")</f>
        <v>3040.5405405405299</v>
      </c>
      <c r="J127" s="15">
        <v>15.2</v>
      </c>
      <c r="K127" s="32">
        <f t="shared" si="64"/>
        <v>2.7027027027026931E-2</v>
      </c>
      <c r="L127" s="18">
        <f>IF(ISNUMBER(J127), $B145 * K127, "")</f>
        <v>4054.0540540540396</v>
      </c>
      <c r="M127" s="31">
        <v>15.1</v>
      </c>
      <c r="N127" s="32">
        <f t="shared" si="65"/>
        <v>2.0270270270270199E-2</v>
      </c>
      <c r="O127" s="18">
        <f>IF(ISNUMBER(M127), $B145 * N127, "")</f>
        <v>3040.5405405405299</v>
      </c>
      <c r="Q127" s="146"/>
      <c r="R127" s="146"/>
      <c r="S127" s="146"/>
    </row>
    <row r="128" spans="1:19" ht="17.25" thickBot="1">
      <c r="A128" s="109" t="s">
        <v>124</v>
      </c>
      <c r="B128" s="110">
        <v>26.8</v>
      </c>
      <c r="C128" s="70">
        <v>0</v>
      </c>
      <c r="D128" s="15">
        <v>26.9</v>
      </c>
      <c r="E128" s="32">
        <f t="shared" si="62"/>
        <v>3.7313432835820101E-3</v>
      </c>
      <c r="F128" s="18">
        <f>IF(ISNUMBER(D128), $B145 * E128, "")</f>
        <v>559.70149253730153</v>
      </c>
      <c r="G128" s="31">
        <v>27.1</v>
      </c>
      <c r="H128" s="32">
        <f t="shared" si="63"/>
        <v>1.1194029850746294E-2</v>
      </c>
      <c r="I128" s="91">
        <f>IF(ISNUMBER(G128), $B145 * H128, "")</f>
        <v>1679.104477611944</v>
      </c>
      <c r="J128" s="15">
        <v>27</v>
      </c>
      <c r="K128" s="32">
        <f t="shared" si="64"/>
        <v>7.4626865671641521E-3</v>
      </c>
      <c r="L128" s="18">
        <f>IF(ISNUMBER(J128), $B145 * K128, "")</f>
        <v>1119.4029850746228</v>
      </c>
      <c r="M128" s="31">
        <v>27</v>
      </c>
      <c r="N128" s="32">
        <f t="shared" si="65"/>
        <v>7.4626865671641521E-3</v>
      </c>
      <c r="O128" s="18">
        <f>IF(ISNUMBER(M128), $B145 * N128, "")</f>
        <v>1119.4029850746228</v>
      </c>
      <c r="Q128" s="146"/>
      <c r="R128" s="146"/>
      <c r="S128" s="146"/>
    </row>
    <row r="129" spans="1:19" ht="17.25" thickBot="1">
      <c r="A129" s="111" t="s">
        <v>118</v>
      </c>
      <c r="B129" s="112">
        <v>4.5</v>
      </c>
      <c r="C129" s="71">
        <v>0</v>
      </c>
      <c r="D129" s="20">
        <v>4.53</v>
      </c>
      <c r="E129" s="21">
        <f t="shared" si="62"/>
        <v>6.6666666666667217E-3</v>
      </c>
      <c r="F129" s="22">
        <f>IF(ISNUMBER(D129), $B145 * E129, "")</f>
        <v>1000.0000000000083</v>
      </c>
      <c r="G129" s="30">
        <v>4.63</v>
      </c>
      <c r="H129" s="21">
        <f t="shared" si="63"/>
        <v>2.8888888888888867E-2</v>
      </c>
      <c r="I129" s="95">
        <f>IF(ISNUMBER(G129), $B145 * H129, "")</f>
        <v>4333.3333333333303</v>
      </c>
      <c r="J129" s="20">
        <v>4.58</v>
      </c>
      <c r="K129" s="21">
        <f t="shared" si="64"/>
        <v>1.7777777777777795E-2</v>
      </c>
      <c r="L129" s="22">
        <f>IF(ISNUMBER(J129), $B145 * K129, "")</f>
        <v>2666.6666666666692</v>
      </c>
      <c r="M129" s="30">
        <v>4.6399999999999997</v>
      </c>
      <c r="N129" s="21">
        <f t="shared" si="65"/>
        <v>3.1111111111111041E-2</v>
      </c>
      <c r="O129" s="22">
        <f>IF(ISNUMBER(M129), $B145 * N129, "")</f>
        <v>4666.6666666666561</v>
      </c>
      <c r="Q129" s="146"/>
      <c r="R129" s="146"/>
      <c r="S129" s="146"/>
    </row>
    <row r="130" spans="1:19" ht="17.25" thickBot="1">
      <c r="A130" s="109" t="s">
        <v>126</v>
      </c>
      <c r="B130" s="113">
        <v>20.2</v>
      </c>
      <c r="C130" s="73">
        <v>0</v>
      </c>
      <c r="D130" s="96">
        <v>20.6</v>
      </c>
      <c r="E130" s="97">
        <f>IF(ISNUMBER(D130), (D130 - $B130) / $B130, "")</f>
        <v>1.980198019801991E-2</v>
      </c>
      <c r="F130" s="98">
        <f>IF(ISNUMBER(D130), $B145 * E130, "")</f>
        <v>2970.2970297029865</v>
      </c>
      <c r="G130" s="99">
        <v>21.2</v>
      </c>
      <c r="H130" s="97">
        <f>IF(ISNUMBER(G130), (G130 - $B130) / $B130, "")</f>
        <v>4.9504950495049507E-2</v>
      </c>
      <c r="I130" s="100">
        <f>IF(ISNUMBER(G130), $B145 * H130, "")</f>
        <v>7425.742574257426</v>
      </c>
      <c r="J130" s="96">
        <v>21.1</v>
      </c>
      <c r="K130" s="97">
        <f>IF(ISNUMBER(J130), (J130 - $B130) / $B130, "")</f>
        <v>4.4554455445544663E-2</v>
      </c>
      <c r="L130" s="98">
        <f>IF(ISNUMBER(J130), $B145 * K130, "")</f>
        <v>6683.1683168316995</v>
      </c>
      <c r="M130" s="99">
        <v>21.1</v>
      </c>
      <c r="N130" s="97">
        <f>IF(ISNUMBER(M130), (M130 - $B130) / $B130, "")</f>
        <v>4.4554455445544663E-2</v>
      </c>
      <c r="O130" s="98">
        <f>IF(ISNUMBER(M130), $B145 * N130, "")</f>
        <v>6683.1683168316995</v>
      </c>
      <c r="Q130" s="146"/>
      <c r="R130" s="146"/>
      <c r="S130" s="146"/>
    </row>
    <row r="131" spans="1:19" ht="17.25" thickBot="1">
      <c r="A131" s="109" t="s">
        <v>207</v>
      </c>
      <c r="B131" s="110">
        <v>58.4</v>
      </c>
      <c r="C131" s="70">
        <v>-1.7094017E-3</v>
      </c>
      <c r="D131" s="15">
        <v>58.1</v>
      </c>
      <c r="E131" s="32">
        <f t="shared" ref="E131:E134" si="66">IF(ISNUMBER(D131), (D131 - $B131) / $B131, "")</f>
        <v>-5.1369863013698142E-3</v>
      </c>
      <c r="F131" s="18">
        <f>IF(ISNUMBER(D131), $B145 * E131, "")</f>
        <v>-770.54794520547216</v>
      </c>
      <c r="G131" s="31">
        <v>59.1</v>
      </c>
      <c r="H131" s="32">
        <f t="shared" ref="H131:H134" si="67">IF(ISNUMBER(G131), (G131 - $B131) / $B131, "")</f>
        <v>1.1986301369863063E-2</v>
      </c>
      <c r="I131" s="91">
        <f>IF(ISNUMBER(G131), $B145 * H131, "")</f>
        <v>1797.9452054794594</v>
      </c>
      <c r="J131" s="15">
        <v>58.8</v>
      </c>
      <c r="K131" s="32">
        <f t="shared" ref="K131:K134" si="68">IF(ISNUMBER(J131), (J131 - $B131) / $B131, "")</f>
        <v>6.8493150684931269E-3</v>
      </c>
      <c r="L131" s="18">
        <f>IF(ISNUMBER(J131), $B145 * K131, "")</f>
        <v>1027.3972602739691</v>
      </c>
      <c r="M131" s="31">
        <v>59</v>
      </c>
      <c r="N131" s="32">
        <f t="shared" ref="N131:N134" si="69">IF(ISNUMBER(M131), (M131 - $B131) / $B131, "")</f>
        <v>1.0273972602739751E-2</v>
      </c>
      <c r="O131" s="18">
        <f>IF(ISNUMBER(M131), $B145 * N131, "")</f>
        <v>1541.0958904109627</v>
      </c>
      <c r="Q131" s="146"/>
      <c r="R131" s="146"/>
      <c r="S131" s="146"/>
    </row>
    <row r="132" spans="1:19" ht="17.25" thickBot="1">
      <c r="A132" s="109" t="s">
        <v>195</v>
      </c>
      <c r="B132" s="110">
        <v>5.46</v>
      </c>
      <c r="C132" s="70">
        <v>-1.8281536000000001E-3</v>
      </c>
      <c r="D132" s="15">
        <v>5.45</v>
      </c>
      <c r="E132" s="32">
        <f t="shared" si="66"/>
        <v>-1.8315018315017925E-3</v>
      </c>
      <c r="F132" s="18">
        <f>IF(ISNUMBER(D132), $B145 * E132, "")</f>
        <v>-274.72527472526889</v>
      </c>
      <c r="G132" s="31">
        <v>5.5</v>
      </c>
      <c r="H132" s="32">
        <f t="shared" si="67"/>
        <v>7.3260073260073329E-3</v>
      </c>
      <c r="I132" s="91">
        <f>IF(ISNUMBER(G132), $B145 * H132, "")</f>
        <v>1098.9010989010999</v>
      </c>
      <c r="J132" s="15">
        <v>5.49</v>
      </c>
      <c r="K132" s="32">
        <f t="shared" si="68"/>
        <v>5.49450549450554E-3</v>
      </c>
      <c r="L132" s="18">
        <f>IF(ISNUMBER(J132), $B145 * K132, "")</f>
        <v>824.17582417583105</v>
      </c>
      <c r="M132" s="31">
        <v>5.47</v>
      </c>
      <c r="N132" s="32">
        <f t="shared" si="69"/>
        <v>1.8315018315017925E-3</v>
      </c>
      <c r="O132" s="18">
        <f>IF(ISNUMBER(M132), $B145 * N132, "")</f>
        <v>274.72527472526889</v>
      </c>
      <c r="Q132" s="146"/>
      <c r="R132" s="146"/>
      <c r="S132" s="146"/>
    </row>
    <row r="133" spans="1:19" ht="17.25" thickBot="1">
      <c r="A133" s="109" t="s">
        <v>181</v>
      </c>
      <c r="B133" s="110">
        <v>3.83</v>
      </c>
      <c r="C133" s="70">
        <v>-2.6041667E-3</v>
      </c>
      <c r="D133" s="15">
        <v>3.83</v>
      </c>
      <c r="E133" s="32">
        <f t="shared" si="66"/>
        <v>0</v>
      </c>
      <c r="F133" s="18">
        <f>IF(ISNUMBER(D133), $B145 * E133, "")</f>
        <v>0</v>
      </c>
      <c r="G133" s="31">
        <v>3.83</v>
      </c>
      <c r="H133" s="32">
        <f t="shared" si="67"/>
        <v>0</v>
      </c>
      <c r="I133" s="91">
        <f>IF(ISNUMBER(G133), $B145 * H133, "")</f>
        <v>0</v>
      </c>
      <c r="J133" s="15">
        <v>3.85</v>
      </c>
      <c r="K133" s="32">
        <f t="shared" si="68"/>
        <v>5.2219321148825109E-3</v>
      </c>
      <c r="L133" s="18">
        <f>IF(ISNUMBER(J133), $B145 * K133, "")</f>
        <v>783.28981723237666</v>
      </c>
      <c r="M133" s="31">
        <v>3.83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14" t="s">
        <v>141</v>
      </c>
      <c r="B134" s="115">
        <v>2.87</v>
      </c>
      <c r="C134" s="72">
        <v>-3.4722222000000001E-3</v>
      </c>
      <c r="D134" s="24">
        <v>2.89</v>
      </c>
      <c r="E134" s="25">
        <f t="shared" si="66"/>
        <v>6.9686411149825845E-3</v>
      </c>
      <c r="F134" s="94">
        <f>IF(ISNUMBER(D134), $B145 * E134, "")</f>
        <v>1045.2961672473878</v>
      </c>
      <c r="G134" s="92">
        <v>2.92</v>
      </c>
      <c r="H134" s="25">
        <f t="shared" si="67"/>
        <v>1.7421602787456383E-2</v>
      </c>
      <c r="I134" s="93">
        <f>IF(ISNUMBER(G134), $B145 * H134, "")</f>
        <v>2613.2404181184575</v>
      </c>
      <c r="J134" s="24">
        <v>2.92</v>
      </c>
      <c r="K134" s="25">
        <f t="shared" si="68"/>
        <v>1.7421602787456383E-2</v>
      </c>
      <c r="L134" s="94">
        <f>IF(ISNUMBER(J134), $B145 * K134, "")</f>
        <v>2613.2404181184575</v>
      </c>
      <c r="M134" s="92">
        <v>2.91</v>
      </c>
      <c r="N134" s="25">
        <f t="shared" si="69"/>
        <v>1.3937282229965169E-2</v>
      </c>
      <c r="O134" s="94">
        <f>IF(ISNUMBER(M134), $B145 * N134, "")</f>
        <v>2090.5923344947755</v>
      </c>
      <c r="Q134" s="147"/>
      <c r="R134" s="148"/>
      <c r="S134" s="149"/>
    </row>
    <row r="135" spans="1:19">
      <c r="A135" s="107" t="s">
        <v>132</v>
      </c>
      <c r="B135" s="108">
        <v>40</v>
      </c>
      <c r="C135" s="69">
        <v>-4.9751244000000002E-3</v>
      </c>
      <c r="D135" s="13">
        <v>40</v>
      </c>
      <c r="E135" s="14">
        <f>IF(ISNUMBER(D135), (D135 - $B135) / $B135, "")</f>
        <v>0</v>
      </c>
      <c r="F135" s="16">
        <f>IF(ISNUMBER(D135), $B145 * E135, "")</f>
        <v>0</v>
      </c>
      <c r="G135" s="29">
        <v>40.9</v>
      </c>
      <c r="H135" s="14">
        <f>IF(ISNUMBER(G135), (G135 - $B135) / $B135, "")</f>
        <v>2.2499999999999964E-2</v>
      </c>
      <c r="I135" s="90">
        <f>IF(ISNUMBER(G135), $B145 * H135, "")</f>
        <v>3374.9999999999945</v>
      </c>
      <c r="J135" s="13">
        <v>40.799999999999997</v>
      </c>
      <c r="K135" s="14">
        <f>IF(ISNUMBER(J135), (J135 - $B135) / $B135, "")</f>
        <v>1.9999999999999928E-2</v>
      </c>
      <c r="L135" s="16">
        <f>IF(ISNUMBER(J135), $B145 * K135, "")</f>
        <v>2999.9999999999891</v>
      </c>
      <c r="M135" s="29">
        <v>40.700000000000003</v>
      </c>
      <c r="N135" s="14">
        <f>IF(ISNUMBER(M135), (M135 - $B135) / $B135, "")</f>
        <v>1.7500000000000071E-2</v>
      </c>
      <c r="O135" s="16">
        <f>IF(ISNUMBER(M135), $B145 * N135, "")</f>
        <v>2625.0000000000105</v>
      </c>
      <c r="Q135" s="150"/>
      <c r="R135" s="151"/>
      <c r="S135" s="152"/>
    </row>
    <row r="136" spans="1:19" ht="17.25" thickBot="1">
      <c r="A136" s="109" t="s">
        <v>197</v>
      </c>
      <c r="B136" s="110">
        <v>5.43</v>
      </c>
      <c r="C136" s="70">
        <v>-5.4945055E-3</v>
      </c>
      <c r="D136" s="15">
        <v>5.48</v>
      </c>
      <c r="E136" s="32">
        <f t="shared" ref="E136:E139" si="70">IF(ISNUMBER(D136), (D136 - $B136) / $B136, "")</f>
        <v>9.2081031307551953E-3</v>
      </c>
      <c r="F136" s="18">
        <f>IF(ISNUMBER(D136), $B145 * E136, "")</f>
        <v>1381.2154696132793</v>
      </c>
      <c r="G136" s="31">
        <v>5.54</v>
      </c>
      <c r="H136" s="32">
        <f t="shared" ref="H136:H139" si="71">IF(ISNUMBER(G136), (G136 - $B136) / $B136, "")</f>
        <v>2.0257826887661201E-2</v>
      </c>
      <c r="I136" s="91">
        <f>IF(ISNUMBER(G136), $B145 * H136, "")</f>
        <v>3038.6740331491801</v>
      </c>
      <c r="J136" s="15">
        <v>5.55</v>
      </c>
      <c r="K136" s="32">
        <f t="shared" ref="K136:K139" si="72">IF(ISNUMBER(J136), (J136 - $B136) / $B136, "")</f>
        <v>2.2099447513812175E-2</v>
      </c>
      <c r="L136" s="18">
        <f>IF(ISNUMBER(J136), $B145 * K136, "")</f>
        <v>3314.9171270718261</v>
      </c>
      <c r="M136" s="31">
        <v>5.54</v>
      </c>
      <c r="N136" s="32">
        <f t="shared" ref="N136:N139" si="73">IF(ISNUMBER(M136), (M136 - $B136) / $B136, "")</f>
        <v>2.0257826887661201E-2</v>
      </c>
      <c r="O136" s="18">
        <f>IF(ISNUMBER(M136), $B145 * N136, "")</f>
        <v>3038.6740331491801</v>
      </c>
      <c r="Q136" s="153"/>
      <c r="R136" s="154"/>
      <c r="S136" s="155"/>
    </row>
    <row r="137" spans="1:19" ht="17.25" thickBot="1">
      <c r="A137" s="109" t="s">
        <v>143</v>
      </c>
      <c r="B137" s="110">
        <v>3.27</v>
      </c>
      <c r="C137" s="70">
        <v>-6.0790274E-3</v>
      </c>
      <c r="D137" s="15">
        <v>3.32</v>
      </c>
      <c r="E137" s="32">
        <f t="shared" si="70"/>
        <v>1.5290519877675787E-2</v>
      </c>
      <c r="F137" s="18">
        <f>IF(ISNUMBER(D137), $B145 * E137, "")</f>
        <v>2293.5779816513682</v>
      </c>
      <c r="G137" s="31">
        <v>3.34</v>
      </c>
      <c r="H137" s="32">
        <f t="shared" si="71"/>
        <v>2.1406727828746128E-2</v>
      </c>
      <c r="I137" s="91">
        <f>IF(ISNUMBER(G137), $B145 * H137, "")</f>
        <v>3211.0091743119192</v>
      </c>
      <c r="J137" s="15">
        <v>3.35</v>
      </c>
      <c r="K137" s="32">
        <f t="shared" si="72"/>
        <v>2.4464831804281367E-2</v>
      </c>
      <c r="L137" s="18">
        <f>IF(ISNUMBER(J137), $B145 * K137, "")</f>
        <v>3669.7247706422049</v>
      </c>
      <c r="M137" s="31">
        <v>3.35</v>
      </c>
      <c r="N137" s="32">
        <f t="shared" si="73"/>
        <v>2.4464831804281367E-2</v>
      </c>
      <c r="O137" s="18">
        <f>IF(ISNUMBER(M137), $B145 * N137, "")</f>
        <v>3669.7247706422049</v>
      </c>
      <c r="Q137" s="146"/>
      <c r="R137" s="146"/>
      <c r="S137" s="146"/>
    </row>
    <row r="138" spans="1:19" ht="17.25" thickBot="1">
      <c r="A138" s="109" t="s">
        <v>253</v>
      </c>
      <c r="B138" s="110">
        <v>88.7</v>
      </c>
      <c r="C138" s="70">
        <v>-7.8299775999999995E-3</v>
      </c>
      <c r="D138" s="15">
        <v>89.1</v>
      </c>
      <c r="E138" s="32">
        <f t="shared" si="70"/>
        <v>4.5095828635850219E-3</v>
      </c>
      <c r="F138" s="18">
        <f>IF(ISNUMBER(D138), $B145 * E138, "")</f>
        <v>676.43742953775325</v>
      </c>
      <c r="G138" s="31">
        <v>91.7</v>
      </c>
      <c r="H138" s="32">
        <f t="shared" si="71"/>
        <v>3.3821871476888386E-2</v>
      </c>
      <c r="I138" s="91">
        <f>IF(ISNUMBER(G138), $B145 * H138, "")</f>
        <v>5073.2807215332577</v>
      </c>
      <c r="J138" s="15">
        <v>91.5</v>
      </c>
      <c r="K138" s="32">
        <f t="shared" si="72"/>
        <v>3.1567080045095793E-2</v>
      </c>
      <c r="L138" s="18">
        <f>IF(ISNUMBER(J138), $B145 * K138, "")</f>
        <v>4735.0620067643686</v>
      </c>
      <c r="M138" s="31">
        <v>91.4</v>
      </c>
      <c r="N138" s="32">
        <f t="shared" si="73"/>
        <v>3.0439684329199579E-2</v>
      </c>
      <c r="O138" s="18">
        <f>IF(ISNUMBER(M138), $B145 * N138, "")</f>
        <v>4565.9526493799367</v>
      </c>
      <c r="Q138" s="156"/>
      <c r="R138" s="156"/>
      <c r="S138" s="156"/>
    </row>
    <row r="139" spans="1:19" ht="17.25" thickBot="1">
      <c r="A139" s="111" t="s">
        <v>237</v>
      </c>
      <c r="B139" s="112">
        <v>25.2</v>
      </c>
      <c r="C139" s="71">
        <v>-7.8740157000000005E-3</v>
      </c>
      <c r="D139" s="20">
        <v>25.2</v>
      </c>
      <c r="E139" s="21">
        <f t="shared" si="70"/>
        <v>0</v>
      </c>
      <c r="F139" s="22">
        <f>IF(ISNUMBER(D139), $B145 * E139, "")</f>
        <v>0</v>
      </c>
      <c r="G139" s="30">
        <v>25.6</v>
      </c>
      <c r="H139" s="21">
        <f t="shared" si="71"/>
        <v>1.5873015873015959E-2</v>
      </c>
      <c r="I139" s="95">
        <f>IF(ISNUMBER(G139), $B145 * H139, "")</f>
        <v>2380.9523809523939</v>
      </c>
      <c r="J139" s="20">
        <v>25.6</v>
      </c>
      <c r="K139" s="21">
        <f t="shared" si="72"/>
        <v>1.5873015873015959E-2</v>
      </c>
      <c r="L139" s="22">
        <f>IF(ISNUMBER(J139), $B145 * K139, "")</f>
        <v>2380.9523809523939</v>
      </c>
      <c r="M139" s="30">
        <v>25.5</v>
      </c>
      <c r="N139" s="21">
        <f t="shared" si="73"/>
        <v>1.1904761904761934E-2</v>
      </c>
      <c r="O139" s="22">
        <f>IF(ISNUMBER(M139), $B145 * N139, "")</f>
        <v>1785.7142857142901</v>
      </c>
      <c r="Q139" s="156"/>
      <c r="R139" s="156"/>
      <c r="S139" s="156"/>
    </row>
    <row r="140" spans="1:19" ht="17.25" thickBot="1">
      <c r="A140" s="109" t="s">
        <v>107</v>
      </c>
      <c r="B140" s="113">
        <v>32.9</v>
      </c>
      <c r="C140" s="73">
        <v>-9.0361446000000005E-3</v>
      </c>
      <c r="D140" s="96">
        <v>33.4</v>
      </c>
      <c r="E140" s="97">
        <f>IF(ISNUMBER(D140), (D140 - $B140) / $B140, "")</f>
        <v>1.5197568389057751E-2</v>
      </c>
      <c r="F140" s="98">
        <f>IF(ISNUMBER(D140), $B145 * E140, "")</f>
        <v>2279.6352583586627</v>
      </c>
      <c r="G140" s="99">
        <v>33.6</v>
      </c>
      <c r="H140" s="97">
        <f>IF(ISNUMBER(G140), (G140 - $B140) / $B140, "")</f>
        <v>2.1276595744680937E-2</v>
      </c>
      <c r="I140" s="100">
        <f>IF(ISNUMBER(G140), $B145 * H140, "")</f>
        <v>3191.4893617021407</v>
      </c>
      <c r="J140" s="96">
        <v>33.4</v>
      </c>
      <c r="K140" s="97">
        <f>IF(ISNUMBER(J140), (J140 - $B140) / $B140, "")</f>
        <v>1.5197568389057751E-2</v>
      </c>
      <c r="L140" s="98">
        <f>IF(ISNUMBER(J140), $B145 * K140, "")</f>
        <v>2279.6352583586627</v>
      </c>
      <c r="M140" s="99">
        <v>33.4</v>
      </c>
      <c r="N140" s="97">
        <f>IF(ISNUMBER(M140), (M140 - $B140) / $B140, "")</f>
        <v>1.5197568389057751E-2</v>
      </c>
      <c r="O140" s="98">
        <f>IF(ISNUMBER(M140), $B145 * N140, "")</f>
        <v>2279.6352583586627</v>
      </c>
      <c r="Q140" s="146"/>
      <c r="R140" s="146"/>
      <c r="S140" s="146"/>
    </row>
    <row r="141" spans="1:19" ht="17.25" thickBot="1">
      <c r="A141" s="109" t="s">
        <v>227</v>
      </c>
      <c r="B141" s="110">
        <v>32.700000000000003</v>
      </c>
      <c r="C141" s="70">
        <v>-9.0909091000000008E-3</v>
      </c>
      <c r="D141" s="15">
        <v>33.200000000000003</v>
      </c>
      <c r="E141" s="32">
        <f t="shared" ref="E141:E144" si="74">IF(ISNUMBER(D141), (D141 - $B141) / $B141, "")</f>
        <v>1.5290519877675839E-2</v>
      </c>
      <c r="F141" s="18">
        <f>IF(ISNUMBER(D141), $B145 * E141, "")</f>
        <v>2293.5779816513759</v>
      </c>
      <c r="G141" s="31">
        <v>33.6</v>
      </c>
      <c r="H141" s="32">
        <f t="shared" ref="H141:H144" si="75">IF(ISNUMBER(G141), (G141 - $B141) / $B141, "")</f>
        <v>2.7522935779816467E-2</v>
      </c>
      <c r="I141" s="91">
        <f>IF(ISNUMBER(G141), $B145 * H141, "")</f>
        <v>4128.4403669724697</v>
      </c>
      <c r="J141" s="15">
        <v>33.299999999999997</v>
      </c>
      <c r="K141" s="32">
        <f t="shared" ref="K141:K144" si="76">IF(ISNUMBER(J141), (J141 - $B141) / $B141, "")</f>
        <v>1.8348623853210833E-2</v>
      </c>
      <c r="L141" s="18">
        <f>IF(ISNUMBER(J141), $B145 * K141, "")</f>
        <v>2752.2935779816248</v>
      </c>
      <c r="M141" s="31">
        <v>33.4</v>
      </c>
      <c r="N141" s="32">
        <f t="shared" ref="N141:N144" si="77">IF(ISNUMBER(M141), (M141 - $B141) / $B141, "")</f>
        <v>2.1406727828746044E-2</v>
      </c>
      <c r="O141" s="18">
        <f>IF(ISNUMBER(M141), $B145 * N141, "")</f>
        <v>3211.0091743119065</v>
      </c>
      <c r="Q141" s="146"/>
      <c r="R141" s="146"/>
      <c r="S141" s="146"/>
    </row>
    <row r="142" spans="1:19" ht="17.25" thickBot="1">
      <c r="A142" s="109" t="s">
        <v>221</v>
      </c>
      <c r="B142" s="110">
        <v>17.2</v>
      </c>
      <c r="C142" s="70">
        <v>-1.14942529E-2</v>
      </c>
      <c r="D142" s="15">
        <v>17.2</v>
      </c>
      <c r="E142" s="32">
        <f t="shared" si="74"/>
        <v>0</v>
      </c>
      <c r="F142" s="18">
        <f>IF(ISNUMBER(D142), $B145 * E142, "")</f>
        <v>0</v>
      </c>
      <c r="G142" s="31">
        <v>17.5</v>
      </c>
      <c r="H142" s="32">
        <f t="shared" si="75"/>
        <v>1.744186046511632E-2</v>
      </c>
      <c r="I142" s="91">
        <f>IF(ISNUMBER(G142), $B145 * H142, "")</f>
        <v>2616.2790697674482</v>
      </c>
      <c r="J142" s="15">
        <v>17.5</v>
      </c>
      <c r="K142" s="32">
        <f t="shared" si="76"/>
        <v>1.744186046511632E-2</v>
      </c>
      <c r="L142" s="18">
        <f>IF(ISNUMBER(J142), $B145 * K142, "")</f>
        <v>2616.2790697674482</v>
      </c>
      <c r="M142" s="31">
        <v>17.5</v>
      </c>
      <c r="N142" s="32">
        <f t="shared" si="77"/>
        <v>1.744186046511632E-2</v>
      </c>
      <c r="O142" s="18">
        <f>IF(ISNUMBER(M142), $B145 * N142, "")</f>
        <v>2616.2790697674482</v>
      </c>
      <c r="Q142" s="146"/>
      <c r="R142" s="146"/>
      <c r="S142" s="146"/>
    </row>
    <row r="143" spans="1:19">
      <c r="A143" s="109" t="s">
        <v>350</v>
      </c>
      <c r="B143" s="110">
        <v>5.54</v>
      </c>
      <c r="C143" s="70">
        <v>-1.7730496500000002E-2</v>
      </c>
      <c r="D143" s="15">
        <v>5.5</v>
      </c>
      <c r="E143" s="32">
        <f t="shared" si="74"/>
        <v>-7.2202166064982013E-3</v>
      </c>
      <c r="F143" s="18">
        <f>IF(ISNUMBER(D143), $B145 * E143, "")</f>
        <v>-1083.0324909747301</v>
      </c>
      <c r="G143" s="31">
        <v>5.57</v>
      </c>
      <c r="H143" s="32">
        <f t="shared" si="75"/>
        <v>5.4151624548736911E-3</v>
      </c>
      <c r="I143" s="91">
        <f>IF(ISNUMBER(G143), $B145 * H143, "")</f>
        <v>812.2743682310537</v>
      </c>
      <c r="J143" s="15">
        <v>5.57</v>
      </c>
      <c r="K143" s="32">
        <f t="shared" si="76"/>
        <v>5.4151624548736911E-3</v>
      </c>
      <c r="L143" s="18">
        <f>IF(ISNUMBER(J143), $B145 * K143, "")</f>
        <v>812.2743682310537</v>
      </c>
      <c r="M143" s="31">
        <v>5.56</v>
      </c>
      <c r="N143" s="32">
        <f t="shared" si="77"/>
        <v>3.6101083032490204E-3</v>
      </c>
      <c r="O143" s="18">
        <f>IF(ISNUMBER(M143), $B145 * N143, "")</f>
        <v>541.5162454873531</v>
      </c>
      <c r="Q143" s="135"/>
      <c r="R143" s="136"/>
      <c r="S143" s="137"/>
    </row>
    <row r="144" spans="1:19" ht="17.25" thickBot="1">
      <c r="A144" s="114" t="s">
        <v>349</v>
      </c>
      <c r="B144" s="115">
        <v>20.100000000000001</v>
      </c>
      <c r="C144" s="72">
        <v>-2.42718447E-2</v>
      </c>
      <c r="D144" s="24">
        <v>20</v>
      </c>
      <c r="E144" s="25">
        <f t="shared" si="74"/>
        <v>-4.9751243781095229E-3</v>
      </c>
      <c r="F144" s="94">
        <f>IF(ISNUMBER(D144), $B145 * E144, "")</f>
        <v>-746.26865671642838</v>
      </c>
      <c r="G144" s="92">
        <v>20.3</v>
      </c>
      <c r="H144" s="25">
        <f t="shared" si="75"/>
        <v>9.9502487562188689E-3</v>
      </c>
      <c r="I144" s="93">
        <f>IF(ISNUMBER(G144), $B145 * H144, "")</f>
        <v>1492.5373134328304</v>
      </c>
      <c r="J144" s="24">
        <v>20.399999999999999</v>
      </c>
      <c r="K144" s="25">
        <f t="shared" si="76"/>
        <v>1.4925373134328216E-2</v>
      </c>
      <c r="L144" s="94">
        <f>IF(ISNUMBER(J144), $B145 * K144, "")</f>
        <v>2238.8059701492325</v>
      </c>
      <c r="M144" s="92">
        <v>20.5</v>
      </c>
      <c r="N144" s="25">
        <f t="shared" si="77"/>
        <v>1.9900497512437738E-2</v>
      </c>
      <c r="O144" s="94">
        <f>IF(ISNUMBER(M144), $B145 * N144, "")</f>
        <v>2985.0746268656608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4.3789091840598189E-3</v>
      </c>
      <c r="F145" s="28">
        <f>SUM(F125:F144)</f>
        <v>13136.727552179458</v>
      </c>
      <c r="G145" s="26" t="s">
        <v>258</v>
      </c>
      <c r="H145" s="27">
        <f>IF(COUNT(H125:H144), SUM(H125:H144) / COUNT(H125:H144), 0)</f>
        <v>1.1368378730290745E-2</v>
      </c>
      <c r="I145" s="28">
        <f>SUM(I125:I144)</f>
        <v>34105.136190872239</v>
      </c>
      <c r="J145" s="26" t="s">
        <v>258</v>
      </c>
      <c r="K145" s="27">
        <f>IF(COUNT(K125:K144), SUM(K125:K144) / COUNT(K125:K144), 0)</f>
        <v>1.6372577208307926E-2</v>
      </c>
      <c r="L145" s="28">
        <f>SUM(L125:L144)</f>
        <v>49117.731624923785</v>
      </c>
      <c r="M145" s="26" t="s">
        <v>258</v>
      </c>
      <c r="N145" s="27">
        <f>IF(COUNT(N125:N144), SUM(N125:N144) / COUNT(N125:N144), 0)</f>
        <v>1.6093721291666158E-2</v>
      </c>
      <c r="O145" s="28">
        <f>SUM(O125:O144)</f>
        <v>48281.16387499847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2023-01-02(월) 오전 00:00</v>
      </c>
      <c r="C150" s="198"/>
      <c r="D150" s="170" t="str">
        <f>TEXT($G$1, "[$-ko-KR]yyyy-mm-dd(ddd) ") &amp; "오후 14:00"</f>
        <v>2023-01-02(월) 오후 14:00</v>
      </c>
      <c r="E150" s="171"/>
      <c r="F150" s="172"/>
      <c r="G150" s="170" t="str">
        <f>TEXT($G$1, "[$-ko-KR]yyyy-mm-dd(ddd) ") &amp; "오후 19:00"</f>
        <v>2023-01-02(월) 오후 19:00</v>
      </c>
      <c r="H150" s="171"/>
      <c r="I150" s="172"/>
      <c r="J150" s="170" t="str">
        <f>TEXT($G$1, "[$-ko-KR]yyyy-mm-dd(ddd) ") &amp; "오후 21:00"</f>
        <v>2023-01-02(월) 오후 21:00</v>
      </c>
      <c r="K150" s="171"/>
      <c r="L150" s="172"/>
      <c r="M150" s="170" t="str">
        <f>TEXT($G$1+1, "[$-ko-KR]yyyy-mm-dd(ddd) ") &amp; "오전 00:00"</f>
        <v>2023-01-03(화)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153</v>
      </c>
      <c r="B152" s="108">
        <v>313</v>
      </c>
      <c r="C152" s="69">
        <v>0</v>
      </c>
      <c r="D152" s="13">
        <v>314</v>
      </c>
      <c r="E152" s="14">
        <f>IF(ISNUMBER(D152), (D152 - $B152) / $B152, "")</f>
        <v>3.1948881789137379E-3</v>
      </c>
      <c r="F152" s="16">
        <f>IF(ISNUMBER(D152), $B172 * E152, "")</f>
        <v>479.23322683706067</v>
      </c>
      <c r="G152" s="29">
        <v>320</v>
      </c>
      <c r="H152" s="14">
        <f>IF(ISNUMBER(G152), (G152 - $B152) / $B152, "")</f>
        <v>2.2364217252396165E-2</v>
      </c>
      <c r="I152" s="90">
        <f>IF(ISNUMBER(G152), $B172 * H152, "")</f>
        <v>3354.6325878594248</v>
      </c>
      <c r="J152" s="13">
        <v>319</v>
      </c>
      <c r="K152" s="14">
        <f>IF(ISNUMBER(J152), (J152 - $B152) / $B152, "")</f>
        <v>1.9169329073482427E-2</v>
      </c>
      <c r="L152" s="16">
        <f>IF(ISNUMBER(J152), $B172 * K152, "")</f>
        <v>2875.3993610223642</v>
      </c>
      <c r="M152" s="29">
        <v>320</v>
      </c>
      <c r="N152" s="14">
        <f>IF(ISNUMBER(M152), (M152 - $B152) / $B152, "")</f>
        <v>2.2364217252396165E-2</v>
      </c>
      <c r="O152" s="16">
        <f>IF(ISNUMBER(M152), $B172 * N152, "")</f>
        <v>3354.6325878594248</v>
      </c>
      <c r="Q152" s="156"/>
      <c r="R152" s="156"/>
      <c r="S152" s="156"/>
    </row>
    <row r="153" spans="1:19" ht="17.25" thickBot="1">
      <c r="A153" s="109" t="s">
        <v>109</v>
      </c>
      <c r="B153" s="110">
        <v>922</v>
      </c>
      <c r="C153" s="70">
        <v>0</v>
      </c>
      <c r="D153" s="15">
        <v>935</v>
      </c>
      <c r="E153" s="32">
        <f t="shared" ref="E153:E156" si="78">IF(ISNUMBER(D153), (D153 - $B153) / $B153, "")</f>
        <v>1.4099783080260303E-2</v>
      </c>
      <c r="F153" s="18">
        <f>IF(ISNUMBER(D153), $B172 * E153, "")</f>
        <v>2114.9674620390456</v>
      </c>
      <c r="G153" s="31">
        <v>953</v>
      </c>
      <c r="H153" s="32">
        <f t="shared" ref="H153:H156" si="79">IF(ISNUMBER(G153), (G153 - $B153) / $B153, "")</f>
        <v>3.3622559652928416E-2</v>
      </c>
      <c r="I153" s="91">
        <f>IF(ISNUMBER(G153), $B172 * H153, "")</f>
        <v>5043.3839479392627</v>
      </c>
      <c r="J153" s="15">
        <v>952</v>
      </c>
      <c r="K153" s="32">
        <f t="shared" ref="K153:K156" si="80">IF(ISNUMBER(J153), (J153 - $B153) / $B153, "")</f>
        <v>3.2537960954446853E-2</v>
      </c>
      <c r="L153" s="18">
        <f>IF(ISNUMBER(J153), $B172 * K153, "")</f>
        <v>4880.6941431670275</v>
      </c>
      <c r="M153" s="31">
        <v>951</v>
      </c>
      <c r="N153" s="32">
        <f t="shared" ref="N153:N156" si="81">IF(ISNUMBER(M153), (M153 - $B153) / $B153, "")</f>
        <v>3.1453362255965296E-2</v>
      </c>
      <c r="O153" s="18">
        <f>IF(ISNUMBER(M153), $B172 * N153, "")</f>
        <v>4718.0043383947941</v>
      </c>
      <c r="Q153" s="156"/>
      <c r="R153" s="156"/>
      <c r="S153" s="156"/>
    </row>
    <row r="154" spans="1:19" ht="17.25" thickBot="1">
      <c r="A154" s="109" t="s">
        <v>341</v>
      </c>
      <c r="B154" s="110">
        <v>604</v>
      </c>
      <c r="C154" s="70">
        <v>-1.6528926E-3</v>
      </c>
      <c r="D154" s="15">
        <v>610</v>
      </c>
      <c r="E154" s="32">
        <f t="shared" si="78"/>
        <v>9.9337748344370865E-3</v>
      </c>
      <c r="F154" s="18">
        <f>IF(ISNUMBER(D154), $B172 * E154, "")</f>
        <v>1490.0662251655631</v>
      </c>
      <c r="G154" s="31">
        <v>622</v>
      </c>
      <c r="H154" s="32">
        <f t="shared" si="79"/>
        <v>2.9801324503311258E-2</v>
      </c>
      <c r="I154" s="91">
        <f>IF(ISNUMBER(G154), $B172 * H154, "")</f>
        <v>4470.1986754966883</v>
      </c>
      <c r="J154" s="15">
        <v>621</v>
      </c>
      <c r="K154" s="32">
        <f t="shared" si="80"/>
        <v>2.8145695364238412E-2</v>
      </c>
      <c r="L154" s="18">
        <f>IF(ISNUMBER(J154), $B172 * K154, "")</f>
        <v>4221.8543046357618</v>
      </c>
      <c r="M154" s="31">
        <v>623</v>
      </c>
      <c r="N154" s="32">
        <f t="shared" si="81"/>
        <v>3.1456953642384107E-2</v>
      </c>
      <c r="O154" s="18">
        <f>IF(ISNUMBER(M154), $B172 * N154, "")</f>
        <v>4718.5430463576158</v>
      </c>
      <c r="Q154" s="146"/>
      <c r="R154" s="146"/>
      <c r="S154" s="146"/>
    </row>
    <row r="155" spans="1:19" ht="17.25" thickBot="1">
      <c r="A155" s="109" t="s">
        <v>89</v>
      </c>
      <c r="B155" s="110">
        <v>431</v>
      </c>
      <c r="C155" s="70">
        <v>-2.3148147999999999E-3</v>
      </c>
      <c r="D155" s="15">
        <v>419</v>
      </c>
      <c r="E155" s="32">
        <f t="shared" si="78"/>
        <v>-2.7842227378190254E-2</v>
      </c>
      <c r="F155" s="18">
        <f>IF(ISNUMBER(D155), $B172 * E155, "")</f>
        <v>-4176.3341067285382</v>
      </c>
      <c r="G155" s="31">
        <v>441</v>
      </c>
      <c r="H155" s="32">
        <f t="shared" si="79"/>
        <v>2.3201856148491878E-2</v>
      </c>
      <c r="I155" s="91">
        <f>IF(ISNUMBER(G155), $B172 * H155, "")</f>
        <v>3480.2784222737819</v>
      </c>
      <c r="J155" s="15">
        <v>438</v>
      </c>
      <c r="K155" s="32">
        <f t="shared" si="80"/>
        <v>1.6241299303944315E-2</v>
      </c>
      <c r="L155" s="18">
        <f>IF(ISNUMBER(J155), $B172 * K155, "")</f>
        <v>2436.1948955916473</v>
      </c>
      <c r="M155" s="31">
        <v>440</v>
      </c>
      <c r="N155" s="32">
        <f t="shared" si="81"/>
        <v>2.0881670533642691E-2</v>
      </c>
      <c r="O155" s="18">
        <f>IF(ISNUMBER(M155), $B172 * N155, "")</f>
        <v>3132.2505800464037</v>
      </c>
      <c r="Q155" s="146"/>
      <c r="R155" s="146"/>
      <c r="S155" s="146"/>
    </row>
    <row r="156" spans="1:19" ht="17.25" thickBot="1">
      <c r="A156" s="111" t="s">
        <v>95</v>
      </c>
      <c r="B156" s="112">
        <v>910</v>
      </c>
      <c r="C156" s="71">
        <v>-3.2858708E-3</v>
      </c>
      <c r="D156" s="20">
        <v>917</v>
      </c>
      <c r="E156" s="21">
        <f t="shared" si="78"/>
        <v>7.6923076923076927E-3</v>
      </c>
      <c r="F156" s="22">
        <f>IF(ISNUMBER(D156), $B172 * E156, "")</f>
        <v>1153.8461538461538</v>
      </c>
      <c r="G156" s="30">
        <v>929</v>
      </c>
      <c r="H156" s="21">
        <f t="shared" si="79"/>
        <v>2.0879120879120878E-2</v>
      </c>
      <c r="I156" s="95">
        <f>IF(ISNUMBER(G156), $B172 * H156, "")</f>
        <v>3131.8681318681315</v>
      </c>
      <c r="J156" s="20">
        <v>927</v>
      </c>
      <c r="K156" s="21">
        <f t="shared" si="80"/>
        <v>1.8681318681318681E-2</v>
      </c>
      <c r="L156" s="22">
        <f>IF(ISNUMBER(J156), $B172 * K156, "")</f>
        <v>2802.197802197802</v>
      </c>
      <c r="M156" s="30">
        <v>932</v>
      </c>
      <c r="N156" s="21">
        <f t="shared" si="81"/>
        <v>2.4175824175824177E-2</v>
      </c>
      <c r="O156" s="22">
        <f>IF(ISNUMBER(M156), $B172 * N156, "")</f>
        <v>3626.3736263736264</v>
      </c>
      <c r="Q156" s="146"/>
      <c r="R156" s="146"/>
      <c r="S156" s="146"/>
    </row>
    <row r="157" spans="1:19" ht="17.25" thickBot="1">
      <c r="A157" s="109" t="s">
        <v>330</v>
      </c>
      <c r="B157" s="113">
        <v>255</v>
      </c>
      <c r="C157" s="73">
        <v>-3.90625E-3</v>
      </c>
      <c r="D157" s="96">
        <v>256</v>
      </c>
      <c r="E157" s="97">
        <f>IF(ISNUMBER(D157), (D157 - $B157) / $B157, "")</f>
        <v>3.9215686274509803E-3</v>
      </c>
      <c r="F157" s="98">
        <f>IF(ISNUMBER(D157), $B172 * E157, "")</f>
        <v>588.23529411764707</v>
      </c>
      <c r="G157" s="99">
        <v>259</v>
      </c>
      <c r="H157" s="97">
        <f>IF(ISNUMBER(G157), (G157 - $B157) / $B157, "")</f>
        <v>1.5686274509803921E-2</v>
      </c>
      <c r="I157" s="100">
        <f>IF(ISNUMBER(G157), $B172 * H157, "")</f>
        <v>2352.9411764705883</v>
      </c>
      <c r="J157" s="96">
        <v>259</v>
      </c>
      <c r="K157" s="97">
        <f>IF(ISNUMBER(J157), (J157 - $B157) / $B157, "")</f>
        <v>1.5686274509803921E-2</v>
      </c>
      <c r="L157" s="98">
        <f>IF(ISNUMBER(J157), $B172 * K157, "")</f>
        <v>2352.9411764705883</v>
      </c>
      <c r="M157" s="99">
        <v>260</v>
      </c>
      <c r="N157" s="97">
        <f>IF(ISNUMBER(M157), (M157 - $B157) / $B157, "")</f>
        <v>1.9607843137254902E-2</v>
      </c>
      <c r="O157" s="98">
        <f>IF(ISNUMBER(M157), $B172 * N157, "")</f>
        <v>2941.1764705882351</v>
      </c>
      <c r="Q157" s="146"/>
      <c r="R157" s="146"/>
      <c r="S157" s="146"/>
    </row>
    <row r="158" spans="1:19" ht="17.25" thickBot="1">
      <c r="A158" s="109" t="s">
        <v>339</v>
      </c>
      <c r="B158" s="110">
        <v>962</v>
      </c>
      <c r="C158" s="70">
        <v>-4.1407867000000003E-3</v>
      </c>
      <c r="D158" s="15">
        <v>962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992</v>
      </c>
      <c r="H158" s="32">
        <f t="shared" ref="H158:H161" si="83">IF(ISNUMBER(G158), (G158 - $B158) / $B158, "")</f>
        <v>3.1185031185031187E-2</v>
      </c>
      <c r="I158" s="91">
        <f>IF(ISNUMBER(G158), $B172 * H158, "")</f>
        <v>4677.7546777546777</v>
      </c>
      <c r="J158" s="15">
        <v>991</v>
      </c>
      <c r="K158" s="32">
        <f t="shared" ref="K158:K161" si="84">IF(ISNUMBER(J158), (J158 - $B158) / $B158, "")</f>
        <v>3.0145530145530147E-2</v>
      </c>
      <c r="L158" s="18">
        <f>IF(ISNUMBER(J158), $B172 * K158, "")</f>
        <v>4521.8295218295225</v>
      </c>
      <c r="M158" s="31">
        <v>991</v>
      </c>
      <c r="N158" s="32">
        <f t="shared" ref="N158:N161" si="85">IF(ISNUMBER(M158), (M158 - $B158) / $B158, "")</f>
        <v>3.0145530145530147E-2</v>
      </c>
      <c r="O158" s="18">
        <f>IF(ISNUMBER(M158), $B172 * N158, "")</f>
        <v>4521.8295218295225</v>
      </c>
      <c r="Q158" s="146"/>
      <c r="R158" s="146"/>
      <c r="S158" s="146"/>
    </row>
    <row r="159" spans="1:19" ht="17.25" thickBot="1">
      <c r="A159" s="109" t="s">
        <v>223</v>
      </c>
      <c r="B159" s="110">
        <v>185</v>
      </c>
      <c r="C159" s="70">
        <v>-5.3763441000000004E-3</v>
      </c>
      <c r="D159" s="15">
        <v>187</v>
      </c>
      <c r="E159" s="32">
        <f t="shared" si="82"/>
        <v>1.0810810810810811E-2</v>
      </c>
      <c r="F159" s="18">
        <f>IF(ISNUMBER(D159), $B172 * E159, "")</f>
        <v>1621.6216216216217</v>
      </c>
      <c r="G159" s="31">
        <v>190</v>
      </c>
      <c r="H159" s="32">
        <f t="shared" si="83"/>
        <v>2.7027027027027029E-2</v>
      </c>
      <c r="I159" s="91">
        <f>IF(ISNUMBER(G159), $B172 * H159, "")</f>
        <v>4054.0540540540542</v>
      </c>
      <c r="J159" s="15">
        <v>188</v>
      </c>
      <c r="K159" s="32">
        <f t="shared" si="84"/>
        <v>1.6216216216216217E-2</v>
      </c>
      <c r="L159" s="18">
        <f>IF(ISNUMBER(J159), $B172 * K159, "")</f>
        <v>2432.4324324324325</v>
      </c>
      <c r="M159" s="31">
        <v>188</v>
      </c>
      <c r="N159" s="32">
        <f t="shared" si="85"/>
        <v>1.6216216216216217E-2</v>
      </c>
      <c r="O159" s="18">
        <f>IF(ISNUMBER(M159), $B172 * N159, "")</f>
        <v>2432.4324324324325</v>
      </c>
      <c r="Q159" s="146"/>
      <c r="R159" s="146"/>
      <c r="S159" s="146"/>
    </row>
    <row r="160" spans="1:19" ht="17.25" thickBot="1">
      <c r="A160" s="109" t="s">
        <v>105</v>
      </c>
      <c r="B160" s="110">
        <v>179</v>
      </c>
      <c r="C160" s="70">
        <v>-5.5555556000000004E-3</v>
      </c>
      <c r="D160" s="15">
        <v>181</v>
      </c>
      <c r="E160" s="32">
        <f t="shared" si="82"/>
        <v>1.11731843575419E-2</v>
      </c>
      <c r="F160" s="18">
        <f>IF(ISNUMBER(D160), $B172 * E160, "")</f>
        <v>1675.977653631285</v>
      </c>
      <c r="G160" s="31">
        <v>185</v>
      </c>
      <c r="H160" s="32">
        <f t="shared" si="83"/>
        <v>3.3519553072625698E-2</v>
      </c>
      <c r="I160" s="91">
        <f>IF(ISNUMBER(G160), $B172 * H160, "")</f>
        <v>5027.9329608938542</v>
      </c>
      <c r="J160" s="15">
        <v>184</v>
      </c>
      <c r="K160" s="32">
        <f t="shared" si="84"/>
        <v>2.7932960893854747E-2</v>
      </c>
      <c r="L160" s="18">
        <f>IF(ISNUMBER(J160), $B172 * K160, "")</f>
        <v>4189.9441340782123</v>
      </c>
      <c r="M160" s="31">
        <v>186</v>
      </c>
      <c r="N160" s="32">
        <f t="shared" si="85"/>
        <v>3.9106145251396648E-2</v>
      </c>
      <c r="O160" s="18">
        <f>IF(ISNUMBER(M160), $B172 * N160, "")</f>
        <v>5865.921787709497</v>
      </c>
      <c r="Q160" s="33"/>
      <c r="R160" s="33"/>
    </row>
    <row r="161" spans="1:19" ht="17.25" thickBot="1">
      <c r="A161" s="114" t="s">
        <v>235</v>
      </c>
      <c r="B161" s="115">
        <v>493</v>
      </c>
      <c r="C161" s="72">
        <v>-6.0483871000000002E-3</v>
      </c>
      <c r="D161" s="24">
        <v>493</v>
      </c>
      <c r="E161" s="25">
        <f t="shared" si="82"/>
        <v>0</v>
      </c>
      <c r="F161" s="94">
        <f>IF(ISNUMBER(D161), $B172 * E161, "")</f>
        <v>0</v>
      </c>
      <c r="G161" s="92">
        <v>502</v>
      </c>
      <c r="H161" s="25">
        <f t="shared" si="83"/>
        <v>1.8255578093306288E-2</v>
      </c>
      <c r="I161" s="93">
        <f>IF(ISNUMBER(G161), $B172 * H161, "")</f>
        <v>2738.3367139959432</v>
      </c>
      <c r="J161" s="24">
        <v>499</v>
      </c>
      <c r="K161" s="25">
        <f t="shared" si="84"/>
        <v>1.2170385395537525E-2</v>
      </c>
      <c r="L161" s="94">
        <f>IF(ISNUMBER(J161), $B172 * K161, "")</f>
        <v>1825.5578093306287</v>
      </c>
      <c r="M161" s="92">
        <v>498</v>
      </c>
      <c r="N161" s="25">
        <f t="shared" si="85"/>
        <v>1.0141987829614604E-2</v>
      </c>
      <c r="O161" s="94">
        <f>IF(ISNUMBER(M161), $B172 * N161, "")</f>
        <v>1521.2981744421907</v>
      </c>
      <c r="Q161" s="147"/>
      <c r="R161" s="148"/>
      <c r="S161" s="149"/>
    </row>
    <row r="162" spans="1:19">
      <c r="A162" s="107" t="s">
        <v>130</v>
      </c>
      <c r="B162" s="108">
        <v>577</v>
      </c>
      <c r="C162" s="69">
        <v>-6.8846816000000003E-3</v>
      </c>
      <c r="D162" s="13">
        <v>578</v>
      </c>
      <c r="E162" s="14">
        <f>IF(ISNUMBER(D162), (D162 - $B162) / $B162, "")</f>
        <v>1.7331022530329288E-3</v>
      </c>
      <c r="F162" s="16">
        <f>IF(ISNUMBER(D162), $B172 * E162, "")</f>
        <v>259.96533795493934</v>
      </c>
      <c r="G162" s="29">
        <v>589</v>
      </c>
      <c r="H162" s="14">
        <f>IF(ISNUMBER(G162), (G162 - $B162) / $B162, "")</f>
        <v>2.0797227036395149E-2</v>
      </c>
      <c r="I162" s="90">
        <f>IF(ISNUMBER(G162), $B172 * H162, "")</f>
        <v>3119.5840554592723</v>
      </c>
      <c r="J162" s="13">
        <v>590</v>
      </c>
      <c r="K162" s="14">
        <f>IF(ISNUMBER(J162), (J162 - $B162) / $B162, "")</f>
        <v>2.2530329289428077E-2</v>
      </c>
      <c r="L162" s="16">
        <f>IF(ISNUMBER(J162), $B172 * K162, "")</f>
        <v>3379.5493934142114</v>
      </c>
      <c r="M162" s="29">
        <v>590</v>
      </c>
      <c r="N162" s="14">
        <f>IF(ISNUMBER(M162), (M162 - $B162) / $B162, "")</f>
        <v>2.2530329289428077E-2</v>
      </c>
      <c r="O162" s="16">
        <f>IF(ISNUMBER(M162), $B172 * N162, "")</f>
        <v>3379.5493934142114</v>
      </c>
      <c r="Q162" s="150"/>
      <c r="R162" s="151"/>
      <c r="S162" s="152"/>
    </row>
    <row r="163" spans="1:19" ht="17.25" thickBot="1">
      <c r="A163" s="109" t="s">
        <v>189</v>
      </c>
      <c r="B163" s="110">
        <v>828</v>
      </c>
      <c r="C163" s="70">
        <v>-7.1942446E-3</v>
      </c>
      <c r="D163" s="15">
        <v>832</v>
      </c>
      <c r="E163" s="32">
        <f t="shared" ref="E163:E166" si="86">IF(ISNUMBER(D163), (D163 - $B163) / $B163, "")</f>
        <v>4.830917874396135E-3</v>
      </c>
      <c r="F163" s="18">
        <f>IF(ISNUMBER(D163), $B172 * E163, "")</f>
        <v>724.63768115942025</v>
      </c>
      <c r="G163" s="31">
        <v>853</v>
      </c>
      <c r="H163" s="32">
        <f t="shared" ref="H163:H166" si="87">IF(ISNUMBER(G163), (G163 - $B163) / $B163, "")</f>
        <v>3.0193236714975844E-2</v>
      </c>
      <c r="I163" s="91">
        <f>IF(ISNUMBER(G163), $B172 * H163, "")</f>
        <v>4528.985507246377</v>
      </c>
      <c r="J163" s="15">
        <v>847</v>
      </c>
      <c r="K163" s="32">
        <f t="shared" ref="K163:K166" si="88">IF(ISNUMBER(J163), (J163 - $B163) / $B163, "")</f>
        <v>2.2946859903381644E-2</v>
      </c>
      <c r="L163" s="18">
        <f>IF(ISNUMBER(J163), $B172 * K163, "")</f>
        <v>3442.0289855072465</v>
      </c>
      <c r="M163" s="31">
        <v>846</v>
      </c>
      <c r="N163" s="32">
        <f t="shared" ref="N163:N166" si="89">IF(ISNUMBER(M163), (M163 - $B163) / $B163, "")</f>
        <v>2.1739130434782608E-2</v>
      </c>
      <c r="O163" s="18">
        <f>IF(ISNUMBER(M163), $B172 * N163, "")</f>
        <v>3260.869565217391</v>
      </c>
      <c r="Q163" s="153"/>
      <c r="R163" s="154"/>
      <c r="S163" s="155"/>
    </row>
    <row r="164" spans="1:19" ht="17.25" thickBot="1">
      <c r="A164" s="109" t="s">
        <v>345</v>
      </c>
      <c r="B164" s="110">
        <v>106</v>
      </c>
      <c r="C164" s="70">
        <v>-9.3457943999999994E-3</v>
      </c>
      <c r="D164" s="15">
        <v>107</v>
      </c>
      <c r="E164" s="32">
        <f t="shared" si="86"/>
        <v>9.433962264150943E-3</v>
      </c>
      <c r="F164" s="18">
        <f>IF(ISNUMBER(D164), $B172 * E164, "")</f>
        <v>1415.0943396226414</v>
      </c>
      <c r="G164" s="31">
        <v>109</v>
      </c>
      <c r="H164" s="32">
        <f t="shared" si="87"/>
        <v>2.8301886792452831E-2</v>
      </c>
      <c r="I164" s="91">
        <f>IF(ISNUMBER(G164), $B172 * H164, "")</f>
        <v>4245.2830188679245</v>
      </c>
      <c r="J164" s="15">
        <v>109</v>
      </c>
      <c r="K164" s="32">
        <f t="shared" si="88"/>
        <v>2.8301886792452831E-2</v>
      </c>
      <c r="L164" s="18">
        <f>IF(ISNUMBER(J164), $B172 * K164, "")</f>
        <v>4245.2830188679245</v>
      </c>
      <c r="M164" s="31">
        <v>108</v>
      </c>
      <c r="N164" s="32">
        <f t="shared" si="89"/>
        <v>1.8867924528301886E-2</v>
      </c>
      <c r="O164" s="18">
        <f>IF(ISNUMBER(M164), $B172 * N164, "")</f>
        <v>2830.1886792452829</v>
      </c>
      <c r="Q164" s="146"/>
      <c r="R164" s="146"/>
      <c r="S164" s="146"/>
    </row>
    <row r="165" spans="1:19" ht="17.25" thickBot="1">
      <c r="A165" s="109" t="s">
        <v>211</v>
      </c>
      <c r="B165" s="110">
        <v>908</v>
      </c>
      <c r="C165" s="70">
        <v>-9.8146129000000002E-3</v>
      </c>
      <c r="D165" s="15">
        <v>914</v>
      </c>
      <c r="E165" s="32">
        <f t="shared" si="86"/>
        <v>6.6079295154185024E-3</v>
      </c>
      <c r="F165" s="18">
        <f>IF(ISNUMBER(D165), $B172 * E165, "")</f>
        <v>991.18942731277536</v>
      </c>
      <c r="G165" s="31">
        <v>920</v>
      </c>
      <c r="H165" s="32">
        <f t="shared" si="87"/>
        <v>1.3215859030837005E-2</v>
      </c>
      <c r="I165" s="91">
        <f>IF(ISNUMBER(G165), $B172 * H165, "")</f>
        <v>1982.3788546255507</v>
      </c>
      <c r="J165" s="15">
        <v>915</v>
      </c>
      <c r="K165" s="32">
        <f t="shared" si="88"/>
        <v>7.709251101321586E-3</v>
      </c>
      <c r="L165" s="18">
        <f>IF(ISNUMBER(J165), $B172 * K165, "")</f>
        <v>1156.387665198238</v>
      </c>
      <c r="M165" s="31">
        <v>917</v>
      </c>
      <c r="N165" s="32">
        <f t="shared" si="89"/>
        <v>9.911894273127754E-3</v>
      </c>
      <c r="O165" s="18">
        <f>IF(ISNUMBER(M165), $B172 * N165, "")</f>
        <v>1486.784140969163</v>
      </c>
      <c r="Q165" s="156"/>
      <c r="R165" s="156"/>
      <c r="S165" s="156"/>
    </row>
    <row r="166" spans="1:19" ht="17.25" thickBot="1">
      <c r="A166" s="111" t="s">
        <v>161</v>
      </c>
      <c r="B166" s="112">
        <v>271</v>
      </c>
      <c r="C166" s="71">
        <v>-1.09489051E-2</v>
      </c>
      <c r="D166" s="20">
        <v>271</v>
      </c>
      <c r="E166" s="21">
        <f t="shared" si="86"/>
        <v>0</v>
      </c>
      <c r="F166" s="22">
        <f>IF(ISNUMBER(D166), $B172 * E166, "")</f>
        <v>0</v>
      </c>
      <c r="G166" s="30">
        <v>276</v>
      </c>
      <c r="H166" s="21">
        <f t="shared" si="87"/>
        <v>1.8450184501845018E-2</v>
      </c>
      <c r="I166" s="95">
        <f>IF(ISNUMBER(G166), $B172 * H166, "")</f>
        <v>2767.5276752767527</v>
      </c>
      <c r="J166" s="20">
        <v>274</v>
      </c>
      <c r="K166" s="21">
        <f t="shared" si="88"/>
        <v>1.107011070110701E-2</v>
      </c>
      <c r="L166" s="22">
        <f>IF(ISNUMBER(J166), $B172 * K166, "")</f>
        <v>1660.5166051660515</v>
      </c>
      <c r="M166" s="30">
        <v>275</v>
      </c>
      <c r="N166" s="21">
        <f t="shared" si="89"/>
        <v>1.4760147601476014E-2</v>
      </c>
      <c r="O166" s="22">
        <f>IF(ISNUMBER(M166), $B172 * N166, "")</f>
        <v>2214.022140221402</v>
      </c>
      <c r="Q166" s="156"/>
      <c r="R166" s="156"/>
      <c r="S166" s="156"/>
    </row>
    <row r="167" spans="1:19" ht="17.25" thickBot="1">
      <c r="A167" s="109" t="s">
        <v>187</v>
      </c>
      <c r="B167" s="113">
        <v>703</v>
      </c>
      <c r="C167" s="73">
        <v>-1.12517581E-2</v>
      </c>
      <c r="D167" s="96">
        <v>706</v>
      </c>
      <c r="E167" s="97">
        <f>IF(ISNUMBER(D167), (D167 - $B167) / $B167, "")</f>
        <v>4.2674253200568994E-3</v>
      </c>
      <c r="F167" s="98">
        <f>IF(ISNUMBER(D167), $B172 * E167, "")</f>
        <v>640.1137980085349</v>
      </c>
      <c r="G167" s="99">
        <v>712</v>
      </c>
      <c r="H167" s="97">
        <f>IF(ISNUMBER(G167), (G167 - $B167) / $B167, "")</f>
        <v>1.2802275960170697E-2</v>
      </c>
      <c r="I167" s="100">
        <f>IF(ISNUMBER(G167), $B172 * H167, "")</f>
        <v>1920.3413940256046</v>
      </c>
      <c r="J167" s="96">
        <v>712</v>
      </c>
      <c r="K167" s="97">
        <f>IF(ISNUMBER(J167), (J167 - $B167) / $B167, "")</f>
        <v>1.2802275960170697E-2</v>
      </c>
      <c r="L167" s="98">
        <f>IF(ISNUMBER(J167), $B172 * K167, "")</f>
        <v>1920.3413940256046</v>
      </c>
      <c r="M167" s="99">
        <v>712</v>
      </c>
      <c r="N167" s="97">
        <f>IF(ISNUMBER(M167), (M167 - $B167) / $B167, "")</f>
        <v>1.2802275960170697E-2</v>
      </c>
      <c r="O167" s="98">
        <f>IF(ISNUMBER(M167), $B172 * N167, "")</f>
        <v>1920.3413940256046</v>
      </c>
      <c r="Q167" s="146"/>
      <c r="R167" s="146"/>
      <c r="S167" s="146"/>
    </row>
    <row r="168" spans="1:19" ht="17.25" thickBot="1">
      <c r="A168" s="109" t="s">
        <v>229</v>
      </c>
      <c r="B168" s="110">
        <v>226</v>
      </c>
      <c r="C168" s="70">
        <v>-1.3100436700000001E-2</v>
      </c>
      <c r="D168" s="15">
        <v>227</v>
      </c>
      <c r="E168" s="32">
        <f t="shared" ref="E168:E171" si="90">IF(ISNUMBER(D168), (D168 - $B168) / $B168, "")</f>
        <v>4.4247787610619468E-3</v>
      </c>
      <c r="F168" s="18">
        <f>IF(ISNUMBER(D168), $B172 * E168, "")</f>
        <v>663.71681415929197</v>
      </c>
      <c r="G168" s="31">
        <v>231</v>
      </c>
      <c r="H168" s="32">
        <f t="shared" ref="H168:H171" si="91">IF(ISNUMBER(G168), (G168 - $B168) / $B168, "")</f>
        <v>2.2123893805309734E-2</v>
      </c>
      <c r="I168" s="91">
        <f>IF(ISNUMBER(G168), $B172 * H168, "")</f>
        <v>3318.5840707964603</v>
      </c>
      <c r="J168" s="15">
        <v>231</v>
      </c>
      <c r="K168" s="32">
        <f t="shared" ref="K168:K171" si="92">IF(ISNUMBER(J168), (J168 - $B168) / $B168, "")</f>
        <v>2.2123893805309734E-2</v>
      </c>
      <c r="L168" s="18">
        <f>IF(ISNUMBER(J168), $B172 * K168, "")</f>
        <v>3318.5840707964603</v>
      </c>
      <c r="M168" s="31">
        <v>231</v>
      </c>
      <c r="N168" s="32">
        <f t="shared" ref="N168:N171" si="93">IF(ISNUMBER(M168), (M168 - $B168) / $B168, "")</f>
        <v>2.2123893805309734E-2</v>
      </c>
      <c r="O168" s="18">
        <f>IF(ISNUMBER(M168), $B172 * N168, "")</f>
        <v>3318.5840707964603</v>
      </c>
      <c r="Q168" s="146"/>
      <c r="R168" s="146"/>
      <c r="S168" s="146"/>
    </row>
    <row r="169" spans="1:19" ht="17.25" thickBot="1">
      <c r="A169" s="109" t="s">
        <v>68</v>
      </c>
      <c r="B169" s="110">
        <v>225</v>
      </c>
      <c r="C169" s="70">
        <v>-1.3157894700000001E-2</v>
      </c>
      <c r="D169" s="15">
        <v>223</v>
      </c>
      <c r="E169" s="32">
        <f t="shared" si="90"/>
        <v>-8.8888888888888889E-3</v>
      </c>
      <c r="F169" s="18">
        <f>IF(ISNUMBER(D169), $B172 * E169, "")</f>
        <v>-1333.3333333333333</v>
      </c>
      <c r="G169" s="31">
        <v>229</v>
      </c>
      <c r="H169" s="32">
        <f t="shared" si="91"/>
        <v>1.7777777777777778E-2</v>
      </c>
      <c r="I169" s="91">
        <f>IF(ISNUMBER(G169), $B172 * H169, "")</f>
        <v>2666.6666666666665</v>
      </c>
      <c r="J169" s="15">
        <v>231</v>
      </c>
      <c r="K169" s="32">
        <f t="shared" si="92"/>
        <v>2.6666666666666668E-2</v>
      </c>
      <c r="L169" s="18">
        <f>IF(ISNUMBER(J169), $B172 * K169, "")</f>
        <v>4000.0000000000005</v>
      </c>
      <c r="M169" s="31">
        <v>231</v>
      </c>
      <c r="N169" s="32">
        <f t="shared" si="93"/>
        <v>2.6666666666666668E-2</v>
      </c>
      <c r="O169" s="18">
        <f>IF(ISNUMBER(M169), $B172 * N169, "")</f>
        <v>4000.0000000000005</v>
      </c>
      <c r="Q169" s="146"/>
      <c r="R169" s="146"/>
      <c r="S169" s="146"/>
    </row>
    <row r="170" spans="1:19">
      <c r="A170" s="109" t="s">
        <v>165</v>
      </c>
      <c r="B170" s="110">
        <v>871</v>
      </c>
      <c r="C170" s="70">
        <v>-2.0247469099999998E-2</v>
      </c>
      <c r="D170" s="15">
        <v>872</v>
      </c>
      <c r="E170" s="32">
        <f t="shared" si="90"/>
        <v>1.148105625717566E-3</v>
      </c>
      <c r="F170" s="18">
        <f>IF(ISNUMBER(D170), $B172 * E170, "")</f>
        <v>172.21584385763489</v>
      </c>
      <c r="G170" s="31">
        <v>886</v>
      </c>
      <c r="H170" s="32">
        <f t="shared" si="91"/>
        <v>1.7221584385763489E-2</v>
      </c>
      <c r="I170" s="91">
        <f>IF(ISNUMBER(G170), $B172 * H170, "")</f>
        <v>2583.2376578645235</v>
      </c>
      <c r="J170" s="15">
        <v>883</v>
      </c>
      <c r="K170" s="32">
        <f t="shared" si="92"/>
        <v>1.3777267508610792E-2</v>
      </c>
      <c r="L170" s="18">
        <f>IF(ISNUMBER(J170), $B172 * K170, "")</f>
        <v>2066.5901262916186</v>
      </c>
      <c r="M170" s="31">
        <v>878</v>
      </c>
      <c r="N170" s="32">
        <f t="shared" si="93"/>
        <v>8.0367393800229621E-3</v>
      </c>
      <c r="O170" s="18">
        <f>IF(ISNUMBER(M170), $B172 * N170, "")</f>
        <v>1205.5109070034443</v>
      </c>
      <c r="Q170" s="135"/>
      <c r="R170" s="136"/>
      <c r="S170" s="137"/>
    </row>
    <row r="171" spans="1:19" ht="17.25" thickBot="1">
      <c r="A171" s="114" t="s">
        <v>116</v>
      </c>
      <c r="B171" s="115">
        <v>928</v>
      </c>
      <c r="C171" s="72">
        <v>-7.1071071099999994E-2</v>
      </c>
      <c r="D171" s="24">
        <v>901</v>
      </c>
      <c r="E171" s="25">
        <f t="shared" si="90"/>
        <v>-2.9094827586206896E-2</v>
      </c>
      <c r="F171" s="94">
        <f>IF(ISNUMBER(D171), $B172 * E171, "")</f>
        <v>-4364.2241379310344</v>
      </c>
      <c r="G171" s="92">
        <v>914</v>
      </c>
      <c r="H171" s="25">
        <f t="shared" si="91"/>
        <v>-1.5086206896551725E-2</v>
      </c>
      <c r="I171" s="93">
        <f>IF(ISNUMBER(G171), $B172 * H171, "")</f>
        <v>-2262.9310344827586</v>
      </c>
      <c r="J171" s="24">
        <v>913</v>
      </c>
      <c r="K171" s="25">
        <f t="shared" si="92"/>
        <v>-1.6163793103448277E-2</v>
      </c>
      <c r="L171" s="94">
        <f>IF(ISNUMBER(J171), $B172 * K171, "")</f>
        <v>-2424.5689655172414</v>
      </c>
      <c r="M171" s="92">
        <v>914</v>
      </c>
      <c r="N171" s="25">
        <f t="shared" si="93"/>
        <v>-1.5086206896551725E-2</v>
      </c>
      <c r="O171" s="94">
        <f>IF(ISNUMBER(M171), $B172 * N171, "")</f>
        <v>-2262.9310344827586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1.37232976711357E-3</v>
      </c>
      <c r="F172" s="28">
        <f>SUM(F152:F171)</f>
        <v>4116.9893013407072</v>
      </c>
      <c r="G172" s="26" t="s">
        <v>258</v>
      </c>
      <c r="H172" s="27">
        <f>IF(COUNT(H152:H171), SUM(H152:H171) / COUNT(H152:H171), 0)</f>
        <v>2.1067013071650927E-2</v>
      </c>
      <c r="I172" s="28">
        <f>SUM(I152:I171)</f>
        <v>63201.039214952783</v>
      </c>
      <c r="J172" s="26" t="s">
        <v>258</v>
      </c>
      <c r="K172" s="27">
        <f>IF(COUNT(K152:K171), SUM(K152:K171) / COUNT(K152:K171), 0)</f>
        <v>1.84345859581687E-2</v>
      </c>
      <c r="L172" s="28">
        <f>SUM(L152:L171)</f>
        <v>55303.757874506096</v>
      </c>
      <c r="M172" s="26" t="s">
        <v>258</v>
      </c>
      <c r="N172" s="27">
        <f>IF(COUNT(N152:N171), SUM(N152:N171) / COUNT(N152:N171), 0)</f>
        <v>1.9395127274147984E-2</v>
      </c>
      <c r="O172" s="28">
        <f>SUM(O152:O171)</f>
        <v>58185.381822443953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2023-01-02(월) 오전 00:00</v>
      </c>
      <c r="C177" s="198"/>
      <c r="D177" s="170" t="str">
        <f>TEXT($G$1, "[$-ko-KR]yyyy-mm-dd(ddd) ") &amp; "오후 14:00"</f>
        <v>2023-01-02(월) 오후 14:00</v>
      </c>
      <c r="E177" s="171"/>
      <c r="F177" s="172"/>
      <c r="G177" s="170" t="str">
        <f>TEXT($G$1, "[$-ko-KR]yyyy-mm-dd(ddd) ") &amp; "오후 19:00"</f>
        <v>2023-01-02(월) 오후 19:00</v>
      </c>
      <c r="H177" s="171"/>
      <c r="I177" s="172"/>
      <c r="J177" s="170" t="str">
        <f>TEXT($G$1, "[$-ko-KR]yyyy-mm-dd(ddd) ") &amp; "오후 21:00"</f>
        <v>2023-01-02(월) 오후 21:00</v>
      </c>
      <c r="K177" s="171"/>
      <c r="L177" s="172"/>
      <c r="M177" s="170" t="str">
        <f>TEXT($G$1+1, "[$-ko-KR]yyyy-mm-dd(ddd) ") &amp; "오전 00:00"</f>
        <v>2023-01-03(화)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163</v>
      </c>
      <c r="B179" s="108">
        <v>5340</v>
      </c>
      <c r="C179" s="69">
        <v>-8.3565459999999994E-3</v>
      </c>
      <c r="D179" s="13">
        <v>5335</v>
      </c>
      <c r="E179" s="14">
        <f>IF(ISNUMBER(D179), (D179 - $B179) / $B179, "")</f>
        <v>-9.3632958801498128E-4</v>
      </c>
      <c r="F179" s="16">
        <f>IF(ISNUMBER(D179), $B199 * E179, "")</f>
        <v>-140.44943820224719</v>
      </c>
      <c r="G179" s="29">
        <v>5400</v>
      </c>
      <c r="H179" s="14">
        <f>IF(ISNUMBER(G179), (G179 - $B179) / $B179, "")</f>
        <v>1.1235955056179775E-2</v>
      </c>
      <c r="I179" s="90">
        <f>IF(ISNUMBER(G179), $B199 * H179, "")</f>
        <v>1685.3932584269662</v>
      </c>
      <c r="J179" s="13">
        <v>5405</v>
      </c>
      <c r="K179" s="14">
        <f>IF(ISNUMBER(J179), (J179 - $B179) / $B179, "")</f>
        <v>1.2172284644194757E-2</v>
      </c>
      <c r="L179" s="16">
        <f>IF(ISNUMBER(J179), $B199 * K179, "")</f>
        <v>1825.8426966292136</v>
      </c>
      <c r="M179" s="29">
        <v>5420</v>
      </c>
      <c r="N179" s="14">
        <f>IF(ISNUMBER(M179), (M179 - $B179) / $B179, "")</f>
        <v>1.4981273408239701E-2</v>
      </c>
      <c r="O179" s="16">
        <f>IF(ISNUMBER(M179), $B199 * N179, "")</f>
        <v>2247.1910112359551</v>
      </c>
      <c r="Q179" s="156"/>
      <c r="R179" s="156"/>
      <c r="S179" s="156"/>
    </row>
    <row r="180" spans="1:19" ht="17.25" thickBot="1">
      <c r="A180" s="109" t="s">
        <v>107</v>
      </c>
      <c r="B180" s="110">
        <v>32.9</v>
      </c>
      <c r="C180" s="70">
        <v>-9.0361446000000005E-3</v>
      </c>
      <c r="D180" s="15">
        <v>33.4</v>
      </c>
      <c r="E180" s="32">
        <f t="shared" ref="E180:E183" si="94">IF(ISNUMBER(D180), (D180 - $B180) / $B180, "")</f>
        <v>1.5197568389057751E-2</v>
      </c>
      <c r="F180" s="18">
        <f>IF(ISNUMBER(D180), $B199 * E180, "")</f>
        <v>2279.6352583586627</v>
      </c>
      <c r="G180" s="31">
        <v>33.6</v>
      </c>
      <c r="H180" s="32">
        <f t="shared" ref="H180:H183" si="95">IF(ISNUMBER(G180), (G180 - $B180) / $B180, "")</f>
        <v>2.1276595744680937E-2</v>
      </c>
      <c r="I180" s="91">
        <f>IF(ISNUMBER(G180), $B199 * H180, "")</f>
        <v>3191.4893617021407</v>
      </c>
      <c r="J180" s="15">
        <v>33.4</v>
      </c>
      <c r="K180" s="32">
        <f t="shared" ref="K180:K183" si="96">IF(ISNUMBER(J180), (J180 - $B180) / $B180, "")</f>
        <v>1.5197568389057751E-2</v>
      </c>
      <c r="L180" s="18">
        <f>IF(ISNUMBER(J180), $B199 * K180, "")</f>
        <v>2279.6352583586627</v>
      </c>
      <c r="M180" s="31">
        <v>33.4</v>
      </c>
      <c r="N180" s="32">
        <f t="shared" ref="N180:N183" si="97">IF(ISNUMBER(M180), (M180 - $B180) / $B180, "")</f>
        <v>1.5197568389057751E-2</v>
      </c>
      <c r="O180" s="18">
        <f>IF(ISNUMBER(M180), $B199 * N180, "")</f>
        <v>2279.6352583586627</v>
      </c>
      <c r="Q180" s="156"/>
      <c r="R180" s="156"/>
      <c r="S180" s="156"/>
    </row>
    <row r="181" spans="1:19" ht="17.25" thickBot="1">
      <c r="A181" s="109" t="s">
        <v>227</v>
      </c>
      <c r="B181" s="110">
        <v>32.700000000000003</v>
      </c>
      <c r="C181" s="70">
        <v>-9.0909091000000008E-3</v>
      </c>
      <c r="D181" s="15">
        <v>33.200000000000003</v>
      </c>
      <c r="E181" s="32">
        <f t="shared" si="94"/>
        <v>1.5290519877675839E-2</v>
      </c>
      <c r="F181" s="18">
        <f>IF(ISNUMBER(D181), $B199 * E181, "")</f>
        <v>2293.5779816513759</v>
      </c>
      <c r="G181" s="31">
        <v>33.6</v>
      </c>
      <c r="H181" s="32">
        <f t="shared" si="95"/>
        <v>2.7522935779816467E-2</v>
      </c>
      <c r="I181" s="91">
        <f>IF(ISNUMBER(G181), $B199 * H181, "")</f>
        <v>4128.4403669724697</v>
      </c>
      <c r="J181" s="15">
        <v>33.299999999999997</v>
      </c>
      <c r="K181" s="32">
        <f t="shared" si="96"/>
        <v>1.8348623853210833E-2</v>
      </c>
      <c r="L181" s="18">
        <f>IF(ISNUMBER(J181), $B199 * K181, "")</f>
        <v>2752.2935779816248</v>
      </c>
      <c r="M181" s="31">
        <v>33.4</v>
      </c>
      <c r="N181" s="32">
        <f t="shared" si="97"/>
        <v>2.1406727828746044E-2</v>
      </c>
      <c r="O181" s="18">
        <f>IF(ISNUMBER(M181), $B199 * N181, "")</f>
        <v>3211.0091743119065</v>
      </c>
      <c r="Q181" s="146"/>
      <c r="R181" s="146"/>
      <c r="S181" s="146"/>
    </row>
    <row r="182" spans="1:19" ht="17.25" thickBot="1">
      <c r="A182" s="109" t="s">
        <v>345</v>
      </c>
      <c r="B182" s="110">
        <v>106</v>
      </c>
      <c r="C182" s="70">
        <v>-9.3457943999999994E-3</v>
      </c>
      <c r="D182" s="15">
        <v>107</v>
      </c>
      <c r="E182" s="32">
        <f t="shared" si="94"/>
        <v>9.433962264150943E-3</v>
      </c>
      <c r="F182" s="18">
        <f>IF(ISNUMBER(D182), $B199 * E182, "")</f>
        <v>1415.0943396226414</v>
      </c>
      <c r="G182" s="31">
        <v>109</v>
      </c>
      <c r="H182" s="32">
        <f t="shared" si="95"/>
        <v>2.8301886792452831E-2</v>
      </c>
      <c r="I182" s="91">
        <f>IF(ISNUMBER(G182), $B199 * H182, "")</f>
        <v>4245.2830188679245</v>
      </c>
      <c r="J182" s="15">
        <v>109</v>
      </c>
      <c r="K182" s="32">
        <f t="shared" si="96"/>
        <v>2.8301886792452831E-2</v>
      </c>
      <c r="L182" s="18">
        <f>IF(ISNUMBER(J182), $B199 * K182, "")</f>
        <v>4245.2830188679245</v>
      </c>
      <c r="M182" s="31">
        <v>108</v>
      </c>
      <c r="N182" s="32">
        <f t="shared" si="97"/>
        <v>1.8867924528301886E-2</v>
      </c>
      <c r="O182" s="18">
        <f>IF(ISNUMBER(M182), $B199 * N182, "")</f>
        <v>2830.1886792452829</v>
      </c>
      <c r="Q182" s="146"/>
      <c r="R182" s="146"/>
      <c r="S182" s="146"/>
    </row>
    <row r="183" spans="1:19" ht="17.25" thickBot="1">
      <c r="A183" s="111" t="s">
        <v>211</v>
      </c>
      <c r="B183" s="112">
        <v>908</v>
      </c>
      <c r="C183" s="71">
        <v>-9.8146129000000002E-3</v>
      </c>
      <c r="D183" s="20">
        <v>914</v>
      </c>
      <c r="E183" s="21">
        <f t="shared" si="94"/>
        <v>6.6079295154185024E-3</v>
      </c>
      <c r="F183" s="22">
        <f>IF(ISNUMBER(D183), $B199 * E183, "")</f>
        <v>991.18942731277536</v>
      </c>
      <c r="G183" s="30">
        <v>920</v>
      </c>
      <c r="H183" s="21">
        <f t="shared" si="95"/>
        <v>1.3215859030837005E-2</v>
      </c>
      <c r="I183" s="95">
        <f>IF(ISNUMBER(G183), $B199 * H183, "")</f>
        <v>1982.3788546255507</v>
      </c>
      <c r="J183" s="20">
        <v>915</v>
      </c>
      <c r="K183" s="21">
        <f t="shared" si="96"/>
        <v>7.709251101321586E-3</v>
      </c>
      <c r="L183" s="22">
        <f>IF(ISNUMBER(J183), $B199 * K183, "")</f>
        <v>1156.387665198238</v>
      </c>
      <c r="M183" s="30">
        <v>917</v>
      </c>
      <c r="N183" s="21">
        <f t="shared" si="97"/>
        <v>9.911894273127754E-3</v>
      </c>
      <c r="O183" s="22">
        <f>IF(ISNUMBER(M183), $B199 * N183, "")</f>
        <v>1486.784140969163</v>
      </c>
      <c r="Q183" s="146"/>
      <c r="R183" s="146"/>
      <c r="S183" s="146"/>
    </row>
    <row r="184" spans="1:19" ht="17.25" thickBot="1">
      <c r="A184" s="109" t="s">
        <v>161</v>
      </c>
      <c r="B184" s="113">
        <v>271</v>
      </c>
      <c r="C184" s="73">
        <v>-1.09489051E-2</v>
      </c>
      <c r="D184" s="96">
        <v>271</v>
      </c>
      <c r="E184" s="97">
        <f>IF(ISNUMBER(D184), (D184 - $B184) / $B184, "")</f>
        <v>0</v>
      </c>
      <c r="F184" s="98">
        <f>IF(ISNUMBER(D184), $B199 * E184, "")</f>
        <v>0</v>
      </c>
      <c r="G184" s="99">
        <v>276</v>
      </c>
      <c r="H184" s="97">
        <f>IF(ISNUMBER(G184), (G184 - $B184) / $B184, "")</f>
        <v>1.8450184501845018E-2</v>
      </c>
      <c r="I184" s="100">
        <f>IF(ISNUMBER(G184), $B199 * H184, "")</f>
        <v>2767.5276752767527</v>
      </c>
      <c r="J184" s="96">
        <v>274</v>
      </c>
      <c r="K184" s="97">
        <f>IF(ISNUMBER(J184), (J184 - $B184) / $B184, "")</f>
        <v>1.107011070110701E-2</v>
      </c>
      <c r="L184" s="98">
        <f>IF(ISNUMBER(J184), $B199 * K184, "")</f>
        <v>1660.5166051660515</v>
      </c>
      <c r="M184" s="99">
        <v>275</v>
      </c>
      <c r="N184" s="97">
        <f>IF(ISNUMBER(M184), (M184 - $B184) / $B184, "")</f>
        <v>1.4760147601476014E-2</v>
      </c>
      <c r="O184" s="98">
        <f>IF(ISNUMBER(M184), $B199 * N184, "")</f>
        <v>2214.022140221402</v>
      </c>
      <c r="Q184" s="146"/>
      <c r="R184" s="146"/>
      <c r="S184" s="146"/>
    </row>
    <row r="185" spans="1:19" ht="17.25" thickBot="1">
      <c r="A185" s="109" t="s">
        <v>343</v>
      </c>
      <c r="B185" s="110">
        <v>12550</v>
      </c>
      <c r="C185" s="70">
        <v>-1.1032308899999999E-2</v>
      </c>
      <c r="D185" s="15">
        <v>12710</v>
      </c>
      <c r="E185" s="32">
        <f t="shared" ref="E185:E188" si="98">IF(ISNUMBER(D185), (D185 - $B185) / $B185, "")</f>
        <v>1.2749003984063745E-2</v>
      </c>
      <c r="F185" s="18">
        <f>IF(ISNUMBER(D185), $B199 * E185, "")</f>
        <v>1912.3505976095619</v>
      </c>
      <c r="G185" s="31">
        <v>14220</v>
      </c>
      <c r="H185" s="32">
        <f t="shared" ref="H185:H188" si="99">IF(ISNUMBER(G185), (G185 - $B185) / $B185, "")</f>
        <v>0.13306772908366535</v>
      </c>
      <c r="I185" s="91">
        <f>IF(ISNUMBER(G185), $B199 * H185, "")</f>
        <v>19960.159362549803</v>
      </c>
      <c r="J185" s="15">
        <v>14020</v>
      </c>
      <c r="K185" s="32">
        <f t="shared" ref="K185:K188" si="100">IF(ISNUMBER(J185), (J185 - $B185) / $B185, "")</f>
        <v>0.11713147410358565</v>
      </c>
      <c r="L185" s="18">
        <f>IF(ISNUMBER(J185), $B199 * K185, "")</f>
        <v>17569.721115537846</v>
      </c>
      <c r="M185" s="31">
        <v>14150</v>
      </c>
      <c r="N185" s="32">
        <f t="shared" ref="N185:N188" si="101">IF(ISNUMBER(M185), (M185 - $B185) / $B185, "")</f>
        <v>0.12749003984063745</v>
      </c>
      <c r="O185" s="18">
        <f>IF(ISNUMBER(M185), $B199 * N185, "")</f>
        <v>19123.505976095617</v>
      </c>
      <c r="Q185" s="146"/>
      <c r="R185" s="146"/>
      <c r="S185" s="146"/>
    </row>
    <row r="186" spans="1:19" ht="17.25" thickBot="1">
      <c r="A186" s="109" t="s">
        <v>187</v>
      </c>
      <c r="B186" s="110">
        <v>703</v>
      </c>
      <c r="C186" s="70">
        <v>-1.12517581E-2</v>
      </c>
      <c r="D186" s="15">
        <v>706</v>
      </c>
      <c r="E186" s="32">
        <f t="shared" si="98"/>
        <v>4.2674253200568994E-3</v>
      </c>
      <c r="F186" s="18">
        <f>IF(ISNUMBER(D186), $B199 * E186, "")</f>
        <v>640.1137980085349</v>
      </c>
      <c r="G186" s="31">
        <v>712</v>
      </c>
      <c r="H186" s="32">
        <f t="shared" si="99"/>
        <v>1.2802275960170697E-2</v>
      </c>
      <c r="I186" s="91">
        <f>IF(ISNUMBER(G186), $B199 * H186, "")</f>
        <v>1920.3413940256046</v>
      </c>
      <c r="J186" s="15">
        <v>712</v>
      </c>
      <c r="K186" s="32">
        <f t="shared" si="100"/>
        <v>1.2802275960170697E-2</v>
      </c>
      <c r="L186" s="18">
        <f>IF(ISNUMBER(J186), $B199 * K186, "")</f>
        <v>1920.3413940256046</v>
      </c>
      <c r="M186" s="31">
        <v>712</v>
      </c>
      <c r="N186" s="32">
        <f t="shared" si="101"/>
        <v>1.2802275960170697E-2</v>
      </c>
      <c r="O186" s="18">
        <f>IF(ISNUMBER(M186), $B199 * N186, "")</f>
        <v>1920.3413940256046</v>
      </c>
      <c r="Q186" s="146"/>
      <c r="R186" s="146"/>
      <c r="S186" s="146"/>
    </row>
    <row r="187" spans="1:19" ht="17.25" thickBot="1">
      <c r="A187" s="109" t="s">
        <v>174</v>
      </c>
      <c r="B187" s="110">
        <v>11370</v>
      </c>
      <c r="C187" s="70">
        <v>-1.13043478E-2</v>
      </c>
      <c r="D187" s="15">
        <v>11450</v>
      </c>
      <c r="E187" s="32">
        <f t="shared" si="98"/>
        <v>7.0360598065083556E-3</v>
      </c>
      <c r="F187" s="18">
        <f>IF(ISNUMBER(D187), $B199 * E187, "")</f>
        <v>1055.4089709762534</v>
      </c>
      <c r="G187" s="31">
        <v>11580</v>
      </c>
      <c r="H187" s="32">
        <f t="shared" si="99"/>
        <v>1.8469656992084433E-2</v>
      </c>
      <c r="I187" s="91">
        <f>IF(ISNUMBER(G187), $B199 * H187, "")</f>
        <v>2770.4485488126647</v>
      </c>
      <c r="J187" s="15">
        <v>11510</v>
      </c>
      <c r="K187" s="32">
        <f t="shared" si="100"/>
        <v>1.2313104661389622E-2</v>
      </c>
      <c r="L187" s="18">
        <f>IF(ISNUMBER(J187), $B199 * K187, "")</f>
        <v>1846.9656992084433</v>
      </c>
      <c r="M187" s="31">
        <v>11580</v>
      </c>
      <c r="N187" s="32">
        <f t="shared" si="101"/>
        <v>1.8469656992084433E-2</v>
      </c>
      <c r="O187" s="18">
        <f>IF(ISNUMBER(M187), $B199 * N187, "")</f>
        <v>2770.4485488126647</v>
      </c>
      <c r="Q187" s="33"/>
      <c r="R187" s="33"/>
    </row>
    <row r="188" spans="1:19" ht="17.25" thickBot="1">
      <c r="A188" s="114" t="s">
        <v>221</v>
      </c>
      <c r="B188" s="115">
        <v>17.2</v>
      </c>
      <c r="C188" s="72">
        <v>-1.14942529E-2</v>
      </c>
      <c r="D188" s="24">
        <v>17.2</v>
      </c>
      <c r="E188" s="25">
        <f t="shared" si="98"/>
        <v>0</v>
      </c>
      <c r="F188" s="94">
        <f>IF(ISNUMBER(D188), $B199 * E188, "")</f>
        <v>0</v>
      </c>
      <c r="G188" s="92">
        <v>17.5</v>
      </c>
      <c r="H188" s="25">
        <f t="shared" si="99"/>
        <v>1.744186046511632E-2</v>
      </c>
      <c r="I188" s="93">
        <f>IF(ISNUMBER(G188), $B199 * H188, "")</f>
        <v>2616.2790697674482</v>
      </c>
      <c r="J188" s="24">
        <v>17.5</v>
      </c>
      <c r="K188" s="25">
        <f t="shared" si="100"/>
        <v>1.744186046511632E-2</v>
      </c>
      <c r="L188" s="94">
        <f>IF(ISNUMBER(J188), $B199 * K188, "")</f>
        <v>2616.2790697674482</v>
      </c>
      <c r="M188" s="92">
        <v>17.5</v>
      </c>
      <c r="N188" s="25">
        <f t="shared" si="101"/>
        <v>1.744186046511632E-2</v>
      </c>
      <c r="O188" s="94">
        <f>IF(ISNUMBER(M188), $B199 * N188, "")</f>
        <v>2616.2790697674482</v>
      </c>
      <c r="Q188" s="147"/>
      <c r="R188" s="148"/>
      <c r="S188" s="149"/>
    </row>
    <row r="189" spans="1:19">
      <c r="A189" s="107" t="s">
        <v>229</v>
      </c>
      <c r="B189" s="108">
        <v>226</v>
      </c>
      <c r="C189" s="69">
        <v>-1.3100436700000001E-2</v>
      </c>
      <c r="D189" s="13">
        <v>227</v>
      </c>
      <c r="E189" s="14">
        <f>IF(ISNUMBER(D189), (D189 - $B189) / $B189, "")</f>
        <v>4.4247787610619468E-3</v>
      </c>
      <c r="F189" s="16">
        <f>IF(ISNUMBER(D189), $B199 * E189, "")</f>
        <v>663.71681415929197</v>
      </c>
      <c r="G189" s="29">
        <v>231</v>
      </c>
      <c r="H189" s="14">
        <f>IF(ISNUMBER(G189), (G189 - $B189) / $B189, "")</f>
        <v>2.2123893805309734E-2</v>
      </c>
      <c r="I189" s="90">
        <f>IF(ISNUMBER(G189), $B199 * H189, "")</f>
        <v>3318.5840707964603</v>
      </c>
      <c r="J189" s="13">
        <v>231</v>
      </c>
      <c r="K189" s="14">
        <f>IF(ISNUMBER(J189), (J189 - $B189) / $B189, "")</f>
        <v>2.2123893805309734E-2</v>
      </c>
      <c r="L189" s="16">
        <f>IF(ISNUMBER(J189), $B199 * K189, "")</f>
        <v>3318.5840707964603</v>
      </c>
      <c r="M189" s="29">
        <v>231</v>
      </c>
      <c r="N189" s="14">
        <f>IF(ISNUMBER(M189), (M189 - $B189) / $B189, "")</f>
        <v>2.2123893805309734E-2</v>
      </c>
      <c r="O189" s="16">
        <f>IF(ISNUMBER(M189), $B199 * N189, "")</f>
        <v>3318.5840707964603</v>
      </c>
      <c r="Q189" s="150"/>
      <c r="R189" s="151"/>
      <c r="S189" s="152"/>
    </row>
    <row r="190" spans="1:19" ht="17.25" thickBot="1">
      <c r="A190" s="109" t="s">
        <v>68</v>
      </c>
      <c r="B190" s="110">
        <v>225</v>
      </c>
      <c r="C190" s="70">
        <v>-1.3157894700000001E-2</v>
      </c>
      <c r="D190" s="15">
        <v>223</v>
      </c>
      <c r="E190" s="32">
        <f t="shared" ref="E190:E193" si="102">IF(ISNUMBER(D190), (D190 - $B190) / $B190, "")</f>
        <v>-8.8888888888888889E-3</v>
      </c>
      <c r="F190" s="18">
        <f>IF(ISNUMBER(D190), $B199 * E190, "")</f>
        <v>-1333.3333333333333</v>
      </c>
      <c r="G190" s="31">
        <v>229</v>
      </c>
      <c r="H190" s="32">
        <f t="shared" ref="H190:H193" si="103">IF(ISNUMBER(G190), (G190 - $B190) / $B190, "")</f>
        <v>1.7777777777777778E-2</v>
      </c>
      <c r="I190" s="91">
        <f>IF(ISNUMBER(G190), $B199 * H190, "")</f>
        <v>2666.6666666666665</v>
      </c>
      <c r="J190" s="15">
        <v>231</v>
      </c>
      <c r="K190" s="32">
        <f t="shared" ref="K190:K193" si="104">IF(ISNUMBER(J190), (J190 - $B190) / $B190, "")</f>
        <v>2.6666666666666668E-2</v>
      </c>
      <c r="L190" s="18">
        <f>IF(ISNUMBER(J190), $B199 * K190, "")</f>
        <v>4000.0000000000005</v>
      </c>
      <c r="M190" s="31">
        <v>231</v>
      </c>
      <c r="N190" s="32">
        <f t="shared" ref="N190:N193" si="105">IF(ISNUMBER(M190), (M190 - $B190) / $B190, "")</f>
        <v>2.6666666666666668E-2</v>
      </c>
      <c r="O190" s="18">
        <f>IF(ISNUMBER(M190), $B199 * N190, "")</f>
        <v>4000.0000000000005</v>
      </c>
      <c r="Q190" s="153"/>
      <c r="R190" s="154"/>
      <c r="S190" s="155"/>
    </row>
    <row r="191" spans="1:19" ht="17.25" thickBot="1">
      <c r="A191" s="109" t="s">
        <v>178</v>
      </c>
      <c r="B191" s="110">
        <v>1325</v>
      </c>
      <c r="C191" s="70">
        <v>-1.4869888499999999E-2</v>
      </c>
      <c r="D191" s="15">
        <v>1340</v>
      </c>
      <c r="E191" s="32">
        <f t="shared" si="102"/>
        <v>1.1320754716981131E-2</v>
      </c>
      <c r="F191" s="18">
        <f>IF(ISNUMBER(D191), $B199 * E191, "")</f>
        <v>1698.1132075471696</v>
      </c>
      <c r="G191" s="31">
        <v>1340</v>
      </c>
      <c r="H191" s="32">
        <f t="shared" si="103"/>
        <v>1.1320754716981131E-2</v>
      </c>
      <c r="I191" s="91">
        <f>IF(ISNUMBER(G191), $B199 * H191, "")</f>
        <v>1698.1132075471696</v>
      </c>
      <c r="J191" s="15">
        <v>1345</v>
      </c>
      <c r="K191" s="32">
        <f t="shared" si="104"/>
        <v>1.509433962264151E-2</v>
      </c>
      <c r="L191" s="18">
        <f>IF(ISNUMBER(J191), $B199 * K191, "")</f>
        <v>2264.1509433962265</v>
      </c>
      <c r="M191" s="31">
        <v>1340</v>
      </c>
      <c r="N191" s="32">
        <f t="shared" si="105"/>
        <v>1.1320754716981131E-2</v>
      </c>
      <c r="O191" s="18">
        <f>IF(ISNUMBER(M191), $B199 * N191, "")</f>
        <v>1698.1132075471696</v>
      </c>
      <c r="Q191" s="146"/>
      <c r="R191" s="146"/>
      <c r="S191" s="146"/>
    </row>
    <row r="192" spans="1:19" ht="17.25" thickBot="1">
      <c r="A192" s="109" t="s">
        <v>347</v>
      </c>
      <c r="B192" s="110">
        <v>13690</v>
      </c>
      <c r="C192" s="70">
        <v>-1.58159597E-2</v>
      </c>
      <c r="D192" s="15">
        <v>13870</v>
      </c>
      <c r="E192" s="32">
        <f t="shared" si="102"/>
        <v>1.3148283418553688E-2</v>
      </c>
      <c r="F192" s="18">
        <f>IF(ISNUMBER(D192), $B199 * E192, "")</f>
        <v>1972.2425127830534</v>
      </c>
      <c r="G192" s="31">
        <v>14210</v>
      </c>
      <c r="H192" s="32">
        <f t="shared" si="103"/>
        <v>3.7983929875821769E-2</v>
      </c>
      <c r="I192" s="91">
        <f>IF(ISNUMBER(G192), $B199 * H192, "")</f>
        <v>5697.5894813732657</v>
      </c>
      <c r="J192" s="15">
        <v>14190</v>
      </c>
      <c r="K192" s="32">
        <f t="shared" si="104"/>
        <v>3.6523009495982466E-2</v>
      </c>
      <c r="L192" s="18">
        <f>IF(ISNUMBER(J192), $B199 * K192, "")</f>
        <v>5478.4514243973699</v>
      </c>
      <c r="M192" s="31">
        <v>14200</v>
      </c>
      <c r="N192" s="32">
        <f t="shared" si="105"/>
        <v>3.7253469685902117E-2</v>
      </c>
      <c r="O192" s="18">
        <f>IF(ISNUMBER(M192), $B199 * N192, "")</f>
        <v>5588.0204528853174</v>
      </c>
      <c r="Q192" s="156"/>
      <c r="R192" s="156"/>
      <c r="S192" s="156"/>
    </row>
    <row r="193" spans="1:19" ht="17.25" thickBot="1">
      <c r="A193" s="111" t="s">
        <v>350</v>
      </c>
      <c r="B193" s="112">
        <v>5.54</v>
      </c>
      <c r="C193" s="71">
        <v>-1.7730496500000002E-2</v>
      </c>
      <c r="D193" s="20">
        <v>5.5</v>
      </c>
      <c r="E193" s="21">
        <f t="shared" si="102"/>
        <v>-7.2202166064982013E-3</v>
      </c>
      <c r="F193" s="22">
        <f>IF(ISNUMBER(D193), $B199 * E193, "")</f>
        <v>-1083.0324909747301</v>
      </c>
      <c r="G193" s="30">
        <v>5.57</v>
      </c>
      <c r="H193" s="21">
        <f t="shared" si="103"/>
        <v>5.4151624548736911E-3</v>
      </c>
      <c r="I193" s="95">
        <f>IF(ISNUMBER(G193), $B199 * H193, "")</f>
        <v>812.2743682310537</v>
      </c>
      <c r="J193" s="20">
        <v>5.57</v>
      </c>
      <c r="K193" s="21">
        <f t="shared" si="104"/>
        <v>5.4151624548736911E-3</v>
      </c>
      <c r="L193" s="22">
        <f>IF(ISNUMBER(J193), $B199 * K193, "")</f>
        <v>812.2743682310537</v>
      </c>
      <c r="M193" s="30">
        <v>5.56</v>
      </c>
      <c r="N193" s="21">
        <f t="shared" si="105"/>
        <v>3.6101083032490204E-3</v>
      </c>
      <c r="O193" s="22">
        <f>IF(ISNUMBER(M193), $B199 * N193, "")</f>
        <v>541.5162454873531</v>
      </c>
      <c r="Q193" s="156"/>
      <c r="R193" s="156"/>
      <c r="S193" s="156"/>
    </row>
    <row r="194" spans="1:19" ht="17.25" thickBot="1">
      <c r="A194" s="109" t="s">
        <v>151</v>
      </c>
      <c r="B194" s="113">
        <v>1640</v>
      </c>
      <c r="C194" s="73">
        <v>-1.79640719E-2</v>
      </c>
      <c r="D194" s="96">
        <v>1655</v>
      </c>
      <c r="E194" s="97">
        <f>IF(ISNUMBER(D194), (D194 - $B194) / $B194, "")</f>
        <v>9.1463414634146336E-3</v>
      </c>
      <c r="F194" s="98">
        <f>IF(ISNUMBER(D194), $B199 * E194, "")</f>
        <v>1371.9512195121949</v>
      </c>
      <c r="G194" s="99">
        <v>1680</v>
      </c>
      <c r="H194" s="97">
        <f>IF(ISNUMBER(G194), (G194 - $B194) / $B194, "")</f>
        <v>2.4390243902439025E-2</v>
      </c>
      <c r="I194" s="100">
        <f>IF(ISNUMBER(G194), $B199 * H194, "")</f>
        <v>3658.5365853658536</v>
      </c>
      <c r="J194" s="96">
        <v>1690</v>
      </c>
      <c r="K194" s="97">
        <f>IF(ISNUMBER(J194), (J194 - $B194) / $B194, "")</f>
        <v>3.048780487804878E-2</v>
      </c>
      <c r="L194" s="98">
        <f>IF(ISNUMBER(J194), $B199 * K194, "")</f>
        <v>4573.1707317073169</v>
      </c>
      <c r="M194" s="99">
        <v>1695</v>
      </c>
      <c r="N194" s="97">
        <f>IF(ISNUMBER(M194), (M194 - $B194) / $B194, "")</f>
        <v>3.3536585365853661E-2</v>
      </c>
      <c r="O194" s="98">
        <f>IF(ISNUMBER(M194), $B199 * N194, "")</f>
        <v>5030.4878048780492</v>
      </c>
      <c r="Q194" s="146"/>
      <c r="R194" s="146"/>
      <c r="S194" s="146"/>
    </row>
    <row r="195" spans="1:19" ht="17.25" thickBot="1">
      <c r="A195" s="109" t="s">
        <v>165</v>
      </c>
      <c r="B195" s="110">
        <v>871</v>
      </c>
      <c r="C195" s="70">
        <v>-2.0247469099999998E-2</v>
      </c>
      <c r="D195" s="15">
        <v>872</v>
      </c>
      <c r="E195" s="32">
        <f t="shared" ref="E195:E198" si="106">IF(ISNUMBER(D195), (D195 - $B195) / $B195, "")</f>
        <v>1.148105625717566E-3</v>
      </c>
      <c r="F195" s="18">
        <f>IF(ISNUMBER(D195), $B199 * E195, "")</f>
        <v>172.21584385763489</v>
      </c>
      <c r="G195" s="31">
        <v>886</v>
      </c>
      <c r="H195" s="32">
        <f t="shared" ref="H195:H198" si="107">IF(ISNUMBER(G195), (G195 - $B195) / $B195, "")</f>
        <v>1.7221584385763489E-2</v>
      </c>
      <c r="I195" s="91">
        <f>IF(ISNUMBER(G195), $B199 * H195, "")</f>
        <v>2583.2376578645235</v>
      </c>
      <c r="J195" s="15">
        <v>883</v>
      </c>
      <c r="K195" s="32">
        <f t="shared" ref="K195:K198" si="108">IF(ISNUMBER(J195), (J195 - $B195) / $B195, "")</f>
        <v>1.3777267508610792E-2</v>
      </c>
      <c r="L195" s="18">
        <f>IF(ISNUMBER(J195), $B199 * K195, "")</f>
        <v>2066.5901262916186</v>
      </c>
      <c r="M195" s="31">
        <v>878</v>
      </c>
      <c r="N195" s="32">
        <f t="shared" ref="N195:N198" si="109">IF(ISNUMBER(M195), (M195 - $B195) / $B195, "")</f>
        <v>8.0367393800229621E-3</v>
      </c>
      <c r="O195" s="18">
        <f>IF(ISNUMBER(M195), $B199 * N195, "")</f>
        <v>1205.5109070034443</v>
      </c>
      <c r="Q195" s="146"/>
      <c r="R195" s="146"/>
      <c r="S195" s="146"/>
    </row>
    <row r="196" spans="1:19" ht="17.25" thickBot="1">
      <c r="A196" s="109" t="s">
        <v>349</v>
      </c>
      <c r="B196" s="110">
        <v>20.100000000000001</v>
      </c>
      <c r="C196" s="70">
        <v>-2.42718447E-2</v>
      </c>
      <c r="D196" s="15">
        <v>20</v>
      </c>
      <c r="E196" s="32">
        <f t="shared" si="106"/>
        <v>-4.9751243781095229E-3</v>
      </c>
      <c r="F196" s="18">
        <f>IF(ISNUMBER(D196), $B199 * E196, "")</f>
        <v>-746.26865671642838</v>
      </c>
      <c r="G196" s="31">
        <v>20.3</v>
      </c>
      <c r="H196" s="32">
        <f t="shared" si="107"/>
        <v>9.9502487562188689E-3</v>
      </c>
      <c r="I196" s="91">
        <f>IF(ISNUMBER(G196), $B199 * H196, "")</f>
        <v>1492.5373134328304</v>
      </c>
      <c r="J196" s="15">
        <v>20.399999999999999</v>
      </c>
      <c r="K196" s="32">
        <f t="shared" si="108"/>
        <v>1.4925373134328216E-2</v>
      </c>
      <c r="L196" s="18">
        <f>IF(ISNUMBER(J196), $B199 * K196, "")</f>
        <v>2238.8059701492325</v>
      </c>
      <c r="M196" s="31">
        <v>20.5</v>
      </c>
      <c r="N196" s="32">
        <f t="shared" si="109"/>
        <v>1.9900497512437738E-2</v>
      </c>
      <c r="O196" s="18">
        <f>IF(ISNUMBER(M196), $B199 * N196, "")</f>
        <v>2985.0746268656608</v>
      </c>
      <c r="Q196" s="146"/>
      <c r="R196" s="146"/>
      <c r="S196" s="146"/>
    </row>
    <row r="197" spans="1:19">
      <c r="A197" s="109" t="s">
        <v>113</v>
      </c>
      <c r="B197" s="110">
        <v>1055</v>
      </c>
      <c r="C197" s="70">
        <v>-3.65296804E-2</v>
      </c>
      <c r="D197" s="15">
        <v>1050</v>
      </c>
      <c r="E197" s="32">
        <f t="shared" si="106"/>
        <v>-4.7393364928909956E-3</v>
      </c>
      <c r="F197" s="18">
        <f>IF(ISNUMBER(D197), $B199 * E197, "")</f>
        <v>-710.90047393364932</v>
      </c>
      <c r="G197" s="31">
        <v>1060</v>
      </c>
      <c r="H197" s="32">
        <f t="shared" si="107"/>
        <v>4.7393364928909956E-3</v>
      </c>
      <c r="I197" s="91">
        <f>IF(ISNUMBER(G197), $B199 * H197, "")</f>
        <v>710.90047393364932</v>
      </c>
      <c r="J197" s="15">
        <v>1060</v>
      </c>
      <c r="K197" s="32">
        <f t="shared" si="108"/>
        <v>4.7393364928909956E-3</v>
      </c>
      <c r="L197" s="18">
        <f>IF(ISNUMBER(J197), $B199 * K197, "")</f>
        <v>710.90047393364932</v>
      </c>
      <c r="M197" s="31">
        <v>1060</v>
      </c>
      <c r="N197" s="32">
        <f t="shared" si="109"/>
        <v>4.7393364928909956E-3</v>
      </c>
      <c r="O197" s="18">
        <f>IF(ISNUMBER(M197), $B199 * N197, "")</f>
        <v>710.90047393364932</v>
      </c>
      <c r="Q197" s="135"/>
      <c r="R197" s="136"/>
      <c r="S197" s="137"/>
    </row>
    <row r="198" spans="1:19" ht="17.25" thickBot="1">
      <c r="A198" s="114" t="s">
        <v>116</v>
      </c>
      <c r="B198" s="115">
        <v>928</v>
      </c>
      <c r="C198" s="72">
        <v>-7.1071071099999994E-2</v>
      </c>
      <c r="D198" s="24">
        <v>901</v>
      </c>
      <c r="E198" s="25">
        <f t="shared" si="106"/>
        <v>-2.9094827586206896E-2</v>
      </c>
      <c r="F198" s="94">
        <f>IF(ISNUMBER(D198), $B199 * E198, "")</f>
        <v>-4364.2241379310344</v>
      </c>
      <c r="G198" s="92">
        <v>914</v>
      </c>
      <c r="H198" s="25">
        <f t="shared" si="107"/>
        <v>-1.5086206896551725E-2</v>
      </c>
      <c r="I198" s="93">
        <f>IF(ISNUMBER(G198), $B199 * H198, "")</f>
        <v>-2262.9310344827586</v>
      </c>
      <c r="J198" s="24">
        <v>913</v>
      </c>
      <c r="K198" s="25">
        <f t="shared" si="108"/>
        <v>-1.6163793103448277E-2</v>
      </c>
      <c r="L198" s="94">
        <f>IF(ISNUMBER(J198), $B199 * K198, "")</f>
        <v>-2424.5689655172414</v>
      </c>
      <c r="M198" s="92">
        <v>914</v>
      </c>
      <c r="N198" s="25">
        <f t="shared" si="109"/>
        <v>-1.5086206896551725E-2</v>
      </c>
      <c r="O198" s="94">
        <f>IF(ISNUMBER(M198), $B199 * N198, "")</f>
        <v>-2262.9310344827586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2.6958004801025761E-3</v>
      </c>
      <c r="F199" s="28">
        <f>SUM(F179:F198)</f>
        <v>8087.401440307729</v>
      </c>
      <c r="G199" s="26" t="s">
        <v>258</v>
      </c>
      <c r="H199" s="27">
        <f>IF(COUNT(H179:H198), SUM(H179:H198) / COUNT(H179:H198), 0)</f>
        <v>2.1881083233918679E-2</v>
      </c>
      <c r="I199" s="28">
        <f>SUM(I179:I198)</f>
        <v>65643.249701756038</v>
      </c>
      <c r="J199" s="26" t="s">
        <v>258</v>
      </c>
      <c r="K199" s="27">
        <f>IF(COUNT(K179:K198), SUM(K179:K198) / COUNT(K179:K198), 0)</f>
        <v>2.0303875081375579E-2</v>
      </c>
      <c r="L199" s="28">
        <f>SUM(L179:L198)</f>
        <v>60911.625244126742</v>
      </c>
      <c r="M199" s="26" t="s">
        <v>258</v>
      </c>
      <c r="N199" s="27">
        <f>IF(COUNT(N179:N198), SUM(N179:N198) / COUNT(N179:N198), 0)</f>
        <v>2.1171560715986016E-2</v>
      </c>
      <c r="O199" s="28">
        <f>SUM(O179:O198)</f>
        <v>63514.682147958061</v>
      </c>
      <c r="Q199" s="141"/>
      <c r="R199" s="142"/>
      <c r="S199" s="14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F5DE4-9CFF-466C-BCC0-6468B1901E81}">
  <sheetPr codeName="Sheet9"/>
  <dimension ref="A1:S199"/>
  <sheetViews>
    <sheetView topLeftCell="A3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44929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28,375 KRW (0.95%)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6,422 KRW (0.21%)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16,950 KRW (0.57%)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6,233 KRW (0.21%)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2023-01-03(화) 오전 00:00</v>
      </c>
      <c r="C15" s="196"/>
      <c r="D15" s="170" t="str">
        <f>TEXT($G$1, "[$-ko-KR]yyyy-mm-dd(ddd) ") &amp; "오후 14:00"</f>
        <v>2023-01-03(화) 오후 14:00</v>
      </c>
      <c r="E15" s="171"/>
      <c r="F15" s="172"/>
      <c r="G15" s="170" t="str">
        <f>TEXT($G$1, "[$-ko-KR]yyyy-mm-dd(ddd) ") &amp; "오후 19:00"</f>
        <v>2023-01-03(화) 오후 19:00</v>
      </c>
      <c r="H15" s="171"/>
      <c r="I15" s="172"/>
      <c r="J15" s="170" t="str">
        <f>TEXT($G$1, "[$-ko-KR]yyyy-mm-dd(ddd) ") &amp; "오후 21:00"</f>
        <v>2023-01-03(화) 오후 21:00</v>
      </c>
      <c r="K15" s="171"/>
      <c r="L15" s="172"/>
      <c r="M15" s="170" t="str">
        <f>TEXT($G$1+1, "[$-ko-KR]yyyy-mm-dd(ddd) ") &amp; "오전 00:00"</f>
        <v>2023-01-04(수)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2023-01-03(화) 오전 00:00</v>
      </c>
      <c r="C42" s="198"/>
      <c r="D42" s="170" t="str">
        <f>TEXT($G$1, "[$-ko-KR]yyyy-mm-dd(ddd) ") &amp; "오후 14:00"</f>
        <v>2023-01-03(화) 오후 14:00</v>
      </c>
      <c r="E42" s="171"/>
      <c r="F42" s="172"/>
      <c r="G42" s="170" t="str">
        <f>TEXT($G$1, "[$-ko-KR]yyyy-mm-dd(ddd) ") &amp; "오후 19:00"</f>
        <v>2023-01-03(화) 오후 19:00</v>
      </c>
      <c r="H42" s="171"/>
      <c r="I42" s="172"/>
      <c r="J42" s="170" t="str">
        <f>TEXT($G$1, "[$-ko-KR]yyyy-mm-dd(ddd) ") &amp; "오후 21:00"</f>
        <v>2023-01-03(화) 오후 21:00</v>
      </c>
      <c r="K42" s="171"/>
      <c r="L42" s="172"/>
      <c r="M42" s="170" t="str">
        <f>TEXT($G$1+1, "[$-ko-KR]yyyy-mm-dd(ddd) ") &amp; "오전 00:00"</f>
        <v>2023-01-04(수)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191</v>
      </c>
      <c r="B44" s="108">
        <v>50.2</v>
      </c>
      <c r="C44" s="69">
        <v>3.9337474099999999E-2</v>
      </c>
      <c r="D44" s="13">
        <v>50.9</v>
      </c>
      <c r="E44" s="14">
        <f>IF(ISNUMBER(D44), (D44 - $B44) / $B44, "")</f>
        <v>1.3944223107569636E-2</v>
      </c>
      <c r="F44" s="16">
        <f>IF(ISNUMBER(D44), $B64 * E44, "")</f>
        <v>2091.6334661354454</v>
      </c>
      <c r="G44" s="29">
        <v>50.7</v>
      </c>
      <c r="H44" s="14">
        <f>IF(ISNUMBER(G44), (G44 - $B44) / $B44, "")</f>
        <v>9.9601593625498006E-3</v>
      </c>
      <c r="I44" s="90">
        <f>IF(ISNUMBER(G44), $B64 * H44, "")</f>
        <v>1494.0239043824702</v>
      </c>
      <c r="J44" s="13">
        <v>50.5</v>
      </c>
      <c r="K44" s="14">
        <f>IF(ISNUMBER(J44), (J44 - $B44) / $B44, "")</f>
        <v>5.9760956175298231E-3</v>
      </c>
      <c r="L44" s="16">
        <f>IF(ISNUMBER(J44), $B64 * K44, "")</f>
        <v>896.41434262947348</v>
      </c>
      <c r="M44" s="29">
        <v>49.8</v>
      </c>
      <c r="N44" s="14">
        <f>IF(ISNUMBER(M44), (M44 - $B44) / $B44, "")</f>
        <v>-7.9681274900399533E-3</v>
      </c>
      <c r="O44" s="16">
        <f>IF(ISNUMBER(M44), $B64 * N44, "")</f>
        <v>-1195.2191235059929</v>
      </c>
      <c r="Q44" s="156"/>
      <c r="R44" s="156"/>
      <c r="S44" s="156"/>
    </row>
    <row r="45" spans="1:19" ht="17.25" customHeight="1" thickBot="1">
      <c r="A45" s="109" t="s">
        <v>143</v>
      </c>
      <c r="B45" s="110">
        <v>3.35</v>
      </c>
      <c r="C45" s="70">
        <v>2.44648318E-2</v>
      </c>
      <c r="D45" s="15">
        <v>3.35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3.35</v>
      </c>
      <c r="H45" s="32">
        <f t="shared" ref="H45:H48" si="15">IF(ISNUMBER(G45), (G45 - $B45) / $B45, "")</f>
        <v>0</v>
      </c>
      <c r="I45" s="91">
        <f>IF(ISNUMBER(G45), $B64 * H45, "")</f>
        <v>0</v>
      </c>
      <c r="J45" s="15">
        <v>3.35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3.33</v>
      </c>
      <c r="N45" s="32">
        <f t="shared" ref="N45:N48" si="17">IF(ISNUMBER(M45), (M45 - $B45) / $B45, "")</f>
        <v>-5.9701492537313485E-3</v>
      </c>
      <c r="O45" s="18">
        <f>IF(ISNUMBER(M45), $B64 * N45, "")</f>
        <v>-895.52238805970228</v>
      </c>
      <c r="Q45" s="156"/>
      <c r="R45" s="156"/>
      <c r="S45" s="156"/>
    </row>
    <row r="46" spans="1:19" ht="17.25" customHeight="1" thickBot="1">
      <c r="A46" s="109" t="s">
        <v>118</v>
      </c>
      <c r="B46" s="110">
        <v>4.6399999999999997</v>
      </c>
      <c r="C46" s="70">
        <v>2.4282560700000001E-2</v>
      </c>
      <c r="D46" s="15">
        <v>4.71</v>
      </c>
      <c r="E46" s="32">
        <f t="shared" si="14"/>
        <v>1.5086206896551787E-2</v>
      </c>
      <c r="F46" s="18">
        <f>IF(ISNUMBER(D46), $B64 * E46, "")</f>
        <v>2262.9310344827682</v>
      </c>
      <c r="G46" s="31">
        <v>4.76</v>
      </c>
      <c r="H46" s="32">
        <f t="shared" si="15"/>
        <v>2.5862068965517265E-2</v>
      </c>
      <c r="I46" s="91">
        <f>IF(ISNUMBER(G46), $B64 * H46, "")</f>
        <v>3879.3103448275897</v>
      </c>
      <c r="J46" s="15">
        <v>4.74</v>
      </c>
      <c r="K46" s="32">
        <f t="shared" si="16"/>
        <v>2.155172413793115E-2</v>
      </c>
      <c r="L46" s="18">
        <f>IF(ISNUMBER(J46), $B64 * K46, "")</f>
        <v>3232.7586206896726</v>
      </c>
      <c r="M46" s="31">
        <v>4.7</v>
      </c>
      <c r="N46" s="32">
        <f t="shared" si="17"/>
        <v>1.2931034482758728E-2</v>
      </c>
      <c r="O46" s="18">
        <f>IF(ISNUMBER(M46), $B64 * N46, "")</f>
        <v>1939.6551724138092</v>
      </c>
      <c r="Q46" s="146"/>
      <c r="R46" s="146"/>
      <c r="S46" s="146"/>
    </row>
    <row r="47" spans="1:19" ht="17.25" customHeight="1" thickBot="1">
      <c r="A47" s="109" t="s">
        <v>253</v>
      </c>
      <c r="B47" s="110">
        <v>91.4</v>
      </c>
      <c r="C47" s="70">
        <v>2.3516237400000001E-2</v>
      </c>
      <c r="D47" s="15">
        <v>91.1</v>
      </c>
      <c r="E47" s="32">
        <f t="shared" si="14"/>
        <v>-3.2822757111598618E-3</v>
      </c>
      <c r="F47" s="18">
        <f>IF(ISNUMBER(D47), $B64 * E47, "")</f>
        <v>-492.34135667397925</v>
      </c>
      <c r="G47" s="31">
        <v>91.8</v>
      </c>
      <c r="H47" s="32">
        <f t="shared" si="15"/>
        <v>4.3763676148795561E-3</v>
      </c>
      <c r="I47" s="91">
        <f>IF(ISNUMBER(G47), $B64 * H47, "")</f>
        <v>656.45514223193345</v>
      </c>
      <c r="J47" s="15">
        <v>91.5</v>
      </c>
      <c r="K47" s="32">
        <f t="shared" si="16"/>
        <v>1.0940919037198502E-3</v>
      </c>
      <c r="L47" s="18">
        <f>IF(ISNUMBER(J47), $B64 * K47, "")</f>
        <v>164.11378555797754</v>
      </c>
      <c r="M47" s="31">
        <v>90.9</v>
      </c>
      <c r="N47" s="32">
        <f t="shared" si="17"/>
        <v>-5.4704595185995622E-3</v>
      </c>
      <c r="O47" s="18">
        <f>IF(ISNUMBER(M47), $B64 * N47, "")</f>
        <v>-820.56892778993438</v>
      </c>
      <c r="Q47" s="146"/>
      <c r="R47" s="146"/>
      <c r="S47" s="146"/>
    </row>
    <row r="48" spans="1:19" ht="17.25" customHeight="1" thickBot="1">
      <c r="A48" s="111" t="s">
        <v>193</v>
      </c>
      <c r="B48" s="112">
        <v>15.1</v>
      </c>
      <c r="C48" s="71">
        <v>2.02702703E-2</v>
      </c>
      <c r="D48" s="20">
        <v>15</v>
      </c>
      <c r="E48" s="21">
        <f t="shared" si="14"/>
        <v>-6.6225165562913673E-3</v>
      </c>
      <c r="F48" s="22">
        <f>IF(ISNUMBER(D48), $B64 * E48, "")</f>
        <v>-993.37748344370505</v>
      </c>
      <c r="G48" s="30">
        <v>15.4</v>
      </c>
      <c r="H48" s="21">
        <f t="shared" si="15"/>
        <v>1.9867549668874218E-2</v>
      </c>
      <c r="I48" s="95">
        <f>IF(ISNUMBER(G48), $B64 * H48, "")</f>
        <v>2980.1324503311325</v>
      </c>
      <c r="J48" s="20">
        <v>15.3</v>
      </c>
      <c r="K48" s="21">
        <f t="shared" si="16"/>
        <v>1.3245033112582853E-2</v>
      </c>
      <c r="L48" s="22">
        <f>IF(ISNUMBER(J48), $B64 * K48, "")</f>
        <v>1986.7549668874278</v>
      </c>
      <c r="M48" s="30">
        <v>15.2</v>
      </c>
      <c r="N48" s="21">
        <f t="shared" si="17"/>
        <v>6.6225165562913673E-3</v>
      </c>
      <c r="O48" s="22">
        <f>IF(ISNUMBER(M48), $B64 * N48, "")</f>
        <v>993.37748344370505</v>
      </c>
      <c r="Q48" s="146"/>
      <c r="R48" s="146"/>
      <c r="S48" s="146"/>
    </row>
    <row r="49" spans="1:19" ht="17.25" customHeight="1" thickBot="1">
      <c r="A49" s="109" t="s">
        <v>349</v>
      </c>
      <c r="B49" s="113">
        <v>20.5</v>
      </c>
      <c r="C49" s="73">
        <v>1.4851485100000001E-2</v>
      </c>
      <c r="D49" s="96">
        <v>20.2</v>
      </c>
      <c r="E49" s="97">
        <f>IF(ISNUMBER(D49), (D49 - $B49) / $B49, "")</f>
        <v>-1.4634146341463448E-2</v>
      </c>
      <c r="F49" s="98">
        <f>IF(ISNUMBER(D49), $B64 * E49, "")</f>
        <v>-2195.1219512195171</v>
      </c>
      <c r="G49" s="99">
        <v>20.5</v>
      </c>
      <c r="H49" s="97">
        <f>IF(ISNUMBER(G49), (G49 - $B49) / $B49, "")</f>
        <v>0</v>
      </c>
      <c r="I49" s="100">
        <f>IF(ISNUMBER(G49), $B64 * H49, "")</f>
        <v>0</v>
      </c>
      <c r="J49" s="96">
        <v>20.7</v>
      </c>
      <c r="K49" s="97">
        <f>IF(ISNUMBER(J49), (J49 - $B49) / $B49, "")</f>
        <v>9.7560975609755751E-3</v>
      </c>
      <c r="L49" s="98">
        <f>IF(ISNUMBER(J49), $B64 * K49, "")</f>
        <v>1463.4146341463363</v>
      </c>
      <c r="M49" s="99">
        <v>20.399999999999999</v>
      </c>
      <c r="N49" s="97">
        <f>IF(ISNUMBER(M49), (M49 - $B49) / $B49, "")</f>
        <v>-4.8780487804878743E-3</v>
      </c>
      <c r="O49" s="98">
        <f>IF(ISNUMBER(M49), $B64 * N49, "")</f>
        <v>-731.70731707318112</v>
      </c>
      <c r="Q49" s="146"/>
      <c r="R49" s="146"/>
      <c r="S49" s="146"/>
    </row>
    <row r="50" spans="1:19" ht="17.25" customHeight="1" thickBot="1">
      <c r="A50" s="109" t="s">
        <v>126</v>
      </c>
      <c r="B50" s="110">
        <v>21.1</v>
      </c>
      <c r="C50" s="70">
        <v>1.44230769E-2</v>
      </c>
      <c r="D50" s="15">
        <v>21.2</v>
      </c>
      <c r="E50" s="32">
        <f t="shared" ref="E50:E53" si="18">IF(ISNUMBER(D50), (D50 - $B50) / $B50, "")</f>
        <v>4.7393364928908941E-3</v>
      </c>
      <c r="F50" s="18">
        <f>IF(ISNUMBER(D50), $B64 * E50, "")</f>
        <v>710.90047393363409</v>
      </c>
      <c r="G50" s="31">
        <v>21.4</v>
      </c>
      <c r="H50" s="32">
        <f t="shared" ref="H50:H53" si="19">IF(ISNUMBER(G50), (G50 - $B50) / $B50, "")</f>
        <v>1.421800947867285E-2</v>
      </c>
      <c r="I50" s="91">
        <f>IF(ISNUMBER(G50), $B64 * H50, "")</f>
        <v>2132.7014218009276</v>
      </c>
      <c r="J50" s="15">
        <v>21.2</v>
      </c>
      <c r="K50" s="32">
        <f t="shared" ref="K50:K53" si="20">IF(ISNUMBER(J50), (J50 - $B50) / $B50, "")</f>
        <v>4.7393364928908941E-3</v>
      </c>
      <c r="L50" s="18">
        <f>IF(ISNUMBER(J50), $B64 * K50, "")</f>
        <v>710.90047393363409</v>
      </c>
      <c r="M50" s="31">
        <v>21.1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146"/>
      <c r="R50" s="146"/>
      <c r="S50" s="146"/>
    </row>
    <row r="51" spans="1:19" ht="17.25" customHeight="1" thickBot="1">
      <c r="A51" s="109" t="s">
        <v>56</v>
      </c>
      <c r="B51" s="110">
        <v>37.1</v>
      </c>
      <c r="C51" s="70">
        <v>1.36612022E-2</v>
      </c>
      <c r="D51" s="15">
        <v>37.299999999999997</v>
      </c>
      <c r="E51" s="32">
        <f t="shared" si="18"/>
        <v>5.3908355795147097E-3</v>
      </c>
      <c r="F51" s="18">
        <f>IF(ISNUMBER(D51), $B64 * E51, "")</f>
        <v>808.62533692720649</v>
      </c>
      <c r="G51" s="31">
        <v>37.5</v>
      </c>
      <c r="H51" s="32">
        <f t="shared" si="19"/>
        <v>1.078167115902961E-2</v>
      </c>
      <c r="I51" s="91">
        <f>IF(ISNUMBER(G51), $B64 * H51, "")</f>
        <v>1617.2506738544416</v>
      </c>
      <c r="J51" s="15">
        <v>37.6</v>
      </c>
      <c r="K51" s="32">
        <f t="shared" si="20"/>
        <v>1.3477088948787061E-2</v>
      </c>
      <c r="L51" s="18">
        <f>IF(ISNUMBER(J51), $B64 * K51, "")</f>
        <v>2021.5633423180591</v>
      </c>
      <c r="M51" s="31">
        <v>37.1</v>
      </c>
      <c r="N51" s="32">
        <f t="shared" si="21"/>
        <v>0</v>
      </c>
      <c r="O51" s="18">
        <f>IF(ISNUMBER(M51), $B64 * N51, "")</f>
        <v>0</v>
      </c>
      <c r="Q51" s="146"/>
      <c r="R51" s="146"/>
      <c r="S51" s="146"/>
    </row>
    <row r="52" spans="1:19" ht="17.25" customHeight="1" thickBot="1">
      <c r="A52" s="109" t="s">
        <v>329</v>
      </c>
      <c r="B52" s="110">
        <v>48.9</v>
      </c>
      <c r="C52" s="70">
        <v>1.24223602E-2</v>
      </c>
      <c r="D52" s="15">
        <v>49.8</v>
      </c>
      <c r="E52" s="32">
        <f t="shared" si="18"/>
        <v>1.8404907975460093E-2</v>
      </c>
      <c r="F52" s="18">
        <f>IF(ISNUMBER(D52), $B64 * E52, "")</f>
        <v>2760.7361963190137</v>
      </c>
      <c r="G52" s="31">
        <v>50.1</v>
      </c>
      <c r="H52" s="32">
        <f t="shared" si="19"/>
        <v>2.4539877300613556E-2</v>
      </c>
      <c r="I52" s="91">
        <f>IF(ISNUMBER(G52), $B64 * H52, "")</f>
        <v>3680.9815950920333</v>
      </c>
      <c r="J52" s="15">
        <v>50</v>
      </c>
      <c r="K52" s="32">
        <f t="shared" si="20"/>
        <v>2.2494887525562401E-2</v>
      </c>
      <c r="L52" s="18">
        <f>IF(ISNUMBER(J52), $B64 * K52, "")</f>
        <v>3374.2331288343603</v>
      </c>
      <c r="M52" s="31">
        <v>49.5</v>
      </c>
      <c r="N52" s="32">
        <f t="shared" si="21"/>
        <v>1.2269938650306778E-2</v>
      </c>
      <c r="O52" s="18">
        <f>IF(ISNUMBER(M52), $B64 * N52, "")</f>
        <v>1840.4907975460167</v>
      </c>
      <c r="Q52" s="33"/>
      <c r="R52" s="33"/>
    </row>
    <row r="53" spans="1:19" ht="17.25" customHeight="1" thickBot="1">
      <c r="A53" s="114" t="s">
        <v>227</v>
      </c>
      <c r="B53" s="115">
        <v>33.4</v>
      </c>
      <c r="C53" s="72">
        <v>1.2121212100000001E-2</v>
      </c>
      <c r="D53" s="24">
        <v>33.200000000000003</v>
      </c>
      <c r="E53" s="25">
        <f t="shared" si="18"/>
        <v>-5.9880239520956812E-3</v>
      </c>
      <c r="F53" s="94">
        <f>IF(ISNUMBER(D53), $B64 * E53, "")</f>
        <v>-898.20359281435219</v>
      </c>
      <c r="G53" s="92">
        <v>33.200000000000003</v>
      </c>
      <c r="H53" s="25">
        <f t="shared" si="19"/>
        <v>-5.9880239520956812E-3</v>
      </c>
      <c r="I53" s="93">
        <f>IF(ISNUMBER(G53), $B64 * H53, "")</f>
        <v>-898.20359281435219</v>
      </c>
      <c r="J53" s="24">
        <v>33.299999999999997</v>
      </c>
      <c r="K53" s="25">
        <f t="shared" si="20"/>
        <v>-2.9940119760479469E-3</v>
      </c>
      <c r="L53" s="94">
        <f>IF(ISNUMBER(J53), $B64 * K53, "")</f>
        <v>-449.10179640719201</v>
      </c>
      <c r="M53" s="92">
        <v>33.200000000000003</v>
      </c>
      <c r="N53" s="25">
        <f t="shared" si="21"/>
        <v>-5.9880239520956812E-3</v>
      </c>
      <c r="O53" s="94">
        <f>IF(ISNUMBER(M53), $B64 * N53, "")</f>
        <v>-898.20359281435219</v>
      </c>
      <c r="Q53" s="147"/>
      <c r="R53" s="148"/>
      <c r="S53" s="149"/>
    </row>
    <row r="54" spans="1:19" ht="17.25" customHeight="1">
      <c r="A54" s="107" t="s">
        <v>138</v>
      </c>
      <c r="B54" s="108">
        <v>20</v>
      </c>
      <c r="C54" s="69">
        <v>1.01010101E-2</v>
      </c>
      <c r="D54" s="13">
        <v>20.2</v>
      </c>
      <c r="E54" s="14">
        <f>IF(ISNUMBER(D54), (D54 - $B54) / $B54, "")</f>
        <v>9.9999999999999638E-3</v>
      </c>
      <c r="F54" s="16">
        <f>IF(ISNUMBER(D54), $B64 * E54, "")</f>
        <v>1499.9999999999945</v>
      </c>
      <c r="G54" s="29">
        <v>20.399999999999999</v>
      </c>
      <c r="H54" s="14">
        <f>IF(ISNUMBER(G54), (G54 - $B54) / $B54, "")</f>
        <v>1.9999999999999928E-2</v>
      </c>
      <c r="I54" s="90">
        <f>IF(ISNUMBER(G54), $B64 * H54, "")</f>
        <v>2999.9999999999891</v>
      </c>
      <c r="J54" s="13">
        <v>20.3</v>
      </c>
      <c r="K54" s="14">
        <f>IF(ISNUMBER(J54), (J54 - $B54) / $B54, "")</f>
        <v>1.5000000000000036E-2</v>
      </c>
      <c r="L54" s="16">
        <f>IF(ISNUMBER(J54), $B64 * K54, "")</f>
        <v>2250.0000000000055</v>
      </c>
      <c r="M54" s="29">
        <v>20.100000000000001</v>
      </c>
      <c r="N54" s="14">
        <f>IF(ISNUMBER(M54), (M54 - $B54) / $B54, "")</f>
        <v>5.0000000000000712E-3</v>
      </c>
      <c r="O54" s="16">
        <f>IF(ISNUMBER(M54), $B64 * N54, "")</f>
        <v>750.00000000001069</v>
      </c>
      <c r="Q54" s="150"/>
      <c r="R54" s="151"/>
      <c r="S54" s="152"/>
    </row>
    <row r="55" spans="1:19" ht="17.25" customHeight="1" thickBot="1">
      <c r="A55" s="109" t="s">
        <v>132</v>
      </c>
      <c r="B55" s="110">
        <v>40.700000000000003</v>
      </c>
      <c r="C55" s="70">
        <v>9.9255582999999998E-3</v>
      </c>
      <c r="D55" s="15">
        <v>40.9</v>
      </c>
      <c r="E55" s="32">
        <f t="shared" ref="E55:E58" si="22">IF(ISNUMBER(D55), (D55 - $B55) / $B55, "")</f>
        <v>4.9140049140048089E-3</v>
      </c>
      <c r="F55" s="18">
        <f>IF(ISNUMBER(D55), $B64 * E55, "")</f>
        <v>737.10073710072129</v>
      </c>
      <c r="G55" s="31">
        <v>41.3</v>
      </c>
      <c r="H55" s="32">
        <f t="shared" ref="H55:H58" si="23">IF(ISNUMBER(G55), (G55 - $B55) / $B55, "")</f>
        <v>1.4742014742014602E-2</v>
      </c>
      <c r="I55" s="91">
        <f>IF(ISNUMBER(G55), $B64 * H55, "")</f>
        <v>2211.3022113021902</v>
      </c>
      <c r="J55" s="15">
        <v>41.3</v>
      </c>
      <c r="K55" s="32">
        <f t="shared" ref="K55:K58" si="24">IF(ISNUMBER(J55), (J55 - $B55) / $B55, "")</f>
        <v>1.4742014742014602E-2</v>
      </c>
      <c r="L55" s="18">
        <f>IF(ISNUMBER(J55), $B64 * K55, "")</f>
        <v>2211.3022113021902</v>
      </c>
      <c r="M55" s="31">
        <v>40.9</v>
      </c>
      <c r="N55" s="32">
        <f t="shared" ref="N55:N58" si="25">IF(ISNUMBER(M55), (M55 - $B55) / $B55, "")</f>
        <v>4.9140049140048089E-3</v>
      </c>
      <c r="O55" s="18">
        <f>IF(ISNUMBER(M55), $B64 * N55, "")</f>
        <v>737.10073710072129</v>
      </c>
      <c r="Q55" s="153"/>
      <c r="R55" s="154"/>
      <c r="S55" s="155"/>
    </row>
    <row r="56" spans="1:19" ht="17.25" customHeight="1" thickBot="1">
      <c r="A56" s="109" t="s">
        <v>51</v>
      </c>
      <c r="B56" s="110">
        <v>93</v>
      </c>
      <c r="C56" s="70">
        <v>9.7719869999999993E-3</v>
      </c>
      <c r="D56" s="15">
        <v>93.8</v>
      </c>
      <c r="E56" s="32">
        <f t="shared" si="22"/>
        <v>8.6021505376343774E-3</v>
      </c>
      <c r="F56" s="18">
        <f>IF(ISNUMBER(D56), $B64 * E56, "")</f>
        <v>1290.3225806451567</v>
      </c>
      <c r="G56" s="31">
        <v>94.8</v>
      </c>
      <c r="H56" s="32">
        <f t="shared" si="23"/>
        <v>1.9354838709677389E-2</v>
      </c>
      <c r="I56" s="91">
        <f>IF(ISNUMBER(G56), $B64 * H56, "")</f>
        <v>2903.2258064516082</v>
      </c>
      <c r="J56" s="15">
        <v>94.5</v>
      </c>
      <c r="K56" s="32">
        <f t="shared" si="24"/>
        <v>1.6129032258064516E-2</v>
      </c>
      <c r="L56" s="18">
        <f>IF(ISNUMBER(J56), $B64 * K56, "")</f>
        <v>2419.3548387096776</v>
      </c>
      <c r="M56" s="31">
        <v>94.3</v>
      </c>
      <c r="N56" s="32">
        <f t="shared" si="25"/>
        <v>1.3978494623655883E-2</v>
      </c>
      <c r="O56" s="18">
        <f>IF(ISNUMBER(M56), $B64 * N56, "")</f>
        <v>2096.7741935483823</v>
      </c>
      <c r="Q56" s="146"/>
      <c r="R56" s="146"/>
      <c r="S56" s="146"/>
    </row>
    <row r="57" spans="1:19" ht="17.25" customHeight="1" thickBot="1">
      <c r="A57" s="109" t="s">
        <v>185</v>
      </c>
      <c r="B57" s="110">
        <v>23</v>
      </c>
      <c r="C57" s="70">
        <v>8.7719297999999998E-3</v>
      </c>
      <c r="D57" s="15">
        <v>22.9</v>
      </c>
      <c r="E57" s="32">
        <f t="shared" si="22"/>
        <v>-4.3478260869565834E-3</v>
      </c>
      <c r="F57" s="18">
        <f>IF(ISNUMBER(D57), $B64 * E57, "")</f>
        <v>-652.17391304348746</v>
      </c>
      <c r="G57" s="31">
        <v>23</v>
      </c>
      <c r="H57" s="32">
        <f t="shared" si="23"/>
        <v>0</v>
      </c>
      <c r="I57" s="91">
        <f>IF(ISNUMBER(G57), $B64 * H57, "")</f>
        <v>0</v>
      </c>
      <c r="J57" s="15">
        <v>23</v>
      </c>
      <c r="K57" s="32">
        <f t="shared" si="24"/>
        <v>0</v>
      </c>
      <c r="L57" s="18">
        <f>IF(ISNUMBER(J57), $B64 * K57, "")</f>
        <v>0</v>
      </c>
      <c r="M57" s="31">
        <v>23</v>
      </c>
      <c r="N57" s="32">
        <f t="shared" si="25"/>
        <v>0</v>
      </c>
      <c r="O57" s="18">
        <f>IF(ISNUMBER(M57), $B64 * N57, "")</f>
        <v>0</v>
      </c>
      <c r="Q57" s="156"/>
      <c r="R57" s="156"/>
      <c r="S57" s="156"/>
    </row>
    <row r="58" spans="1:19" ht="17.25" customHeight="1" thickBot="1">
      <c r="A58" s="111" t="s">
        <v>155</v>
      </c>
      <c r="B58" s="112">
        <v>24.3</v>
      </c>
      <c r="C58" s="71">
        <v>8.2987552000000006E-3</v>
      </c>
      <c r="D58" s="20">
        <v>24.5</v>
      </c>
      <c r="E58" s="21">
        <f t="shared" si="22"/>
        <v>8.2304526748970906E-3</v>
      </c>
      <c r="F58" s="22">
        <f>IF(ISNUMBER(D58), $B64 * E58, "")</f>
        <v>1234.5679012345636</v>
      </c>
      <c r="G58" s="30">
        <v>24.6</v>
      </c>
      <c r="H58" s="21">
        <f t="shared" si="23"/>
        <v>1.2345679012345708E-2</v>
      </c>
      <c r="I58" s="95">
        <f>IF(ISNUMBER(G58), $B64 * H58, "")</f>
        <v>1851.8518518518563</v>
      </c>
      <c r="J58" s="20">
        <v>24.5</v>
      </c>
      <c r="K58" s="21">
        <f t="shared" si="24"/>
        <v>8.2304526748970906E-3</v>
      </c>
      <c r="L58" s="22">
        <f>IF(ISNUMBER(J58), $B64 * K58, "")</f>
        <v>1234.5679012345636</v>
      </c>
      <c r="M58" s="30">
        <v>24.5</v>
      </c>
      <c r="N58" s="21">
        <f t="shared" si="25"/>
        <v>8.2304526748970906E-3</v>
      </c>
      <c r="O58" s="22">
        <f>IF(ISNUMBER(M58), $B64 * N58, "")</f>
        <v>1234.5679012345636</v>
      </c>
      <c r="Q58" s="156"/>
      <c r="R58" s="156"/>
      <c r="S58" s="156"/>
    </row>
    <row r="59" spans="1:19" ht="17.25" customHeight="1" thickBot="1">
      <c r="A59" s="109" t="s">
        <v>124</v>
      </c>
      <c r="B59" s="113">
        <v>27</v>
      </c>
      <c r="C59" s="73">
        <v>7.4626865999999998E-3</v>
      </c>
      <c r="D59" s="96">
        <v>27</v>
      </c>
      <c r="E59" s="97">
        <f>IF(ISNUMBER(D59), (D59 - $B59) / $B59, "")</f>
        <v>0</v>
      </c>
      <c r="F59" s="98">
        <f>IF(ISNUMBER(D59), $B64 * E59, "")</f>
        <v>0</v>
      </c>
      <c r="G59" s="99">
        <v>27.1</v>
      </c>
      <c r="H59" s="97">
        <f>IF(ISNUMBER(G59), (G59 - $B59) / $B59, "")</f>
        <v>3.7037037037037563E-3</v>
      </c>
      <c r="I59" s="100">
        <f>IF(ISNUMBER(G59), $B64 * H59, "")</f>
        <v>555.5555555555635</v>
      </c>
      <c r="J59" s="96">
        <v>27.3</v>
      </c>
      <c r="K59" s="97">
        <f>IF(ISNUMBER(J59), (J59 - $B59) / $B59, "")</f>
        <v>1.1111111111111138E-2</v>
      </c>
      <c r="L59" s="98">
        <f>IF(ISNUMBER(J59), $B64 * K59, "")</f>
        <v>1666.6666666666706</v>
      </c>
      <c r="M59" s="99">
        <v>27</v>
      </c>
      <c r="N59" s="97">
        <f>IF(ISNUMBER(M59), (M59 - $B59) / $B59, "")</f>
        <v>0</v>
      </c>
      <c r="O59" s="98">
        <f>IF(ISNUMBER(M59), $B64 * N59, "")</f>
        <v>0</v>
      </c>
      <c r="Q59" s="146"/>
      <c r="R59" s="146"/>
      <c r="S59" s="146"/>
    </row>
    <row r="60" spans="1:19" ht="17.25" customHeight="1" thickBot="1">
      <c r="A60" s="109" t="s">
        <v>217</v>
      </c>
      <c r="B60" s="110">
        <v>54</v>
      </c>
      <c r="C60" s="70">
        <v>7.4626865999999998E-3</v>
      </c>
      <c r="D60" s="15">
        <v>54.3</v>
      </c>
      <c r="E60" s="32">
        <f t="shared" ref="E60:E63" si="26">IF(ISNUMBER(D60), (D60 - $B60) / $B60, "")</f>
        <v>5.5555555555555029E-3</v>
      </c>
      <c r="F60" s="18">
        <f>IF(ISNUMBER(D60), $B64 * E60, "")</f>
        <v>833.33333333332541</v>
      </c>
      <c r="G60" s="31">
        <v>54.4</v>
      </c>
      <c r="H60" s="32">
        <f t="shared" ref="H60:H63" si="27">IF(ISNUMBER(G60), (G60 - $B60) / $B60, "")</f>
        <v>7.4074074074073808E-3</v>
      </c>
      <c r="I60" s="91">
        <f>IF(ISNUMBER(G60), $B64 * H60, "")</f>
        <v>1111.1111111111072</v>
      </c>
      <c r="J60" s="15">
        <v>54.4</v>
      </c>
      <c r="K60" s="32">
        <f t="shared" ref="K60:K63" si="28">IF(ISNUMBER(J60), (J60 - $B60) / $B60, "")</f>
        <v>7.4074074074073808E-3</v>
      </c>
      <c r="L60" s="18">
        <f>IF(ISNUMBER(J60), $B64 * K60, "")</f>
        <v>1111.1111111111072</v>
      </c>
      <c r="M60" s="31">
        <v>54.3</v>
      </c>
      <c r="N60" s="32">
        <f t="shared" ref="N60:N63" si="29">IF(ISNUMBER(M60), (M60 - $B60) / $B60, "")</f>
        <v>5.5555555555555029E-3</v>
      </c>
      <c r="O60" s="18">
        <f>IF(ISNUMBER(M60), $B64 * N60, "")</f>
        <v>833.33333333332541</v>
      </c>
      <c r="Q60" s="146"/>
      <c r="R60" s="146"/>
      <c r="S60" s="146"/>
    </row>
    <row r="61" spans="1:19" ht="17.25" customHeight="1" thickBot="1">
      <c r="A61" s="109" t="s">
        <v>197</v>
      </c>
      <c r="B61" s="110">
        <v>5.54</v>
      </c>
      <c r="C61" s="70">
        <v>7.2727273000000002E-3</v>
      </c>
      <c r="D61" s="15">
        <v>5.55</v>
      </c>
      <c r="E61" s="32">
        <f t="shared" si="26"/>
        <v>1.8050541516245102E-3</v>
      </c>
      <c r="F61" s="18">
        <f>IF(ISNUMBER(D61), $B64 * E61, "")</f>
        <v>270.75812274367655</v>
      </c>
      <c r="G61" s="31">
        <v>5.54</v>
      </c>
      <c r="H61" s="32">
        <f t="shared" si="27"/>
        <v>0</v>
      </c>
      <c r="I61" s="91">
        <f>IF(ISNUMBER(G61), $B64 * H61, "")</f>
        <v>0</v>
      </c>
      <c r="J61" s="15">
        <v>5.58</v>
      </c>
      <c r="K61" s="32">
        <f t="shared" si="28"/>
        <v>7.2202166064982013E-3</v>
      </c>
      <c r="L61" s="18">
        <f>IF(ISNUMBER(J61), $B64 * K61, "")</f>
        <v>1083.0324909747301</v>
      </c>
      <c r="M61" s="31">
        <v>5.54</v>
      </c>
      <c r="N61" s="32">
        <f t="shared" si="29"/>
        <v>0</v>
      </c>
      <c r="O61" s="18">
        <f>IF(ISNUMBER(M61), $B64 * N61, "")</f>
        <v>0</v>
      </c>
      <c r="Q61" s="146"/>
      <c r="R61" s="146"/>
      <c r="S61" s="146"/>
    </row>
    <row r="62" spans="1:19" ht="17.25" customHeight="1">
      <c r="A62" s="109" t="s">
        <v>145</v>
      </c>
      <c r="B62" s="110">
        <v>70.2</v>
      </c>
      <c r="C62" s="70">
        <v>7.1736011000000004E-3</v>
      </c>
      <c r="D62" s="15">
        <v>70.5</v>
      </c>
      <c r="E62" s="32">
        <f t="shared" si="26"/>
        <v>4.2735042735042332E-3</v>
      </c>
      <c r="F62" s="18">
        <f>IF(ISNUMBER(D62), $B64 * E62, "")</f>
        <v>641.02564102563497</v>
      </c>
      <c r="G62" s="31">
        <v>71</v>
      </c>
      <c r="H62" s="32">
        <f t="shared" si="27"/>
        <v>1.1396011396011355E-2</v>
      </c>
      <c r="I62" s="91">
        <f>IF(ISNUMBER(G62), $B64 * H62, "")</f>
        <v>1709.4017094017033</v>
      </c>
      <c r="J62" s="15">
        <v>70.900000000000006</v>
      </c>
      <c r="K62" s="32">
        <f t="shared" si="28"/>
        <v>9.9715099715100113E-3</v>
      </c>
      <c r="L62" s="18">
        <f>IF(ISNUMBER(J62), $B64 * K62, "")</f>
        <v>1495.7264957265018</v>
      </c>
      <c r="M62" s="31">
        <v>70.7</v>
      </c>
      <c r="N62" s="32">
        <f t="shared" si="29"/>
        <v>7.1225071225071226E-3</v>
      </c>
      <c r="O62" s="18">
        <f>IF(ISNUMBER(M62), $B64 * N62, "")</f>
        <v>1068.3760683760684</v>
      </c>
      <c r="Q62" s="135"/>
      <c r="R62" s="136"/>
      <c r="S62" s="137"/>
    </row>
    <row r="63" spans="1:19" ht="17.25" customHeight="1" thickBot="1">
      <c r="A63" s="114" t="s">
        <v>323</v>
      </c>
      <c r="B63" s="115">
        <v>2.8299999999999999E-2</v>
      </c>
      <c r="C63" s="72">
        <v>7.1174376999999997E-3</v>
      </c>
      <c r="D63" s="24">
        <v>2.8299999999999999E-2</v>
      </c>
      <c r="E63" s="25">
        <f t="shared" si="26"/>
        <v>0</v>
      </c>
      <c r="F63" s="94">
        <f>IF(ISNUMBER(D63), $B64 * E63, "")</f>
        <v>0</v>
      </c>
      <c r="G63" s="92">
        <v>2.8500000000000001E-2</v>
      </c>
      <c r="H63" s="25">
        <f t="shared" si="27"/>
        <v>7.0671378091873597E-3</v>
      </c>
      <c r="I63" s="93">
        <f>IF(ISNUMBER(G63), $B64 * H63, "")</f>
        <v>1060.070671378104</v>
      </c>
      <c r="J63" s="24">
        <v>2.8500000000000001E-2</v>
      </c>
      <c r="K63" s="25">
        <f t="shared" si="28"/>
        <v>7.0671378091873597E-3</v>
      </c>
      <c r="L63" s="94">
        <f>IF(ISNUMBER(J63), $B64 * K63, "")</f>
        <v>1060.070671378104</v>
      </c>
      <c r="M63" s="92">
        <v>2.8199999999999999E-2</v>
      </c>
      <c r="N63" s="25">
        <f t="shared" si="29"/>
        <v>-3.5335689045936183E-3</v>
      </c>
      <c r="O63" s="94">
        <f>IF(ISNUMBER(M63), $B64 * N63, "")</f>
        <v>-530.03533568904277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3.3035721755620335E-3</v>
      </c>
      <c r="F64" s="28">
        <f>SUM(F44:F63)</f>
        <v>9910.7165266860993</v>
      </c>
      <c r="G64" s="26" t="s">
        <v>258</v>
      </c>
      <c r="H64" s="27">
        <f>IF(COUNT(H44:H63), SUM(H44:H63) / COUNT(H44:H63), 0)</f>
        <v>9.9817236189194327E-3</v>
      </c>
      <c r="I64" s="28">
        <f>SUM(I44:I63)</f>
        <v>29945.170856758297</v>
      </c>
      <c r="J64" s="26" t="s">
        <v>258</v>
      </c>
      <c r="K64" s="27">
        <f>IF(COUNT(K44:K63), SUM(K44:K63) / COUNT(K44:K63), 0)</f>
        <v>9.3109612952310995E-3</v>
      </c>
      <c r="L64" s="28">
        <f>SUM(L44:L63)</f>
        <v>27932.8838856933</v>
      </c>
      <c r="M64" s="26" t="s">
        <v>258</v>
      </c>
      <c r="N64" s="27">
        <f>IF(COUNT(N44:N63), SUM(N44:N63) / COUNT(N44:N63), 0)</f>
        <v>2.1408063340214657E-3</v>
      </c>
      <c r="O64" s="28">
        <f>SUM(O44:O63)</f>
        <v>6422.4190020643973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2023-01-03(화) 오전 00:00</v>
      </c>
      <c r="C69" s="198"/>
      <c r="D69" s="170" t="str">
        <f>TEXT($G$1, "[$-ko-KR]yyyy-mm-dd(ddd) ") &amp; "오후 14:00"</f>
        <v>2023-01-03(화) 오후 14:00</v>
      </c>
      <c r="E69" s="171"/>
      <c r="F69" s="172"/>
      <c r="G69" s="170" t="str">
        <f>TEXT($G$1, "[$-ko-KR]yyyy-mm-dd(ddd) ") &amp; "오후 19:00"</f>
        <v>2023-01-03(화) 오후 19:00</v>
      </c>
      <c r="H69" s="171"/>
      <c r="I69" s="172"/>
      <c r="J69" s="170" t="str">
        <f>TEXT($G$1, "[$-ko-KR]yyyy-mm-dd(ddd) ") &amp; "오후 21:00"</f>
        <v>2023-01-03(화) 오후 21:00</v>
      </c>
      <c r="K69" s="171"/>
      <c r="L69" s="172"/>
      <c r="M69" s="170" t="str">
        <f>TEXT($G$1+1, "[$-ko-KR]yyyy-mm-dd(ddd) ") &amp; "오전 00:00"</f>
        <v>2023-01-04(수)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111</v>
      </c>
      <c r="B71" s="108">
        <v>518</v>
      </c>
      <c r="C71" s="69">
        <v>5.0709939099999997E-2</v>
      </c>
      <c r="D71" s="13">
        <v>515</v>
      </c>
      <c r="E71" s="14">
        <f>IF(ISNUMBER(D71), (D71 - $B71) / $B71, "")</f>
        <v>-5.7915057915057912E-3</v>
      </c>
      <c r="F71" s="16">
        <f>IF(ISNUMBER(D71), $B91 * E71, "")</f>
        <v>-868.72586872586874</v>
      </c>
      <c r="G71" s="29">
        <v>527</v>
      </c>
      <c r="H71" s="14">
        <f>IF(ISNUMBER(G71), (G71 - $B71) / $B71, "")</f>
        <v>1.7374517374517374E-2</v>
      </c>
      <c r="I71" s="90">
        <f>IF(ISNUMBER(G71), $B91 * H71, "")</f>
        <v>2606.1776061776063</v>
      </c>
      <c r="J71" s="13">
        <v>521</v>
      </c>
      <c r="K71" s="14">
        <f>IF(ISNUMBER(J71), (J71 - $B71) / $B71, "")</f>
        <v>5.7915057915057912E-3</v>
      </c>
      <c r="L71" s="16">
        <f>IF(ISNUMBER(J71), $B91 * K71, "")</f>
        <v>868.72586872586874</v>
      </c>
      <c r="M71" s="29">
        <v>517</v>
      </c>
      <c r="N71" s="14">
        <f>IF(ISNUMBER(M71), (M71 - $B71) / $B71, "")</f>
        <v>-1.9305019305019305E-3</v>
      </c>
      <c r="O71" s="16">
        <f>IF(ISNUMBER(M71), $B91 * N71, "")</f>
        <v>-289.57528957528956</v>
      </c>
      <c r="Q71" s="156"/>
      <c r="R71" s="156"/>
      <c r="S71" s="156"/>
    </row>
    <row r="72" spans="1:19" ht="17.25" thickBot="1">
      <c r="A72" s="109" t="s">
        <v>169</v>
      </c>
      <c r="B72" s="110">
        <v>226</v>
      </c>
      <c r="C72" s="70">
        <v>3.6697247699999998E-2</v>
      </c>
      <c r="D72" s="15">
        <v>232</v>
      </c>
      <c r="E72" s="32">
        <f t="shared" ref="E72:E75" si="30">IF(ISNUMBER(D72), (D72 - $B72) / $B72, "")</f>
        <v>2.6548672566371681E-2</v>
      </c>
      <c r="F72" s="18">
        <f>IF(ISNUMBER(D72), $B91 * E72, "")</f>
        <v>3982.3008849557523</v>
      </c>
      <c r="G72" s="31">
        <v>233</v>
      </c>
      <c r="H72" s="32">
        <f t="shared" ref="H72:H75" si="31">IF(ISNUMBER(G72), (G72 - $B72) / $B72, "")</f>
        <v>3.0973451327433628E-2</v>
      </c>
      <c r="I72" s="91">
        <f>IF(ISNUMBER(G72), $B91 * H72, "")</f>
        <v>4646.0176991150438</v>
      </c>
      <c r="J72" s="15">
        <v>233</v>
      </c>
      <c r="K72" s="32">
        <f t="shared" ref="K72:K75" si="32">IF(ISNUMBER(J72), (J72 - $B72) / $B72, "")</f>
        <v>3.0973451327433628E-2</v>
      </c>
      <c r="L72" s="18">
        <f>IF(ISNUMBER(J72), $B91 * K72, "")</f>
        <v>4646.0176991150438</v>
      </c>
      <c r="M72" s="31">
        <v>228</v>
      </c>
      <c r="N72" s="32">
        <f t="shared" ref="N72:N75" si="33">IF(ISNUMBER(M72), (M72 - $B72) / $B72, "")</f>
        <v>8.8495575221238937E-3</v>
      </c>
      <c r="O72" s="18">
        <f>IF(ISNUMBER(M72), $B91 * N72, "")</f>
        <v>1327.4336283185839</v>
      </c>
      <c r="Q72" s="156"/>
      <c r="R72" s="156"/>
      <c r="S72" s="156"/>
    </row>
    <row r="73" spans="1:19" ht="17.25" thickBot="1">
      <c r="A73" s="109" t="s">
        <v>60</v>
      </c>
      <c r="B73" s="110">
        <v>395</v>
      </c>
      <c r="C73" s="70">
        <v>3.1331592700000001E-2</v>
      </c>
      <c r="D73" s="15">
        <v>395</v>
      </c>
      <c r="E73" s="32">
        <f t="shared" si="30"/>
        <v>0</v>
      </c>
      <c r="F73" s="18">
        <f>IF(ISNUMBER(D73), $B91 * E73, "")</f>
        <v>0</v>
      </c>
      <c r="G73" s="31">
        <v>399</v>
      </c>
      <c r="H73" s="32">
        <f t="shared" si="31"/>
        <v>1.0126582278481013E-2</v>
      </c>
      <c r="I73" s="91">
        <f>IF(ISNUMBER(G73), $B91 * H73, "")</f>
        <v>1518.9873417721519</v>
      </c>
      <c r="J73" s="15">
        <v>396</v>
      </c>
      <c r="K73" s="32">
        <f t="shared" si="32"/>
        <v>2.5316455696202532E-3</v>
      </c>
      <c r="L73" s="18">
        <f>IF(ISNUMBER(J73), $B91 * K73, "")</f>
        <v>379.74683544303798</v>
      </c>
      <c r="M73" s="31">
        <v>394</v>
      </c>
      <c r="N73" s="32">
        <f t="shared" si="33"/>
        <v>-2.5316455696202532E-3</v>
      </c>
      <c r="O73" s="18">
        <f>IF(ISNUMBER(M73), $B91 * N73, "")</f>
        <v>-379.74683544303798</v>
      </c>
      <c r="Q73" s="146"/>
      <c r="R73" s="146"/>
      <c r="S73" s="146"/>
    </row>
    <row r="74" spans="1:19" ht="17.25" thickBot="1">
      <c r="A74" s="109" t="s">
        <v>120</v>
      </c>
      <c r="B74" s="110">
        <v>102</v>
      </c>
      <c r="C74" s="70">
        <v>2.8225806499999999E-2</v>
      </c>
      <c r="D74" s="15">
        <v>102</v>
      </c>
      <c r="E74" s="32">
        <f t="shared" si="30"/>
        <v>0</v>
      </c>
      <c r="F74" s="18">
        <f>IF(ISNUMBER(D74), $B91 * E74, "")</f>
        <v>0</v>
      </c>
      <c r="G74" s="31">
        <v>102</v>
      </c>
      <c r="H74" s="32">
        <f t="shared" si="31"/>
        <v>0</v>
      </c>
      <c r="I74" s="91">
        <f>IF(ISNUMBER(G74), $B91 * H74, "")</f>
        <v>0</v>
      </c>
      <c r="J74" s="15">
        <v>102</v>
      </c>
      <c r="K74" s="32">
        <f t="shared" si="32"/>
        <v>0</v>
      </c>
      <c r="L74" s="18">
        <f>IF(ISNUMBER(J74), $B91 * K74, "")</f>
        <v>0</v>
      </c>
      <c r="M74" s="31">
        <v>99.9</v>
      </c>
      <c r="N74" s="32">
        <f t="shared" si="33"/>
        <v>-2.0588235294117591E-2</v>
      </c>
      <c r="O74" s="18">
        <f>IF(ISNUMBER(M74), $B91 * N74, "")</f>
        <v>-3088.2352941176387</v>
      </c>
      <c r="Q74" s="146"/>
      <c r="R74" s="146"/>
      <c r="S74" s="146"/>
    </row>
    <row r="75" spans="1:19" ht="17.25" thickBot="1">
      <c r="A75" s="111" t="s">
        <v>105</v>
      </c>
      <c r="B75" s="112">
        <v>186</v>
      </c>
      <c r="C75" s="71">
        <v>2.7624309400000002E-2</v>
      </c>
      <c r="D75" s="20">
        <v>186</v>
      </c>
      <c r="E75" s="21">
        <f t="shared" si="30"/>
        <v>0</v>
      </c>
      <c r="F75" s="22">
        <f>IF(ISNUMBER(D75), $B91 * E75, "")</f>
        <v>0</v>
      </c>
      <c r="G75" s="30">
        <v>188</v>
      </c>
      <c r="H75" s="21">
        <f t="shared" si="31"/>
        <v>1.0752688172043012E-2</v>
      </c>
      <c r="I75" s="95">
        <f>IF(ISNUMBER(G75), $B91 * H75, "")</f>
        <v>1612.9032258064517</v>
      </c>
      <c r="J75" s="20">
        <v>188</v>
      </c>
      <c r="K75" s="21">
        <f t="shared" si="32"/>
        <v>1.0752688172043012E-2</v>
      </c>
      <c r="L75" s="22">
        <f>IF(ISNUMBER(J75), $B91 * K75, "")</f>
        <v>1612.9032258064517</v>
      </c>
      <c r="M75" s="30">
        <v>187</v>
      </c>
      <c r="N75" s="21">
        <f t="shared" si="33"/>
        <v>5.3763440860215058E-3</v>
      </c>
      <c r="O75" s="22">
        <f>IF(ISNUMBER(M75), $B91 * N75, "")</f>
        <v>806.45161290322585</v>
      </c>
      <c r="Q75" s="146"/>
      <c r="R75" s="146"/>
      <c r="S75" s="146"/>
    </row>
    <row r="76" spans="1:19" ht="17.25" thickBot="1">
      <c r="A76" s="109" t="s">
        <v>103</v>
      </c>
      <c r="B76" s="113">
        <v>197</v>
      </c>
      <c r="C76" s="73">
        <v>2.60416667E-2</v>
      </c>
      <c r="D76" s="96">
        <v>197</v>
      </c>
      <c r="E76" s="97">
        <f>IF(ISNUMBER(D76), (D76 - $B76) / $B76, "")</f>
        <v>0</v>
      </c>
      <c r="F76" s="98">
        <f>IF(ISNUMBER(D76), $B91 * E76, "")</f>
        <v>0</v>
      </c>
      <c r="G76" s="99">
        <v>198</v>
      </c>
      <c r="H76" s="97">
        <f>IF(ISNUMBER(G76), (G76 - $B76) / $B76, "")</f>
        <v>5.076142131979695E-3</v>
      </c>
      <c r="I76" s="100">
        <f>IF(ISNUMBER(G76), $B91 * H76, "")</f>
        <v>761.42131979695421</v>
      </c>
      <c r="J76" s="96">
        <v>196</v>
      </c>
      <c r="K76" s="97">
        <f>IF(ISNUMBER(J76), (J76 - $B76) / $B76, "")</f>
        <v>-5.076142131979695E-3</v>
      </c>
      <c r="L76" s="98">
        <f>IF(ISNUMBER(J76), $B91 * K76, "")</f>
        <v>-761.42131979695421</v>
      </c>
      <c r="M76" s="99">
        <v>196</v>
      </c>
      <c r="N76" s="97">
        <f>IF(ISNUMBER(M76), (M76 - $B76) / $B76, "")</f>
        <v>-5.076142131979695E-3</v>
      </c>
      <c r="O76" s="98">
        <f>IF(ISNUMBER(M76), $B91 * N76, "")</f>
        <v>-761.42131979695421</v>
      </c>
      <c r="Q76" s="146"/>
      <c r="R76" s="146"/>
      <c r="S76" s="146"/>
    </row>
    <row r="77" spans="1:19" ht="17.25" thickBot="1">
      <c r="A77" s="109" t="s">
        <v>157</v>
      </c>
      <c r="B77" s="110">
        <v>204</v>
      </c>
      <c r="C77" s="70">
        <v>2.5125628099999998E-2</v>
      </c>
      <c r="D77" s="15">
        <v>208</v>
      </c>
      <c r="E77" s="32">
        <f t="shared" ref="E77:E80" si="34">IF(ISNUMBER(D77), (D77 - $B77) / $B77, "")</f>
        <v>1.9607843137254902E-2</v>
      </c>
      <c r="F77" s="18">
        <f>IF(ISNUMBER(D77), $B91 * E77, "")</f>
        <v>2941.1764705882351</v>
      </c>
      <c r="G77" s="31">
        <v>207</v>
      </c>
      <c r="H77" s="32">
        <f t="shared" ref="H77:H80" si="35">IF(ISNUMBER(G77), (G77 - $B77) / $B77, "")</f>
        <v>1.4705882352941176E-2</v>
      </c>
      <c r="I77" s="91">
        <f>IF(ISNUMBER(G77), $B91 * H77, "")</f>
        <v>2205.8823529411766</v>
      </c>
      <c r="J77" s="15">
        <v>206</v>
      </c>
      <c r="K77" s="32">
        <f t="shared" ref="K77:K80" si="36">IF(ISNUMBER(J77), (J77 - $B77) / $B77, "")</f>
        <v>9.8039215686274508E-3</v>
      </c>
      <c r="L77" s="18">
        <f>IF(ISNUMBER(J77), $B91 * K77, "")</f>
        <v>1470.5882352941176</v>
      </c>
      <c r="M77" s="31">
        <v>207</v>
      </c>
      <c r="N77" s="32">
        <f t="shared" ref="N77:N80" si="37">IF(ISNUMBER(M77), (M77 - $B77) / $B77, "")</f>
        <v>1.4705882352941176E-2</v>
      </c>
      <c r="O77" s="18">
        <f>IF(ISNUMBER(M77), $B91 * N77, "")</f>
        <v>2205.8823529411766</v>
      </c>
      <c r="Q77" s="146"/>
      <c r="R77" s="146"/>
      <c r="S77" s="146"/>
    </row>
    <row r="78" spans="1:19" ht="17.25" thickBot="1">
      <c r="A78" s="109" t="s">
        <v>339</v>
      </c>
      <c r="B78" s="110">
        <v>991</v>
      </c>
      <c r="C78" s="70">
        <v>2.4819027899999999E-2</v>
      </c>
      <c r="D78" s="15">
        <v>993</v>
      </c>
      <c r="E78" s="32">
        <f t="shared" si="34"/>
        <v>2.0181634712411706E-3</v>
      </c>
      <c r="F78" s="18">
        <f>IF(ISNUMBER(D78), $B91 * E78, "")</f>
        <v>302.72452068617559</v>
      </c>
      <c r="G78" s="31">
        <v>1000</v>
      </c>
      <c r="H78" s="32">
        <f t="shared" si="35"/>
        <v>9.0817356205852677E-3</v>
      </c>
      <c r="I78" s="91">
        <f>IF(ISNUMBER(G78), $B91 * H78, "")</f>
        <v>1362.2603430877903</v>
      </c>
      <c r="J78" s="15">
        <v>999</v>
      </c>
      <c r="K78" s="32">
        <f t="shared" si="36"/>
        <v>8.0726538849646822E-3</v>
      </c>
      <c r="L78" s="18">
        <f>IF(ISNUMBER(J78), $B91 * K78, "")</f>
        <v>1210.8980827447024</v>
      </c>
      <c r="M78" s="31">
        <v>994</v>
      </c>
      <c r="N78" s="32">
        <f t="shared" si="37"/>
        <v>3.0272452068617556E-3</v>
      </c>
      <c r="O78" s="18">
        <f>IF(ISNUMBER(M78), $B91 * N78, "")</f>
        <v>454.08678102926336</v>
      </c>
      <c r="Q78" s="146"/>
      <c r="R78" s="146"/>
      <c r="S78" s="146"/>
    </row>
    <row r="79" spans="1:19" ht="17.25" thickBot="1">
      <c r="A79" s="109" t="s">
        <v>201</v>
      </c>
      <c r="B79" s="110">
        <v>177</v>
      </c>
      <c r="C79" s="70">
        <v>2.3121387300000001E-2</v>
      </c>
      <c r="D79" s="15">
        <v>179</v>
      </c>
      <c r="E79" s="32">
        <f t="shared" si="34"/>
        <v>1.1299435028248588E-2</v>
      </c>
      <c r="F79" s="18">
        <f>IF(ISNUMBER(D79), $B91 * E79, "")</f>
        <v>1694.9152542372881</v>
      </c>
      <c r="G79" s="31">
        <v>181</v>
      </c>
      <c r="H79" s="32">
        <f t="shared" si="35"/>
        <v>2.2598870056497175E-2</v>
      </c>
      <c r="I79" s="91">
        <f>IF(ISNUMBER(G79), $B91 * H79, "")</f>
        <v>3389.8305084745762</v>
      </c>
      <c r="J79" s="15">
        <v>182</v>
      </c>
      <c r="K79" s="32">
        <f t="shared" si="36"/>
        <v>2.8248587570621469E-2</v>
      </c>
      <c r="L79" s="18">
        <f>IF(ISNUMBER(J79), $B91 * K79, "")</f>
        <v>4237.2881355932204</v>
      </c>
      <c r="M79" s="31">
        <v>182</v>
      </c>
      <c r="N79" s="32">
        <f t="shared" si="37"/>
        <v>2.8248587570621469E-2</v>
      </c>
      <c r="O79" s="18">
        <f>IF(ISNUMBER(M79), $B91 * N79, "")</f>
        <v>4237.2881355932204</v>
      </c>
      <c r="Q79" s="33"/>
      <c r="R79" s="33"/>
    </row>
    <row r="80" spans="1:19" ht="17.25" thickBot="1">
      <c r="A80" s="114" t="s">
        <v>199</v>
      </c>
      <c r="B80" s="115">
        <v>267</v>
      </c>
      <c r="C80" s="72">
        <v>2.2988505699999998E-2</v>
      </c>
      <c r="D80" s="24">
        <v>268</v>
      </c>
      <c r="E80" s="25">
        <f t="shared" si="34"/>
        <v>3.7453183520599251E-3</v>
      </c>
      <c r="F80" s="94">
        <f>IF(ISNUMBER(D80), $B91 * E80, "")</f>
        <v>561.79775280898878</v>
      </c>
      <c r="G80" s="92">
        <v>270</v>
      </c>
      <c r="H80" s="25">
        <f t="shared" si="35"/>
        <v>1.1235955056179775E-2</v>
      </c>
      <c r="I80" s="93">
        <f>IF(ISNUMBER(G80), $B91 * H80, "")</f>
        <v>1685.3932584269662</v>
      </c>
      <c r="J80" s="24">
        <v>270</v>
      </c>
      <c r="K80" s="25">
        <f t="shared" si="36"/>
        <v>1.1235955056179775E-2</v>
      </c>
      <c r="L80" s="94">
        <f>IF(ISNUMBER(J80), $B91 * K80, "")</f>
        <v>1685.3932584269662</v>
      </c>
      <c r="M80" s="92">
        <v>268</v>
      </c>
      <c r="N80" s="25">
        <f t="shared" si="37"/>
        <v>3.7453183520599251E-3</v>
      </c>
      <c r="O80" s="94">
        <f>IF(ISNUMBER(M80), $B91 * N80, "")</f>
        <v>561.79775280898878</v>
      </c>
      <c r="Q80" s="147"/>
      <c r="R80" s="148"/>
      <c r="S80" s="149"/>
    </row>
    <row r="81" spans="1:19">
      <c r="A81" s="107" t="s">
        <v>319</v>
      </c>
      <c r="B81" s="108">
        <v>313</v>
      </c>
      <c r="C81" s="69">
        <v>2.2875817E-2</v>
      </c>
      <c r="D81" s="13">
        <v>313</v>
      </c>
      <c r="E81" s="14">
        <f>IF(ISNUMBER(D81), (D81 - $B81) / $B81, "")</f>
        <v>0</v>
      </c>
      <c r="F81" s="16">
        <f>IF(ISNUMBER(D81), $B91 * E81, "")</f>
        <v>0</v>
      </c>
      <c r="G81" s="29">
        <v>316</v>
      </c>
      <c r="H81" s="14">
        <f>IF(ISNUMBER(G81), (G81 - $B81) / $B81, "")</f>
        <v>9.5846645367412137E-3</v>
      </c>
      <c r="I81" s="90">
        <f>IF(ISNUMBER(G81), $B91 * H81, "")</f>
        <v>1437.6996805111821</v>
      </c>
      <c r="J81" s="13">
        <v>314</v>
      </c>
      <c r="K81" s="14">
        <f>IF(ISNUMBER(J81), (J81 - $B81) / $B81, "")</f>
        <v>3.1948881789137379E-3</v>
      </c>
      <c r="L81" s="16">
        <f>IF(ISNUMBER(J81), $B91 * K81, "")</f>
        <v>479.23322683706067</v>
      </c>
      <c r="M81" s="29">
        <v>310</v>
      </c>
      <c r="N81" s="14">
        <f>IF(ISNUMBER(M81), (M81 - $B81) / $B81, "")</f>
        <v>-9.5846645367412137E-3</v>
      </c>
      <c r="O81" s="16">
        <f>IF(ISNUMBER(M81), $B91 * N81, "")</f>
        <v>-1437.6996805111821</v>
      </c>
      <c r="Q81" s="150"/>
      <c r="R81" s="151"/>
      <c r="S81" s="152"/>
    </row>
    <row r="82" spans="1:19" ht="17.25" thickBot="1">
      <c r="A82" s="109" t="s">
        <v>109</v>
      </c>
      <c r="B82" s="110">
        <v>951</v>
      </c>
      <c r="C82" s="70">
        <v>2.2580645199999999E-2</v>
      </c>
      <c r="D82" s="15">
        <v>949</v>
      </c>
      <c r="E82" s="32">
        <f t="shared" ref="E82:E85" si="38">IF(ISNUMBER(D82), (D82 - $B82) / $B82, "")</f>
        <v>-2.103049421661409E-3</v>
      </c>
      <c r="F82" s="18">
        <f>IF(ISNUMBER(D82), $B91 * E82, "")</f>
        <v>-315.45741324921136</v>
      </c>
      <c r="G82" s="31">
        <v>955</v>
      </c>
      <c r="H82" s="32">
        <f t="shared" ref="H82:H85" si="39">IF(ISNUMBER(G82), (G82 - $B82) / $B82, "")</f>
        <v>4.206098843322818E-3</v>
      </c>
      <c r="I82" s="91">
        <f>IF(ISNUMBER(G82), $B91 * H82, "")</f>
        <v>630.91482649842271</v>
      </c>
      <c r="J82" s="15">
        <v>953</v>
      </c>
      <c r="K82" s="32">
        <f t="shared" ref="K82:K85" si="40">IF(ISNUMBER(J82), (J82 - $B82) / $B82, "")</f>
        <v>2.103049421661409E-3</v>
      </c>
      <c r="L82" s="18">
        <f>IF(ISNUMBER(J82), $B91 * K82, "")</f>
        <v>315.45741324921136</v>
      </c>
      <c r="M82" s="31">
        <v>945</v>
      </c>
      <c r="N82" s="32">
        <f t="shared" ref="N82:N85" si="41">IF(ISNUMBER(M82), (M82 - $B82) / $B82, "")</f>
        <v>-6.3091482649842269E-3</v>
      </c>
      <c r="O82" s="18">
        <f>IF(ISNUMBER(M82), $B91 * N82, "")</f>
        <v>-946.37223974763401</v>
      </c>
      <c r="Q82" s="153"/>
      <c r="R82" s="154"/>
      <c r="S82" s="155"/>
    </row>
    <row r="83" spans="1:19" ht="17.25" thickBot="1">
      <c r="A83" s="109" t="s">
        <v>341</v>
      </c>
      <c r="B83" s="110">
        <v>623</v>
      </c>
      <c r="C83" s="70">
        <v>2.1311475400000002E-2</v>
      </c>
      <c r="D83" s="15">
        <v>625</v>
      </c>
      <c r="E83" s="32">
        <f t="shared" si="38"/>
        <v>3.2102728731942215E-3</v>
      </c>
      <c r="F83" s="18">
        <f>IF(ISNUMBER(D83), $B91 * E83, "")</f>
        <v>481.54093097913324</v>
      </c>
      <c r="G83" s="31">
        <v>635</v>
      </c>
      <c r="H83" s="32">
        <f t="shared" si="39"/>
        <v>1.9261637239165328E-2</v>
      </c>
      <c r="I83" s="91">
        <f>IF(ISNUMBER(G83), $B91 * H83, "")</f>
        <v>2889.2455858747994</v>
      </c>
      <c r="J83" s="15">
        <v>634</v>
      </c>
      <c r="K83" s="32">
        <f t="shared" si="40"/>
        <v>1.7656500802568219E-2</v>
      </c>
      <c r="L83" s="18">
        <f>IF(ISNUMBER(J83), $B91 * K83, "")</f>
        <v>2648.4751203852329</v>
      </c>
      <c r="M83" s="31">
        <v>629</v>
      </c>
      <c r="N83" s="32">
        <f t="shared" si="41"/>
        <v>9.630818619582664E-3</v>
      </c>
      <c r="O83" s="18">
        <f>IF(ISNUMBER(M83), $B91 * N83, "")</f>
        <v>1444.6227929373997</v>
      </c>
      <c r="Q83" s="146"/>
      <c r="R83" s="146"/>
      <c r="S83" s="146"/>
    </row>
    <row r="84" spans="1:19" ht="17.25" thickBot="1">
      <c r="A84" s="109" t="s">
        <v>89</v>
      </c>
      <c r="B84" s="110">
        <v>440</v>
      </c>
      <c r="C84" s="70">
        <v>2.0881670500000001E-2</v>
      </c>
      <c r="D84" s="15">
        <v>438</v>
      </c>
      <c r="E84" s="32">
        <f t="shared" si="38"/>
        <v>-4.5454545454545452E-3</v>
      </c>
      <c r="F84" s="18">
        <f>IF(ISNUMBER(D84), $B91 * E84, "")</f>
        <v>-681.81818181818176</v>
      </c>
      <c r="G84" s="31">
        <v>444</v>
      </c>
      <c r="H84" s="32">
        <f t="shared" si="39"/>
        <v>9.0909090909090905E-3</v>
      </c>
      <c r="I84" s="91">
        <f>IF(ISNUMBER(G84), $B91 * H84, "")</f>
        <v>1363.6363636363635</v>
      </c>
      <c r="J84" s="15">
        <v>441</v>
      </c>
      <c r="K84" s="32">
        <f t="shared" si="40"/>
        <v>2.2727272727272726E-3</v>
      </c>
      <c r="L84" s="18">
        <f>IF(ISNUMBER(J84), $B91 * K84, "")</f>
        <v>340.90909090909088</v>
      </c>
      <c r="M84" s="31">
        <v>439</v>
      </c>
      <c r="N84" s="32">
        <f t="shared" si="41"/>
        <v>-2.2727272727272726E-3</v>
      </c>
      <c r="O84" s="18">
        <f>IF(ISNUMBER(M84), $B91 * N84, "")</f>
        <v>-340.90909090909088</v>
      </c>
      <c r="Q84" s="156"/>
      <c r="R84" s="156"/>
      <c r="S84" s="156"/>
    </row>
    <row r="85" spans="1:19" ht="17.25" thickBot="1">
      <c r="A85" s="111" t="s">
        <v>95</v>
      </c>
      <c r="B85" s="112">
        <v>932</v>
      </c>
      <c r="C85" s="71">
        <v>1.9693654299999998E-2</v>
      </c>
      <c r="D85" s="20">
        <v>943</v>
      </c>
      <c r="E85" s="21">
        <f t="shared" si="38"/>
        <v>1.1802575107296138E-2</v>
      </c>
      <c r="F85" s="22">
        <f>IF(ISNUMBER(D85), $B91 * E85, "")</f>
        <v>1770.3862660944208</v>
      </c>
      <c r="G85" s="30">
        <v>952</v>
      </c>
      <c r="H85" s="21">
        <f t="shared" si="39"/>
        <v>2.1459227467811159E-2</v>
      </c>
      <c r="I85" s="95">
        <f>IF(ISNUMBER(G85), $B91 * H85, "")</f>
        <v>3218.8841201716737</v>
      </c>
      <c r="J85" s="20">
        <v>954</v>
      </c>
      <c r="K85" s="21">
        <f t="shared" si="40"/>
        <v>2.3605150214592276E-2</v>
      </c>
      <c r="L85" s="22">
        <f>IF(ISNUMBER(J85), $B91 * K85, "")</f>
        <v>3540.7725321888415</v>
      </c>
      <c r="M85" s="30">
        <v>961</v>
      </c>
      <c r="N85" s="21">
        <f t="shared" si="41"/>
        <v>3.1115879828326181E-2</v>
      </c>
      <c r="O85" s="22">
        <f>IF(ISNUMBER(M85), $B91 * N85, "")</f>
        <v>4667.3819742489268</v>
      </c>
      <c r="Q85" s="156"/>
      <c r="R85" s="156"/>
      <c r="S85" s="156"/>
    </row>
    <row r="86" spans="1:19" ht="17.25" thickBot="1">
      <c r="A86" s="109" t="s">
        <v>79</v>
      </c>
      <c r="B86" s="113">
        <v>217</v>
      </c>
      <c r="C86" s="73">
        <v>1.87793427E-2</v>
      </c>
      <c r="D86" s="96">
        <v>221</v>
      </c>
      <c r="E86" s="97">
        <f>IF(ISNUMBER(D86), (D86 - $B86) / $B86, "")</f>
        <v>1.8433179723502304E-2</v>
      </c>
      <c r="F86" s="98">
        <f>IF(ISNUMBER(D86), $B91 * E86, "")</f>
        <v>2764.9769585253457</v>
      </c>
      <c r="G86" s="99">
        <v>222</v>
      </c>
      <c r="H86" s="97">
        <f>IF(ISNUMBER(G86), (G86 - $B86) / $B86, "")</f>
        <v>2.3041474654377881E-2</v>
      </c>
      <c r="I86" s="100">
        <f>IF(ISNUMBER(G86), $B91 * H86, "")</f>
        <v>3456.221198156682</v>
      </c>
      <c r="J86" s="96">
        <v>220</v>
      </c>
      <c r="K86" s="97">
        <f>IF(ISNUMBER(J86), (J86 - $B86) / $B86, "")</f>
        <v>1.3824884792626729E-2</v>
      </c>
      <c r="L86" s="98">
        <f>IF(ISNUMBER(J86), $B91 * K86, "")</f>
        <v>2073.7327188940094</v>
      </c>
      <c r="M86" s="99">
        <v>218</v>
      </c>
      <c r="N86" s="97">
        <f>IF(ISNUMBER(M86), (M86 - $B86) / $B86, "")</f>
        <v>4.608294930875576E-3</v>
      </c>
      <c r="O86" s="98">
        <f>IF(ISNUMBER(M86), $B91 * N86, "")</f>
        <v>691.24423963133643</v>
      </c>
      <c r="Q86" s="146"/>
      <c r="R86" s="146"/>
      <c r="S86" s="146"/>
    </row>
    <row r="87" spans="1:19" ht="17.25" thickBot="1">
      <c r="A87" s="109" t="s">
        <v>326</v>
      </c>
      <c r="B87" s="110">
        <v>230</v>
      </c>
      <c r="C87" s="70">
        <v>1.7699115000000001E-2</v>
      </c>
      <c r="D87" s="15">
        <v>230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235</v>
      </c>
      <c r="H87" s="32">
        <f t="shared" ref="H87:H90" si="43">IF(ISNUMBER(G87), (G87 - $B87) / $B87, "")</f>
        <v>2.1739130434782608E-2</v>
      </c>
      <c r="I87" s="91">
        <f>IF(ISNUMBER(G87), $B91 * H87, "")</f>
        <v>3260.869565217391</v>
      </c>
      <c r="J87" s="15">
        <v>236</v>
      </c>
      <c r="K87" s="32">
        <f t="shared" ref="K87:K90" si="44">IF(ISNUMBER(J87), (J87 - $B87) / $B87, "")</f>
        <v>2.6086956521739129E-2</v>
      </c>
      <c r="L87" s="18">
        <f>IF(ISNUMBER(J87), $B91 * K87, "")</f>
        <v>3913.0434782608695</v>
      </c>
      <c r="M87" s="31">
        <v>232</v>
      </c>
      <c r="N87" s="32">
        <f t="shared" ref="N87:N90" si="45">IF(ISNUMBER(M87), (M87 - $B87) / $B87, "")</f>
        <v>8.6956521739130436E-3</v>
      </c>
      <c r="O87" s="18">
        <f>IF(ISNUMBER(M87), $B91 * N87, "")</f>
        <v>1304.3478260869565</v>
      </c>
      <c r="Q87" s="146"/>
      <c r="R87" s="146"/>
      <c r="S87" s="146"/>
    </row>
    <row r="88" spans="1:19" ht="17.25" thickBot="1">
      <c r="A88" s="109" t="s">
        <v>68</v>
      </c>
      <c r="B88" s="110">
        <v>231</v>
      </c>
      <c r="C88" s="70">
        <v>1.76211454E-2</v>
      </c>
      <c r="D88" s="15">
        <v>229</v>
      </c>
      <c r="E88" s="32">
        <f t="shared" si="42"/>
        <v>-8.658008658008658E-3</v>
      </c>
      <c r="F88" s="18">
        <f>IF(ISNUMBER(D88), $B91 * E88, "")</f>
        <v>-1298.7012987012988</v>
      </c>
      <c r="G88" s="31">
        <v>238</v>
      </c>
      <c r="H88" s="32">
        <f t="shared" si="43"/>
        <v>3.0303030303030304E-2</v>
      </c>
      <c r="I88" s="91">
        <f>IF(ISNUMBER(G88), $B91 * H88, "")</f>
        <v>4545.454545454546</v>
      </c>
      <c r="J88" s="15">
        <v>239</v>
      </c>
      <c r="K88" s="32">
        <f t="shared" si="44"/>
        <v>3.4632034632034632E-2</v>
      </c>
      <c r="L88" s="18">
        <f>IF(ISNUMBER(J88), $B91 * K88, "")</f>
        <v>5194.8051948051952</v>
      </c>
      <c r="M88" s="31">
        <v>241</v>
      </c>
      <c r="N88" s="32">
        <f t="shared" si="45"/>
        <v>4.3290043290043288E-2</v>
      </c>
      <c r="O88" s="18">
        <f>IF(ISNUMBER(M88), $B91 * N88, "")</f>
        <v>6493.5064935064929</v>
      </c>
      <c r="Q88" s="146"/>
      <c r="R88" s="146"/>
      <c r="S88" s="146"/>
    </row>
    <row r="89" spans="1:19">
      <c r="A89" s="109" t="s">
        <v>85</v>
      </c>
      <c r="B89" s="110">
        <v>130</v>
      </c>
      <c r="C89" s="70">
        <v>1.5625E-2</v>
      </c>
      <c r="D89" s="15">
        <v>129</v>
      </c>
      <c r="E89" s="32">
        <f t="shared" si="42"/>
        <v>-7.6923076923076927E-3</v>
      </c>
      <c r="F89" s="18">
        <f>IF(ISNUMBER(D89), $B91 * E89, "")</f>
        <v>-1153.8461538461538</v>
      </c>
      <c r="G89" s="31">
        <v>131</v>
      </c>
      <c r="H89" s="32">
        <f t="shared" si="43"/>
        <v>7.6923076923076927E-3</v>
      </c>
      <c r="I89" s="91">
        <f>IF(ISNUMBER(G89), $B91 * H89, "")</f>
        <v>1153.8461538461538</v>
      </c>
      <c r="J89" s="15">
        <v>131</v>
      </c>
      <c r="K89" s="32">
        <f t="shared" si="44"/>
        <v>7.6923076923076927E-3</v>
      </c>
      <c r="L89" s="18">
        <f>IF(ISNUMBER(J89), $B91 * K89, "")</f>
        <v>1153.8461538461538</v>
      </c>
      <c r="M89" s="31">
        <v>130</v>
      </c>
      <c r="N89" s="32">
        <f t="shared" si="45"/>
        <v>0</v>
      </c>
      <c r="O89" s="18">
        <f>IF(ISNUMBER(M89), $B91 * N89, "")</f>
        <v>0</v>
      </c>
      <c r="Q89" s="135"/>
      <c r="R89" s="136"/>
      <c r="S89" s="137"/>
    </row>
    <row r="90" spans="1:19" ht="17.25" thickBot="1">
      <c r="A90" s="114" t="s">
        <v>330</v>
      </c>
      <c r="B90" s="115">
        <v>260</v>
      </c>
      <c r="C90" s="72">
        <v>1.5625E-2</v>
      </c>
      <c r="D90" s="24">
        <v>259</v>
      </c>
      <c r="E90" s="25">
        <f t="shared" si="42"/>
        <v>-3.8461538461538464E-3</v>
      </c>
      <c r="F90" s="94">
        <f>IF(ISNUMBER(D90), $B91 * E90, "")</f>
        <v>-576.92307692307691</v>
      </c>
      <c r="G90" s="92">
        <v>262</v>
      </c>
      <c r="H90" s="25">
        <f t="shared" si="43"/>
        <v>7.6923076923076927E-3</v>
      </c>
      <c r="I90" s="93">
        <f>IF(ISNUMBER(G90), $B91 * H90, "")</f>
        <v>1153.8461538461538</v>
      </c>
      <c r="J90" s="24">
        <v>261</v>
      </c>
      <c r="K90" s="25">
        <f t="shared" si="44"/>
        <v>3.8461538461538464E-3</v>
      </c>
      <c r="L90" s="94">
        <f>IF(ISNUMBER(J90), $B91 * K90, "")</f>
        <v>576.92307692307691</v>
      </c>
      <c r="M90" s="92">
        <v>260</v>
      </c>
      <c r="N90" s="25">
        <f t="shared" si="45"/>
        <v>0</v>
      </c>
      <c r="O90" s="94">
        <f>IF(ISNUMBER(M90), $B91 * N90, "")</f>
        <v>0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3.2014490152038493E-3</v>
      </c>
      <c r="F91" s="28">
        <f>SUM(F71:F90)</f>
        <v>9604.3470456115501</v>
      </c>
      <c r="G91" s="26" t="s">
        <v>258</v>
      </c>
      <c r="H91" s="27">
        <f>IF(COUNT(H71:H90), SUM(H71:H90) / COUNT(H71:H90), 0)</f>
        <v>1.4299830616270692E-2</v>
      </c>
      <c r="I91" s="28">
        <f>SUM(I71:I90)</f>
        <v>42899.491848812089</v>
      </c>
      <c r="J91" s="26" t="s">
        <v>258</v>
      </c>
      <c r="K91" s="27">
        <f>IF(COUNT(K71:K90), SUM(K71:K90) / COUNT(K71:K90), 0)</f>
        <v>1.1862446009217065E-2</v>
      </c>
      <c r="L91" s="28">
        <f>SUM(L71:L90)</f>
        <v>35587.338027651203</v>
      </c>
      <c r="M91" s="26" t="s">
        <v>258</v>
      </c>
      <c r="N91" s="27">
        <f>IF(COUNT(N71:N90), SUM(N71:N90) / COUNT(N71:N90), 0)</f>
        <v>5.6500279466349156E-3</v>
      </c>
      <c r="O91" s="28">
        <f>SUM(O71:O90)</f>
        <v>16950.083839904742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2023-01-03(화) 오전 00:00</v>
      </c>
      <c r="C96" s="198"/>
      <c r="D96" s="170" t="str">
        <f>TEXT($G$1, "[$-ko-KR]yyyy-mm-dd(ddd) ") &amp; "오후 14:00"</f>
        <v>2023-01-03(화) 오후 14:00</v>
      </c>
      <c r="E96" s="171"/>
      <c r="F96" s="172"/>
      <c r="G96" s="170" t="str">
        <f>TEXT($G$1, "[$-ko-KR]yyyy-mm-dd(ddd) ") &amp; "오후 19:00"</f>
        <v>2023-01-03(화) 오후 19:00</v>
      </c>
      <c r="H96" s="171"/>
      <c r="I96" s="172"/>
      <c r="J96" s="170" t="str">
        <f>TEXT($G$1, "[$-ko-KR]yyyy-mm-dd(ddd) ") &amp; "오후 21:00"</f>
        <v>2023-01-03(화) 오후 21:00</v>
      </c>
      <c r="K96" s="171"/>
      <c r="L96" s="172"/>
      <c r="M96" s="170" t="str">
        <f>TEXT($G$1+1, "[$-ko-KR]yyyy-mm-dd(ddd) ") &amp; "오전 00:00"</f>
        <v>2023-01-04(수)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343</v>
      </c>
      <c r="B98" s="108">
        <v>14150</v>
      </c>
      <c r="C98" s="69">
        <v>0.1159305994</v>
      </c>
      <c r="D98" s="13">
        <v>14410</v>
      </c>
      <c r="E98" s="14">
        <f>IF(ISNUMBER(D98), (D98 - $B98) / $B98, "")</f>
        <v>1.8374558303886925E-2</v>
      </c>
      <c r="F98" s="16">
        <f>IF(ISNUMBER(D98), $B118 * E98, "")</f>
        <v>2756.1837455830387</v>
      </c>
      <c r="G98" s="29">
        <v>15140</v>
      </c>
      <c r="H98" s="14">
        <f>IF(ISNUMBER(G98), (G98 - $B98) / $B98, "")</f>
        <v>6.9964664310954064E-2</v>
      </c>
      <c r="I98" s="90">
        <f>IF(ISNUMBER(G98), $B118 * H98, "")</f>
        <v>10494.69964664311</v>
      </c>
      <c r="J98" s="13">
        <v>15170</v>
      </c>
      <c r="K98" s="14">
        <f>IF(ISNUMBER(J98), (J98 - $B98) / $B98, "")</f>
        <v>7.2084805653710241E-2</v>
      </c>
      <c r="L98" s="16">
        <f>IF(ISNUMBER(J98), $B118 * K98, "")</f>
        <v>10812.720848056537</v>
      </c>
      <c r="M98" s="29">
        <v>15720</v>
      </c>
      <c r="N98" s="14">
        <f>IF(ISNUMBER(M98), (M98 - $B98) / $B98, "")</f>
        <v>0.11095406360424029</v>
      </c>
      <c r="O98" s="16">
        <f>IF(ISNUMBER(M98), $B118 * N98, "")</f>
        <v>16643.109540636044</v>
      </c>
      <c r="Q98" s="156"/>
      <c r="R98" s="156"/>
      <c r="S98" s="156"/>
    </row>
    <row r="99" spans="1:19" ht="17.25" thickBot="1">
      <c r="A99" s="109" t="s">
        <v>328</v>
      </c>
      <c r="B99" s="110">
        <v>4790</v>
      </c>
      <c r="C99" s="70">
        <v>7.0391061500000005E-2</v>
      </c>
      <c r="D99" s="15">
        <v>4710</v>
      </c>
      <c r="E99" s="32">
        <f t="shared" ref="E99:E102" si="46">IF(ISNUMBER(D99), (D99 - $B99) / $B99, "")</f>
        <v>-1.6701461377870562E-2</v>
      </c>
      <c r="F99" s="18">
        <f>IF(ISNUMBER(D99), $B118 * E99, "")</f>
        <v>-2505.2192066805842</v>
      </c>
      <c r="G99" s="31">
        <v>4845</v>
      </c>
      <c r="H99" s="32">
        <f t="shared" ref="H99:H102" si="47">IF(ISNUMBER(G99), (G99 - $B99) / $B99, "")</f>
        <v>1.1482254697286013E-2</v>
      </c>
      <c r="I99" s="91">
        <f>IF(ISNUMBER(G99), $B118 * H99, "")</f>
        <v>1722.338204592902</v>
      </c>
      <c r="J99" s="15">
        <v>4810</v>
      </c>
      <c r="K99" s="32">
        <f t="shared" ref="K99:K102" si="48">IF(ISNUMBER(J99), (J99 - $B99) / $B99, "")</f>
        <v>4.1753653444676405E-3</v>
      </c>
      <c r="L99" s="18">
        <f>IF(ISNUMBER(J99), $B118 * K99, "")</f>
        <v>626.30480167014605</v>
      </c>
      <c r="M99" s="31">
        <v>4815</v>
      </c>
      <c r="N99" s="32">
        <f t="shared" ref="N99:N102" si="49">IF(ISNUMBER(M99), (M99 - $B99) / $B99, "")</f>
        <v>5.2192066805845511E-3</v>
      </c>
      <c r="O99" s="18">
        <f>IF(ISNUMBER(M99), $B118 * N99, "")</f>
        <v>782.88100208768265</v>
      </c>
      <c r="Q99" s="156"/>
      <c r="R99" s="156"/>
      <c r="S99" s="156"/>
    </row>
    <row r="100" spans="1:19" ht="17.25" thickBot="1">
      <c r="A100" s="109" t="s">
        <v>111</v>
      </c>
      <c r="B100" s="110">
        <v>518</v>
      </c>
      <c r="C100" s="70">
        <v>5.0709939099999997E-2</v>
      </c>
      <c r="D100" s="15">
        <v>515</v>
      </c>
      <c r="E100" s="32">
        <f t="shared" si="46"/>
        <v>-5.7915057915057912E-3</v>
      </c>
      <c r="F100" s="18">
        <f>IF(ISNUMBER(D100), $B118 * E100, "")</f>
        <v>-868.72586872586874</v>
      </c>
      <c r="G100" s="31">
        <v>527</v>
      </c>
      <c r="H100" s="32">
        <f t="shared" si="47"/>
        <v>1.7374517374517374E-2</v>
      </c>
      <c r="I100" s="91">
        <f>IF(ISNUMBER(G100), $B118 * H100, "")</f>
        <v>2606.1776061776063</v>
      </c>
      <c r="J100" s="15">
        <v>521</v>
      </c>
      <c r="K100" s="32">
        <f t="shared" si="48"/>
        <v>5.7915057915057912E-3</v>
      </c>
      <c r="L100" s="18">
        <f>IF(ISNUMBER(J100), $B118 * K100, "")</f>
        <v>868.72586872586874</v>
      </c>
      <c r="M100" s="31">
        <v>517</v>
      </c>
      <c r="N100" s="32">
        <f t="shared" si="49"/>
        <v>-1.9305019305019305E-3</v>
      </c>
      <c r="O100" s="18">
        <f>IF(ISNUMBER(M100), $B118 * N100, "")</f>
        <v>-289.57528957528956</v>
      </c>
      <c r="Q100" s="146"/>
      <c r="R100" s="146"/>
      <c r="S100" s="146"/>
    </row>
    <row r="101" spans="1:19" ht="17.25" thickBot="1">
      <c r="A101" s="109" t="s">
        <v>73</v>
      </c>
      <c r="B101" s="110">
        <v>12600</v>
      </c>
      <c r="C101" s="70">
        <v>4.7381546099999998E-2</v>
      </c>
      <c r="D101" s="15">
        <v>12620</v>
      </c>
      <c r="E101" s="32">
        <f t="shared" si="46"/>
        <v>1.5873015873015873E-3</v>
      </c>
      <c r="F101" s="18">
        <f>IF(ISNUMBER(D101), $B118 * E101, "")</f>
        <v>238.0952380952381</v>
      </c>
      <c r="G101" s="31">
        <v>13060</v>
      </c>
      <c r="H101" s="32">
        <f t="shared" si="47"/>
        <v>3.650793650793651E-2</v>
      </c>
      <c r="I101" s="91">
        <f>IF(ISNUMBER(G101), $B118 * H101, "")</f>
        <v>5476.1904761904761</v>
      </c>
      <c r="J101" s="15">
        <v>12960</v>
      </c>
      <c r="K101" s="32">
        <f t="shared" si="48"/>
        <v>2.8571428571428571E-2</v>
      </c>
      <c r="L101" s="18">
        <f>IF(ISNUMBER(J101), $B118 * K101, "")</f>
        <v>4285.7142857142853</v>
      </c>
      <c r="M101" s="31">
        <v>12960</v>
      </c>
      <c r="N101" s="32">
        <f t="shared" si="49"/>
        <v>2.8571428571428571E-2</v>
      </c>
      <c r="O101" s="18">
        <f>IF(ISNUMBER(M101), $B118 * N101, "")</f>
        <v>4285.7142857142853</v>
      </c>
      <c r="Q101" s="146"/>
      <c r="R101" s="146"/>
      <c r="S101" s="146"/>
    </row>
    <row r="102" spans="1:19" ht="17.25" thickBot="1">
      <c r="A102" s="111" t="s">
        <v>191</v>
      </c>
      <c r="B102" s="112">
        <v>50.2</v>
      </c>
      <c r="C102" s="71">
        <v>3.9337474099999999E-2</v>
      </c>
      <c r="D102" s="20">
        <v>50.9</v>
      </c>
      <c r="E102" s="21">
        <f t="shared" si="46"/>
        <v>1.3944223107569636E-2</v>
      </c>
      <c r="F102" s="22">
        <f>IF(ISNUMBER(D102), $B118 * E102, "")</f>
        <v>2091.6334661354454</v>
      </c>
      <c r="G102" s="30">
        <v>50.7</v>
      </c>
      <c r="H102" s="21">
        <f t="shared" si="47"/>
        <v>9.9601593625498006E-3</v>
      </c>
      <c r="I102" s="95">
        <f>IF(ISNUMBER(G102), $B118 * H102, "")</f>
        <v>1494.0239043824702</v>
      </c>
      <c r="J102" s="20">
        <v>50.5</v>
      </c>
      <c r="K102" s="21">
        <f t="shared" si="48"/>
        <v>5.9760956175298231E-3</v>
      </c>
      <c r="L102" s="22">
        <f>IF(ISNUMBER(J102), $B118 * K102, "")</f>
        <v>896.41434262947348</v>
      </c>
      <c r="M102" s="30">
        <v>49.8</v>
      </c>
      <c r="N102" s="21">
        <f t="shared" si="49"/>
        <v>-7.9681274900399533E-3</v>
      </c>
      <c r="O102" s="22">
        <f>IF(ISNUMBER(M102), $B118 * N102, "")</f>
        <v>-1195.2191235059929</v>
      </c>
      <c r="Q102" s="146"/>
      <c r="R102" s="146"/>
      <c r="S102" s="146"/>
    </row>
    <row r="103" spans="1:19" ht="17.25" thickBot="1">
      <c r="A103" s="109" t="s">
        <v>169</v>
      </c>
      <c r="B103" s="113">
        <v>226</v>
      </c>
      <c r="C103" s="73">
        <v>3.6697247699999998E-2</v>
      </c>
      <c r="D103" s="96">
        <v>232</v>
      </c>
      <c r="E103" s="97">
        <f>IF(ISNUMBER(D103), (D103 - $B103) / $B103, "")</f>
        <v>2.6548672566371681E-2</v>
      </c>
      <c r="F103" s="98">
        <f>IF(ISNUMBER(D103), $B118 * E103, "")</f>
        <v>3982.3008849557523</v>
      </c>
      <c r="G103" s="99">
        <v>233</v>
      </c>
      <c r="H103" s="97">
        <f>IF(ISNUMBER(G103), (G103 - $B103) / $B103, "")</f>
        <v>3.0973451327433628E-2</v>
      </c>
      <c r="I103" s="100">
        <f>IF(ISNUMBER(G103), $B118 * H103, "")</f>
        <v>4646.0176991150438</v>
      </c>
      <c r="J103" s="96">
        <v>233</v>
      </c>
      <c r="K103" s="97">
        <f>IF(ISNUMBER(J103), (J103 - $B103) / $B103, "")</f>
        <v>3.0973451327433628E-2</v>
      </c>
      <c r="L103" s="98">
        <f>IF(ISNUMBER(J103), $B118 * K103, "")</f>
        <v>4646.0176991150438</v>
      </c>
      <c r="M103" s="99">
        <v>228</v>
      </c>
      <c r="N103" s="97">
        <f>IF(ISNUMBER(M103), (M103 - $B103) / $B103, "")</f>
        <v>8.8495575221238937E-3</v>
      </c>
      <c r="O103" s="98">
        <f>IF(ISNUMBER(M103), $B118 * N103, "")</f>
        <v>1327.4336283185839</v>
      </c>
      <c r="Q103" s="146"/>
      <c r="R103" s="146"/>
      <c r="S103" s="146"/>
    </row>
    <row r="104" spans="1:19" ht="17.25" thickBot="1">
      <c r="A104" s="109" t="s">
        <v>60</v>
      </c>
      <c r="B104" s="110">
        <v>395</v>
      </c>
      <c r="C104" s="70">
        <v>3.1331592700000001E-2</v>
      </c>
      <c r="D104" s="15">
        <v>395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399</v>
      </c>
      <c r="H104" s="32">
        <f t="shared" ref="H104:H107" si="51">IF(ISNUMBER(G104), (G104 - $B104) / $B104, "")</f>
        <v>1.0126582278481013E-2</v>
      </c>
      <c r="I104" s="91">
        <f>IF(ISNUMBER(G104), $B118 * H104, "")</f>
        <v>1518.9873417721519</v>
      </c>
      <c r="J104" s="15">
        <v>396</v>
      </c>
      <c r="K104" s="32">
        <f t="shared" ref="K104:K107" si="52">IF(ISNUMBER(J104), (J104 - $B104) / $B104, "")</f>
        <v>2.5316455696202532E-3</v>
      </c>
      <c r="L104" s="18">
        <f>IF(ISNUMBER(J104), $B118 * K104, "")</f>
        <v>379.74683544303798</v>
      </c>
      <c r="M104" s="31">
        <v>394</v>
      </c>
      <c r="N104" s="32">
        <f t="shared" ref="N104:N107" si="53">IF(ISNUMBER(M104), (M104 - $B104) / $B104, "")</f>
        <v>-2.5316455696202532E-3</v>
      </c>
      <c r="O104" s="18">
        <f>IF(ISNUMBER(M104), $B118 * N104, "")</f>
        <v>-379.74683544303798</v>
      </c>
      <c r="Q104" s="146"/>
      <c r="R104" s="146"/>
      <c r="S104" s="146"/>
    </row>
    <row r="105" spans="1:19" ht="17.25" thickBot="1">
      <c r="A105" s="109" t="s">
        <v>128</v>
      </c>
      <c r="B105" s="110">
        <v>5720</v>
      </c>
      <c r="C105" s="70">
        <v>3.06306306E-2</v>
      </c>
      <c r="D105" s="15">
        <v>5710</v>
      </c>
      <c r="E105" s="32">
        <f t="shared" si="50"/>
        <v>-1.7482517482517483E-3</v>
      </c>
      <c r="F105" s="18">
        <f>IF(ISNUMBER(D105), $B118 * E105, "")</f>
        <v>-262.23776223776224</v>
      </c>
      <c r="G105" s="31">
        <v>5805</v>
      </c>
      <c r="H105" s="32">
        <f t="shared" si="51"/>
        <v>1.486013986013986E-2</v>
      </c>
      <c r="I105" s="91">
        <f>IF(ISNUMBER(G105), $B118 * H105, "")</f>
        <v>2229.0209790209792</v>
      </c>
      <c r="J105" s="15">
        <v>5800</v>
      </c>
      <c r="K105" s="32">
        <f t="shared" si="52"/>
        <v>1.3986013986013986E-2</v>
      </c>
      <c r="L105" s="18">
        <f>IF(ISNUMBER(J105), $B118 * K105, "")</f>
        <v>2097.9020979020979</v>
      </c>
      <c r="M105" s="31">
        <v>5750</v>
      </c>
      <c r="N105" s="32">
        <f t="shared" si="53"/>
        <v>5.244755244755245E-3</v>
      </c>
      <c r="O105" s="18">
        <f>IF(ISNUMBER(M105), $B118 * N105, "")</f>
        <v>786.71328671328672</v>
      </c>
      <c r="Q105" s="146"/>
      <c r="R105" s="146"/>
      <c r="S105" s="146"/>
    </row>
    <row r="106" spans="1:19" ht="17.25" thickBot="1">
      <c r="A106" s="109" t="s">
        <v>77</v>
      </c>
      <c r="B106" s="110">
        <v>126850</v>
      </c>
      <c r="C106" s="70">
        <v>2.96266234E-2</v>
      </c>
      <c r="D106" s="15">
        <v>127000</v>
      </c>
      <c r="E106" s="32">
        <f t="shared" si="50"/>
        <v>1.1824990145841545E-3</v>
      </c>
      <c r="F106" s="18">
        <f>IF(ISNUMBER(D106), $B118 * E106, "")</f>
        <v>177.37485218762316</v>
      </c>
      <c r="G106" s="31">
        <v>128300</v>
      </c>
      <c r="H106" s="32">
        <f t="shared" si="51"/>
        <v>1.1430823807646828E-2</v>
      </c>
      <c r="I106" s="91">
        <f>IF(ISNUMBER(G106), $B118 * H106, "")</f>
        <v>1714.6235711470242</v>
      </c>
      <c r="J106" s="15">
        <v>128900</v>
      </c>
      <c r="K106" s="32">
        <f t="shared" si="52"/>
        <v>1.6160819865983445E-2</v>
      </c>
      <c r="L106" s="18">
        <f>IF(ISNUMBER(J106), $B118 * K106, "")</f>
        <v>2424.1229798975169</v>
      </c>
      <c r="M106" s="31">
        <v>128250</v>
      </c>
      <c r="N106" s="32">
        <f t="shared" si="53"/>
        <v>1.1036657469452109E-2</v>
      </c>
      <c r="O106" s="18">
        <f>IF(ISNUMBER(M106), $B118 * N106, "")</f>
        <v>1655.4986204178165</v>
      </c>
      <c r="Q106" s="33"/>
      <c r="R106" s="33"/>
    </row>
    <row r="107" spans="1:19" ht="17.25" thickBot="1">
      <c r="A107" s="114" t="s">
        <v>120</v>
      </c>
      <c r="B107" s="115">
        <v>102</v>
      </c>
      <c r="C107" s="72">
        <v>2.8225806499999999E-2</v>
      </c>
      <c r="D107" s="24">
        <v>102</v>
      </c>
      <c r="E107" s="25">
        <f t="shared" si="50"/>
        <v>0</v>
      </c>
      <c r="F107" s="94">
        <f>IF(ISNUMBER(D107), $B118 * E107, "")</f>
        <v>0</v>
      </c>
      <c r="G107" s="92">
        <v>102</v>
      </c>
      <c r="H107" s="25">
        <f t="shared" si="51"/>
        <v>0</v>
      </c>
      <c r="I107" s="93">
        <f>IF(ISNUMBER(G107), $B118 * H107, "")</f>
        <v>0</v>
      </c>
      <c r="J107" s="24">
        <v>102</v>
      </c>
      <c r="K107" s="25">
        <f t="shared" si="52"/>
        <v>0</v>
      </c>
      <c r="L107" s="94">
        <f>IF(ISNUMBER(J107), $B118 * K107, "")</f>
        <v>0</v>
      </c>
      <c r="M107" s="92">
        <v>99.9</v>
      </c>
      <c r="N107" s="25">
        <f t="shared" si="53"/>
        <v>-2.0588235294117591E-2</v>
      </c>
      <c r="O107" s="94">
        <f>IF(ISNUMBER(M107), $B118 * N107, "")</f>
        <v>-3088.2352941176387</v>
      </c>
      <c r="Q107" s="147"/>
      <c r="R107" s="148"/>
      <c r="S107" s="149"/>
    </row>
    <row r="108" spans="1:19">
      <c r="A108" s="107" t="s">
        <v>335</v>
      </c>
      <c r="B108" s="108">
        <v>1670</v>
      </c>
      <c r="C108" s="69">
        <v>2.7692307699999998E-2</v>
      </c>
      <c r="D108" s="13">
        <v>1670</v>
      </c>
      <c r="E108" s="14">
        <f>IF(ISNUMBER(D108), (D108 - $B108) / $B108, "")</f>
        <v>0</v>
      </c>
      <c r="F108" s="16">
        <f>IF(ISNUMBER(D108), $B118 * E108, "")</f>
        <v>0</v>
      </c>
      <c r="G108" s="29">
        <v>1720</v>
      </c>
      <c r="H108" s="14">
        <f>IF(ISNUMBER(G108), (G108 - $B108) / $B108, "")</f>
        <v>2.9940119760479042E-2</v>
      </c>
      <c r="I108" s="90">
        <f>IF(ISNUMBER(G108), $B118 * H108, "")</f>
        <v>4491.0179640718561</v>
      </c>
      <c r="J108" s="13">
        <v>1715</v>
      </c>
      <c r="K108" s="14">
        <f>IF(ISNUMBER(J108), (J108 - $B108) / $B108, "")</f>
        <v>2.6946107784431138E-2</v>
      </c>
      <c r="L108" s="16">
        <f>IF(ISNUMBER(J108), $B118 * K108, "")</f>
        <v>4041.9161676646709</v>
      </c>
      <c r="M108" s="29">
        <v>1700</v>
      </c>
      <c r="N108" s="14">
        <f>IF(ISNUMBER(M108), (M108 - $B108) / $B108, "")</f>
        <v>1.7964071856287425E-2</v>
      </c>
      <c r="O108" s="16">
        <f>IF(ISNUMBER(M108), $B118 * N108, "")</f>
        <v>2694.6107784431138</v>
      </c>
      <c r="Q108" s="150"/>
      <c r="R108" s="151"/>
      <c r="S108" s="152"/>
    </row>
    <row r="109" spans="1:19" ht="17.25" thickBot="1">
      <c r="A109" s="109" t="s">
        <v>105</v>
      </c>
      <c r="B109" s="110">
        <v>186</v>
      </c>
      <c r="C109" s="70">
        <v>2.7624309400000002E-2</v>
      </c>
      <c r="D109" s="15">
        <v>186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188</v>
      </c>
      <c r="H109" s="32">
        <f t="shared" ref="H109:H112" si="55">IF(ISNUMBER(G109), (G109 - $B109) / $B109, "")</f>
        <v>1.0752688172043012E-2</v>
      </c>
      <c r="I109" s="91">
        <f>IF(ISNUMBER(G109), $B118 * H109, "")</f>
        <v>1612.9032258064517</v>
      </c>
      <c r="J109" s="15">
        <v>188</v>
      </c>
      <c r="K109" s="32">
        <f t="shared" ref="K109:K112" si="56">IF(ISNUMBER(J109), (J109 - $B109) / $B109, "")</f>
        <v>1.0752688172043012E-2</v>
      </c>
      <c r="L109" s="18">
        <f>IF(ISNUMBER(J109), $B118 * K109, "")</f>
        <v>1612.9032258064517</v>
      </c>
      <c r="M109" s="31">
        <v>187</v>
      </c>
      <c r="N109" s="32">
        <f t="shared" ref="N109:N112" si="57">IF(ISNUMBER(M109), (M109 - $B109) / $B109, "")</f>
        <v>5.3763440860215058E-3</v>
      </c>
      <c r="O109" s="18">
        <f>IF(ISNUMBER(M109), $B118 * N109, "")</f>
        <v>806.45161290322585</v>
      </c>
      <c r="Q109" s="153"/>
      <c r="R109" s="154"/>
      <c r="S109" s="155"/>
    </row>
    <row r="110" spans="1:19" ht="17.25" thickBot="1">
      <c r="A110" s="109" t="s">
        <v>103</v>
      </c>
      <c r="B110" s="110">
        <v>197</v>
      </c>
      <c r="C110" s="70">
        <v>2.60416667E-2</v>
      </c>
      <c r="D110" s="15">
        <v>197</v>
      </c>
      <c r="E110" s="32">
        <f t="shared" si="54"/>
        <v>0</v>
      </c>
      <c r="F110" s="18">
        <f>IF(ISNUMBER(D110), $B118 * E110, "")</f>
        <v>0</v>
      </c>
      <c r="G110" s="31">
        <v>198</v>
      </c>
      <c r="H110" s="32">
        <f t="shared" si="55"/>
        <v>5.076142131979695E-3</v>
      </c>
      <c r="I110" s="91">
        <f>IF(ISNUMBER(G110), $B118 * H110, "")</f>
        <v>761.42131979695421</v>
      </c>
      <c r="J110" s="15">
        <v>196</v>
      </c>
      <c r="K110" s="32">
        <f t="shared" si="56"/>
        <v>-5.076142131979695E-3</v>
      </c>
      <c r="L110" s="18">
        <f>IF(ISNUMBER(J110), $B118 * K110, "")</f>
        <v>-761.42131979695421</v>
      </c>
      <c r="M110" s="31">
        <v>196</v>
      </c>
      <c r="N110" s="32">
        <f t="shared" si="57"/>
        <v>-5.076142131979695E-3</v>
      </c>
      <c r="O110" s="18">
        <f>IF(ISNUMBER(M110), $B118 * N110, "")</f>
        <v>-761.42131979695421</v>
      </c>
      <c r="Q110" s="146"/>
      <c r="R110" s="146"/>
      <c r="S110" s="146"/>
    </row>
    <row r="111" spans="1:19" ht="17.25" thickBot="1">
      <c r="A111" s="109" t="s">
        <v>157</v>
      </c>
      <c r="B111" s="110">
        <v>204</v>
      </c>
      <c r="C111" s="70">
        <v>2.5125628099999998E-2</v>
      </c>
      <c r="D111" s="15">
        <v>208</v>
      </c>
      <c r="E111" s="32">
        <f t="shared" si="54"/>
        <v>1.9607843137254902E-2</v>
      </c>
      <c r="F111" s="18">
        <f>IF(ISNUMBER(D111), $B118 * E111, "")</f>
        <v>2941.1764705882351</v>
      </c>
      <c r="G111" s="31">
        <v>207</v>
      </c>
      <c r="H111" s="32">
        <f t="shared" si="55"/>
        <v>1.4705882352941176E-2</v>
      </c>
      <c r="I111" s="91">
        <f>IF(ISNUMBER(G111), $B118 * H111, "")</f>
        <v>2205.8823529411766</v>
      </c>
      <c r="J111" s="15">
        <v>206</v>
      </c>
      <c r="K111" s="32">
        <f t="shared" si="56"/>
        <v>9.8039215686274508E-3</v>
      </c>
      <c r="L111" s="18">
        <f>IF(ISNUMBER(J111), $B118 * K111, "")</f>
        <v>1470.5882352941176</v>
      </c>
      <c r="M111" s="31">
        <v>207</v>
      </c>
      <c r="N111" s="32">
        <f t="shared" si="57"/>
        <v>1.4705882352941176E-2</v>
      </c>
      <c r="O111" s="18">
        <f>IF(ISNUMBER(M111), $B118 * N111, "")</f>
        <v>2205.8823529411766</v>
      </c>
      <c r="Q111" s="156"/>
      <c r="R111" s="156"/>
      <c r="S111" s="156"/>
    </row>
    <row r="112" spans="1:19" ht="17.25" thickBot="1">
      <c r="A112" s="111" t="s">
        <v>339</v>
      </c>
      <c r="B112" s="112">
        <v>991</v>
      </c>
      <c r="C112" s="71">
        <v>2.4819027899999999E-2</v>
      </c>
      <c r="D112" s="20">
        <v>993</v>
      </c>
      <c r="E112" s="21">
        <f t="shared" si="54"/>
        <v>2.0181634712411706E-3</v>
      </c>
      <c r="F112" s="22">
        <f>IF(ISNUMBER(D112), $B118 * E112, "")</f>
        <v>302.72452068617559</v>
      </c>
      <c r="G112" s="30">
        <v>1000</v>
      </c>
      <c r="H112" s="21">
        <f t="shared" si="55"/>
        <v>9.0817356205852677E-3</v>
      </c>
      <c r="I112" s="95">
        <f>IF(ISNUMBER(G112), $B118 * H112, "")</f>
        <v>1362.2603430877903</v>
      </c>
      <c r="J112" s="20">
        <v>999</v>
      </c>
      <c r="K112" s="21">
        <f t="shared" si="56"/>
        <v>8.0726538849646822E-3</v>
      </c>
      <c r="L112" s="22">
        <f>IF(ISNUMBER(J112), $B118 * K112, "")</f>
        <v>1210.8980827447024</v>
      </c>
      <c r="M112" s="30">
        <v>994</v>
      </c>
      <c r="N112" s="21">
        <f t="shared" si="57"/>
        <v>3.0272452068617556E-3</v>
      </c>
      <c r="O112" s="22">
        <f>IF(ISNUMBER(M112), $B118 * N112, "")</f>
        <v>454.08678102926336</v>
      </c>
      <c r="Q112" s="156"/>
      <c r="R112" s="156"/>
      <c r="S112" s="156"/>
    </row>
    <row r="113" spans="1:19" ht="17.25" thickBot="1">
      <c r="A113" s="109" t="s">
        <v>347</v>
      </c>
      <c r="B113" s="113">
        <v>14200</v>
      </c>
      <c r="C113" s="73">
        <v>2.4531024500000002E-2</v>
      </c>
      <c r="D113" s="96">
        <v>14260</v>
      </c>
      <c r="E113" s="97">
        <f>IF(ISNUMBER(D113), (D113 - $B113) / $B113, "")</f>
        <v>4.2253521126760559E-3</v>
      </c>
      <c r="F113" s="98">
        <f>IF(ISNUMBER(D113), $B118 * E113, "")</f>
        <v>633.80281690140839</v>
      </c>
      <c r="G113" s="99">
        <v>14450</v>
      </c>
      <c r="H113" s="97">
        <f>IF(ISNUMBER(G113), (G113 - $B113) / $B113, "")</f>
        <v>1.7605633802816902E-2</v>
      </c>
      <c r="I113" s="100">
        <f>IF(ISNUMBER(G113), $B118 * H113, "")</f>
        <v>2640.8450704225352</v>
      </c>
      <c r="J113" s="96">
        <v>14460</v>
      </c>
      <c r="K113" s="97">
        <f>IF(ISNUMBER(J113), (J113 - $B113) / $B113, "")</f>
        <v>1.8309859154929577E-2</v>
      </c>
      <c r="L113" s="98">
        <f>IF(ISNUMBER(J113), $B118 * K113, "")</f>
        <v>2746.4788732394368</v>
      </c>
      <c r="M113" s="99">
        <v>14490</v>
      </c>
      <c r="N113" s="97">
        <f>IF(ISNUMBER(M113), (M113 - $B113) / $B113, "")</f>
        <v>2.0422535211267606E-2</v>
      </c>
      <c r="O113" s="98">
        <f>IF(ISNUMBER(M113), $B118 * N113, "")</f>
        <v>3063.3802816901411</v>
      </c>
      <c r="Q113" s="146"/>
      <c r="R113" s="146"/>
      <c r="S113" s="146"/>
    </row>
    <row r="114" spans="1:19" ht="17.25" thickBot="1">
      <c r="A114" s="109" t="s">
        <v>143</v>
      </c>
      <c r="B114" s="110">
        <v>3.35</v>
      </c>
      <c r="C114" s="70">
        <v>2.44648318E-2</v>
      </c>
      <c r="D114" s="15">
        <v>3.35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3.35</v>
      </c>
      <c r="H114" s="32">
        <f t="shared" ref="H114:H117" si="59">IF(ISNUMBER(G114), (G114 - $B114) / $B114, "")</f>
        <v>0</v>
      </c>
      <c r="I114" s="91">
        <f>IF(ISNUMBER(G114), $B118 * H114, "")</f>
        <v>0</v>
      </c>
      <c r="J114" s="15">
        <v>3.35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3.33</v>
      </c>
      <c r="N114" s="32">
        <f t="shared" ref="N114:N117" si="61">IF(ISNUMBER(M114), (M114 - $B114) / $B114, "")</f>
        <v>-5.9701492537313485E-3</v>
      </c>
      <c r="O114" s="18">
        <f>IF(ISNUMBER(M114), $B118 * N114, "")</f>
        <v>-895.52238805970228</v>
      </c>
      <c r="Q114" s="146"/>
      <c r="R114" s="146"/>
      <c r="S114" s="146"/>
    </row>
    <row r="115" spans="1:19" ht="17.25" thickBot="1">
      <c r="A115" s="109" t="s">
        <v>118</v>
      </c>
      <c r="B115" s="110">
        <v>4.6399999999999997</v>
      </c>
      <c r="C115" s="70">
        <v>2.4282560700000001E-2</v>
      </c>
      <c r="D115" s="15">
        <v>4.71</v>
      </c>
      <c r="E115" s="32">
        <f t="shared" si="58"/>
        <v>1.5086206896551787E-2</v>
      </c>
      <c r="F115" s="18">
        <f>IF(ISNUMBER(D115), $B118 * E115, "")</f>
        <v>2262.9310344827682</v>
      </c>
      <c r="G115" s="31">
        <v>4.76</v>
      </c>
      <c r="H115" s="32">
        <f t="shared" si="59"/>
        <v>2.5862068965517265E-2</v>
      </c>
      <c r="I115" s="91">
        <f>IF(ISNUMBER(G115), $B118 * H115, "")</f>
        <v>3879.3103448275897</v>
      </c>
      <c r="J115" s="15">
        <v>4.74</v>
      </c>
      <c r="K115" s="32">
        <f t="shared" si="60"/>
        <v>2.155172413793115E-2</v>
      </c>
      <c r="L115" s="18">
        <f>IF(ISNUMBER(J115), $B118 * K115, "")</f>
        <v>3232.7586206896726</v>
      </c>
      <c r="M115" s="31">
        <v>4.7</v>
      </c>
      <c r="N115" s="32">
        <f t="shared" si="61"/>
        <v>1.2931034482758728E-2</v>
      </c>
      <c r="O115" s="18">
        <f>IF(ISNUMBER(M115), $B118 * N115, "")</f>
        <v>1939.6551724138092</v>
      </c>
      <c r="Q115" s="146"/>
      <c r="R115" s="146"/>
      <c r="S115" s="146"/>
    </row>
    <row r="116" spans="1:19">
      <c r="A116" s="109" t="s">
        <v>337</v>
      </c>
      <c r="B116" s="110">
        <v>67830</v>
      </c>
      <c r="C116" s="70">
        <v>2.3694536700000001E-2</v>
      </c>
      <c r="D116" s="15">
        <v>67490</v>
      </c>
      <c r="E116" s="32">
        <f t="shared" si="58"/>
        <v>-5.0125313283208017E-3</v>
      </c>
      <c r="F116" s="18">
        <f>IF(ISNUMBER(D116), $B118 * E116, "")</f>
        <v>-751.87969924812023</v>
      </c>
      <c r="G116" s="31">
        <v>68000</v>
      </c>
      <c r="H116" s="32">
        <f t="shared" si="59"/>
        <v>2.5062656641604009E-3</v>
      </c>
      <c r="I116" s="91">
        <f>IF(ISNUMBER(G116), $B118 * H116, "")</f>
        <v>375.93984962406012</v>
      </c>
      <c r="J116" s="15">
        <v>67750</v>
      </c>
      <c r="K116" s="32">
        <f t="shared" si="60"/>
        <v>-1.1794191360754828E-3</v>
      </c>
      <c r="L116" s="18">
        <f>IF(ISNUMBER(J116), $B118 * K116, "")</f>
        <v>-176.91287041132242</v>
      </c>
      <c r="M116" s="31">
        <v>67450</v>
      </c>
      <c r="N116" s="32">
        <f t="shared" si="61"/>
        <v>-5.6022408963585435E-3</v>
      </c>
      <c r="O116" s="18">
        <f>IF(ISNUMBER(M116), $B118 * N116, "")</f>
        <v>-840.33613445378148</v>
      </c>
      <c r="Q116" s="135"/>
      <c r="R116" s="136"/>
      <c r="S116" s="137"/>
    </row>
    <row r="117" spans="1:19" ht="17.25" thickBot="1">
      <c r="A117" s="114" t="s">
        <v>253</v>
      </c>
      <c r="B117" s="115">
        <v>91.4</v>
      </c>
      <c r="C117" s="72">
        <v>2.3516237400000001E-2</v>
      </c>
      <c r="D117" s="24">
        <v>91.1</v>
      </c>
      <c r="E117" s="25">
        <f t="shared" si="58"/>
        <v>-3.2822757111598618E-3</v>
      </c>
      <c r="F117" s="94">
        <f>IF(ISNUMBER(D117), $B118 * E117, "")</f>
        <v>-492.34135667397925</v>
      </c>
      <c r="G117" s="92">
        <v>91.8</v>
      </c>
      <c r="H117" s="25">
        <f t="shared" si="59"/>
        <v>4.3763676148795561E-3</v>
      </c>
      <c r="I117" s="93">
        <f>IF(ISNUMBER(G117), $B118 * H117, "")</f>
        <v>656.45514223193345</v>
      </c>
      <c r="J117" s="24">
        <v>91.5</v>
      </c>
      <c r="K117" s="25">
        <f t="shared" si="60"/>
        <v>1.0940919037198502E-3</v>
      </c>
      <c r="L117" s="94">
        <f>IF(ISNUMBER(J117), $B118 * K117, "")</f>
        <v>164.11378555797754</v>
      </c>
      <c r="M117" s="92">
        <v>90.9</v>
      </c>
      <c r="N117" s="25">
        <f t="shared" si="61"/>
        <v>-5.4704595185995622E-3</v>
      </c>
      <c r="O117" s="94">
        <f>IF(ISNUMBER(M117), $B118 * N117, "")</f>
        <v>-820.56892778993438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3.5019397120164561E-3</v>
      </c>
      <c r="F118" s="28">
        <f>SUM(F98:F117)</f>
        <v>10505.819136049369</v>
      </c>
      <c r="G118" s="26" t="s">
        <v>258</v>
      </c>
      <c r="H118" s="27">
        <f>IF(COUNT(H98:H117), SUM(H98:H117) / COUNT(H98:H117), 0)</f>
        <v>1.6629371680617365E-2</v>
      </c>
      <c r="I118" s="28">
        <f>SUM(I98:I117)</f>
        <v>49888.115041852114</v>
      </c>
      <c r="J118" s="26" t="s">
        <v>258</v>
      </c>
      <c r="K118" s="27">
        <f>IF(COUNT(K98:K117), SUM(K98:K117) / COUNT(K98:K117), 0)</f>
        <v>1.352633085331425E-2</v>
      </c>
      <c r="L118" s="28">
        <f>SUM(L98:L117)</f>
        <v>40578.992559942759</v>
      </c>
      <c r="M118" s="26" t="s">
        <v>258</v>
      </c>
      <c r="N118" s="27">
        <f>IF(COUNT(N98:N117), SUM(N98:N117) / COUNT(N98:N117), 0)</f>
        <v>9.4582640101886998E-3</v>
      </c>
      <c r="O118" s="28">
        <f>SUM(O98:O117)</f>
        <v>28374.792030566099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2023-01-03(화) 오전 00:00</v>
      </c>
      <c r="C123" s="198"/>
      <c r="D123" s="170" t="str">
        <f>TEXT($G$1, "[$-ko-KR]yyyy-mm-dd(ddd) ") &amp; "오후 14:00"</f>
        <v>2023-01-03(화) 오후 14:00</v>
      </c>
      <c r="E123" s="171"/>
      <c r="F123" s="172"/>
      <c r="G123" s="170" t="str">
        <f>TEXT($G$1, "[$-ko-KR]yyyy-mm-dd(ddd) ") &amp; "오후 19:00"</f>
        <v>2023-01-03(화) 오후 19:00</v>
      </c>
      <c r="H123" s="171"/>
      <c r="I123" s="172"/>
      <c r="J123" s="170" t="str">
        <f>TEXT($G$1, "[$-ko-KR]yyyy-mm-dd(ddd) ") &amp; "오후 21:00"</f>
        <v>2023-01-03(화) 오후 21:00</v>
      </c>
      <c r="K123" s="171"/>
      <c r="L123" s="172"/>
      <c r="M123" s="170" t="str">
        <f>TEXT($G$1+1, "[$-ko-KR]yyyy-mm-dd(ddd) ") &amp; "오전 00:00"</f>
        <v>2023-01-04(수)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323</v>
      </c>
      <c r="B125" s="108">
        <v>2.8299999999999999E-2</v>
      </c>
      <c r="C125" s="69">
        <v>7.1174376999999997E-3</v>
      </c>
      <c r="D125" s="13">
        <v>2.8299999999999999E-2</v>
      </c>
      <c r="E125" s="14">
        <f>IF(ISNUMBER(D125), (D125 - $B125) / $B125, "")</f>
        <v>0</v>
      </c>
      <c r="F125" s="16">
        <f>IF(ISNUMBER(D125), $B145 * E125, "")</f>
        <v>0</v>
      </c>
      <c r="G125" s="29">
        <v>2.8500000000000001E-2</v>
      </c>
      <c r="H125" s="14">
        <f>IF(ISNUMBER(G125), (G125 - $B125) / $B125, "")</f>
        <v>7.0671378091873597E-3</v>
      </c>
      <c r="I125" s="90">
        <f>IF(ISNUMBER(G125), $B145 * H125, "")</f>
        <v>1060.070671378104</v>
      </c>
      <c r="J125" s="13">
        <v>2.8500000000000001E-2</v>
      </c>
      <c r="K125" s="14">
        <f>IF(ISNUMBER(J125), (J125 - $B125) / $B125, "")</f>
        <v>7.0671378091873597E-3</v>
      </c>
      <c r="L125" s="16">
        <f>IF(ISNUMBER(J125), $B145 * K125, "")</f>
        <v>1060.070671378104</v>
      </c>
      <c r="M125" s="29">
        <v>2.8199999999999999E-2</v>
      </c>
      <c r="N125" s="14">
        <f>IF(ISNUMBER(M125), (M125 - $B125) / $B125, "")</f>
        <v>-3.5335689045936183E-3</v>
      </c>
      <c r="O125" s="16">
        <f>IF(ISNUMBER(M125), $B145 * N125, "")</f>
        <v>-530.03533568904277</v>
      </c>
      <c r="Q125" s="156"/>
      <c r="R125" s="156"/>
      <c r="S125" s="156"/>
    </row>
    <row r="126" spans="1:19" ht="17.25" thickBot="1">
      <c r="A126" s="109" t="s">
        <v>203</v>
      </c>
      <c r="B126" s="110">
        <v>2.94</v>
      </c>
      <c r="C126" s="70">
        <v>6.8493151000000004E-3</v>
      </c>
      <c r="D126" s="15">
        <v>2.94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2.97</v>
      </c>
      <c r="H126" s="32">
        <f t="shared" ref="H126:H129" si="63">IF(ISNUMBER(G126), (G126 - $B126) / $B126, "")</f>
        <v>1.0204081632653145E-2</v>
      </c>
      <c r="I126" s="91">
        <f>IF(ISNUMBER(G126), $B145 * H126, "")</f>
        <v>1530.6122448979718</v>
      </c>
      <c r="J126" s="15">
        <v>2.97</v>
      </c>
      <c r="K126" s="32">
        <f t="shared" ref="K126:K129" si="64">IF(ISNUMBER(J126), (J126 - $B126) / $B126, "")</f>
        <v>1.0204081632653145E-2</v>
      </c>
      <c r="L126" s="18">
        <f>IF(ISNUMBER(J126), $B145 * K126, "")</f>
        <v>1530.6122448979718</v>
      </c>
      <c r="M126" s="31">
        <v>2.96</v>
      </c>
      <c r="N126" s="32">
        <f t="shared" ref="N126:N129" si="65">IF(ISNUMBER(M126), (M126 - $B126) / $B126, "")</f>
        <v>6.80272108843538E-3</v>
      </c>
      <c r="O126" s="18">
        <f>IF(ISNUMBER(M126), $B145 * N126, "")</f>
        <v>1020.4081632653069</v>
      </c>
      <c r="Q126" s="156"/>
      <c r="R126" s="156"/>
      <c r="S126" s="156"/>
    </row>
    <row r="127" spans="1:19" ht="17.25" thickBot="1">
      <c r="A127" s="109" t="s">
        <v>107</v>
      </c>
      <c r="B127" s="110">
        <v>33.4</v>
      </c>
      <c r="C127" s="70">
        <v>6.0240963999999998E-3</v>
      </c>
      <c r="D127" s="15">
        <v>33.4</v>
      </c>
      <c r="E127" s="32">
        <f t="shared" si="62"/>
        <v>0</v>
      </c>
      <c r="F127" s="18">
        <f>IF(ISNUMBER(D127), $B145 * E127, "")</f>
        <v>0</v>
      </c>
      <c r="G127" s="31">
        <v>33.6</v>
      </c>
      <c r="H127" s="32">
        <f t="shared" si="63"/>
        <v>5.9880239520958937E-3</v>
      </c>
      <c r="I127" s="91">
        <f>IF(ISNUMBER(G127), $B145 * H127, "")</f>
        <v>898.20359281438402</v>
      </c>
      <c r="J127" s="15">
        <v>33.6</v>
      </c>
      <c r="K127" s="32">
        <f t="shared" si="64"/>
        <v>5.9880239520958937E-3</v>
      </c>
      <c r="L127" s="18">
        <f>IF(ISNUMBER(J127), $B145 * K127, "")</f>
        <v>898.20359281438402</v>
      </c>
      <c r="M127" s="31">
        <v>33.5</v>
      </c>
      <c r="N127" s="32">
        <f t="shared" si="65"/>
        <v>2.9940119760479469E-3</v>
      </c>
      <c r="O127" s="18">
        <f>IF(ISNUMBER(M127), $B145 * N127, "")</f>
        <v>449.10179640719201</v>
      </c>
      <c r="Q127" s="146"/>
      <c r="R127" s="146"/>
      <c r="S127" s="146"/>
    </row>
    <row r="128" spans="1:19" ht="17.25" thickBot="1">
      <c r="A128" s="109" t="s">
        <v>225</v>
      </c>
      <c r="B128" s="110">
        <v>51.7</v>
      </c>
      <c r="C128" s="70">
        <v>5.8365759E-3</v>
      </c>
      <c r="D128" s="15">
        <v>52.2</v>
      </c>
      <c r="E128" s="32">
        <f t="shared" si="62"/>
        <v>9.6711798839458404E-3</v>
      </c>
      <c r="F128" s="18">
        <f>IF(ISNUMBER(D128), $B145 * E128, "")</f>
        <v>1450.6769825918761</v>
      </c>
      <c r="G128" s="31">
        <v>52.4</v>
      </c>
      <c r="H128" s="32">
        <f t="shared" si="63"/>
        <v>1.3539651837524095E-2</v>
      </c>
      <c r="I128" s="91">
        <f>IF(ISNUMBER(G128), $B145 * H128, "")</f>
        <v>2030.9477756286142</v>
      </c>
      <c r="J128" s="15">
        <v>52.4</v>
      </c>
      <c r="K128" s="32">
        <f t="shared" si="64"/>
        <v>1.3539651837524095E-2</v>
      </c>
      <c r="L128" s="18">
        <f>IF(ISNUMBER(J128), $B145 * K128, "")</f>
        <v>2030.9477756286142</v>
      </c>
      <c r="M128" s="31">
        <v>51.9</v>
      </c>
      <c r="N128" s="32">
        <f t="shared" si="65"/>
        <v>3.8684719535782537E-3</v>
      </c>
      <c r="O128" s="18">
        <f>IF(ISNUMBER(M128), $B145 * N128, "")</f>
        <v>580.27079303673804</v>
      </c>
      <c r="Q128" s="146"/>
      <c r="R128" s="146"/>
      <c r="S128" s="146"/>
    </row>
    <row r="129" spans="1:19" ht="17.25" thickBot="1">
      <c r="A129" s="111" t="s">
        <v>221</v>
      </c>
      <c r="B129" s="112">
        <v>17.5</v>
      </c>
      <c r="C129" s="71">
        <v>5.7471264000000001E-3</v>
      </c>
      <c r="D129" s="20">
        <v>17.5</v>
      </c>
      <c r="E129" s="21">
        <f t="shared" si="62"/>
        <v>0</v>
      </c>
      <c r="F129" s="22">
        <f>IF(ISNUMBER(D129), $B145 * E129, "")</f>
        <v>0</v>
      </c>
      <c r="G129" s="30">
        <v>17.5</v>
      </c>
      <c r="H129" s="21">
        <f t="shared" si="63"/>
        <v>0</v>
      </c>
      <c r="I129" s="95">
        <f>IF(ISNUMBER(G129), $B145 * H129, "")</f>
        <v>0</v>
      </c>
      <c r="J129" s="20">
        <v>17.600000000000001</v>
      </c>
      <c r="K129" s="21">
        <f t="shared" si="64"/>
        <v>5.7142857142857958E-3</v>
      </c>
      <c r="L129" s="22">
        <f>IF(ISNUMBER(J129), $B145 * K129, "")</f>
        <v>857.14285714286939</v>
      </c>
      <c r="M129" s="30">
        <v>17.399999999999999</v>
      </c>
      <c r="N129" s="21">
        <f t="shared" si="65"/>
        <v>-5.7142857142857958E-3</v>
      </c>
      <c r="O129" s="22">
        <f>IF(ISNUMBER(M129), $B145 * N129, "")</f>
        <v>-857.14285714286939</v>
      </c>
      <c r="Q129" s="146"/>
      <c r="R129" s="146"/>
      <c r="S129" s="146"/>
    </row>
    <row r="130" spans="1:19" ht="17.25" thickBot="1">
      <c r="A130" s="109" t="s">
        <v>324</v>
      </c>
      <c r="B130" s="113">
        <v>72.7</v>
      </c>
      <c r="C130" s="73">
        <v>5.5325035E-3</v>
      </c>
      <c r="D130" s="96">
        <v>73.599999999999994</v>
      </c>
      <c r="E130" s="97">
        <f>IF(ISNUMBER(D130), (D130 - $B130) / $B130, "")</f>
        <v>1.2379642365887089E-2</v>
      </c>
      <c r="F130" s="98">
        <f>IF(ISNUMBER(D130), $B145 * E130, "")</f>
        <v>1856.9463548830633</v>
      </c>
      <c r="G130" s="99">
        <v>73.900000000000006</v>
      </c>
      <c r="H130" s="97">
        <f>IF(ISNUMBER(G130), (G130 - $B130) / $B130, "")</f>
        <v>1.6506189821182984E-2</v>
      </c>
      <c r="I130" s="100">
        <f>IF(ISNUMBER(G130), $B145 * H130, "")</f>
        <v>2475.9284731774474</v>
      </c>
      <c r="J130" s="96">
        <v>73.7</v>
      </c>
      <c r="K130" s="97">
        <f>IF(ISNUMBER(J130), (J130 - $B130) / $B130, "")</f>
        <v>1.3755158184319119E-2</v>
      </c>
      <c r="L130" s="98">
        <f>IF(ISNUMBER(J130), $B145 * K130, "")</f>
        <v>2063.2737276478679</v>
      </c>
      <c r="M130" s="99">
        <v>73.400000000000006</v>
      </c>
      <c r="N130" s="97">
        <f>IF(ISNUMBER(M130), (M130 - $B130) / $B130, "")</f>
        <v>9.6286107290234225E-3</v>
      </c>
      <c r="O130" s="98">
        <f>IF(ISNUMBER(M130), $B145 * N130, "")</f>
        <v>1444.2916093535134</v>
      </c>
      <c r="Q130" s="146"/>
      <c r="R130" s="146"/>
      <c r="S130" s="146"/>
    </row>
    <row r="131" spans="1:19" ht="17.25" thickBot="1">
      <c r="A131" s="109" t="s">
        <v>205</v>
      </c>
      <c r="B131" s="110">
        <v>91.4</v>
      </c>
      <c r="C131" s="70">
        <v>5.5005501000000004E-3</v>
      </c>
      <c r="D131" s="15">
        <v>92.4</v>
      </c>
      <c r="E131" s="32">
        <f t="shared" ref="E131:E134" si="66">IF(ISNUMBER(D131), (D131 - $B131) / $B131, "")</f>
        <v>1.0940919037199124E-2</v>
      </c>
      <c r="F131" s="18">
        <f>IF(ISNUMBER(D131), $B145 * E131, "")</f>
        <v>1641.1378555798688</v>
      </c>
      <c r="G131" s="31">
        <v>92.3</v>
      </c>
      <c r="H131" s="32">
        <f t="shared" ref="H131:H134" si="67">IF(ISNUMBER(G131), (G131 - $B131) / $B131, "")</f>
        <v>9.8468271334791191E-3</v>
      </c>
      <c r="I131" s="91">
        <f>IF(ISNUMBER(G131), $B145 * H131, "")</f>
        <v>1477.0240700218678</v>
      </c>
      <c r="J131" s="15">
        <v>92.1</v>
      </c>
      <c r="K131" s="32">
        <f t="shared" ref="K131:K134" si="68">IF(ISNUMBER(J131), (J131 - $B131) / $B131, "")</f>
        <v>7.6586433260392621E-3</v>
      </c>
      <c r="L131" s="18">
        <f>IF(ISNUMBER(J131), $B145 * K131, "")</f>
        <v>1148.7964989058894</v>
      </c>
      <c r="M131" s="31">
        <v>91.5</v>
      </c>
      <c r="N131" s="32">
        <f t="shared" ref="N131:N134" si="69">IF(ISNUMBER(M131), (M131 - $B131) / $B131, "")</f>
        <v>1.0940919037198502E-3</v>
      </c>
      <c r="O131" s="18">
        <f>IF(ISNUMBER(M131), $B145 * N131, "")</f>
        <v>164.11378555797754</v>
      </c>
      <c r="Q131" s="146"/>
      <c r="R131" s="146"/>
      <c r="S131" s="146"/>
    </row>
    <row r="132" spans="1:19" ht="17.25" thickBot="1">
      <c r="A132" s="109" t="s">
        <v>207</v>
      </c>
      <c r="B132" s="110">
        <v>59</v>
      </c>
      <c r="C132" s="70">
        <v>5.1107325000000004E-3</v>
      </c>
      <c r="D132" s="15">
        <v>58.9</v>
      </c>
      <c r="E132" s="32">
        <f t="shared" si="66"/>
        <v>-1.6949152542373122E-3</v>
      </c>
      <c r="F132" s="18">
        <f>IF(ISNUMBER(D132), $B145 * E132, "")</f>
        <v>-254.23728813559683</v>
      </c>
      <c r="G132" s="31">
        <v>59</v>
      </c>
      <c r="H132" s="32">
        <f t="shared" si="67"/>
        <v>0</v>
      </c>
      <c r="I132" s="91">
        <f>IF(ISNUMBER(G132), $B145 * H132, "")</f>
        <v>0</v>
      </c>
      <c r="J132" s="15">
        <v>58.9</v>
      </c>
      <c r="K132" s="32">
        <f t="shared" si="68"/>
        <v>-1.6949152542373122E-3</v>
      </c>
      <c r="L132" s="18">
        <f>IF(ISNUMBER(J132), $B145 * K132, "")</f>
        <v>-254.23728813559683</v>
      </c>
      <c r="M132" s="31">
        <v>59.2</v>
      </c>
      <c r="N132" s="32">
        <f t="shared" si="69"/>
        <v>3.3898305084746243E-3</v>
      </c>
      <c r="O132" s="18">
        <f>IF(ISNUMBER(M132), $B145 * N132, "")</f>
        <v>508.47457627119365</v>
      </c>
      <c r="Q132" s="146"/>
      <c r="R132" s="146"/>
      <c r="S132" s="146"/>
    </row>
    <row r="133" spans="1:19" ht="17.25" thickBot="1">
      <c r="A133" s="109" t="s">
        <v>333</v>
      </c>
      <c r="B133" s="110">
        <v>3.99</v>
      </c>
      <c r="C133" s="70">
        <v>5.0377833999999998E-3</v>
      </c>
      <c r="D133" s="15">
        <v>4.01</v>
      </c>
      <c r="E133" s="32">
        <f t="shared" si="66"/>
        <v>5.012531328320695E-3</v>
      </c>
      <c r="F133" s="18">
        <f>IF(ISNUMBER(D133), $B145 * E133, "")</f>
        <v>751.8796992481042</v>
      </c>
      <c r="G133" s="31">
        <v>4.01</v>
      </c>
      <c r="H133" s="32">
        <f t="shared" si="67"/>
        <v>5.012531328320695E-3</v>
      </c>
      <c r="I133" s="91">
        <f>IF(ISNUMBER(G133), $B145 * H133, "")</f>
        <v>751.8796992481042</v>
      </c>
      <c r="J133" s="15">
        <v>4.01</v>
      </c>
      <c r="K133" s="32">
        <f t="shared" si="68"/>
        <v>5.012531328320695E-3</v>
      </c>
      <c r="L133" s="18">
        <f>IF(ISNUMBER(J133), $B145 * K133, "")</f>
        <v>751.8796992481042</v>
      </c>
      <c r="M133" s="31">
        <v>3.98</v>
      </c>
      <c r="N133" s="32">
        <f t="shared" si="69"/>
        <v>-2.5062656641604585E-3</v>
      </c>
      <c r="O133" s="18">
        <f>IF(ISNUMBER(M133), $B145 * N133, "")</f>
        <v>-375.93984962406876</v>
      </c>
      <c r="Q133" s="33"/>
      <c r="R133" s="33"/>
    </row>
    <row r="134" spans="1:19" ht="17.25" thickBot="1">
      <c r="A134" s="114" t="s">
        <v>237</v>
      </c>
      <c r="B134" s="115">
        <v>25.5</v>
      </c>
      <c r="C134" s="72">
        <v>3.9370079000000001E-3</v>
      </c>
      <c r="D134" s="24">
        <v>25.6</v>
      </c>
      <c r="E134" s="25">
        <f t="shared" si="66"/>
        <v>3.9215686274510358E-3</v>
      </c>
      <c r="F134" s="94">
        <f>IF(ISNUMBER(D134), $B145 * E134, "")</f>
        <v>588.23529411765537</v>
      </c>
      <c r="G134" s="92">
        <v>25.8</v>
      </c>
      <c r="H134" s="25">
        <f t="shared" si="67"/>
        <v>1.1764705882352969E-2</v>
      </c>
      <c r="I134" s="93">
        <f>IF(ISNUMBER(G134), $B145 * H134, "")</f>
        <v>1764.7058823529453</v>
      </c>
      <c r="J134" s="24">
        <v>25.8</v>
      </c>
      <c r="K134" s="25">
        <f t="shared" si="68"/>
        <v>1.1764705882352969E-2</v>
      </c>
      <c r="L134" s="94">
        <f>IF(ISNUMBER(J134), $B145 * K134, "")</f>
        <v>1764.7058823529453</v>
      </c>
      <c r="M134" s="92">
        <v>25.6</v>
      </c>
      <c r="N134" s="25">
        <f t="shared" si="69"/>
        <v>3.9215686274510358E-3</v>
      </c>
      <c r="O134" s="94">
        <f>IF(ISNUMBER(M134), $B145 * N134, "")</f>
        <v>588.23529411765537</v>
      </c>
      <c r="Q134" s="147"/>
      <c r="R134" s="148"/>
      <c r="S134" s="149"/>
    </row>
    <row r="135" spans="1:19">
      <c r="A135" s="107" t="s">
        <v>209</v>
      </c>
      <c r="B135" s="108">
        <v>70.5</v>
      </c>
      <c r="C135" s="69">
        <v>2.8449501999999998E-3</v>
      </c>
      <c r="D135" s="13">
        <v>70.5</v>
      </c>
      <c r="E135" s="14">
        <f>IF(ISNUMBER(D135), (D135 - $B135) / $B135, "")</f>
        <v>0</v>
      </c>
      <c r="F135" s="16">
        <f>IF(ISNUMBER(D135), $B145 * E135, "")</f>
        <v>0</v>
      </c>
      <c r="G135" s="29">
        <v>70.900000000000006</v>
      </c>
      <c r="H135" s="14">
        <f>IF(ISNUMBER(G135), (G135 - $B135) / $B135, "")</f>
        <v>5.673758865248308E-3</v>
      </c>
      <c r="I135" s="90">
        <f>IF(ISNUMBER(G135), $B145 * H135, "")</f>
        <v>851.06382978724616</v>
      </c>
      <c r="J135" s="13">
        <v>70.599999999999994</v>
      </c>
      <c r="K135" s="14">
        <f>IF(ISNUMBER(J135), (J135 - $B135) / $B135, "")</f>
        <v>1.4184397163119762E-3</v>
      </c>
      <c r="L135" s="16">
        <f>IF(ISNUMBER(J135), $B145 * K135, "")</f>
        <v>212.76595744679642</v>
      </c>
      <c r="M135" s="29">
        <v>70.8</v>
      </c>
      <c r="N135" s="14">
        <f>IF(ISNUMBER(M135), (M135 - $B135) / $B135, "")</f>
        <v>4.2553191489361295E-3</v>
      </c>
      <c r="O135" s="16">
        <f>IF(ISNUMBER(M135), $B145 * N135, "")</f>
        <v>638.29787234041942</v>
      </c>
      <c r="Q135" s="150"/>
      <c r="R135" s="151"/>
      <c r="S135" s="152"/>
    </row>
    <row r="136" spans="1:19" ht="17.25" thickBot="1">
      <c r="A136" s="109" t="s">
        <v>181</v>
      </c>
      <c r="B136" s="110">
        <v>3.83</v>
      </c>
      <c r="C136" s="70">
        <v>2.6178009999999999E-3</v>
      </c>
      <c r="D136" s="15">
        <v>3.85</v>
      </c>
      <c r="E136" s="32">
        <f t="shared" ref="E136:E139" si="70">IF(ISNUMBER(D136), (D136 - $B136) / $B136, "")</f>
        <v>5.2219321148825109E-3</v>
      </c>
      <c r="F136" s="18">
        <f>IF(ISNUMBER(D136), $B145 * E136, "")</f>
        <v>783.28981723237666</v>
      </c>
      <c r="G136" s="31">
        <v>3.86</v>
      </c>
      <c r="H136" s="32">
        <f t="shared" ref="H136:H139" si="71">IF(ISNUMBER(G136), (G136 - $B136) / $B136, "")</f>
        <v>7.8328981723237087E-3</v>
      </c>
      <c r="I136" s="91">
        <f>IF(ISNUMBER(G136), $B145 * H136, "")</f>
        <v>1174.9347258485564</v>
      </c>
      <c r="J136" s="15">
        <v>3.88</v>
      </c>
      <c r="K136" s="32">
        <f t="shared" ref="K136:K139" si="72">IF(ISNUMBER(J136), (J136 - $B136) / $B136, "")</f>
        <v>1.3054830287206221E-2</v>
      </c>
      <c r="L136" s="18">
        <f>IF(ISNUMBER(J136), $B145 * K136, "")</f>
        <v>1958.224543080933</v>
      </c>
      <c r="M136" s="31">
        <v>3.85</v>
      </c>
      <c r="N136" s="32">
        <f t="shared" ref="N136:N139" si="73">IF(ISNUMBER(M136), (M136 - $B136) / $B136, "")</f>
        <v>5.2219321148825109E-3</v>
      </c>
      <c r="O136" s="18">
        <f>IF(ISNUMBER(M136), $B145 * N136, "")</f>
        <v>783.28981723237666</v>
      </c>
      <c r="Q136" s="153"/>
      <c r="R136" s="154"/>
      <c r="S136" s="155"/>
    </row>
    <row r="137" spans="1:19" ht="17.25" thickBot="1">
      <c r="A137" s="109" t="s">
        <v>195</v>
      </c>
      <c r="B137" s="110">
        <v>5.47</v>
      </c>
      <c r="C137" s="70">
        <v>1.8315018E-3</v>
      </c>
      <c r="D137" s="15">
        <v>5.49</v>
      </c>
      <c r="E137" s="32">
        <f t="shared" si="70"/>
        <v>3.6563071297989877E-3</v>
      </c>
      <c r="F137" s="18">
        <f>IF(ISNUMBER(D137), $B145 * E137, "")</f>
        <v>548.44606946984811</v>
      </c>
      <c r="G137" s="31">
        <v>5.52</v>
      </c>
      <c r="H137" s="32">
        <f t="shared" si="71"/>
        <v>9.140767824497225E-3</v>
      </c>
      <c r="I137" s="91">
        <f>IF(ISNUMBER(G137), $B145 * H137, "")</f>
        <v>1371.1151736745837</v>
      </c>
      <c r="J137" s="15">
        <v>5.51</v>
      </c>
      <c r="K137" s="32">
        <f t="shared" si="72"/>
        <v>7.3126142595978131E-3</v>
      </c>
      <c r="L137" s="18">
        <f>IF(ISNUMBER(J137), $B145 * K137, "")</f>
        <v>1096.8921389396719</v>
      </c>
      <c r="M137" s="31">
        <v>5.51</v>
      </c>
      <c r="N137" s="32">
        <f t="shared" si="73"/>
        <v>7.3126142595978131E-3</v>
      </c>
      <c r="O137" s="18">
        <f>IF(ISNUMBER(M137), $B145 * N137, "")</f>
        <v>1096.8921389396719</v>
      </c>
      <c r="Q137" s="146"/>
      <c r="R137" s="146"/>
      <c r="S137" s="146"/>
    </row>
    <row r="138" spans="1:19" ht="17.25" thickBot="1">
      <c r="A138" s="109" t="s">
        <v>241</v>
      </c>
      <c r="B138" s="110">
        <v>87</v>
      </c>
      <c r="C138" s="70">
        <v>0</v>
      </c>
      <c r="D138" s="15">
        <v>86.4</v>
      </c>
      <c r="E138" s="32">
        <f t="shared" si="70"/>
        <v>-6.8965517241378659E-3</v>
      </c>
      <c r="F138" s="18">
        <f>IF(ISNUMBER(D138), $B145 * E138, "")</f>
        <v>-1034.48275862068</v>
      </c>
      <c r="G138" s="31">
        <v>86.3</v>
      </c>
      <c r="H138" s="32">
        <f t="shared" si="71"/>
        <v>-8.0459770114942857E-3</v>
      </c>
      <c r="I138" s="91">
        <f>IF(ISNUMBER(G138), $B145 * H138, "")</f>
        <v>-1206.8965517241429</v>
      </c>
      <c r="J138" s="15">
        <v>86.5</v>
      </c>
      <c r="K138" s="32">
        <f t="shared" si="72"/>
        <v>-5.7471264367816091E-3</v>
      </c>
      <c r="L138" s="18">
        <f>IF(ISNUMBER(J138), $B145 * K138, "")</f>
        <v>-862.06896551724139</v>
      </c>
      <c r="M138" s="31">
        <v>86</v>
      </c>
      <c r="N138" s="32">
        <f t="shared" si="73"/>
        <v>-1.1494252873563218E-2</v>
      </c>
      <c r="O138" s="18">
        <f>IF(ISNUMBER(M138), $B145 * N138, "")</f>
        <v>-1724.1379310344828</v>
      </c>
      <c r="Q138" s="156"/>
      <c r="R138" s="156"/>
      <c r="S138" s="156"/>
    </row>
    <row r="139" spans="1:19" ht="17.25" thickBot="1">
      <c r="A139" s="111" t="s">
        <v>97</v>
      </c>
      <c r="B139" s="112">
        <v>8.0000000000000004E-4</v>
      </c>
      <c r="C139" s="71">
        <v>0</v>
      </c>
      <c r="D139" s="20">
        <v>8.0000000000000004E-4</v>
      </c>
      <c r="E139" s="21">
        <f t="shared" si="70"/>
        <v>0</v>
      </c>
      <c r="F139" s="22">
        <f>IF(ISNUMBER(D139), $B145 * E139, "")</f>
        <v>0</v>
      </c>
      <c r="G139" s="30">
        <v>8.0000000000000004E-4</v>
      </c>
      <c r="H139" s="21">
        <f t="shared" si="71"/>
        <v>0</v>
      </c>
      <c r="I139" s="95">
        <f>IF(ISNUMBER(G139), $B145 * H139, "")</f>
        <v>0</v>
      </c>
      <c r="J139" s="20">
        <v>8.0000000000000004E-4</v>
      </c>
      <c r="K139" s="21">
        <f t="shared" si="72"/>
        <v>0</v>
      </c>
      <c r="L139" s="22">
        <f>IF(ISNUMBER(J139), $B145 * K139, "")</f>
        <v>0</v>
      </c>
      <c r="M139" s="30">
        <v>8.0000000000000004E-4</v>
      </c>
      <c r="N139" s="21">
        <f t="shared" si="73"/>
        <v>0</v>
      </c>
      <c r="O139" s="22">
        <f>IF(ISNUMBER(M139), $B145 * N139, "")</f>
        <v>0</v>
      </c>
      <c r="Q139" s="156"/>
      <c r="R139" s="156"/>
      <c r="S139" s="156"/>
    </row>
    <row r="140" spans="1:19" ht="17.25" thickBot="1">
      <c r="A140" s="109" t="s">
        <v>64</v>
      </c>
      <c r="B140" s="113">
        <v>8.83</v>
      </c>
      <c r="C140" s="73">
        <v>0</v>
      </c>
      <c r="D140" s="96">
        <v>8.99</v>
      </c>
      <c r="E140" s="97">
        <f>IF(ISNUMBER(D140), (D140 - $B140) / $B140, "")</f>
        <v>1.8120045300113265E-2</v>
      </c>
      <c r="F140" s="98">
        <f>IF(ISNUMBER(D140), $B145 * E140, "")</f>
        <v>2718.0067950169896</v>
      </c>
      <c r="G140" s="99">
        <v>9.0500000000000007</v>
      </c>
      <c r="H140" s="97">
        <f>IF(ISNUMBER(G140), (G140 - $B140) / $B140, "")</f>
        <v>2.491506228765579E-2</v>
      </c>
      <c r="I140" s="100">
        <f>IF(ISNUMBER(G140), $B145 * H140, "")</f>
        <v>3737.2593431483683</v>
      </c>
      <c r="J140" s="96">
        <v>8.99</v>
      </c>
      <c r="K140" s="97">
        <f>IF(ISNUMBER(J140), (J140 - $B140) / $B140, "")</f>
        <v>1.8120045300113265E-2</v>
      </c>
      <c r="L140" s="98">
        <f>IF(ISNUMBER(J140), $B145 * K140, "")</f>
        <v>2718.0067950169896</v>
      </c>
      <c r="M140" s="99">
        <v>8.9</v>
      </c>
      <c r="N140" s="97">
        <f>IF(ISNUMBER(M140), (M140 - $B140) / $B140, "")</f>
        <v>7.9275198187995794E-3</v>
      </c>
      <c r="O140" s="98">
        <f>IF(ISNUMBER(M140), $B145 * N140, "")</f>
        <v>1189.127972819937</v>
      </c>
      <c r="Q140" s="146"/>
      <c r="R140" s="146"/>
      <c r="S140" s="146"/>
    </row>
    <row r="141" spans="1:19" ht="17.25" thickBot="1">
      <c r="A141" s="109" t="s">
        <v>141</v>
      </c>
      <c r="B141" s="110">
        <v>2.91</v>
      </c>
      <c r="C141" s="70">
        <v>0</v>
      </c>
      <c r="D141" s="15">
        <v>2.92</v>
      </c>
      <c r="E141" s="32">
        <f t="shared" ref="E141:E144" si="74">IF(ISNUMBER(D141), (D141 - $B141) / $B141, "")</f>
        <v>3.4364261168384146E-3</v>
      </c>
      <c r="F141" s="18">
        <f>IF(ISNUMBER(D141), $B145 * E141, "")</f>
        <v>515.46391752576221</v>
      </c>
      <c r="G141" s="31">
        <v>2.94</v>
      </c>
      <c r="H141" s="32">
        <f t="shared" ref="H141:H144" si="75">IF(ISNUMBER(G141), (G141 - $B141) / $B141, "")</f>
        <v>1.0309278350515396E-2</v>
      </c>
      <c r="I141" s="91">
        <f>IF(ISNUMBER(G141), $B145 * H141, "")</f>
        <v>1546.3917525773095</v>
      </c>
      <c r="J141" s="15">
        <v>2.94</v>
      </c>
      <c r="K141" s="32">
        <f t="shared" ref="K141:K144" si="76">IF(ISNUMBER(J141), (J141 - $B141) / $B141, "")</f>
        <v>1.0309278350515396E-2</v>
      </c>
      <c r="L141" s="18">
        <f>IF(ISNUMBER(J141), $B145 * K141, "")</f>
        <v>1546.3917525773095</v>
      </c>
      <c r="M141" s="31">
        <v>2.92</v>
      </c>
      <c r="N141" s="32">
        <f t="shared" ref="N141:N144" si="77">IF(ISNUMBER(M141), (M141 - $B141) / $B141, "")</f>
        <v>3.4364261168384146E-3</v>
      </c>
      <c r="O141" s="18">
        <f>IF(ISNUMBER(M141), $B145 * N141, "")</f>
        <v>515.46391752576221</v>
      </c>
      <c r="Q141" s="146"/>
      <c r="R141" s="146"/>
      <c r="S141" s="146"/>
    </row>
    <row r="142" spans="1:19" ht="17.25" thickBot="1">
      <c r="A142" s="109" t="s">
        <v>122</v>
      </c>
      <c r="B142" s="110">
        <v>20.399999999999999</v>
      </c>
      <c r="C142" s="70">
        <v>0</v>
      </c>
      <c r="D142" s="15">
        <v>20.399999999999999</v>
      </c>
      <c r="E142" s="32">
        <f t="shared" si="74"/>
        <v>0</v>
      </c>
      <c r="F142" s="18">
        <f>IF(ISNUMBER(D142), $B145 * E142, "")</f>
        <v>0</v>
      </c>
      <c r="G142" s="31">
        <v>20.6</v>
      </c>
      <c r="H142" s="32">
        <f t="shared" si="75"/>
        <v>9.8039215686275914E-3</v>
      </c>
      <c r="I142" s="91">
        <f>IF(ISNUMBER(G142), $B145 * H142, "")</f>
        <v>1470.5882352941387</v>
      </c>
      <c r="J142" s="15">
        <v>20.6</v>
      </c>
      <c r="K142" s="32">
        <f t="shared" si="76"/>
        <v>9.8039215686275914E-3</v>
      </c>
      <c r="L142" s="18">
        <f>IF(ISNUMBER(J142), $B145 * K142, "")</f>
        <v>1470.5882352941387</v>
      </c>
      <c r="M142" s="31">
        <v>20.6</v>
      </c>
      <c r="N142" s="32">
        <f t="shared" si="77"/>
        <v>9.8039215686275914E-3</v>
      </c>
      <c r="O142" s="18">
        <f>IF(ISNUMBER(M142), $B145 * N142, "")</f>
        <v>1470.5882352941387</v>
      </c>
      <c r="Q142" s="146"/>
      <c r="R142" s="146"/>
      <c r="S142" s="146"/>
    </row>
    <row r="143" spans="1:19">
      <c r="A143" s="109" t="s">
        <v>71</v>
      </c>
      <c r="B143" s="110">
        <v>9.92</v>
      </c>
      <c r="C143" s="70">
        <v>-1.0070493E-3</v>
      </c>
      <c r="D143" s="15">
        <v>9.8000000000000007</v>
      </c>
      <c r="E143" s="32">
        <f t="shared" si="74"/>
        <v>-1.2096774193548309E-2</v>
      </c>
      <c r="F143" s="18">
        <f>IF(ISNUMBER(D143), $B145 * E143, "")</f>
        <v>-1814.5161290322462</v>
      </c>
      <c r="G143" s="31">
        <v>9.85</v>
      </c>
      <c r="H143" s="32">
        <f t="shared" si="75"/>
        <v>-7.0564516129032542E-3</v>
      </c>
      <c r="I143" s="91">
        <f>IF(ISNUMBER(G143), $B145 * H143, "")</f>
        <v>-1058.4677419354882</v>
      </c>
      <c r="J143" s="15">
        <v>9.8000000000000007</v>
      </c>
      <c r="K143" s="32">
        <f t="shared" si="76"/>
        <v>-1.2096774193548309E-2</v>
      </c>
      <c r="L143" s="18">
        <f>IF(ISNUMBER(J143), $B145 * K143, "")</f>
        <v>-1814.5161290322462</v>
      </c>
      <c r="M143" s="31">
        <v>9.7899999999999991</v>
      </c>
      <c r="N143" s="32">
        <f t="shared" si="77"/>
        <v>-1.3104838709677498E-2</v>
      </c>
      <c r="O143" s="18">
        <f>IF(ISNUMBER(M143), $B145 * N143, "")</f>
        <v>-1965.7258064516247</v>
      </c>
      <c r="Q143" s="135"/>
      <c r="R143" s="136"/>
      <c r="S143" s="137"/>
    </row>
    <row r="144" spans="1:19" ht="17.25" thickBot="1">
      <c r="A144" s="114" t="s">
        <v>350</v>
      </c>
      <c r="B144" s="115">
        <v>5.56</v>
      </c>
      <c r="C144" s="72">
        <v>-1.4184397200000001E-2</v>
      </c>
      <c r="D144" s="24">
        <v>5.57</v>
      </c>
      <c r="E144" s="25">
        <f t="shared" si="74"/>
        <v>1.7985611510792582E-3</v>
      </c>
      <c r="F144" s="94">
        <f>IF(ISNUMBER(D144), $B145 * E144, "")</f>
        <v>269.78417266188876</v>
      </c>
      <c r="G144" s="92">
        <v>5.59</v>
      </c>
      <c r="H144" s="25">
        <f t="shared" si="75"/>
        <v>5.3956834532374555E-3</v>
      </c>
      <c r="I144" s="93">
        <f>IF(ISNUMBER(G144), $B145 * H144, "")</f>
        <v>809.35251798561831</v>
      </c>
      <c r="J144" s="24">
        <v>5.6</v>
      </c>
      <c r="K144" s="25">
        <f t="shared" si="76"/>
        <v>7.1942446043165541E-3</v>
      </c>
      <c r="L144" s="94">
        <f>IF(ISNUMBER(J144), $B145 * K144, "")</f>
        <v>1079.1366906474832</v>
      </c>
      <c r="M144" s="92">
        <v>5.58</v>
      </c>
      <c r="N144" s="25">
        <f t="shared" si="77"/>
        <v>3.5971223021583568E-3</v>
      </c>
      <c r="O144" s="94">
        <f>IF(ISNUMBER(M144), $B145 * N144, "")</f>
        <v>539.56834532375353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2.6735435941796374E-3</v>
      </c>
      <c r="F145" s="28">
        <f>SUM(F125:F144)</f>
        <v>8020.6307825389076</v>
      </c>
      <c r="G145" s="26" t="s">
        <v>258</v>
      </c>
      <c r="H145" s="27">
        <f>IF(COUNT(H125:H144), SUM(H125:H144) / COUNT(H125:H144), 0)</f>
        <v>6.8949045647252096E-3</v>
      </c>
      <c r="I145" s="28">
        <f>SUM(I125:I144)</f>
        <v>20684.713694175629</v>
      </c>
      <c r="J145" s="26" t="s">
        <v>258</v>
      </c>
      <c r="K145" s="27">
        <f>IF(COUNT(K125:K144), SUM(K125:K144) / COUNT(K125:K144), 0)</f>
        <v>6.4189388934449958E-3</v>
      </c>
      <c r="L145" s="28">
        <f>SUM(L125:L144)</f>
        <v>19256.816680334985</v>
      </c>
      <c r="M145" s="26" t="s">
        <v>258</v>
      </c>
      <c r="N145" s="27">
        <f>IF(COUNT(N125:N144), SUM(N125:N144) / COUNT(N125:N144), 0)</f>
        <v>1.8450475125145155E-3</v>
      </c>
      <c r="O145" s="28">
        <f>SUM(O125:O144)</f>
        <v>5535.1425375435483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2023-01-03(화) 오전 00:00</v>
      </c>
      <c r="C150" s="198"/>
      <c r="D150" s="170" t="str">
        <f>TEXT($G$1, "[$-ko-KR]yyyy-mm-dd(ddd) ") &amp; "오후 14:00"</f>
        <v>2023-01-03(화) 오후 14:00</v>
      </c>
      <c r="E150" s="171"/>
      <c r="F150" s="172"/>
      <c r="G150" s="170" t="str">
        <f>TEXT($G$1, "[$-ko-KR]yyyy-mm-dd(ddd) ") &amp; "오후 19:00"</f>
        <v>2023-01-03(화) 오후 19:00</v>
      </c>
      <c r="H150" s="171"/>
      <c r="I150" s="172"/>
      <c r="J150" s="170" t="str">
        <f>TEXT($G$1, "[$-ko-KR]yyyy-mm-dd(ddd) ") &amp; "오후 21:00"</f>
        <v>2023-01-03(화) 오후 21:00</v>
      </c>
      <c r="K150" s="171"/>
      <c r="L150" s="172"/>
      <c r="M150" s="170" t="str">
        <f>TEXT($G$1+1, "[$-ko-KR]yyyy-mm-dd(ddd) ") &amp; "오전 00:00"</f>
        <v>2023-01-04(수)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219</v>
      </c>
      <c r="B152" s="108">
        <v>334</v>
      </c>
      <c r="C152" s="69">
        <v>9.0634441E-3</v>
      </c>
      <c r="D152" s="13">
        <v>336</v>
      </c>
      <c r="E152" s="14">
        <f>IF(ISNUMBER(D152), (D152 - $B152) / $B152, "")</f>
        <v>5.9880239520958087E-3</v>
      </c>
      <c r="F152" s="16">
        <f>IF(ISNUMBER(D152), $B172 * E152, "")</f>
        <v>898.20359281437129</v>
      </c>
      <c r="G152" s="29">
        <v>337</v>
      </c>
      <c r="H152" s="14">
        <f>IF(ISNUMBER(G152), (G152 - $B152) / $B152, "")</f>
        <v>8.9820359281437123E-3</v>
      </c>
      <c r="I152" s="90">
        <f>IF(ISNUMBER(G152), $B172 * H152, "")</f>
        <v>1347.3053892215569</v>
      </c>
      <c r="J152" s="13">
        <v>337</v>
      </c>
      <c r="K152" s="14">
        <f>IF(ISNUMBER(J152), (J152 - $B152) / $B152, "")</f>
        <v>8.9820359281437123E-3</v>
      </c>
      <c r="L152" s="16">
        <f>IF(ISNUMBER(J152), $B172 * K152, "")</f>
        <v>1347.3053892215569</v>
      </c>
      <c r="M152" s="29">
        <v>336</v>
      </c>
      <c r="N152" s="14">
        <f>IF(ISNUMBER(M152), (M152 - $B152) / $B152, "")</f>
        <v>5.9880239520958087E-3</v>
      </c>
      <c r="O152" s="16">
        <f>IF(ISNUMBER(M152), $B172 * N152, "")</f>
        <v>898.20359281437129</v>
      </c>
      <c r="Q152" s="156"/>
      <c r="R152" s="156"/>
      <c r="S152" s="156"/>
    </row>
    <row r="153" spans="1:19" ht="17.25" thickBot="1">
      <c r="A153" s="109" t="s">
        <v>183</v>
      </c>
      <c r="B153" s="110">
        <v>115</v>
      </c>
      <c r="C153" s="70">
        <v>8.7719297999999998E-3</v>
      </c>
      <c r="D153" s="15">
        <v>114</v>
      </c>
      <c r="E153" s="32">
        <f t="shared" ref="E153:E156" si="78">IF(ISNUMBER(D153), (D153 - $B153) / $B153, "")</f>
        <v>-8.6956521739130436E-3</v>
      </c>
      <c r="F153" s="18">
        <f>IF(ISNUMBER(D153), $B172 * E153, "")</f>
        <v>-1304.3478260869565</v>
      </c>
      <c r="G153" s="31">
        <v>115</v>
      </c>
      <c r="H153" s="32">
        <f t="shared" ref="H153:H156" si="79">IF(ISNUMBER(G153), (G153 - $B153) / $B153, "")</f>
        <v>0</v>
      </c>
      <c r="I153" s="91">
        <f>IF(ISNUMBER(G153), $B172 * H153, "")</f>
        <v>0</v>
      </c>
      <c r="J153" s="15">
        <v>115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115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56"/>
      <c r="R153" s="156"/>
      <c r="S153" s="156"/>
    </row>
    <row r="154" spans="1:19" ht="17.25" thickBot="1">
      <c r="A154" s="109" t="s">
        <v>223</v>
      </c>
      <c r="B154" s="110">
        <v>188</v>
      </c>
      <c r="C154" s="70">
        <v>5.3475935999999996E-3</v>
      </c>
      <c r="D154" s="15">
        <v>187</v>
      </c>
      <c r="E154" s="32">
        <f t="shared" si="78"/>
        <v>-5.3191489361702126E-3</v>
      </c>
      <c r="F154" s="18">
        <f>IF(ISNUMBER(D154), $B172 * E154, "")</f>
        <v>-797.87234042553189</v>
      </c>
      <c r="G154" s="31">
        <v>189</v>
      </c>
      <c r="H154" s="32">
        <f t="shared" si="79"/>
        <v>5.3191489361702126E-3</v>
      </c>
      <c r="I154" s="91">
        <f>IF(ISNUMBER(G154), $B172 * H154, "")</f>
        <v>797.87234042553189</v>
      </c>
      <c r="J154" s="15">
        <v>189</v>
      </c>
      <c r="K154" s="32">
        <f t="shared" si="80"/>
        <v>5.3191489361702126E-3</v>
      </c>
      <c r="L154" s="18">
        <f>IF(ISNUMBER(J154), $B172 * K154, "")</f>
        <v>797.87234042553189</v>
      </c>
      <c r="M154" s="31">
        <v>188</v>
      </c>
      <c r="N154" s="32">
        <f t="shared" si="81"/>
        <v>0</v>
      </c>
      <c r="O154" s="18">
        <f>IF(ISNUMBER(M154), $B172 * N154, "")</f>
        <v>0</v>
      </c>
      <c r="Q154" s="146"/>
      <c r="R154" s="146"/>
      <c r="S154" s="146"/>
    </row>
    <row r="155" spans="1:19" ht="17.25" thickBot="1">
      <c r="A155" s="109" t="s">
        <v>239</v>
      </c>
      <c r="B155" s="110">
        <v>410</v>
      </c>
      <c r="C155" s="70">
        <v>4.9019607999999998E-3</v>
      </c>
      <c r="D155" s="15">
        <v>408</v>
      </c>
      <c r="E155" s="32">
        <f t="shared" si="78"/>
        <v>-4.8780487804878049E-3</v>
      </c>
      <c r="F155" s="18">
        <f>IF(ISNUMBER(D155), $B172 * E155, "")</f>
        <v>-731.70731707317077</v>
      </c>
      <c r="G155" s="31">
        <v>410</v>
      </c>
      <c r="H155" s="32">
        <f t="shared" si="79"/>
        <v>0</v>
      </c>
      <c r="I155" s="91">
        <f>IF(ISNUMBER(G155), $B172 * H155, "")</f>
        <v>0</v>
      </c>
      <c r="J155" s="15">
        <v>411</v>
      </c>
      <c r="K155" s="32">
        <f t="shared" si="80"/>
        <v>2.4390243902439024E-3</v>
      </c>
      <c r="L155" s="18">
        <f>IF(ISNUMBER(J155), $B172 * K155, "")</f>
        <v>365.85365853658539</v>
      </c>
      <c r="M155" s="31">
        <v>410</v>
      </c>
      <c r="N155" s="32">
        <f t="shared" si="81"/>
        <v>0</v>
      </c>
      <c r="O155" s="18">
        <f>IF(ISNUMBER(M155), $B172 * N155, "")</f>
        <v>0</v>
      </c>
      <c r="Q155" s="146"/>
      <c r="R155" s="146"/>
      <c r="S155" s="146"/>
    </row>
    <row r="156" spans="1:19" ht="17.25" thickBot="1">
      <c r="A156" s="111" t="s">
        <v>229</v>
      </c>
      <c r="B156" s="112">
        <v>231</v>
      </c>
      <c r="C156" s="71">
        <v>4.3478261000000004E-3</v>
      </c>
      <c r="D156" s="20">
        <v>232</v>
      </c>
      <c r="E156" s="21">
        <f t="shared" si="78"/>
        <v>4.329004329004329E-3</v>
      </c>
      <c r="F156" s="22">
        <f>IF(ISNUMBER(D156), $B172 * E156, "")</f>
        <v>649.35064935064941</v>
      </c>
      <c r="G156" s="30">
        <v>232</v>
      </c>
      <c r="H156" s="21">
        <f t="shared" si="79"/>
        <v>4.329004329004329E-3</v>
      </c>
      <c r="I156" s="95">
        <f>IF(ISNUMBER(G156), $B172 * H156, "")</f>
        <v>649.35064935064941</v>
      </c>
      <c r="J156" s="20">
        <v>231</v>
      </c>
      <c r="K156" s="21">
        <f t="shared" si="80"/>
        <v>0</v>
      </c>
      <c r="L156" s="22">
        <f>IF(ISNUMBER(J156), $B172 * K156, "")</f>
        <v>0</v>
      </c>
      <c r="M156" s="30">
        <v>230</v>
      </c>
      <c r="N156" s="21">
        <f t="shared" si="81"/>
        <v>-4.329004329004329E-3</v>
      </c>
      <c r="O156" s="22">
        <f>IF(ISNUMBER(M156), $B172 * N156, "")</f>
        <v>-649.35064935064941</v>
      </c>
      <c r="Q156" s="146"/>
      <c r="R156" s="146"/>
      <c r="S156" s="146"/>
    </row>
    <row r="157" spans="1:19" ht="17.25" thickBot="1">
      <c r="A157" s="109" t="s">
        <v>161</v>
      </c>
      <c r="B157" s="113">
        <v>275</v>
      </c>
      <c r="C157" s="73">
        <v>3.649635E-3</v>
      </c>
      <c r="D157" s="96">
        <v>276</v>
      </c>
      <c r="E157" s="97">
        <f>IF(ISNUMBER(D157), (D157 - $B157) / $B157, "")</f>
        <v>3.6363636363636364E-3</v>
      </c>
      <c r="F157" s="98">
        <f>IF(ISNUMBER(D157), $B172 * E157, "")</f>
        <v>545.4545454545455</v>
      </c>
      <c r="G157" s="99">
        <v>279</v>
      </c>
      <c r="H157" s="97">
        <f>IF(ISNUMBER(G157), (G157 - $B157) / $B157, "")</f>
        <v>1.4545454545454545E-2</v>
      </c>
      <c r="I157" s="100">
        <f>IF(ISNUMBER(G157), $B172 * H157, "")</f>
        <v>2181.818181818182</v>
      </c>
      <c r="J157" s="96">
        <v>278</v>
      </c>
      <c r="K157" s="97">
        <f>IF(ISNUMBER(J157), (J157 - $B157) / $B157, "")</f>
        <v>1.090909090909091E-2</v>
      </c>
      <c r="L157" s="98">
        <f>IF(ISNUMBER(J157), $B172 * K157, "")</f>
        <v>1636.3636363636365</v>
      </c>
      <c r="M157" s="99">
        <v>276</v>
      </c>
      <c r="N157" s="97">
        <f>IF(ISNUMBER(M157), (M157 - $B157) / $B157, "")</f>
        <v>3.6363636363636364E-3</v>
      </c>
      <c r="O157" s="98">
        <f>IF(ISNUMBER(M157), $B172 * N157, "")</f>
        <v>545.4545454545455</v>
      </c>
      <c r="Q157" s="146"/>
      <c r="R157" s="146"/>
      <c r="S157" s="146"/>
    </row>
    <row r="158" spans="1:19" ht="17.25" thickBot="1">
      <c r="A158" s="109" t="s">
        <v>231</v>
      </c>
      <c r="B158" s="110">
        <v>305</v>
      </c>
      <c r="C158" s="70">
        <v>3.2894737E-3</v>
      </c>
      <c r="D158" s="15">
        <v>305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307</v>
      </c>
      <c r="H158" s="32">
        <f t="shared" ref="H158:H161" si="83">IF(ISNUMBER(G158), (G158 - $B158) / $B158, "")</f>
        <v>6.5573770491803279E-3</v>
      </c>
      <c r="I158" s="91">
        <f>IF(ISNUMBER(G158), $B172 * H158, "")</f>
        <v>983.60655737704917</v>
      </c>
      <c r="J158" s="15">
        <v>307</v>
      </c>
      <c r="K158" s="32">
        <f t="shared" ref="K158:K161" si="84">IF(ISNUMBER(J158), (J158 - $B158) / $B158, "")</f>
        <v>6.5573770491803279E-3</v>
      </c>
      <c r="L158" s="18">
        <f>IF(ISNUMBER(J158), $B172 * K158, "")</f>
        <v>983.60655737704917</v>
      </c>
      <c r="M158" s="31">
        <v>306</v>
      </c>
      <c r="N158" s="32">
        <f t="shared" ref="N158:N161" si="85">IF(ISNUMBER(M158), (M158 - $B158) / $B158, "")</f>
        <v>3.2786885245901639E-3</v>
      </c>
      <c r="O158" s="18">
        <f>IF(ISNUMBER(M158), $B172 * N158, "")</f>
        <v>491.80327868852459</v>
      </c>
      <c r="Q158" s="146"/>
      <c r="R158" s="146"/>
      <c r="S158" s="146"/>
    </row>
    <row r="159" spans="1:19" ht="17.25" thickBot="1">
      <c r="A159" s="109" t="s">
        <v>187</v>
      </c>
      <c r="B159" s="110">
        <v>712</v>
      </c>
      <c r="C159" s="70">
        <v>2.8169013999999998E-3</v>
      </c>
      <c r="D159" s="15">
        <v>712</v>
      </c>
      <c r="E159" s="32">
        <f t="shared" si="82"/>
        <v>0</v>
      </c>
      <c r="F159" s="18">
        <f>IF(ISNUMBER(D159), $B172 * E159, "")</f>
        <v>0</v>
      </c>
      <c r="G159" s="31">
        <v>720</v>
      </c>
      <c r="H159" s="32">
        <f t="shared" si="83"/>
        <v>1.1235955056179775E-2</v>
      </c>
      <c r="I159" s="91">
        <f>IF(ISNUMBER(G159), $B172 * H159, "")</f>
        <v>1685.3932584269662</v>
      </c>
      <c r="J159" s="15">
        <v>721</v>
      </c>
      <c r="K159" s="32">
        <f t="shared" si="84"/>
        <v>1.2640449438202247E-2</v>
      </c>
      <c r="L159" s="18">
        <f>IF(ISNUMBER(J159), $B172 * K159, "")</f>
        <v>1896.067415730337</v>
      </c>
      <c r="M159" s="31">
        <v>715</v>
      </c>
      <c r="N159" s="32">
        <f t="shared" si="85"/>
        <v>4.2134831460674156E-3</v>
      </c>
      <c r="O159" s="18">
        <f>IF(ISNUMBER(M159), $B172 * N159, "")</f>
        <v>632.02247191011236</v>
      </c>
      <c r="Q159" s="146"/>
      <c r="R159" s="146"/>
      <c r="S159" s="146"/>
    </row>
    <row r="160" spans="1:19" ht="17.25" thickBot="1">
      <c r="A160" s="109" t="s">
        <v>66</v>
      </c>
      <c r="B160" s="110">
        <v>585</v>
      </c>
      <c r="C160" s="70">
        <v>1.7123288E-3</v>
      </c>
      <c r="D160" s="15">
        <v>583</v>
      </c>
      <c r="E160" s="32">
        <f t="shared" si="82"/>
        <v>-3.4188034188034188E-3</v>
      </c>
      <c r="F160" s="18">
        <f>IF(ISNUMBER(D160), $B172 * E160, "")</f>
        <v>-512.82051282051282</v>
      </c>
      <c r="G160" s="31">
        <v>587</v>
      </c>
      <c r="H160" s="32">
        <f t="shared" si="83"/>
        <v>3.4188034188034188E-3</v>
      </c>
      <c r="I160" s="91">
        <f>IF(ISNUMBER(G160), $B172 * H160, "")</f>
        <v>512.82051282051282</v>
      </c>
      <c r="J160" s="15">
        <v>585</v>
      </c>
      <c r="K160" s="32">
        <f t="shared" si="84"/>
        <v>0</v>
      </c>
      <c r="L160" s="18">
        <f>IF(ISNUMBER(J160), $B172 * K160, "")</f>
        <v>0</v>
      </c>
      <c r="M160" s="31">
        <v>582</v>
      </c>
      <c r="N160" s="32">
        <f t="shared" si="85"/>
        <v>-5.1282051282051282E-3</v>
      </c>
      <c r="O160" s="18">
        <f>IF(ISNUMBER(M160), $B172 * N160, "")</f>
        <v>-769.23076923076928</v>
      </c>
      <c r="Q160" s="33"/>
      <c r="R160" s="33"/>
    </row>
    <row r="161" spans="1:19" ht="17.25" thickBot="1">
      <c r="A161" s="114" t="s">
        <v>215</v>
      </c>
      <c r="B161" s="115">
        <v>281</v>
      </c>
      <c r="C161" s="72">
        <v>0</v>
      </c>
      <c r="D161" s="24">
        <v>283</v>
      </c>
      <c r="E161" s="25">
        <f t="shared" si="82"/>
        <v>7.1174377224199285E-3</v>
      </c>
      <c r="F161" s="94">
        <f>IF(ISNUMBER(D161), $B172 * E161, "")</f>
        <v>1067.6156583629893</v>
      </c>
      <c r="G161" s="92">
        <v>284</v>
      </c>
      <c r="H161" s="25">
        <f t="shared" si="83"/>
        <v>1.0676156583629894E-2</v>
      </c>
      <c r="I161" s="93">
        <f>IF(ISNUMBER(G161), $B172 * H161, "")</f>
        <v>1601.423487544484</v>
      </c>
      <c r="J161" s="24">
        <v>284</v>
      </c>
      <c r="K161" s="25">
        <f t="shared" si="84"/>
        <v>1.0676156583629894E-2</v>
      </c>
      <c r="L161" s="94">
        <f>IF(ISNUMBER(J161), $B172 * K161, "")</f>
        <v>1601.423487544484</v>
      </c>
      <c r="M161" s="92">
        <v>283</v>
      </c>
      <c r="N161" s="25">
        <f t="shared" si="85"/>
        <v>7.1174377224199285E-3</v>
      </c>
      <c r="O161" s="94">
        <f>IF(ISNUMBER(M161), $B172 * N161, "")</f>
        <v>1067.6156583629893</v>
      </c>
      <c r="Q161" s="147"/>
      <c r="R161" s="148"/>
      <c r="S161" s="149"/>
    </row>
    <row r="162" spans="1:19">
      <c r="A162" s="107" t="s">
        <v>211</v>
      </c>
      <c r="B162" s="108">
        <v>917</v>
      </c>
      <c r="C162" s="69">
        <v>0</v>
      </c>
      <c r="D162" s="13">
        <v>921</v>
      </c>
      <c r="E162" s="14">
        <f>IF(ISNUMBER(D162), (D162 - $B162) / $B162, "")</f>
        <v>4.3620501635768813E-3</v>
      </c>
      <c r="F162" s="16">
        <f>IF(ISNUMBER(D162), $B172 * E162, "")</f>
        <v>654.30752453653224</v>
      </c>
      <c r="G162" s="29">
        <v>920</v>
      </c>
      <c r="H162" s="14">
        <f>IF(ISNUMBER(G162), (G162 - $B162) / $B162, "")</f>
        <v>3.2715376226826608E-3</v>
      </c>
      <c r="I162" s="90">
        <f>IF(ISNUMBER(G162), $B172 * H162, "")</f>
        <v>490.7306434023991</v>
      </c>
      <c r="J162" s="13">
        <v>918</v>
      </c>
      <c r="K162" s="14">
        <f>IF(ISNUMBER(J162), (J162 - $B162) / $B162, "")</f>
        <v>1.0905125408942203E-3</v>
      </c>
      <c r="L162" s="16">
        <f>IF(ISNUMBER(J162), $B172 * K162, "")</f>
        <v>163.57688113413306</v>
      </c>
      <c r="M162" s="29">
        <v>913</v>
      </c>
      <c r="N162" s="14">
        <f>IF(ISNUMBER(M162), (M162 - $B162) / $B162, "")</f>
        <v>-4.3620501635768813E-3</v>
      </c>
      <c r="O162" s="16">
        <f>IF(ISNUMBER(M162), $B172 * N162, "")</f>
        <v>-654.30752453653224</v>
      </c>
      <c r="Q162" s="150"/>
      <c r="R162" s="151"/>
      <c r="S162" s="152"/>
    </row>
    <row r="163" spans="1:19" ht="17.25" thickBot="1">
      <c r="A163" s="109" t="s">
        <v>176</v>
      </c>
      <c r="B163" s="110">
        <v>281</v>
      </c>
      <c r="C163" s="70">
        <v>0</v>
      </c>
      <c r="D163" s="15">
        <v>278</v>
      </c>
      <c r="E163" s="32">
        <f t="shared" ref="E163:E166" si="86">IF(ISNUMBER(D163), (D163 - $B163) / $B163, "")</f>
        <v>-1.0676156583629894E-2</v>
      </c>
      <c r="F163" s="18">
        <f>IF(ISNUMBER(D163), $B172 * E163, "")</f>
        <v>-1601.423487544484</v>
      </c>
      <c r="G163" s="31">
        <v>280</v>
      </c>
      <c r="H163" s="32">
        <f t="shared" ref="H163:H166" si="87">IF(ISNUMBER(G163), (G163 - $B163) / $B163, "")</f>
        <v>-3.5587188612099642E-3</v>
      </c>
      <c r="I163" s="91">
        <f>IF(ISNUMBER(G163), $B172 * H163, "")</f>
        <v>-533.80782918149464</v>
      </c>
      <c r="J163" s="15">
        <v>280</v>
      </c>
      <c r="K163" s="32">
        <f t="shared" ref="K163:K166" si="88">IF(ISNUMBER(J163), (J163 - $B163) / $B163, "")</f>
        <v>-3.5587188612099642E-3</v>
      </c>
      <c r="L163" s="18">
        <f>IF(ISNUMBER(J163), $B172 * K163, "")</f>
        <v>-533.80782918149464</v>
      </c>
      <c r="M163" s="31">
        <v>279</v>
      </c>
      <c r="N163" s="32">
        <f t="shared" ref="N163:N166" si="89">IF(ISNUMBER(M163), (M163 - $B163) / $B163, "")</f>
        <v>-7.1174377224199285E-3</v>
      </c>
      <c r="O163" s="18">
        <f>IF(ISNUMBER(M163), $B172 * N163, "")</f>
        <v>-1067.6156583629893</v>
      </c>
      <c r="Q163" s="153"/>
      <c r="R163" s="154"/>
      <c r="S163" s="155"/>
    </row>
    <row r="164" spans="1:19" ht="17.25" thickBot="1">
      <c r="A164" s="109" t="s">
        <v>101</v>
      </c>
      <c r="B164" s="110">
        <v>195</v>
      </c>
      <c r="C164" s="70">
        <v>0</v>
      </c>
      <c r="D164" s="15">
        <v>197</v>
      </c>
      <c r="E164" s="32">
        <f t="shared" si="86"/>
        <v>1.0256410256410256E-2</v>
      </c>
      <c r="F164" s="18">
        <f>IF(ISNUMBER(D164), $B172 * E164, "")</f>
        <v>1538.4615384615386</v>
      </c>
      <c r="G164" s="31">
        <v>198</v>
      </c>
      <c r="H164" s="32">
        <f t="shared" si="87"/>
        <v>1.5384615384615385E-2</v>
      </c>
      <c r="I164" s="91">
        <f>IF(ISNUMBER(G164), $B172 * H164, "")</f>
        <v>2307.6923076923076</v>
      </c>
      <c r="J164" s="15">
        <v>197</v>
      </c>
      <c r="K164" s="32">
        <f t="shared" si="88"/>
        <v>1.0256410256410256E-2</v>
      </c>
      <c r="L164" s="18">
        <f>IF(ISNUMBER(J164), $B172 * K164, "")</f>
        <v>1538.4615384615386</v>
      </c>
      <c r="M164" s="31">
        <v>196</v>
      </c>
      <c r="N164" s="32">
        <f t="shared" si="89"/>
        <v>5.1282051282051282E-3</v>
      </c>
      <c r="O164" s="18">
        <f>IF(ISNUMBER(M164), $B172 * N164, "")</f>
        <v>769.23076923076928</v>
      </c>
      <c r="Q164" s="146"/>
      <c r="R164" s="146"/>
      <c r="S164" s="146"/>
    </row>
    <row r="165" spans="1:19" ht="17.25" thickBot="1">
      <c r="A165" s="109" t="s">
        <v>321</v>
      </c>
      <c r="B165" s="110">
        <v>153</v>
      </c>
      <c r="C165" s="70">
        <v>0</v>
      </c>
      <c r="D165" s="15">
        <v>154</v>
      </c>
      <c r="E165" s="32">
        <f t="shared" si="86"/>
        <v>6.5359477124183009E-3</v>
      </c>
      <c r="F165" s="18">
        <f>IF(ISNUMBER(D165), $B172 * E165, "")</f>
        <v>980.39215686274508</v>
      </c>
      <c r="G165" s="31">
        <v>155</v>
      </c>
      <c r="H165" s="32">
        <f t="shared" si="87"/>
        <v>1.3071895424836602E-2</v>
      </c>
      <c r="I165" s="91">
        <f>IF(ISNUMBER(G165), $B172 * H165, "")</f>
        <v>1960.7843137254902</v>
      </c>
      <c r="J165" s="15">
        <v>155</v>
      </c>
      <c r="K165" s="32">
        <f t="shared" si="88"/>
        <v>1.3071895424836602E-2</v>
      </c>
      <c r="L165" s="18">
        <f>IF(ISNUMBER(J165), $B172 * K165, "")</f>
        <v>1960.7843137254902</v>
      </c>
      <c r="M165" s="31">
        <v>154</v>
      </c>
      <c r="N165" s="32">
        <f t="shared" si="89"/>
        <v>6.5359477124183009E-3</v>
      </c>
      <c r="O165" s="18">
        <f>IF(ISNUMBER(M165), $B172 * N165, "")</f>
        <v>980.39215686274508</v>
      </c>
      <c r="Q165" s="156"/>
      <c r="R165" s="156"/>
      <c r="S165" s="156"/>
    </row>
    <row r="166" spans="1:19" ht="17.25" thickBot="1">
      <c r="A166" s="111" t="s">
        <v>167</v>
      </c>
      <c r="B166" s="112">
        <v>157</v>
      </c>
      <c r="C166" s="71">
        <v>0</v>
      </c>
      <c r="D166" s="20">
        <v>158</v>
      </c>
      <c r="E166" s="21">
        <f t="shared" si="86"/>
        <v>6.369426751592357E-3</v>
      </c>
      <c r="F166" s="22">
        <f>IF(ISNUMBER(D166), $B172 * E166, "")</f>
        <v>955.41401273885356</v>
      </c>
      <c r="G166" s="30">
        <v>159</v>
      </c>
      <c r="H166" s="21">
        <f t="shared" si="87"/>
        <v>1.2738853503184714E-2</v>
      </c>
      <c r="I166" s="95">
        <f>IF(ISNUMBER(G166), $B172 * H166, "")</f>
        <v>1910.8280254777071</v>
      </c>
      <c r="J166" s="20">
        <v>160</v>
      </c>
      <c r="K166" s="21">
        <f t="shared" si="88"/>
        <v>1.9108280254777069E-2</v>
      </c>
      <c r="L166" s="22">
        <f>IF(ISNUMBER(J166), $B172 * K166, "")</f>
        <v>2866.2420382165606</v>
      </c>
      <c r="M166" s="30">
        <v>158</v>
      </c>
      <c r="N166" s="21">
        <f t="shared" si="89"/>
        <v>6.369426751592357E-3</v>
      </c>
      <c r="O166" s="22">
        <f>IF(ISNUMBER(M166), $B172 * N166, "")</f>
        <v>955.41401273885356</v>
      </c>
      <c r="Q166" s="156"/>
      <c r="R166" s="156"/>
      <c r="S166" s="156"/>
    </row>
    <row r="167" spans="1:19" ht="17.25" thickBot="1">
      <c r="A167" s="109" t="s">
        <v>213</v>
      </c>
      <c r="B167" s="113">
        <v>405</v>
      </c>
      <c r="C167" s="73">
        <v>0</v>
      </c>
      <c r="D167" s="96">
        <v>405</v>
      </c>
      <c r="E167" s="97">
        <f>IF(ISNUMBER(D167), (D167 - $B167) / $B167, "")</f>
        <v>0</v>
      </c>
      <c r="F167" s="98">
        <f>IF(ISNUMBER(D167), $B172 * E167, "")</f>
        <v>0</v>
      </c>
      <c r="G167" s="99">
        <v>408</v>
      </c>
      <c r="H167" s="97">
        <f>IF(ISNUMBER(G167), (G167 - $B167) / $B167, "")</f>
        <v>7.4074074074074077E-3</v>
      </c>
      <c r="I167" s="100">
        <f>IF(ISNUMBER(G167), $B172 * H167, "")</f>
        <v>1111.1111111111111</v>
      </c>
      <c r="J167" s="96">
        <v>410</v>
      </c>
      <c r="K167" s="97">
        <f>IF(ISNUMBER(J167), (J167 - $B167) / $B167, "")</f>
        <v>1.2345679012345678E-2</v>
      </c>
      <c r="L167" s="98">
        <f>IF(ISNUMBER(J167), $B172 * K167, "")</f>
        <v>1851.8518518518517</v>
      </c>
      <c r="M167" s="99">
        <v>402</v>
      </c>
      <c r="N167" s="97">
        <f>IF(ISNUMBER(M167), (M167 - $B167) / $B167, "")</f>
        <v>-7.4074074074074077E-3</v>
      </c>
      <c r="O167" s="98">
        <f>IF(ISNUMBER(M167), $B172 * N167, "")</f>
        <v>-1111.1111111111111</v>
      </c>
      <c r="Q167" s="146"/>
      <c r="R167" s="146"/>
      <c r="S167" s="146"/>
    </row>
    <row r="168" spans="1:19" ht="17.25" thickBot="1">
      <c r="A168" s="109" t="s">
        <v>235</v>
      </c>
      <c r="B168" s="110">
        <v>498</v>
      </c>
      <c r="C168" s="70">
        <v>0</v>
      </c>
      <c r="D168" s="15">
        <v>502</v>
      </c>
      <c r="E168" s="32">
        <f t="shared" ref="E168:E171" si="90">IF(ISNUMBER(D168), (D168 - $B168) / $B168, "")</f>
        <v>8.0321285140562242E-3</v>
      </c>
      <c r="F168" s="18">
        <f>IF(ISNUMBER(D168), $B172 * E168, "")</f>
        <v>1204.8192771084337</v>
      </c>
      <c r="G168" s="31">
        <v>503</v>
      </c>
      <c r="H168" s="32">
        <f t="shared" ref="H168:H171" si="91">IF(ISNUMBER(G168), (G168 - $B168) / $B168, "")</f>
        <v>1.0040160642570281E-2</v>
      </c>
      <c r="I168" s="91">
        <f>IF(ISNUMBER(G168), $B172 * H168, "")</f>
        <v>1506.0240963855422</v>
      </c>
      <c r="J168" s="15">
        <v>503</v>
      </c>
      <c r="K168" s="32">
        <f t="shared" ref="K168:K171" si="92">IF(ISNUMBER(J168), (J168 - $B168) / $B168, "")</f>
        <v>1.0040160642570281E-2</v>
      </c>
      <c r="L168" s="18">
        <f>IF(ISNUMBER(J168), $B172 * K168, "")</f>
        <v>1506.0240963855422</v>
      </c>
      <c r="M168" s="31">
        <v>501</v>
      </c>
      <c r="N168" s="32">
        <f t="shared" ref="N168:N171" si="93">IF(ISNUMBER(M168), (M168 - $B168) / $B168, "")</f>
        <v>6.024096385542169E-3</v>
      </c>
      <c r="O168" s="18">
        <f>IF(ISNUMBER(M168), $B172 * N168, "")</f>
        <v>903.61445783132535</v>
      </c>
      <c r="Q168" s="146"/>
      <c r="R168" s="146"/>
      <c r="S168" s="146"/>
    </row>
    <row r="169" spans="1:19" ht="17.25" thickBot="1">
      <c r="A169" s="109" t="s">
        <v>165</v>
      </c>
      <c r="B169" s="110">
        <v>878</v>
      </c>
      <c r="C169" s="70">
        <v>-4.5351473999999999E-3</v>
      </c>
      <c r="D169" s="15">
        <v>881</v>
      </c>
      <c r="E169" s="32">
        <f t="shared" si="90"/>
        <v>3.4168564920273349E-3</v>
      </c>
      <c r="F169" s="18">
        <f>IF(ISNUMBER(D169), $B172 * E169, "")</f>
        <v>512.52847380410026</v>
      </c>
      <c r="G169" s="31">
        <v>885</v>
      </c>
      <c r="H169" s="32">
        <f t="shared" si="91"/>
        <v>7.972665148063782E-3</v>
      </c>
      <c r="I169" s="91">
        <f>IF(ISNUMBER(G169), $B172 * H169, "")</f>
        <v>1195.8997722095673</v>
      </c>
      <c r="J169" s="15">
        <v>883</v>
      </c>
      <c r="K169" s="32">
        <f t="shared" si="92"/>
        <v>5.6947608200455585E-3</v>
      </c>
      <c r="L169" s="18">
        <f>IF(ISNUMBER(J169), $B172 * K169, "")</f>
        <v>854.2141230068338</v>
      </c>
      <c r="M169" s="31">
        <v>878</v>
      </c>
      <c r="N169" s="32">
        <f t="shared" si="93"/>
        <v>0</v>
      </c>
      <c r="O169" s="18">
        <f>IF(ISNUMBER(M169), $B172 * N169, "")</f>
        <v>0</v>
      </c>
      <c r="Q169" s="146"/>
      <c r="R169" s="146"/>
      <c r="S169" s="146"/>
    </row>
    <row r="170" spans="1:19">
      <c r="A170" s="109" t="s">
        <v>317</v>
      </c>
      <c r="B170" s="110">
        <v>566</v>
      </c>
      <c r="C170" s="70">
        <v>-1.04895105E-2</v>
      </c>
      <c r="D170" s="15">
        <v>564</v>
      </c>
      <c r="E170" s="32">
        <f t="shared" si="90"/>
        <v>-3.5335689045936395E-3</v>
      </c>
      <c r="F170" s="18">
        <f>IF(ISNUMBER(D170), $B172 * E170, "")</f>
        <v>-530.03533568904595</v>
      </c>
      <c r="G170" s="31">
        <v>566</v>
      </c>
      <c r="H170" s="32">
        <f t="shared" si="91"/>
        <v>0</v>
      </c>
      <c r="I170" s="91">
        <f>IF(ISNUMBER(G170), $B172 * H170, "")</f>
        <v>0</v>
      </c>
      <c r="J170" s="15">
        <v>567</v>
      </c>
      <c r="K170" s="32">
        <f t="shared" si="92"/>
        <v>1.7667844522968198E-3</v>
      </c>
      <c r="L170" s="18">
        <f>IF(ISNUMBER(J170), $B172 * K170, "")</f>
        <v>265.01766784452298</v>
      </c>
      <c r="M170" s="31">
        <v>565</v>
      </c>
      <c r="N170" s="32">
        <f t="shared" si="93"/>
        <v>-1.7667844522968198E-3</v>
      </c>
      <c r="O170" s="18">
        <f>IF(ISNUMBER(M170), $B172 * N170, "")</f>
        <v>-265.01766784452298</v>
      </c>
      <c r="Q170" s="135"/>
      <c r="R170" s="136"/>
      <c r="S170" s="137"/>
    </row>
    <row r="171" spans="1:19" ht="17.25" thickBot="1">
      <c r="A171" s="114" t="s">
        <v>116</v>
      </c>
      <c r="B171" s="115">
        <v>914</v>
      </c>
      <c r="C171" s="72">
        <v>-2.0364415899999998E-2</v>
      </c>
      <c r="D171" s="24">
        <v>910</v>
      </c>
      <c r="E171" s="25">
        <f t="shared" si="90"/>
        <v>-4.3763676148796497E-3</v>
      </c>
      <c r="F171" s="94">
        <f>IF(ISNUMBER(D171), $B172 * E171, "")</f>
        <v>-656.45514223194743</v>
      </c>
      <c r="G171" s="92">
        <v>918</v>
      </c>
      <c r="H171" s="25">
        <f t="shared" si="91"/>
        <v>4.3763676148796497E-3</v>
      </c>
      <c r="I171" s="93">
        <f>IF(ISNUMBER(G171), $B172 * H171, "")</f>
        <v>656.45514223194743</v>
      </c>
      <c r="J171" s="24">
        <v>916</v>
      </c>
      <c r="K171" s="25">
        <f t="shared" si="92"/>
        <v>2.1881838074398249E-3</v>
      </c>
      <c r="L171" s="94">
        <f>IF(ISNUMBER(J171), $B172 * K171, "")</f>
        <v>328.22757111597372</v>
      </c>
      <c r="M171" s="92">
        <v>911</v>
      </c>
      <c r="N171" s="25">
        <f t="shared" si="93"/>
        <v>-3.2822757111597373E-3</v>
      </c>
      <c r="O171" s="94">
        <f>IF(ISNUMBER(M171), $B172 * N171, "")</f>
        <v>-492.3413566739606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9.5729515587436955E-4</v>
      </c>
      <c r="F172" s="28">
        <f>SUM(F152:F171)</f>
        <v>2871.8854676231099</v>
      </c>
      <c r="G172" s="26" t="s">
        <v>258</v>
      </c>
      <c r="H172" s="27">
        <f>IF(COUNT(H152:H171), SUM(H152:H171) / COUNT(H152:H171), 0)</f>
        <v>6.7884359866798357E-3</v>
      </c>
      <c r="I172" s="28">
        <f>SUM(I152:I171)</f>
        <v>20365.30796003951</v>
      </c>
      <c r="J172" s="26" t="s">
        <v>258</v>
      </c>
      <c r="K172" s="27">
        <f>IF(COUNT(K152:K171), SUM(K152:K171) / COUNT(K152:K171), 0)</f>
        <v>6.476361579253377E-3</v>
      </c>
      <c r="L172" s="28">
        <f>SUM(L152:L171)</f>
        <v>19429.084737760135</v>
      </c>
      <c r="M172" s="26" t="s">
        <v>258</v>
      </c>
      <c r="N172" s="27">
        <f>IF(COUNT(N152:N171), SUM(N152:N171) / COUNT(N152:N171), 0)</f>
        <v>7.449254022612341E-4</v>
      </c>
      <c r="O172" s="28">
        <f>SUM(O152:O171)</f>
        <v>2234.7762067837016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2023-01-03(화) 오전 00:00</v>
      </c>
      <c r="C177" s="198"/>
      <c r="D177" s="170" t="str">
        <f>TEXT($G$1, "[$-ko-KR]yyyy-mm-dd(ddd) ") &amp; "오후 14:00"</f>
        <v>2023-01-03(화) 오후 14:00</v>
      </c>
      <c r="E177" s="171"/>
      <c r="F177" s="172"/>
      <c r="G177" s="170" t="str">
        <f>TEXT($G$1, "[$-ko-KR]yyyy-mm-dd(ddd) ") &amp; "오후 19:00"</f>
        <v>2023-01-03(화) 오후 19:00</v>
      </c>
      <c r="H177" s="171"/>
      <c r="I177" s="172"/>
      <c r="J177" s="170" t="str">
        <f>TEXT($G$1, "[$-ko-KR]yyyy-mm-dd(ddd) ") &amp; "오후 21:00"</f>
        <v>2023-01-03(화) 오후 21:00</v>
      </c>
      <c r="K177" s="171"/>
      <c r="L177" s="172"/>
      <c r="M177" s="170" t="str">
        <f>TEXT($G$1+1, "[$-ko-KR]yyyy-mm-dd(ddd) ") &amp; "오전 00:00"</f>
        <v>2023-01-04(수)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241</v>
      </c>
      <c r="B179" s="108">
        <v>87</v>
      </c>
      <c r="C179" s="69">
        <v>0</v>
      </c>
      <c r="D179" s="13">
        <v>86.4</v>
      </c>
      <c r="E179" s="14">
        <f>IF(ISNUMBER(D179), (D179 - $B179) / $B179, "")</f>
        <v>-6.8965517241378659E-3</v>
      </c>
      <c r="F179" s="16">
        <f>IF(ISNUMBER(D179), $B199 * E179, "")</f>
        <v>-1034.48275862068</v>
      </c>
      <c r="G179" s="29">
        <v>86.3</v>
      </c>
      <c r="H179" s="14">
        <f>IF(ISNUMBER(G179), (G179 - $B179) / $B179, "")</f>
        <v>-8.0459770114942857E-3</v>
      </c>
      <c r="I179" s="90">
        <f>IF(ISNUMBER(G179), $B199 * H179, "")</f>
        <v>-1206.8965517241429</v>
      </c>
      <c r="J179" s="13">
        <v>86.5</v>
      </c>
      <c r="K179" s="14">
        <f>IF(ISNUMBER(J179), (J179 - $B179) / $B179, "")</f>
        <v>-5.7471264367816091E-3</v>
      </c>
      <c r="L179" s="16">
        <f>IF(ISNUMBER(J179), $B199 * K179, "")</f>
        <v>-862.06896551724139</v>
      </c>
      <c r="M179" s="29">
        <v>86</v>
      </c>
      <c r="N179" s="14">
        <f>IF(ISNUMBER(M179), (M179 - $B179) / $B179, "")</f>
        <v>-1.1494252873563218E-2</v>
      </c>
      <c r="O179" s="16">
        <f>IF(ISNUMBER(M179), $B199 * N179, "")</f>
        <v>-1724.1379310344828</v>
      </c>
      <c r="Q179" s="156"/>
      <c r="R179" s="156"/>
      <c r="S179" s="156"/>
    </row>
    <row r="180" spans="1:19" ht="17.25" thickBot="1">
      <c r="A180" s="109" t="s">
        <v>97</v>
      </c>
      <c r="B180" s="110">
        <v>8.0000000000000004E-4</v>
      </c>
      <c r="C180" s="70">
        <v>0</v>
      </c>
      <c r="D180" s="15">
        <v>8.0000000000000004E-4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8.0000000000000004E-4</v>
      </c>
      <c r="H180" s="32">
        <f t="shared" ref="H180:H183" si="95">IF(ISNUMBER(G180), (G180 - $B180) / $B180, "")</f>
        <v>0</v>
      </c>
      <c r="I180" s="91">
        <f>IF(ISNUMBER(G180), $B199 * H180, "")</f>
        <v>0</v>
      </c>
      <c r="J180" s="15">
        <v>8.0000000000000004E-4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8.0000000000000004E-4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56"/>
      <c r="R180" s="156"/>
      <c r="S180" s="156"/>
    </row>
    <row r="181" spans="1:19" ht="17.25" thickBot="1">
      <c r="A181" s="109" t="s">
        <v>215</v>
      </c>
      <c r="B181" s="110">
        <v>281</v>
      </c>
      <c r="C181" s="70">
        <v>0</v>
      </c>
      <c r="D181" s="15">
        <v>283</v>
      </c>
      <c r="E181" s="32">
        <f t="shared" si="94"/>
        <v>7.1174377224199285E-3</v>
      </c>
      <c r="F181" s="18">
        <f>IF(ISNUMBER(D181), $B199 * E181, "")</f>
        <v>1067.6156583629893</v>
      </c>
      <c r="G181" s="31">
        <v>284</v>
      </c>
      <c r="H181" s="32">
        <f t="shared" si="95"/>
        <v>1.0676156583629894E-2</v>
      </c>
      <c r="I181" s="91">
        <f>IF(ISNUMBER(G181), $B199 * H181, "")</f>
        <v>1601.423487544484</v>
      </c>
      <c r="J181" s="15">
        <v>284</v>
      </c>
      <c r="K181" s="32">
        <f t="shared" si="96"/>
        <v>1.0676156583629894E-2</v>
      </c>
      <c r="L181" s="18">
        <f>IF(ISNUMBER(J181), $B199 * K181, "")</f>
        <v>1601.423487544484</v>
      </c>
      <c r="M181" s="31">
        <v>283</v>
      </c>
      <c r="N181" s="32">
        <f t="shared" si="97"/>
        <v>7.1174377224199285E-3</v>
      </c>
      <c r="O181" s="18">
        <f>IF(ISNUMBER(M181), $B199 * N181, "")</f>
        <v>1067.6156583629893</v>
      </c>
      <c r="Q181" s="146"/>
      <c r="R181" s="146"/>
      <c r="S181" s="146"/>
    </row>
    <row r="182" spans="1:19" ht="17.25" thickBot="1">
      <c r="A182" s="109" t="s">
        <v>64</v>
      </c>
      <c r="B182" s="110">
        <v>8.83</v>
      </c>
      <c r="C182" s="70">
        <v>0</v>
      </c>
      <c r="D182" s="15">
        <v>8.99</v>
      </c>
      <c r="E182" s="32">
        <f t="shared" si="94"/>
        <v>1.8120045300113265E-2</v>
      </c>
      <c r="F182" s="18">
        <f>IF(ISNUMBER(D182), $B199 * E182, "")</f>
        <v>2718.0067950169896</v>
      </c>
      <c r="G182" s="31">
        <v>9.0500000000000007</v>
      </c>
      <c r="H182" s="32">
        <f t="shared" si="95"/>
        <v>2.491506228765579E-2</v>
      </c>
      <c r="I182" s="91">
        <f>IF(ISNUMBER(G182), $B199 * H182, "")</f>
        <v>3737.2593431483683</v>
      </c>
      <c r="J182" s="15">
        <v>8.99</v>
      </c>
      <c r="K182" s="32">
        <f t="shared" si="96"/>
        <v>1.8120045300113265E-2</v>
      </c>
      <c r="L182" s="18">
        <f>IF(ISNUMBER(J182), $B199 * K182, "")</f>
        <v>2718.0067950169896</v>
      </c>
      <c r="M182" s="31">
        <v>8.9</v>
      </c>
      <c r="N182" s="32">
        <f t="shared" si="97"/>
        <v>7.9275198187995794E-3</v>
      </c>
      <c r="O182" s="18">
        <f>IF(ISNUMBER(M182), $B199 * N182, "")</f>
        <v>1189.127972819937</v>
      </c>
      <c r="Q182" s="146"/>
      <c r="R182" s="146"/>
      <c r="S182" s="146"/>
    </row>
    <row r="183" spans="1:19" ht="17.25" thickBot="1">
      <c r="A183" s="111" t="s">
        <v>211</v>
      </c>
      <c r="B183" s="112">
        <v>917</v>
      </c>
      <c r="C183" s="71">
        <v>0</v>
      </c>
      <c r="D183" s="20">
        <v>921</v>
      </c>
      <c r="E183" s="21">
        <f t="shared" si="94"/>
        <v>4.3620501635768813E-3</v>
      </c>
      <c r="F183" s="22">
        <f>IF(ISNUMBER(D183), $B199 * E183, "")</f>
        <v>654.30752453653224</v>
      </c>
      <c r="G183" s="30">
        <v>920</v>
      </c>
      <c r="H183" s="21">
        <f t="shared" si="95"/>
        <v>3.2715376226826608E-3</v>
      </c>
      <c r="I183" s="95">
        <f>IF(ISNUMBER(G183), $B199 * H183, "")</f>
        <v>490.7306434023991</v>
      </c>
      <c r="J183" s="20">
        <v>918</v>
      </c>
      <c r="K183" s="21">
        <f t="shared" si="96"/>
        <v>1.0905125408942203E-3</v>
      </c>
      <c r="L183" s="22">
        <f>IF(ISNUMBER(J183), $B199 * K183, "")</f>
        <v>163.57688113413306</v>
      </c>
      <c r="M183" s="30">
        <v>913</v>
      </c>
      <c r="N183" s="21">
        <f t="shared" si="97"/>
        <v>-4.3620501635768813E-3</v>
      </c>
      <c r="O183" s="22">
        <f>IF(ISNUMBER(M183), $B199 * N183, "")</f>
        <v>-654.30752453653224</v>
      </c>
      <c r="Q183" s="146"/>
      <c r="R183" s="146"/>
      <c r="S183" s="146"/>
    </row>
    <row r="184" spans="1:19" ht="17.25" thickBot="1">
      <c r="A184" s="109" t="s">
        <v>176</v>
      </c>
      <c r="B184" s="113">
        <v>281</v>
      </c>
      <c r="C184" s="73">
        <v>0</v>
      </c>
      <c r="D184" s="96">
        <v>278</v>
      </c>
      <c r="E184" s="97">
        <f>IF(ISNUMBER(D184), (D184 - $B184) / $B184, "")</f>
        <v>-1.0676156583629894E-2</v>
      </c>
      <c r="F184" s="98">
        <f>IF(ISNUMBER(D184), $B199 * E184, "")</f>
        <v>-1601.423487544484</v>
      </c>
      <c r="G184" s="99">
        <v>280</v>
      </c>
      <c r="H184" s="97">
        <f>IF(ISNUMBER(G184), (G184 - $B184) / $B184, "")</f>
        <v>-3.5587188612099642E-3</v>
      </c>
      <c r="I184" s="100">
        <f>IF(ISNUMBER(G184), $B199 * H184, "")</f>
        <v>-533.80782918149464</v>
      </c>
      <c r="J184" s="96">
        <v>280</v>
      </c>
      <c r="K184" s="97">
        <f>IF(ISNUMBER(J184), (J184 - $B184) / $B184, "")</f>
        <v>-3.5587188612099642E-3</v>
      </c>
      <c r="L184" s="98">
        <f>IF(ISNUMBER(J184), $B199 * K184, "")</f>
        <v>-533.80782918149464</v>
      </c>
      <c r="M184" s="99">
        <v>279</v>
      </c>
      <c r="N184" s="97">
        <f>IF(ISNUMBER(M184), (M184 - $B184) / $B184, "")</f>
        <v>-7.1174377224199285E-3</v>
      </c>
      <c r="O184" s="98">
        <f>IF(ISNUMBER(M184), $B199 * N184, "")</f>
        <v>-1067.6156583629893</v>
      </c>
      <c r="Q184" s="146"/>
      <c r="R184" s="146"/>
      <c r="S184" s="146"/>
    </row>
    <row r="185" spans="1:19" ht="17.25" thickBot="1">
      <c r="A185" s="109" t="s">
        <v>101</v>
      </c>
      <c r="B185" s="110">
        <v>195</v>
      </c>
      <c r="C185" s="70">
        <v>0</v>
      </c>
      <c r="D185" s="15">
        <v>197</v>
      </c>
      <c r="E185" s="32">
        <f t="shared" ref="E185:E188" si="98">IF(ISNUMBER(D185), (D185 - $B185) / $B185, "")</f>
        <v>1.0256410256410256E-2</v>
      </c>
      <c r="F185" s="18">
        <f>IF(ISNUMBER(D185), $B199 * E185, "")</f>
        <v>1538.4615384615386</v>
      </c>
      <c r="G185" s="31">
        <v>198</v>
      </c>
      <c r="H185" s="32">
        <f t="shared" ref="H185:H188" si="99">IF(ISNUMBER(G185), (G185 - $B185) / $B185, "")</f>
        <v>1.5384615384615385E-2</v>
      </c>
      <c r="I185" s="91">
        <f>IF(ISNUMBER(G185), $B199 * H185, "")</f>
        <v>2307.6923076923076</v>
      </c>
      <c r="J185" s="15">
        <v>197</v>
      </c>
      <c r="K185" s="32">
        <f t="shared" ref="K185:K188" si="100">IF(ISNUMBER(J185), (J185 - $B185) / $B185, "")</f>
        <v>1.0256410256410256E-2</v>
      </c>
      <c r="L185" s="18">
        <f>IF(ISNUMBER(J185), $B199 * K185, "")</f>
        <v>1538.4615384615386</v>
      </c>
      <c r="M185" s="31">
        <v>196</v>
      </c>
      <c r="N185" s="32">
        <f t="shared" ref="N185:N188" si="101">IF(ISNUMBER(M185), (M185 - $B185) / $B185, "")</f>
        <v>5.1282051282051282E-3</v>
      </c>
      <c r="O185" s="18">
        <f>IF(ISNUMBER(M185), $B199 * N185, "")</f>
        <v>769.23076923076928</v>
      </c>
      <c r="Q185" s="146"/>
      <c r="R185" s="146"/>
      <c r="S185" s="146"/>
    </row>
    <row r="186" spans="1:19" ht="17.25" thickBot="1">
      <c r="A186" s="109" t="s">
        <v>321</v>
      </c>
      <c r="B186" s="110">
        <v>153</v>
      </c>
      <c r="C186" s="70">
        <v>0</v>
      </c>
      <c r="D186" s="15">
        <v>154</v>
      </c>
      <c r="E186" s="32">
        <f t="shared" si="98"/>
        <v>6.5359477124183009E-3</v>
      </c>
      <c r="F186" s="18">
        <f>IF(ISNUMBER(D186), $B199 * E186, "")</f>
        <v>980.39215686274508</v>
      </c>
      <c r="G186" s="31">
        <v>155</v>
      </c>
      <c r="H186" s="32">
        <f t="shared" si="99"/>
        <v>1.3071895424836602E-2</v>
      </c>
      <c r="I186" s="91">
        <f>IF(ISNUMBER(G186), $B199 * H186, "")</f>
        <v>1960.7843137254902</v>
      </c>
      <c r="J186" s="15">
        <v>155</v>
      </c>
      <c r="K186" s="32">
        <f t="shared" si="100"/>
        <v>1.3071895424836602E-2</v>
      </c>
      <c r="L186" s="18">
        <f>IF(ISNUMBER(J186), $B199 * K186, "")</f>
        <v>1960.7843137254902</v>
      </c>
      <c r="M186" s="31">
        <v>154</v>
      </c>
      <c r="N186" s="32">
        <f t="shared" si="101"/>
        <v>6.5359477124183009E-3</v>
      </c>
      <c r="O186" s="18">
        <f>IF(ISNUMBER(M186), $B199 * N186, "")</f>
        <v>980.39215686274508</v>
      </c>
      <c r="Q186" s="146"/>
      <c r="R186" s="146"/>
      <c r="S186" s="146"/>
    </row>
    <row r="187" spans="1:19" ht="17.25" thickBot="1">
      <c r="A187" s="109" t="s">
        <v>167</v>
      </c>
      <c r="B187" s="110">
        <v>157</v>
      </c>
      <c r="C187" s="70">
        <v>0</v>
      </c>
      <c r="D187" s="15">
        <v>158</v>
      </c>
      <c r="E187" s="32">
        <f t="shared" si="98"/>
        <v>6.369426751592357E-3</v>
      </c>
      <c r="F187" s="18">
        <f>IF(ISNUMBER(D187), $B199 * E187, "")</f>
        <v>955.41401273885356</v>
      </c>
      <c r="G187" s="31">
        <v>159</v>
      </c>
      <c r="H187" s="32">
        <f t="shared" si="99"/>
        <v>1.2738853503184714E-2</v>
      </c>
      <c r="I187" s="91">
        <f>IF(ISNUMBER(G187), $B199 * H187, "")</f>
        <v>1910.8280254777071</v>
      </c>
      <c r="J187" s="15">
        <v>160</v>
      </c>
      <c r="K187" s="32">
        <f t="shared" si="100"/>
        <v>1.9108280254777069E-2</v>
      </c>
      <c r="L187" s="18">
        <f>IF(ISNUMBER(J187), $B199 * K187, "")</f>
        <v>2866.2420382165606</v>
      </c>
      <c r="M187" s="31">
        <v>158</v>
      </c>
      <c r="N187" s="32">
        <f t="shared" si="101"/>
        <v>6.369426751592357E-3</v>
      </c>
      <c r="O187" s="18">
        <f>IF(ISNUMBER(M187), $B199 * N187, "")</f>
        <v>955.41401273885356</v>
      </c>
      <c r="Q187" s="33"/>
      <c r="R187" s="33"/>
    </row>
    <row r="188" spans="1:19" ht="17.25" thickBot="1">
      <c r="A188" s="114" t="s">
        <v>213</v>
      </c>
      <c r="B188" s="115">
        <v>405</v>
      </c>
      <c r="C188" s="72">
        <v>0</v>
      </c>
      <c r="D188" s="24">
        <v>405</v>
      </c>
      <c r="E188" s="25">
        <f t="shared" si="98"/>
        <v>0</v>
      </c>
      <c r="F188" s="94">
        <f>IF(ISNUMBER(D188), $B199 * E188, "")</f>
        <v>0</v>
      </c>
      <c r="G188" s="92">
        <v>408</v>
      </c>
      <c r="H188" s="25">
        <f t="shared" si="99"/>
        <v>7.4074074074074077E-3</v>
      </c>
      <c r="I188" s="93">
        <f>IF(ISNUMBER(G188), $B199 * H188, "")</f>
        <v>1111.1111111111111</v>
      </c>
      <c r="J188" s="24">
        <v>410</v>
      </c>
      <c r="K188" s="25">
        <f t="shared" si="100"/>
        <v>1.2345679012345678E-2</v>
      </c>
      <c r="L188" s="94">
        <f>IF(ISNUMBER(J188), $B199 * K188, "")</f>
        <v>1851.8518518518517</v>
      </c>
      <c r="M188" s="92">
        <v>402</v>
      </c>
      <c r="N188" s="25">
        <f t="shared" si="101"/>
        <v>-7.4074074074074077E-3</v>
      </c>
      <c r="O188" s="94">
        <f>IF(ISNUMBER(M188), $B199 * N188, "")</f>
        <v>-1111.1111111111111</v>
      </c>
      <c r="Q188" s="147"/>
      <c r="R188" s="148"/>
      <c r="S188" s="149"/>
    </row>
    <row r="189" spans="1:19">
      <c r="A189" s="107" t="s">
        <v>141</v>
      </c>
      <c r="B189" s="108">
        <v>2.91</v>
      </c>
      <c r="C189" s="69">
        <v>0</v>
      </c>
      <c r="D189" s="13">
        <v>2.92</v>
      </c>
      <c r="E189" s="14">
        <f>IF(ISNUMBER(D189), (D189 - $B189) / $B189, "")</f>
        <v>3.4364261168384146E-3</v>
      </c>
      <c r="F189" s="16">
        <f>IF(ISNUMBER(D189), $B199 * E189, "")</f>
        <v>515.46391752576221</v>
      </c>
      <c r="G189" s="29">
        <v>2.94</v>
      </c>
      <c r="H189" s="14">
        <f>IF(ISNUMBER(G189), (G189 - $B189) / $B189, "")</f>
        <v>1.0309278350515396E-2</v>
      </c>
      <c r="I189" s="90">
        <f>IF(ISNUMBER(G189), $B199 * H189, "")</f>
        <v>1546.3917525773095</v>
      </c>
      <c r="J189" s="13">
        <v>2.94</v>
      </c>
      <c r="K189" s="14">
        <f>IF(ISNUMBER(J189), (J189 - $B189) / $B189, "")</f>
        <v>1.0309278350515396E-2</v>
      </c>
      <c r="L189" s="16">
        <f>IF(ISNUMBER(J189), $B199 * K189, "")</f>
        <v>1546.3917525773095</v>
      </c>
      <c r="M189" s="29">
        <v>2.92</v>
      </c>
      <c r="N189" s="14">
        <f>IF(ISNUMBER(M189), (M189 - $B189) / $B189, "")</f>
        <v>3.4364261168384146E-3</v>
      </c>
      <c r="O189" s="16">
        <f>IF(ISNUMBER(M189), $B199 * N189, "")</f>
        <v>515.46391752576221</v>
      </c>
      <c r="Q189" s="150"/>
      <c r="R189" s="151"/>
      <c r="S189" s="152"/>
    </row>
    <row r="190" spans="1:19" ht="17.25" thickBot="1">
      <c r="A190" s="109" t="s">
        <v>235</v>
      </c>
      <c r="B190" s="110">
        <v>498</v>
      </c>
      <c r="C190" s="70">
        <v>0</v>
      </c>
      <c r="D190" s="15">
        <v>502</v>
      </c>
      <c r="E190" s="32">
        <f t="shared" ref="E190:E193" si="102">IF(ISNUMBER(D190), (D190 - $B190) / $B190, "")</f>
        <v>8.0321285140562242E-3</v>
      </c>
      <c r="F190" s="18">
        <f>IF(ISNUMBER(D190), $B199 * E190, "")</f>
        <v>1204.8192771084337</v>
      </c>
      <c r="G190" s="31">
        <v>503</v>
      </c>
      <c r="H190" s="32">
        <f t="shared" ref="H190:H193" si="103">IF(ISNUMBER(G190), (G190 - $B190) / $B190, "")</f>
        <v>1.0040160642570281E-2</v>
      </c>
      <c r="I190" s="91">
        <f>IF(ISNUMBER(G190), $B199 * H190, "")</f>
        <v>1506.0240963855422</v>
      </c>
      <c r="J190" s="15">
        <v>503</v>
      </c>
      <c r="K190" s="32">
        <f t="shared" ref="K190:K193" si="104">IF(ISNUMBER(J190), (J190 - $B190) / $B190, "")</f>
        <v>1.0040160642570281E-2</v>
      </c>
      <c r="L190" s="18">
        <f>IF(ISNUMBER(J190), $B199 * K190, "")</f>
        <v>1506.0240963855422</v>
      </c>
      <c r="M190" s="31">
        <v>501</v>
      </c>
      <c r="N190" s="32">
        <f t="shared" ref="N190:N193" si="105">IF(ISNUMBER(M190), (M190 - $B190) / $B190, "")</f>
        <v>6.024096385542169E-3</v>
      </c>
      <c r="O190" s="18">
        <f>IF(ISNUMBER(M190), $B199 * N190, "")</f>
        <v>903.61445783132535</v>
      </c>
      <c r="Q190" s="153"/>
      <c r="R190" s="154"/>
      <c r="S190" s="155"/>
    </row>
    <row r="191" spans="1:19" ht="17.25" thickBot="1">
      <c r="A191" s="109" t="s">
        <v>122</v>
      </c>
      <c r="B191" s="110">
        <v>20.399999999999999</v>
      </c>
      <c r="C191" s="70">
        <v>0</v>
      </c>
      <c r="D191" s="15">
        <v>20.399999999999999</v>
      </c>
      <c r="E191" s="32">
        <f t="shared" si="102"/>
        <v>0</v>
      </c>
      <c r="F191" s="18">
        <f>IF(ISNUMBER(D191), $B199 * E191, "")</f>
        <v>0</v>
      </c>
      <c r="G191" s="31">
        <v>20.6</v>
      </c>
      <c r="H191" s="32">
        <f t="shared" si="103"/>
        <v>9.8039215686275914E-3</v>
      </c>
      <c r="I191" s="91">
        <f>IF(ISNUMBER(G191), $B199 * H191, "")</f>
        <v>1470.5882352941387</v>
      </c>
      <c r="J191" s="15">
        <v>20.6</v>
      </c>
      <c r="K191" s="32">
        <f t="shared" si="104"/>
        <v>9.8039215686275914E-3</v>
      </c>
      <c r="L191" s="18">
        <f>IF(ISNUMBER(J191), $B199 * K191, "")</f>
        <v>1470.5882352941387</v>
      </c>
      <c r="M191" s="31">
        <v>20.6</v>
      </c>
      <c r="N191" s="32">
        <f t="shared" si="105"/>
        <v>9.8039215686275914E-3</v>
      </c>
      <c r="O191" s="18">
        <f>IF(ISNUMBER(M191), $B199 * N191, "")</f>
        <v>1470.5882352941387</v>
      </c>
      <c r="Q191" s="146"/>
      <c r="R191" s="146"/>
      <c r="S191" s="146"/>
    </row>
    <row r="192" spans="1:19" ht="17.25" thickBot="1">
      <c r="A192" s="109" t="s">
        <v>71</v>
      </c>
      <c r="B192" s="110">
        <v>9.92</v>
      </c>
      <c r="C192" s="70">
        <v>-1.0070493E-3</v>
      </c>
      <c r="D192" s="15">
        <v>9.8000000000000007</v>
      </c>
      <c r="E192" s="32">
        <f t="shared" si="102"/>
        <v>-1.2096774193548309E-2</v>
      </c>
      <c r="F192" s="18">
        <f>IF(ISNUMBER(D192), $B199 * E192, "")</f>
        <v>-1814.5161290322462</v>
      </c>
      <c r="G192" s="31">
        <v>9.85</v>
      </c>
      <c r="H192" s="32">
        <f t="shared" si="103"/>
        <v>-7.0564516129032542E-3</v>
      </c>
      <c r="I192" s="91">
        <f>IF(ISNUMBER(G192), $B199 * H192, "")</f>
        <v>-1058.4677419354882</v>
      </c>
      <c r="J192" s="15">
        <v>9.8000000000000007</v>
      </c>
      <c r="K192" s="32">
        <f t="shared" si="104"/>
        <v>-1.2096774193548309E-2</v>
      </c>
      <c r="L192" s="18">
        <f>IF(ISNUMBER(J192), $B199 * K192, "")</f>
        <v>-1814.5161290322462</v>
      </c>
      <c r="M192" s="31">
        <v>9.7899999999999991</v>
      </c>
      <c r="N192" s="32">
        <f t="shared" si="105"/>
        <v>-1.3104838709677498E-2</v>
      </c>
      <c r="O192" s="18">
        <f>IF(ISNUMBER(M192), $B199 * N192, "")</f>
        <v>-1965.7258064516247</v>
      </c>
      <c r="Q192" s="156"/>
      <c r="R192" s="156"/>
      <c r="S192" s="156"/>
    </row>
    <row r="193" spans="1:19" ht="17.25" thickBot="1">
      <c r="A193" s="111" t="s">
        <v>136</v>
      </c>
      <c r="B193" s="112">
        <v>2565</v>
      </c>
      <c r="C193" s="71">
        <v>-1.9455252999999999E-3</v>
      </c>
      <c r="D193" s="20">
        <v>2570</v>
      </c>
      <c r="E193" s="21">
        <f t="shared" si="102"/>
        <v>1.9493177387914229E-3</v>
      </c>
      <c r="F193" s="22">
        <f>IF(ISNUMBER(D193), $B199 * E193, "")</f>
        <v>292.39766081871346</v>
      </c>
      <c r="G193" s="30">
        <v>2590</v>
      </c>
      <c r="H193" s="21">
        <f t="shared" si="103"/>
        <v>9.7465886939571145E-3</v>
      </c>
      <c r="I193" s="95">
        <f>IF(ISNUMBER(G193), $B199 * H193, "")</f>
        <v>1461.9883040935672</v>
      </c>
      <c r="J193" s="20">
        <v>2590</v>
      </c>
      <c r="K193" s="21">
        <f t="shared" si="104"/>
        <v>9.7465886939571145E-3</v>
      </c>
      <c r="L193" s="22">
        <f>IF(ISNUMBER(J193), $B199 * K193, "")</f>
        <v>1461.9883040935672</v>
      </c>
      <c r="M193" s="30">
        <v>2580</v>
      </c>
      <c r="N193" s="21">
        <f t="shared" si="105"/>
        <v>5.8479532163742687E-3</v>
      </c>
      <c r="O193" s="22">
        <f>IF(ISNUMBER(M193), $B199 * N193, "")</f>
        <v>877.19298245614027</v>
      </c>
      <c r="Q193" s="156"/>
      <c r="R193" s="156"/>
      <c r="S193" s="156"/>
    </row>
    <row r="194" spans="1:19" ht="17.25" thickBot="1">
      <c r="A194" s="109" t="s">
        <v>165</v>
      </c>
      <c r="B194" s="113">
        <v>878</v>
      </c>
      <c r="C194" s="73">
        <v>-4.5351473999999999E-3</v>
      </c>
      <c r="D194" s="96">
        <v>881</v>
      </c>
      <c r="E194" s="97">
        <f>IF(ISNUMBER(D194), (D194 - $B194) / $B194, "")</f>
        <v>3.4168564920273349E-3</v>
      </c>
      <c r="F194" s="98">
        <f>IF(ISNUMBER(D194), $B199 * E194, "")</f>
        <v>512.52847380410026</v>
      </c>
      <c r="G194" s="99">
        <v>885</v>
      </c>
      <c r="H194" s="97">
        <f>IF(ISNUMBER(G194), (G194 - $B194) / $B194, "")</f>
        <v>7.972665148063782E-3</v>
      </c>
      <c r="I194" s="100">
        <f>IF(ISNUMBER(G194), $B199 * H194, "")</f>
        <v>1195.8997722095673</v>
      </c>
      <c r="J194" s="96">
        <v>883</v>
      </c>
      <c r="K194" s="97">
        <f>IF(ISNUMBER(J194), (J194 - $B194) / $B194, "")</f>
        <v>5.6947608200455585E-3</v>
      </c>
      <c r="L194" s="98">
        <f>IF(ISNUMBER(J194), $B199 * K194, "")</f>
        <v>854.2141230068338</v>
      </c>
      <c r="M194" s="99">
        <v>878</v>
      </c>
      <c r="N194" s="97">
        <f>IF(ISNUMBER(M194), (M194 - $B194) / $B194, "")</f>
        <v>0</v>
      </c>
      <c r="O194" s="98">
        <f>IF(ISNUMBER(M194), $B199 * N194, "")</f>
        <v>0</v>
      </c>
      <c r="Q194" s="146"/>
      <c r="R194" s="146"/>
      <c r="S194" s="146"/>
    </row>
    <row r="195" spans="1:19" ht="17.25" thickBot="1">
      <c r="A195" s="109" t="s">
        <v>317</v>
      </c>
      <c r="B195" s="110">
        <v>566</v>
      </c>
      <c r="C195" s="70">
        <v>-1.04895105E-2</v>
      </c>
      <c r="D195" s="15">
        <v>564</v>
      </c>
      <c r="E195" s="32">
        <f t="shared" ref="E195:E198" si="106">IF(ISNUMBER(D195), (D195 - $B195) / $B195, "")</f>
        <v>-3.5335689045936395E-3</v>
      </c>
      <c r="F195" s="18">
        <f>IF(ISNUMBER(D195), $B199 * E195, "")</f>
        <v>-530.03533568904595</v>
      </c>
      <c r="G195" s="31">
        <v>566</v>
      </c>
      <c r="H195" s="32">
        <f t="shared" ref="H195:H198" si="107">IF(ISNUMBER(G195), (G195 - $B195) / $B195, "")</f>
        <v>0</v>
      </c>
      <c r="I195" s="91">
        <f>IF(ISNUMBER(G195), $B199 * H195, "")</f>
        <v>0</v>
      </c>
      <c r="J195" s="15">
        <v>567</v>
      </c>
      <c r="K195" s="32">
        <f t="shared" ref="K195:K198" si="108">IF(ISNUMBER(J195), (J195 - $B195) / $B195, "")</f>
        <v>1.7667844522968198E-3</v>
      </c>
      <c r="L195" s="18">
        <f>IF(ISNUMBER(J195), $B199 * K195, "")</f>
        <v>265.01766784452298</v>
      </c>
      <c r="M195" s="31">
        <v>565</v>
      </c>
      <c r="N195" s="32">
        <f t="shared" ref="N195:N198" si="109">IF(ISNUMBER(M195), (M195 - $B195) / $B195, "")</f>
        <v>-1.7667844522968198E-3</v>
      </c>
      <c r="O195" s="18">
        <f>IF(ISNUMBER(M195), $B199 * N195, "")</f>
        <v>-265.01766784452298</v>
      </c>
      <c r="Q195" s="146"/>
      <c r="R195" s="146"/>
      <c r="S195" s="146"/>
    </row>
    <row r="196" spans="1:19" ht="17.25" thickBot="1">
      <c r="A196" s="109" t="s">
        <v>350</v>
      </c>
      <c r="B196" s="110">
        <v>5.56</v>
      </c>
      <c r="C196" s="70">
        <v>-1.4184397200000001E-2</v>
      </c>
      <c r="D196" s="15">
        <v>5.57</v>
      </c>
      <c r="E196" s="32">
        <f t="shared" si="106"/>
        <v>1.7985611510792582E-3</v>
      </c>
      <c r="F196" s="18">
        <f>IF(ISNUMBER(D196), $B199 * E196, "")</f>
        <v>269.78417266188876</v>
      </c>
      <c r="G196" s="31">
        <v>5.59</v>
      </c>
      <c r="H196" s="32">
        <f t="shared" si="107"/>
        <v>5.3956834532374555E-3</v>
      </c>
      <c r="I196" s="91">
        <f>IF(ISNUMBER(G196), $B199 * H196, "")</f>
        <v>809.35251798561831</v>
      </c>
      <c r="J196" s="15">
        <v>5.6</v>
      </c>
      <c r="K196" s="32">
        <f t="shared" si="108"/>
        <v>7.1942446043165541E-3</v>
      </c>
      <c r="L196" s="18">
        <f>IF(ISNUMBER(J196), $B199 * K196, "")</f>
        <v>1079.1366906474832</v>
      </c>
      <c r="M196" s="31">
        <v>5.58</v>
      </c>
      <c r="N196" s="32">
        <f t="shared" si="109"/>
        <v>3.5971223021583568E-3</v>
      </c>
      <c r="O196" s="18">
        <f>IF(ISNUMBER(M196), $B199 * N196, "")</f>
        <v>539.56834532375353</v>
      </c>
      <c r="Q196" s="146"/>
      <c r="R196" s="146"/>
      <c r="S196" s="146"/>
    </row>
    <row r="197" spans="1:19">
      <c r="A197" s="109" t="s">
        <v>116</v>
      </c>
      <c r="B197" s="110">
        <v>914</v>
      </c>
      <c r="C197" s="70">
        <v>-2.0364415899999998E-2</v>
      </c>
      <c r="D197" s="15">
        <v>910</v>
      </c>
      <c r="E197" s="32">
        <f t="shared" si="106"/>
        <v>-4.3763676148796497E-3</v>
      </c>
      <c r="F197" s="18">
        <f>IF(ISNUMBER(D197), $B199 * E197, "")</f>
        <v>-656.45514223194743</v>
      </c>
      <c r="G197" s="31">
        <v>918</v>
      </c>
      <c r="H197" s="32">
        <f t="shared" si="107"/>
        <v>4.3763676148796497E-3</v>
      </c>
      <c r="I197" s="91">
        <f>IF(ISNUMBER(G197), $B199 * H197, "")</f>
        <v>656.45514223194743</v>
      </c>
      <c r="J197" s="15">
        <v>916</v>
      </c>
      <c r="K197" s="32">
        <f t="shared" si="108"/>
        <v>2.1881838074398249E-3</v>
      </c>
      <c r="L197" s="18">
        <f>IF(ISNUMBER(J197), $B199 * K197, "")</f>
        <v>328.22757111597372</v>
      </c>
      <c r="M197" s="31">
        <v>911</v>
      </c>
      <c r="N197" s="32">
        <f t="shared" si="109"/>
        <v>-3.2822757111597373E-3</v>
      </c>
      <c r="O197" s="18">
        <f>IF(ISNUMBER(M197), $B199 * N197, "")</f>
        <v>-492.3413566739606</v>
      </c>
      <c r="Q197" s="135"/>
      <c r="R197" s="136"/>
      <c r="S197" s="137"/>
    </row>
    <row r="198" spans="1:19" ht="17.25" thickBot="1">
      <c r="A198" s="114" t="s">
        <v>113</v>
      </c>
      <c r="B198" s="115">
        <v>1060</v>
      </c>
      <c r="C198" s="72">
        <v>-2.7522935799999999E-2</v>
      </c>
      <c r="D198" s="24">
        <v>1070</v>
      </c>
      <c r="E198" s="25">
        <f t="shared" si="106"/>
        <v>9.433962264150943E-3</v>
      </c>
      <c r="F198" s="94">
        <f>IF(ISNUMBER(D198), $B199 * E198, "")</f>
        <v>1415.0943396226414</v>
      </c>
      <c r="G198" s="92">
        <v>1075</v>
      </c>
      <c r="H198" s="25">
        <f t="shared" si="107"/>
        <v>1.4150943396226415E-2</v>
      </c>
      <c r="I198" s="93">
        <f>IF(ISNUMBER(G198), $B199 * H198, "")</f>
        <v>2122.6415094339623</v>
      </c>
      <c r="J198" s="24">
        <v>1080</v>
      </c>
      <c r="K198" s="25">
        <f t="shared" si="108"/>
        <v>1.8867924528301886E-2</v>
      </c>
      <c r="L198" s="94">
        <f>IF(ISNUMBER(J198), $B199 * K198, "")</f>
        <v>2830.1886792452829</v>
      </c>
      <c r="M198" s="92">
        <v>1090</v>
      </c>
      <c r="N198" s="25">
        <f t="shared" si="109"/>
        <v>2.8301886792452831E-2</v>
      </c>
      <c r="O198" s="94">
        <f>IF(ISNUMBER(M198), $B199 * N198, "")</f>
        <v>4245.2830188679245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2.1624575581342615E-3</v>
      </c>
      <c r="F199" s="28">
        <f>SUM(F179:F198)</f>
        <v>6487.3726744027836</v>
      </c>
      <c r="G199" s="26" t="s">
        <v>258</v>
      </c>
      <c r="H199" s="27">
        <f>IF(COUNT(H179:H198), SUM(H179:H198) / COUNT(H179:H198), 0)</f>
        <v>7.0299994798241321E-3</v>
      </c>
      <c r="I199" s="28">
        <f>SUM(I179:I198)</f>
        <v>21089.998439472398</v>
      </c>
      <c r="J199" s="26" t="s">
        <v>258</v>
      </c>
      <c r="K199" s="27">
        <f>IF(COUNT(K179:K198), SUM(K179:K198) / COUNT(K179:K198), 0)</f>
        <v>6.9439103674769059E-3</v>
      </c>
      <c r="L199" s="28">
        <f>SUM(L179:L198)</f>
        <v>20831.73110243072</v>
      </c>
      <c r="M199" s="26" t="s">
        <v>258</v>
      </c>
      <c r="N199" s="27">
        <f>IF(COUNT(N179:N198), SUM(N179:N198) / COUNT(N179:N198), 0)</f>
        <v>2.0777448237663718E-3</v>
      </c>
      <c r="O199" s="28">
        <f>SUM(O179:O198)</f>
        <v>6233.2344712991153</v>
      </c>
      <c r="Q199" s="141"/>
      <c r="R199" s="142"/>
      <c r="S199" s="14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CB893-56E3-4C73-A693-7FBE8D70B794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44930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103,376 KRW (3.45%)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59,107 KRW (1.97%)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89,239 KRW (2.97%)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58,301 KRW (1.94%)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2023-01-04(수) 오전 00:00</v>
      </c>
      <c r="C15" s="196"/>
      <c r="D15" s="170" t="str">
        <f>TEXT($G$1, "[$-ko-KR]yyyy-mm-dd(ddd) ") &amp; "오후 14:00"</f>
        <v>2023-01-04(수) 오후 14:00</v>
      </c>
      <c r="E15" s="171"/>
      <c r="F15" s="172"/>
      <c r="G15" s="170" t="str">
        <f>TEXT($G$1, "[$-ko-KR]yyyy-mm-dd(ddd) ") &amp; "오후 19:00"</f>
        <v>2023-01-04(수) 오후 19:00</v>
      </c>
      <c r="H15" s="171"/>
      <c r="I15" s="172"/>
      <c r="J15" s="170" t="str">
        <f>TEXT($G$1, "[$-ko-KR]yyyy-mm-dd(ddd) ") &amp; "오후 21:00"</f>
        <v>2023-01-04(수) 오후 21:00</v>
      </c>
      <c r="K15" s="171"/>
      <c r="L15" s="172"/>
      <c r="M15" s="170" t="str">
        <f>TEXT($G$1+1, "[$-ko-KR]yyyy-mm-dd(ddd) ") &amp; "오전 00:00"</f>
        <v>2023-01-05(목)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2023-01-04(수) 오전 00:00</v>
      </c>
      <c r="C42" s="198"/>
      <c r="D42" s="170" t="str">
        <f>TEXT($G$1, "[$-ko-KR]yyyy-mm-dd(ddd) ") &amp; "오후 14:00"</f>
        <v>2023-01-04(수) 오후 14:00</v>
      </c>
      <c r="E42" s="171"/>
      <c r="F42" s="172"/>
      <c r="G42" s="170" t="str">
        <f>TEXT($G$1, "[$-ko-KR]yyyy-mm-dd(ddd) ") &amp; "오후 19:00"</f>
        <v>2023-01-04(수) 오후 19:00</v>
      </c>
      <c r="H42" s="171"/>
      <c r="I42" s="172"/>
      <c r="J42" s="170" t="str">
        <f>TEXT($G$1, "[$-ko-KR]yyyy-mm-dd(ddd) ") &amp; "오후 21:00"</f>
        <v>2023-01-04(수) 오후 21:00</v>
      </c>
      <c r="K42" s="171"/>
      <c r="L42" s="172"/>
      <c r="M42" s="170" t="str">
        <f>TEXT($G$1+1, "[$-ko-KR]yyyy-mm-dd(ddd) ") &amp; "오전 00:00"</f>
        <v>2023-01-05(목)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155</v>
      </c>
      <c r="B44" s="108">
        <v>24.5</v>
      </c>
      <c r="C44" s="69">
        <v>1.2396694200000001E-2</v>
      </c>
      <c r="D44" s="13">
        <v>24.8</v>
      </c>
      <c r="E44" s="14">
        <f>IF(ISNUMBER(D44), (D44 - $B44) / $B44, "")</f>
        <v>1.2244897959183702E-2</v>
      </c>
      <c r="F44" s="16">
        <f>IF(ISNUMBER(D44), $B64 * E44, "")</f>
        <v>1836.7346938775554</v>
      </c>
      <c r="G44" s="29">
        <v>24.8</v>
      </c>
      <c r="H44" s="14">
        <f>IF(ISNUMBER(G44), (G44 - $B44) / $B44, "")</f>
        <v>1.2244897959183702E-2</v>
      </c>
      <c r="I44" s="90">
        <f>IF(ISNUMBER(G44), $B64 * H44, "")</f>
        <v>1836.7346938775554</v>
      </c>
      <c r="J44" s="13">
        <v>24.9</v>
      </c>
      <c r="K44" s="14">
        <f>IF(ISNUMBER(J44), (J44 - $B44) / $B44, "")</f>
        <v>1.632653061224484E-2</v>
      </c>
      <c r="L44" s="16">
        <f>IF(ISNUMBER(J44), $B64 * K44, "")</f>
        <v>2448.9795918367263</v>
      </c>
      <c r="M44" s="29">
        <v>24.8</v>
      </c>
      <c r="N44" s="14">
        <f>IF(ISNUMBER(M44), (M44 - $B44) / $B44, "")</f>
        <v>1.2244897959183702E-2</v>
      </c>
      <c r="O44" s="16">
        <f>IF(ISNUMBER(M44), $B64 * N44, "")</f>
        <v>1836.7346938775554</v>
      </c>
      <c r="Q44" s="156"/>
      <c r="R44" s="156"/>
      <c r="S44" s="156"/>
    </row>
    <row r="45" spans="1:19" ht="17.25" customHeight="1" thickBot="1">
      <c r="A45" s="109" t="s">
        <v>203</v>
      </c>
      <c r="B45" s="110">
        <v>2.96</v>
      </c>
      <c r="C45" s="70">
        <v>1.02389078E-2</v>
      </c>
      <c r="D45" s="15">
        <v>3.02</v>
      </c>
      <c r="E45" s="32">
        <f t="shared" ref="E45:E48" si="14">IF(ISNUMBER(D45), (D45 - $B45) / $B45, "")</f>
        <v>2.0270270270270289E-2</v>
      </c>
      <c r="F45" s="18">
        <f>IF(ISNUMBER(D45), $B64 * E45, "")</f>
        <v>3040.5405405405431</v>
      </c>
      <c r="G45" s="31">
        <v>2.99</v>
      </c>
      <c r="H45" s="32">
        <f t="shared" ref="H45:H48" si="15">IF(ISNUMBER(G45), (G45 - $B45) / $B45, "")</f>
        <v>1.0135135135135219E-2</v>
      </c>
      <c r="I45" s="91">
        <f>IF(ISNUMBER(G45), $B64 * H45, "")</f>
        <v>1520.2702702702829</v>
      </c>
      <c r="J45" s="15">
        <v>3.01</v>
      </c>
      <c r="K45" s="32">
        <f t="shared" ref="K45:K48" si="16">IF(ISNUMBER(J45), (J45 - $B45) / $B45, "")</f>
        <v>1.689189189189183E-2</v>
      </c>
      <c r="L45" s="18">
        <f>IF(ISNUMBER(J45), $B64 * K45, "")</f>
        <v>2533.7837837837747</v>
      </c>
      <c r="M45" s="31">
        <v>3.01</v>
      </c>
      <c r="N45" s="32">
        <f t="shared" ref="N45:N48" si="17">IF(ISNUMBER(M45), (M45 - $B45) / $B45, "")</f>
        <v>1.689189189189183E-2</v>
      </c>
      <c r="O45" s="18">
        <f>IF(ISNUMBER(M45), $B64 * N45, "")</f>
        <v>2533.7837837837747</v>
      </c>
      <c r="Q45" s="156"/>
      <c r="R45" s="156"/>
      <c r="S45" s="156"/>
    </row>
    <row r="46" spans="1:19" ht="17.25" customHeight="1" thickBot="1">
      <c r="A46" s="109" t="s">
        <v>145</v>
      </c>
      <c r="B46" s="110">
        <v>70.7</v>
      </c>
      <c r="C46" s="70">
        <v>8.5592011000000003E-3</v>
      </c>
      <c r="D46" s="15">
        <v>71.099999999999994</v>
      </c>
      <c r="E46" s="32">
        <f t="shared" si="14"/>
        <v>5.6577086280055365E-3</v>
      </c>
      <c r="F46" s="18">
        <f>IF(ISNUMBER(D46), $B64 * E46, "")</f>
        <v>848.65629420083042</v>
      </c>
      <c r="G46" s="31">
        <v>70.7</v>
      </c>
      <c r="H46" s="32">
        <f t="shared" si="15"/>
        <v>0</v>
      </c>
      <c r="I46" s="91">
        <f>IF(ISNUMBER(G46), $B64 * H46, "")</f>
        <v>0</v>
      </c>
      <c r="J46" s="15">
        <v>70.599999999999994</v>
      </c>
      <c r="K46" s="32">
        <f t="shared" si="16"/>
        <v>-1.414427157001535E-3</v>
      </c>
      <c r="L46" s="18">
        <f>IF(ISNUMBER(J46), $B64 * K46, "")</f>
        <v>-212.16407355023026</v>
      </c>
      <c r="M46" s="31">
        <v>70.400000000000006</v>
      </c>
      <c r="N46" s="32">
        <f t="shared" si="17"/>
        <v>-4.2432814710042033E-3</v>
      </c>
      <c r="O46" s="18">
        <f>IF(ISNUMBER(M46), $B64 * N46, "")</f>
        <v>-636.49222065063054</v>
      </c>
      <c r="Q46" s="146"/>
      <c r="R46" s="146"/>
      <c r="S46" s="146"/>
    </row>
    <row r="47" spans="1:19" ht="17.25" customHeight="1" thickBot="1">
      <c r="A47" s="109" t="s">
        <v>118</v>
      </c>
      <c r="B47" s="110">
        <v>4.7</v>
      </c>
      <c r="C47" s="70">
        <v>6.4239828999999998E-3</v>
      </c>
      <c r="D47" s="15">
        <v>4.83</v>
      </c>
      <c r="E47" s="32">
        <f t="shared" si="14"/>
        <v>2.7659574468085084E-2</v>
      </c>
      <c r="F47" s="18">
        <f>IF(ISNUMBER(D47), $B64 * E47, "")</f>
        <v>4148.9361702127626</v>
      </c>
      <c r="G47" s="31">
        <v>4.84</v>
      </c>
      <c r="H47" s="32">
        <f t="shared" si="15"/>
        <v>2.9787234042553123E-2</v>
      </c>
      <c r="I47" s="91">
        <f>IF(ISNUMBER(G47), $B64 * H47, "")</f>
        <v>4468.0851063829687</v>
      </c>
      <c r="J47" s="15">
        <v>4.82</v>
      </c>
      <c r="K47" s="32">
        <f t="shared" si="16"/>
        <v>2.5531914893617044E-2</v>
      </c>
      <c r="L47" s="18">
        <f>IF(ISNUMBER(J47), $B64 * K47, "")</f>
        <v>3829.7872340425565</v>
      </c>
      <c r="M47" s="31">
        <v>4.82</v>
      </c>
      <c r="N47" s="32">
        <f t="shared" si="17"/>
        <v>2.5531914893617044E-2</v>
      </c>
      <c r="O47" s="18">
        <f>IF(ISNUMBER(M47), $B64 * N47, "")</f>
        <v>3829.7872340425565</v>
      </c>
      <c r="Q47" s="146"/>
      <c r="R47" s="146"/>
      <c r="S47" s="146"/>
    </row>
    <row r="48" spans="1:19" ht="17.25" customHeight="1" thickBot="1">
      <c r="A48" s="111" t="s">
        <v>51</v>
      </c>
      <c r="B48" s="112">
        <v>94.3</v>
      </c>
      <c r="C48" s="71">
        <v>5.3304904000000004E-3</v>
      </c>
      <c r="D48" s="20">
        <v>95</v>
      </c>
      <c r="E48" s="21">
        <f t="shared" si="14"/>
        <v>7.4231177094379944E-3</v>
      </c>
      <c r="F48" s="22">
        <f>IF(ISNUMBER(D48), $B64 * E48, "")</f>
        <v>1113.4676564156991</v>
      </c>
      <c r="G48" s="30">
        <v>94.8</v>
      </c>
      <c r="H48" s="21">
        <f t="shared" si="15"/>
        <v>5.3022269353128317E-3</v>
      </c>
      <c r="I48" s="95">
        <f>IF(ISNUMBER(G48), $B64 * H48, "")</f>
        <v>795.33404029692474</v>
      </c>
      <c r="J48" s="20">
        <v>94.8</v>
      </c>
      <c r="K48" s="21">
        <f t="shared" si="16"/>
        <v>5.3022269353128317E-3</v>
      </c>
      <c r="L48" s="22">
        <f>IF(ISNUMBER(J48), $B64 * K48, "")</f>
        <v>795.33404029692474</v>
      </c>
      <c r="M48" s="30">
        <v>94.6</v>
      </c>
      <c r="N48" s="21">
        <f t="shared" si="17"/>
        <v>3.181336161187669E-3</v>
      </c>
      <c r="O48" s="22">
        <f>IF(ISNUMBER(M48), $B64 * N48, "")</f>
        <v>477.20042417815034</v>
      </c>
      <c r="Q48" s="146"/>
      <c r="R48" s="146"/>
      <c r="S48" s="146"/>
    </row>
    <row r="49" spans="1:19" ht="17.25" customHeight="1" thickBot="1">
      <c r="A49" s="109" t="s">
        <v>324</v>
      </c>
      <c r="B49" s="113">
        <v>73.400000000000006</v>
      </c>
      <c r="C49" s="73">
        <v>4.1039672000000001E-3</v>
      </c>
      <c r="D49" s="96">
        <v>74.900000000000006</v>
      </c>
      <c r="E49" s="97">
        <f>IF(ISNUMBER(D49), (D49 - $B49) / $B49, "")</f>
        <v>2.0435967302452316E-2</v>
      </c>
      <c r="F49" s="98">
        <f>IF(ISNUMBER(D49), $B64 * E49, "")</f>
        <v>3065.3950953678473</v>
      </c>
      <c r="G49" s="99">
        <v>75</v>
      </c>
      <c r="H49" s="97">
        <f>IF(ISNUMBER(G49), (G49 - $B49) / $B49, "")</f>
        <v>2.1798365122615723E-2</v>
      </c>
      <c r="I49" s="100">
        <f>IF(ISNUMBER(G49), $B64 * H49, "")</f>
        <v>3269.7547683923585</v>
      </c>
      <c r="J49" s="96">
        <v>75.5</v>
      </c>
      <c r="K49" s="97">
        <f>IF(ISNUMBER(J49), (J49 - $B49) / $B49, "")</f>
        <v>2.8610354223433162E-2</v>
      </c>
      <c r="L49" s="98">
        <f>IF(ISNUMBER(J49), $B64 * K49, "")</f>
        <v>4291.5531335149744</v>
      </c>
      <c r="M49" s="99">
        <v>75</v>
      </c>
      <c r="N49" s="97">
        <f>IF(ISNUMBER(M49), (M49 - $B49) / $B49, "")</f>
        <v>2.1798365122615723E-2</v>
      </c>
      <c r="O49" s="98">
        <f>IF(ISNUMBER(M49), $B64 * N49, "")</f>
        <v>3269.7547683923585</v>
      </c>
      <c r="Q49" s="146"/>
      <c r="R49" s="146"/>
      <c r="S49" s="146"/>
    </row>
    <row r="50" spans="1:19" ht="17.25" customHeight="1" thickBot="1">
      <c r="A50" s="109" t="s">
        <v>195</v>
      </c>
      <c r="B50" s="110">
        <v>5.51</v>
      </c>
      <c r="C50" s="70">
        <v>3.6429871999999999E-3</v>
      </c>
      <c r="D50" s="15">
        <v>5.55</v>
      </c>
      <c r="E50" s="32">
        <f t="shared" ref="E50:E53" si="18">IF(ISNUMBER(D50), (D50 - $B50) / $B50, "")</f>
        <v>7.259528130671513E-3</v>
      </c>
      <c r="F50" s="18">
        <f>IF(ISNUMBER(D50), $B64 * E50, "")</f>
        <v>1088.929219600727</v>
      </c>
      <c r="G50" s="31">
        <v>5.54</v>
      </c>
      <c r="H50" s="32">
        <f t="shared" ref="H50:H53" si="19">IF(ISNUMBER(G50), (G50 - $B50) / $B50, "")</f>
        <v>5.4446460980036755E-3</v>
      </c>
      <c r="I50" s="91">
        <f>IF(ISNUMBER(G50), $B64 * H50, "")</f>
        <v>816.69691470055136</v>
      </c>
      <c r="J50" s="15">
        <v>5.57</v>
      </c>
      <c r="K50" s="32">
        <f t="shared" ref="K50:K53" si="20">IF(ISNUMBER(J50), (J50 - $B50) / $B50, "")</f>
        <v>1.0889292196007351E-2</v>
      </c>
      <c r="L50" s="18">
        <f>IF(ISNUMBER(J50), $B64 * K50, "")</f>
        <v>1633.3938294011027</v>
      </c>
      <c r="M50" s="31">
        <v>5.55</v>
      </c>
      <c r="N50" s="32">
        <f t="shared" ref="N50:N53" si="21">IF(ISNUMBER(M50), (M50 - $B50) / $B50, "")</f>
        <v>7.259528130671513E-3</v>
      </c>
      <c r="O50" s="18">
        <f>IF(ISNUMBER(M50), $B64 * N50, "")</f>
        <v>1088.929219600727</v>
      </c>
      <c r="Q50" s="146"/>
      <c r="R50" s="146"/>
      <c r="S50" s="146"/>
    </row>
    <row r="51" spans="1:19" ht="17.25" customHeight="1" thickBot="1">
      <c r="A51" s="109" t="s">
        <v>329</v>
      </c>
      <c r="B51" s="110">
        <v>49.5</v>
      </c>
      <c r="C51" s="70">
        <v>2.0242914999999998E-3</v>
      </c>
      <c r="D51" s="15">
        <v>49.9</v>
      </c>
      <c r="E51" s="32">
        <f t="shared" si="18"/>
        <v>8.0808080808080513E-3</v>
      </c>
      <c r="F51" s="18">
        <f>IF(ISNUMBER(D51), $B64 * E51, "")</f>
        <v>1212.1212121212077</v>
      </c>
      <c r="G51" s="31">
        <v>49.6</v>
      </c>
      <c r="H51" s="32">
        <f t="shared" si="19"/>
        <v>2.0202020202020488E-3</v>
      </c>
      <c r="I51" s="91">
        <f>IF(ISNUMBER(G51), $B64 * H51, "")</f>
        <v>303.03030303030732</v>
      </c>
      <c r="J51" s="15">
        <v>49.3</v>
      </c>
      <c r="K51" s="32">
        <f t="shared" si="20"/>
        <v>-4.0404040404040976E-3</v>
      </c>
      <c r="L51" s="18">
        <f>IF(ISNUMBER(J51), $B64 * K51, "")</f>
        <v>-606.06060606061465</v>
      </c>
      <c r="M51" s="31">
        <v>49.2</v>
      </c>
      <c r="N51" s="32">
        <f t="shared" si="21"/>
        <v>-6.0606060606060034E-3</v>
      </c>
      <c r="O51" s="18">
        <f>IF(ISNUMBER(M51), $B64 * N51, "")</f>
        <v>-909.09090909090048</v>
      </c>
      <c r="Q51" s="146"/>
      <c r="R51" s="146"/>
      <c r="S51" s="146"/>
    </row>
    <row r="52" spans="1:19" ht="17.25" customHeight="1" thickBot="1">
      <c r="A52" s="109" t="s">
        <v>207</v>
      </c>
      <c r="B52" s="110">
        <v>59.2</v>
      </c>
      <c r="C52" s="70">
        <v>1.6920474E-3</v>
      </c>
      <c r="D52" s="15">
        <v>60</v>
      </c>
      <c r="E52" s="32">
        <f t="shared" si="18"/>
        <v>1.3513513513513466E-2</v>
      </c>
      <c r="F52" s="18">
        <f>IF(ISNUMBER(D52), $B64 * E52, "")</f>
        <v>2027.0270270270198</v>
      </c>
      <c r="G52" s="31">
        <v>59.5</v>
      </c>
      <c r="H52" s="32">
        <f t="shared" si="19"/>
        <v>5.0675675675675193E-3</v>
      </c>
      <c r="I52" s="91">
        <f>IF(ISNUMBER(G52), $B64 * H52, "")</f>
        <v>760.13513513512794</v>
      </c>
      <c r="J52" s="15">
        <v>59.6</v>
      </c>
      <c r="K52" s="32">
        <f t="shared" si="20"/>
        <v>6.7567567567567328E-3</v>
      </c>
      <c r="L52" s="18">
        <f>IF(ISNUMBER(J52), $B64 * K52, "")</f>
        <v>1013.5135135135099</v>
      </c>
      <c r="M52" s="31">
        <v>60.1</v>
      </c>
      <c r="N52" s="32">
        <f t="shared" si="21"/>
        <v>1.5202702702702678E-2</v>
      </c>
      <c r="O52" s="18">
        <f>IF(ISNUMBER(M52), $B64 * N52, "")</f>
        <v>2280.4054054054018</v>
      </c>
      <c r="Q52" s="33"/>
      <c r="R52" s="33"/>
    </row>
    <row r="53" spans="1:19" ht="17.25" customHeight="1" thickBot="1">
      <c r="A53" s="114" t="s">
        <v>253</v>
      </c>
      <c r="B53" s="115">
        <v>90.9</v>
      </c>
      <c r="C53" s="72">
        <v>1.1013215999999999E-3</v>
      </c>
      <c r="D53" s="24">
        <v>92.5</v>
      </c>
      <c r="E53" s="25">
        <f t="shared" si="18"/>
        <v>1.7601760176017538E-2</v>
      </c>
      <c r="F53" s="94">
        <f>IF(ISNUMBER(D53), $B64 * E53, "")</f>
        <v>2640.2640264026309</v>
      </c>
      <c r="G53" s="92">
        <v>92.4</v>
      </c>
      <c r="H53" s="25">
        <f t="shared" si="19"/>
        <v>1.65016501650165E-2</v>
      </c>
      <c r="I53" s="93">
        <f>IF(ISNUMBER(G53), $B64 * H53, "")</f>
        <v>2475.2475247524749</v>
      </c>
      <c r="J53" s="24">
        <v>92.1</v>
      </c>
      <c r="K53" s="25">
        <f t="shared" si="20"/>
        <v>1.3201320132013075E-2</v>
      </c>
      <c r="L53" s="94">
        <f>IF(ISNUMBER(J53), $B64 * K53, "")</f>
        <v>1980.1980198019612</v>
      </c>
      <c r="M53" s="92">
        <v>92.3</v>
      </c>
      <c r="N53" s="25">
        <f t="shared" si="21"/>
        <v>1.5401540154015307E-2</v>
      </c>
      <c r="O53" s="94">
        <f>IF(ISNUMBER(M53), $B64 * N53, "")</f>
        <v>2310.2310231022961</v>
      </c>
      <c r="Q53" s="147"/>
      <c r="R53" s="148"/>
      <c r="S53" s="149"/>
    </row>
    <row r="54" spans="1:19" ht="17.25" customHeight="1">
      <c r="A54" s="107" t="s">
        <v>97</v>
      </c>
      <c r="B54" s="108">
        <v>8.0000000000000004E-4</v>
      </c>
      <c r="C54" s="69">
        <v>0</v>
      </c>
      <c r="D54" s="13">
        <v>8.0000000000000004E-4</v>
      </c>
      <c r="E54" s="14">
        <f>IF(ISNUMBER(D54), (D54 - $B54) / $B54, "")</f>
        <v>0</v>
      </c>
      <c r="F54" s="16">
        <f>IF(ISNUMBER(D54), $B64 * E54, "")</f>
        <v>0</v>
      </c>
      <c r="G54" s="29">
        <v>8.9999999999999998E-4</v>
      </c>
      <c r="H54" s="14">
        <f>IF(ISNUMBER(G54), (G54 - $B54) / $B54, "")</f>
        <v>0.12499999999999992</v>
      </c>
      <c r="I54" s="90">
        <f>IF(ISNUMBER(G54), $B64 * H54, "")</f>
        <v>18749.999999999989</v>
      </c>
      <c r="J54" s="13">
        <v>8.0000000000000004E-4</v>
      </c>
      <c r="K54" s="14">
        <f>IF(ISNUMBER(J54), (J54 - $B54) / $B54, "")</f>
        <v>0</v>
      </c>
      <c r="L54" s="16">
        <f>IF(ISNUMBER(J54), $B64 * K54, "")</f>
        <v>0</v>
      </c>
      <c r="M54" s="29">
        <v>8.9999999999999998E-4</v>
      </c>
      <c r="N54" s="14">
        <f>IF(ISNUMBER(M54), (M54 - $B54) / $B54, "")</f>
        <v>0.12499999999999992</v>
      </c>
      <c r="O54" s="16">
        <f>IF(ISNUMBER(M54), $B64 * N54, "")</f>
        <v>18749.999999999989</v>
      </c>
      <c r="Q54" s="150"/>
      <c r="R54" s="151"/>
      <c r="S54" s="152"/>
    </row>
    <row r="55" spans="1:19" ht="17.25" customHeight="1" thickBot="1">
      <c r="A55" s="109" t="s">
        <v>237</v>
      </c>
      <c r="B55" s="110">
        <v>25.6</v>
      </c>
      <c r="C55" s="70">
        <v>0</v>
      </c>
      <c r="D55" s="15">
        <v>25.9</v>
      </c>
      <c r="E55" s="32">
        <f t="shared" ref="E55:E58" si="22">IF(ISNUMBER(D55), (D55 - $B55) / $B55, "")</f>
        <v>1.1718749999999889E-2</v>
      </c>
      <c r="F55" s="18">
        <f>IF(ISNUMBER(D55), $B64 * E55, "")</f>
        <v>1757.8124999999834</v>
      </c>
      <c r="G55" s="31">
        <v>25.8</v>
      </c>
      <c r="H55" s="32">
        <f t="shared" ref="H55:H58" si="23">IF(ISNUMBER(G55), (G55 - $B55) / $B55, "")</f>
        <v>7.8124999999999722E-3</v>
      </c>
      <c r="I55" s="91">
        <f>IF(ISNUMBER(G55), $B64 * H55, "")</f>
        <v>1171.8749999999959</v>
      </c>
      <c r="J55" s="15">
        <v>25.8</v>
      </c>
      <c r="K55" s="32">
        <f t="shared" ref="K55:K58" si="24">IF(ISNUMBER(J55), (J55 - $B55) / $B55, "")</f>
        <v>7.8124999999999722E-3</v>
      </c>
      <c r="L55" s="18">
        <f>IF(ISNUMBER(J55), $B64 * K55, "")</f>
        <v>1171.8749999999959</v>
      </c>
      <c r="M55" s="31">
        <v>25.9</v>
      </c>
      <c r="N55" s="32">
        <f t="shared" ref="N55:N58" si="25">IF(ISNUMBER(M55), (M55 - $B55) / $B55, "")</f>
        <v>1.1718749999999889E-2</v>
      </c>
      <c r="O55" s="18">
        <f>IF(ISNUMBER(M55), $B64 * N55, "")</f>
        <v>1757.8124999999834</v>
      </c>
      <c r="Q55" s="153"/>
      <c r="R55" s="154"/>
      <c r="S55" s="155"/>
    </row>
    <row r="56" spans="1:19" ht="17.25" customHeight="1" thickBot="1">
      <c r="A56" s="109" t="s">
        <v>124</v>
      </c>
      <c r="B56" s="110">
        <v>27</v>
      </c>
      <c r="C56" s="70">
        <v>0</v>
      </c>
      <c r="D56" s="15">
        <v>27.4</v>
      </c>
      <c r="E56" s="32">
        <f t="shared" si="22"/>
        <v>1.4814814814814762E-2</v>
      </c>
      <c r="F56" s="18">
        <f>IF(ISNUMBER(D56), $B64 * E56, "")</f>
        <v>2222.2222222222144</v>
      </c>
      <c r="G56" s="31">
        <v>27.4</v>
      </c>
      <c r="H56" s="32">
        <f t="shared" si="23"/>
        <v>1.4814814814814762E-2</v>
      </c>
      <c r="I56" s="91">
        <f>IF(ISNUMBER(G56), $B64 * H56, "")</f>
        <v>2222.2222222222144</v>
      </c>
      <c r="J56" s="15">
        <v>27.5</v>
      </c>
      <c r="K56" s="32">
        <f t="shared" si="24"/>
        <v>1.8518518518518517E-2</v>
      </c>
      <c r="L56" s="18">
        <f>IF(ISNUMBER(J56), $B64 * K56, "")</f>
        <v>2777.7777777777778</v>
      </c>
      <c r="M56" s="31">
        <v>27.5</v>
      </c>
      <c r="N56" s="32">
        <f t="shared" si="25"/>
        <v>1.8518518518518517E-2</v>
      </c>
      <c r="O56" s="18">
        <f>IF(ISNUMBER(M56), $B64 * N56, "")</f>
        <v>2777.7777777777778</v>
      </c>
      <c r="Q56" s="146"/>
      <c r="R56" s="146"/>
      <c r="S56" s="146"/>
    </row>
    <row r="57" spans="1:19" ht="17.25" customHeight="1" thickBot="1">
      <c r="A57" s="109" t="s">
        <v>349</v>
      </c>
      <c r="B57" s="110">
        <v>20.399999999999999</v>
      </c>
      <c r="C57" s="70">
        <v>0</v>
      </c>
      <c r="D57" s="15">
        <v>20.9</v>
      </c>
      <c r="E57" s="32">
        <f t="shared" si="22"/>
        <v>2.4509803921568631E-2</v>
      </c>
      <c r="F57" s="18">
        <f>IF(ISNUMBER(D57), $B64 * E57, "")</f>
        <v>3676.4705882352946</v>
      </c>
      <c r="G57" s="31">
        <v>20.7</v>
      </c>
      <c r="H57" s="32">
        <f t="shared" si="23"/>
        <v>1.4705882352941213E-2</v>
      </c>
      <c r="I57" s="91">
        <f>IF(ISNUMBER(G57), $B64 * H57, "")</f>
        <v>2205.882352941182</v>
      </c>
      <c r="J57" s="15">
        <v>20.7</v>
      </c>
      <c r="K57" s="32">
        <f t="shared" si="24"/>
        <v>1.4705882352941213E-2</v>
      </c>
      <c r="L57" s="18">
        <f>IF(ISNUMBER(J57), $B64 * K57, "")</f>
        <v>2205.882352941182</v>
      </c>
      <c r="M57" s="31">
        <v>20.8</v>
      </c>
      <c r="N57" s="32">
        <f t="shared" si="25"/>
        <v>1.9607843137255009E-2</v>
      </c>
      <c r="O57" s="18">
        <f>IF(ISNUMBER(M57), $B64 * N57, "")</f>
        <v>2941.1764705882515</v>
      </c>
      <c r="Q57" s="156"/>
      <c r="R57" s="156"/>
      <c r="S57" s="156"/>
    </row>
    <row r="58" spans="1:19" ht="17.25" customHeight="1" thickBot="1">
      <c r="A58" s="111" t="s">
        <v>132</v>
      </c>
      <c r="B58" s="112">
        <v>40.9</v>
      </c>
      <c r="C58" s="71">
        <v>0</v>
      </c>
      <c r="D58" s="20">
        <v>41.9</v>
      </c>
      <c r="E58" s="21">
        <f t="shared" si="22"/>
        <v>2.4449877750611249E-2</v>
      </c>
      <c r="F58" s="22">
        <f>IF(ISNUMBER(D58), $B64 * E58, "")</f>
        <v>3667.4816625916874</v>
      </c>
      <c r="G58" s="30">
        <v>41.8</v>
      </c>
      <c r="H58" s="21">
        <f t="shared" si="23"/>
        <v>2.2004889975550088E-2</v>
      </c>
      <c r="I58" s="95">
        <f>IF(ISNUMBER(G58), $B64 * H58, "")</f>
        <v>3300.7334963325134</v>
      </c>
      <c r="J58" s="20">
        <v>41.9</v>
      </c>
      <c r="K58" s="21">
        <f t="shared" si="24"/>
        <v>2.4449877750611249E-2</v>
      </c>
      <c r="L58" s="22">
        <f>IF(ISNUMBER(J58), $B64 * K58, "")</f>
        <v>3667.4816625916874</v>
      </c>
      <c r="M58" s="30">
        <v>42.2</v>
      </c>
      <c r="N58" s="21">
        <f t="shared" si="25"/>
        <v>3.1784841075794726E-2</v>
      </c>
      <c r="O58" s="22">
        <f>IF(ISNUMBER(M58), $B64 * N58, "")</f>
        <v>4767.726161369209</v>
      </c>
      <c r="Q58" s="156"/>
      <c r="R58" s="156"/>
      <c r="S58" s="156"/>
    </row>
    <row r="59" spans="1:19" ht="17.25" customHeight="1" thickBot="1">
      <c r="A59" s="109" t="s">
        <v>122</v>
      </c>
      <c r="B59" s="113">
        <v>20.6</v>
      </c>
      <c r="C59" s="73">
        <v>0</v>
      </c>
      <c r="D59" s="96">
        <v>21</v>
      </c>
      <c r="E59" s="97">
        <f>IF(ISNUMBER(D59), (D59 - $B59) / $B59, "")</f>
        <v>1.9417475728155269E-2</v>
      </c>
      <c r="F59" s="98">
        <f>IF(ISNUMBER(D59), $B64 * E59, "")</f>
        <v>2912.6213592232903</v>
      </c>
      <c r="G59" s="99">
        <v>21</v>
      </c>
      <c r="H59" s="97">
        <f>IF(ISNUMBER(G59), (G59 - $B59) / $B59, "")</f>
        <v>1.9417475728155269E-2</v>
      </c>
      <c r="I59" s="100">
        <f>IF(ISNUMBER(G59), $B64 * H59, "")</f>
        <v>2912.6213592232903</v>
      </c>
      <c r="J59" s="96">
        <v>21</v>
      </c>
      <c r="K59" s="97">
        <f>IF(ISNUMBER(J59), (J59 - $B59) / $B59, "")</f>
        <v>1.9417475728155269E-2</v>
      </c>
      <c r="L59" s="98">
        <f>IF(ISNUMBER(J59), $B64 * K59, "")</f>
        <v>2912.6213592232903</v>
      </c>
      <c r="M59" s="99">
        <v>21</v>
      </c>
      <c r="N59" s="97">
        <f>IF(ISNUMBER(M59), (M59 - $B59) / $B59, "")</f>
        <v>1.9417475728155269E-2</v>
      </c>
      <c r="O59" s="98">
        <f>IF(ISNUMBER(M59), $B64 * N59, "")</f>
        <v>2912.6213592232903</v>
      </c>
      <c r="Q59" s="146"/>
      <c r="R59" s="146"/>
      <c r="S59" s="146"/>
    </row>
    <row r="60" spans="1:19" ht="17.25" customHeight="1" thickBot="1">
      <c r="A60" s="109" t="s">
        <v>217</v>
      </c>
      <c r="B60" s="110">
        <v>54.3</v>
      </c>
      <c r="C60" s="70">
        <v>0</v>
      </c>
      <c r="D60" s="15">
        <v>55.2</v>
      </c>
      <c r="E60" s="32">
        <f t="shared" ref="E60:E63" si="26">IF(ISNUMBER(D60), (D60 - $B60) / $B60, "")</f>
        <v>1.6574585635359223E-2</v>
      </c>
      <c r="F60" s="18">
        <f>IF(ISNUMBER(D60), $B64 * E60, "")</f>
        <v>2486.1878453038835</v>
      </c>
      <c r="G60" s="31">
        <v>55.3</v>
      </c>
      <c r="H60" s="32">
        <f t="shared" ref="H60:H63" si="27">IF(ISNUMBER(G60), (G60 - $B60) / $B60, "")</f>
        <v>1.841620626151013E-2</v>
      </c>
      <c r="I60" s="91">
        <f>IF(ISNUMBER(G60), $B64 * H60, "")</f>
        <v>2762.4309392265195</v>
      </c>
      <c r="J60" s="15">
        <v>55.2</v>
      </c>
      <c r="K60" s="32">
        <f t="shared" ref="K60:K63" si="28">IF(ISNUMBER(J60), (J60 - $B60) / $B60, "")</f>
        <v>1.6574585635359223E-2</v>
      </c>
      <c r="L60" s="18">
        <f>IF(ISNUMBER(J60), $B64 * K60, "")</f>
        <v>2486.1878453038835</v>
      </c>
      <c r="M60" s="31">
        <v>55.3</v>
      </c>
      <c r="N60" s="32">
        <f t="shared" ref="N60:N63" si="29">IF(ISNUMBER(M60), (M60 - $B60) / $B60, "")</f>
        <v>1.841620626151013E-2</v>
      </c>
      <c r="O60" s="18">
        <f>IF(ISNUMBER(M60), $B64 * N60, "")</f>
        <v>2762.4309392265195</v>
      </c>
      <c r="Q60" s="146"/>
      <c r="R60" s="146"/>
      <c r="S60" s="146"/>
    </row>
    <row r="61" spans="1:19" ht="17.25" customHeight="1" thickBot="1">
      <c r="A61" s="109" t="s">
        <v>126</v>
      </c>
      <c r="B61" s="110">
        <v>21.1</v>
      </c>
      <c r="C61" s="70">
        <v>0</v>
      </c>
      <c r="D61" s="15">
        <v>21.8</v>
      </c>
      <c r="E61" s="32">
        <f t="shared" si="26"/>
        <v>3.3175355450236928E-2</v>
      </c>
      <c r="F61" s="18">
        <f>IF(ISNUMBER(D61), $B64 * E61, "")</f>
        <v>4976.3033175355395</v>
      </c>
      <c r="G61" s="31">
        <v>21.7</v>
      </c>
      <c r="H61" s="32">
        <f t="shared" si="27"/>
        <v>2.843601895734587E-2</v>
      </c>
      <c r="I61" s="91">
        <f>IF(ISNUMBER(G61), $B64 * H61, "")</f>
        <v>4265.4028436018807</v>
      </c>
      <c r="J61" s="15">
        <v>21.7</v>
      </c>
      <c r="K61" s="32">
        <f t="shared" si="28"/>
        <v>2.843601895734587E-2</v>
      </c>
      <c r="L61" s="18">
        <f>IF(ISNUMBER(J61), $B64 * K61, "")</f>
        <v>4265.4028436018807</v>
      </c>
      <c r="M61" s="31">
        <v>21.6</v>
      </c>
      <c r="N61" s="32">
        <f t="shared" si="29"/>
        <v>2.3696682464454975E-2</v>
      </c>
      <c r="O61" s="18">
        <f>IF(ISNUMBER(M61), $B64 * N61, "")</f>
        <v>3554.502369668246</v>
      </c>
      <c r="Q61" s="146"/>
      <c r="R61" s="146"/>
      <c r="S61" s="146"/>
    </row>
    <row r="62" spans="1:19" ht="17.25" customHeight="1">
      <c r="A62" s="109" t="s">
        <v>209</v>
      </c>
      <c r="B62" s="110">
        <v>70.8</v>
      </c>
      <c r="C62" s="70">
        <v>-1.4104371999999999E-3</v>
      </c>
      <c r="D62" s="15">
        <v>71.2</v>
      </c>
      <c r="E62" s="32">
        <f t="shared" si="26"/>
        <v>5.6497175141243744E-3</v>
      </c>
      <c r="F62" s="18">
        <f>IF(ISNUMBER(D62), $B64 * E62, "")</f>
        <v>847.45762711865621</v>
      </c>
      <c r="G62" s="31">
        <v>71</v>
      </c>
      <c r="H62" s="32">
        <f t="shared" si="27"/>
        <v>2.8248587570621872E-3</v>
      </c>
      <c r="I62" s="91">
        <f>IF(ISNUMBER(G62), $B64 * H62, "")</f>
        <v>423.7288135593281</v>
      </c>
      <c r="J62" s="15">
        <v>71</v>
      </c>
      <c r="K62" s="32">
        <f t="shared" si="28"/>
        <v>2.8248587570621872E-3</v>
      </c>
      <c r="L62" s="18">
        <f>IF(ISNUMBER(J62), $B64 * K62, "")</f>
        <v>423.7288135593281</v>
      </c>
      <c r="M62" s="31">
        <v>71.099999999999994</v>
      </c>
      <c r="N62" s="32">
        <f t="shared" si="29"/>
        <v>4.2372881355931804E-3</v>
      </c>
      <c r="O62" s="18">
        <f>IF(ISNUMBER(M62), $B64 * N62, "")</f>
        <v>635.59322033897706</v>
      </c>
      <c r="Q62" s="135"/>
      <c r="R62" s="136"/>
      <c r="S62" s="137"/>
    </row>
    <row r="63" spans="1:19" ht="17.25" customHeight="1" thickBot="1">
      <c r="A63" s="114" t="s">
        <v>197</v>
      </c>
      <c r="B63" s="115">
        <v>5.54</v>
      </c>
      <c r="C63" s="72">
        <v>-1.8018018000000001E-3</v>
      </c>
      <c r="D63" s="24">
        <v>5.63</v>
      </c>
      <c r="E63" s="25">
        <f t="shared" si="26"/>
        <v>1.6245487364620913E-2</v>
      </c>
      <c r="F63" s="94">
        <f>IF(ISNUMBER(D63), $B64 * E63, "")</f>
        <v>2436.8231046931369</v>
      </c>
      <c r="G63" s="92">
        <v>5.64</v>
      </c>
      <c r="H63" s="25">
        <f t="shared" si="27"/>
        <v>1.8050541516245425E-2</v>
      </c>
      <c r="I63" s="93">
        <f>IF(ISNUMBER(G63), $B64 * H63, "")</f>
        <v>2707.5812274368136</v>
      </c>
      <c r="J63" s="24">
        <v>5.63</v>
      </c>
      <c r="K63" s="25">
        <f t="shared" si="28"/>
        <v>1.6245487364620913E-2</v>
      </c>
      <c r="L63" s="94">
        <f>IF(ISNUMBER(J63), $B64 * K63, "")</f>
        <v>2436.8231046931369</v>
      </c>
      <c r="M63" s="92">
        <v>5.62</v>
      </c>
      <c r="N63" s="25">
        <f t="shared" si="29"/>
        <v>1.4440433212996403E-2</v>
      </c>
      <c r="O63" s="94">
        <f>IF(ISNUMBER(M63), $B64 * N63, "")</f>
        <v>2166.0649819494602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1.5335150720896831E-2</v>
      </c>
      <c r="F64" s="28">
        <f>SUM(F44:F63)</f>
        <v>46005.452162690512</v>
      </c>
      <c r="G64" s="26" t="s">
        <v>258</v>
      </c>
      <c r="H64" s="27">
        <f>IF(COUNT(H44:H63), SUM(H44:H63) / COUNT(H44:H63), 0)</f>
        <v>1.898925567046076E-2</v>
      </c>
      <c r="I64" s="28">
        <f>SUM(I44:I63)</f>
        <v>56967.767011382268</v>
      </c>
      <c r="J64" s="26" t="s">
        <v>258</v>
      </c>
      <c r="K64" s="27">
        <f>IF(COUNT(K44:K63), SUM(K44:K63) / COUNT(K44:K63), 0)</f>
        <v>1.3352033075424282E-2</v>
      </c>
      <c r="L64" s="28">
        <f>SUM(L44:L63)</f>
        <v>40056.09922627284</v>
      </c>
      <c r="M64" s="26" t="s">
        <v>258</v>
      </c>
      <c r="N64" s="27">
        <f>IF(COUNT(N44:N63), SUM(N44:N63) / COUNT(N44:N63), 0)</f>
        <v>1.9702316400927664E-2</v>
      </c>
      <c r="O64" s="28">
        <f>SUM(O44:O63)</f>
        <v>59106.949202782991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2023-01-04(수) 오전 00:00</v>
      </c>
      <c r="C69" s="198"/>
      <c r="D69" s="170" t="str">
        <f>TEXT($G$1, "[$-ko-KR]yyyy-mm-dd(ddd) ") &amp; "오후 14:00"</f>
        <v>2023-01-04(수) 오후 14:00</v>
      </c>
      <c r="E69" s="171"/>
      <c r="F69" s="172"/>
      <c r="G69" s="170" t="str">
        <f>TEXT($G$1, "[$-ko-KR]yyyy-mm-dd(ddd) ") &amp; "오후 19:00"</f>
        <v>2023-01-04(수) 오후 19:00</v>
      </c>
      <c r="H69" s="171"/>
      <c r="I69" s="172"/>
      <c r="J69" s="170" t="str">
        <f>TEXT($G$1, "[$-ko-KR]yyyy-mm-dd(ddd) ") &amp; "오후 21:00"</f>
        <v>2023-01-04(수) 오후 21:00</v>
      </c>
      <c r="K69" s="171"/>
      <c r="L69" s="172"/>
      <c r="M69" s="170" t="str">
        <f>TEXT($G$1+1, "[$-ko-KR]yyyy-mm-dd(ddd) ") &amp; "오전 00:00"</f>
        <v>2023-01-05(목)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189</v>
      </c>
      <c r="B71" s="108">
        <v>932</v>
      </c>
      <c r="C71" s="69">
        <v>0.10035419130000001</v>
      </c>
      <c r="D71" s="13">
        <v>938</v>
      </c>
      <c r="E71" s="14">
        <f>IF(ISNUMBER(D71), (D71 - $B71) / $B71, "")</f>
        <v>6.4377682403433476E-3</v>
      </c>
      <c r="F71" s="16">
        <f>IF(ISNUMBER(D71), $B91 * E71, "")</f>
        <v>965.66523605150212</v>
      </c>
      <c r="G71" s="29">
        <v>942</v>
      </c>
      <c r="H71" s="14">
        <f>IF(ISNUMBER(G71), (G71 - $B71) / $B71, "")</f>
        <v>1.0729613733905579E-2</v>
      </c>
      <c r="I71" s="90">
        <f>IF(ISNUMBER(G71), $B91 * H71, "")</f>
        <v>1609.4420600858368</v>
      </c>
      <c r="J71" s="13">
        <v>939</v>
      </c>
      <c r="K71" s="14">
        <f>IF(ISNUMBER(J71), (J71 - $B71) / $B71, "")</f>
        <v>7.5107296137339056E-3</v>
      </c>
      <c r="L71" s="16">
        <f>IF(ISNUMBER(J71), $B91 * K71, "")</f>
        <v>1126.6094420600859</v>
      </c>
      <c r="M71" s="29">
        <v>929</v>
      </c>
      <c r="N71" s="14">
        <f>IF(ISNUMBER(M71), (M71 - $B71) / $B71, "")</f>
        <v>-3.2188841201716738E-3</v>
      </c>
      <c r="O71" s="16">
        <f>IF(ISNUMBER(M71), $B91 * N71, "")</f>
        <v>-482.83261802575106</v>
      </c>
      <c r="Q71" s="156"/>
      <c r="R71" s="156"/>
      <c r="S71" s="156"/>
    </row>
    <row r="72" spans="1:19" ht="17.25" thickBot="1">
      <c r="A72" s="109" t="s">
        <v>68</v>
      </c>
      <c r="B72" s="110">
        <v>241</v>
      </c>
      <c r="C72" s="70">
        <v>3.4334763900000002E-2</v>
      </c>
      <c r="D72" s="15">
        <v>271</v>
      </c>
      <c r="E72" s="32">
        <f t="shared" ref="E72:E75" si="30">IF(ISNUMBER(D72), (D72 - $B72) / $B72, "")</f>
        <v>0.12448132780082988</v>
      </c>
      <c r="F72" s="18">
        <f>IF(ISNUMBER(D72), $B91 * E72, "")</f>
        <v>18672.199170124481</v>
      </c>
      <c r="G72" s="31">
        <v>272</v>
      </c>
      <c r="H72" s="32">
        <f t="shared" ref="H72:H75" si="31">IF(ISNUMBER(G72), (G72 - $B72) / $B72, "")</f>
        <v>0.12863070539419086</v>
      </c>
      <c r="I72" s="91">
        <f>IF(ISNUMBER(G72), $B91 * H72, "")</f>
        <v>19294.605809128629</v>
      </c>
      <c r="J72" s="15">
        <v>271</v>
      </c>
      <c r="K72" s="32">
        <f t="shared" ref="K72:K75" si="32">IF(ISNUMBER(J72), (J72 - $B72) / $B72, "")</f>
        <v>0.12448132780082988</v>
      </c>
      <c r="L72" s="18">
        <f>IF(ISNUMBER(J72), $B91 * K72, "")</f>
        <v>18672.199170124481</v>
      </c>
      <c r="M72" s="31">
        <v>267</v>
      </c>
      <c r="N72" s="32">
        <f t="shared" ref="N72:N75" si="33">IF(ISNUMBER(M72), (M72 - $B72) / $B72, "")</f>
        <v>0.1078838174273859</v>
      </c>
      <c r="O72" s="18">
        <f>IF(ISNUMBER(M72), $B91 * N72, "")</f>
        <v>16182.572614107885</v>
      </c>
      <c r="Q72" s="156"/>
      <c r="R72" s="156"/>
      <c r="S72" s="156"/>
    </row>
    <row r="73" spans="1:19" ht="17.25" thickBot="1">
      <c r="A73" s="109" t="s">
        <v>201</v>
      </c>
      <c r="B73" s="110">
        <v>182</v>
      </c>
      <c r="C73" s="70">
        <v>2.2471910099999999E-2</v>
      </c>
      <c r="D73" s="15">
        <v>183</v>
      </c>
      <c r="E73" s="32">
        <f t="shared" si="30"/>
        <v>5.4945054945054949E-3</v>
      </c>
      <c r="F73" s="18">
        <f>IF(ISNUMBER(D73), $B91 * E73, "")</f>
        <v>824.17582417582423</v>
      </c>
      <c r="G73" s="31">
        <v>183</v>
      </c>
      <c r="H73" s="32">
        <f t="shared" si="31"/>
        <v>5.4945054945054949E-3</v>
      </c>
      <c r="I73" s="91">
        <f>IF(ISNUMBER(G73), $B91 * H73, "")</f>
        <v>824.17582417582423</v>
      </c>
      <c r="J73" s="15">
        <v>183</v>
      </c>
      <c r="K73" s="32">
        <f t="shared" si="32"/>
        <v>5.4945054945054949E-3</v>
      </c>
      <c r="L73" s="18">
        <f>IF(ISNUMBER(J73), $B91 * K73, "")</f>
        <v>824.17582417582423</v>
      </c>
      <c r="M73" s="31">
        <v>183</v>
      </c>
      <c r="N73" s="32">
        <f t="shared" si="33"/>
        <v>5.4945054945054949E-3</v>
      </c>
      <c r="O73" s="18">
        <f>IF(ISNUMBER(M73), $B91 * N73, "")</f>
        <v>824.17582417582423</v>
      </c>
      <c r="Q73" s="146"/>
      <c r="R73" s="146"/>
      <c r="S73" s="146"/>
    </row>
    <row r="74" spans="1:19" ht="17.25" thickBot="1">
      <c r="A74" s="109" t="s">
        <v>95</v>
      </c>
      <c r="B74" s="110">
        <v>961</v>
      </c>
      <c r="C74" s="70">
        <v>2.23404255E-2</v>
      </c>
      <c r="D74" s="15">
        <v>980</v>
      </c>
      <c r="E74" s="32">
        <f t="shared" si="30"/>
        <v>1.9771071800208116E-2</v>
      </c>
      <c r="F74" s="18">
        <f>IF(ISNUMBER(D74), $B91 * E74, "")</f>
        <v>2965.6607700312175</v>
      </c>
      <c r="G74" s="31">
        <v>982</v>
      </c>
      <c r="H74" s="32">
        <f t="shared" si="31"/>
        <v>2.1852237252861603E-2</v>
      </c>
      <c r="I74" s="91">
        <f>IF(ISNUMBER(G74), $B91 * H74, "")</f>
        <v>3277.8355879292403</v>
      </c>
      <c r="J74" s="15">
        <v>979</v>
      </c>
      <c r="K74" s="32">
        <f t="shared" si="32"/>
        <v>1.8730489073881373E-2</v>
      </c>
      <c r="L74" s="18">
        <f>IF(ISNUMBER(J74), $B91 * K74, "")</f>
        <v>2809.5733610822058</v>
      </c>
      <c r="M74" s="31">
        <v>979</v>
      </c>
      <c r="N74" s="32">
        <f t="shared" si="33"/>
        <v>1.8730489073881373E-2</v>
      </c>
      <c r="O74" s="18">
        <f>IF(ISNUMBER(M74), $B91 * N74, "")</f>
        <v>2809.5733610822058</v>
      </c>
      <c r="Q74" s="146"/>
      <c r="R74" s="146"/>
      <c r="S74" s="146"/>
    </row>
    <row r="75" spans="1:19" ht="17.25" thickBot="1">
      <c r="A75" s="111" t="s">
        <v>159</v>
      </c>
      <c r="B75" s="112">
        <v>140</v>
      </c>
      <c r="C75" s="71">
        <v>1.44927536E-2</v>
      </c>
      <c r="D75" s="20">
        <v>142</v>
      </c>
      <c r="E75" s="21">
        <f t="shared" si="30"/>
        <v>1.4285714285714285E-2</v>
      </c>
      <c r="F75" s="22">
        <f>IF(ISNUMBER(D75), $B91 * E75, "")</f>
        <v>2142.8571428571427</v>
      </c>
      <c r="G75" s="30">
        <v>141</v>
      </c>
      <c r="H75" s="21">
        <f t="shared" si="31"/>
        <v>7.1428571428571426E-3</v>
      </c>
      <c r="I75" s="95">
        <f>IF(ISNUMBER(G75), $B91 * H75, "")</f>
        <v>1071.4285714285713</v>
      </c>
      <c r="J75" s="20">
        <v>141</v>
      </c>
      <c r="K75" s="21">
        <f t="shared" si="32"/>
        <v>7.1428571428571426E-3</v>
      </c>
      <c r="L75" s="22">
        <f>IF(ISNUMBER(J75), $B91 * K75, "")</f>
        <v>1071.4285714285713</v>
      </c>
      <c r="M75" s="30">
        <v>141</v>
      </c>
      <c r="N75" s="21">
        <f t="shared" si="33"/>
        <v>7.1428571428571426E-3</v>
      </c>
      <c r="O75" s="22">
        <f>IF(ISNUMBER(M75), $B91 * N75, "")</f>
        <v>1071.4285714285713</v>
      </c>
      <c r="Q75" s="146"/>
      <c r="R75" s="146"/>
      <c r="S75" s="146"/>
    </row>
    <row r="76" spans="1:19" ht="17.25" thickBot="1">
      <c r="A76" s="109" t="s">
        <v>326</v>
      </c>
      <c r="B76" s="113">
        <v>232</v>
      </c>
      <c r="C76" s="73">
        <v>1.3100436700000001E-2</v>
      </c>
      <c r="D76" s="96">
        <v>242</v>
      </c>
      <c r="E76" s="97">
        <f>IF(ISNUMBER(D76), (D76 - $B76) / $B76, "")</f>
        <v>4.3103448275862072E-2</v>
      </c>
      <c r="F76" s="98">
        <f>IF(ISNUMBER(D76), $B91 * E76, "")</f>
        <v>6465.5172413793107</v>
      </c>
      <c r="G76" s="99">
        <v>242</v>
      </c>
      <c r="H76" s="97">
        <f>IF(ISNUMBER(G76), (G76 - $B76) / $B76, "")</f>
        <v>4.3103448275862072E-2</v>
      </c>
      <c r="I76" s="100">
        <f>IF(ISNUMBER(G76), $B91 * H76, "")</f>
        <v>6465.5172413793107</v>
      </c>
      <c r="J76" s="96">
        <v>241</v>
      </c>
      <c r="K76" s="97">
        <f>IF(ISNUMBER(J76), (J76 - $B76) / $B76, "")</f>
        <v>3.8793103448275863E-2</v>
      </c>
      <c r="L76" s="98">
        <f>IF(ISNUMBER(J76), $B91 * K76, "")</f>
        <v>5818.9655172413795</v>
      </c>
      <c r="M76" s="99">
        <v>241</v>
      </c>
      <c r="N76" s="97">
        <f>IF(ISNUMBER(M76), (M76 - $B76) / $B76, "")</f>
        <v>3.8793103448275863E-2</v>
      </c>
      <c r="O76" s="98">
        <f>IF(ISNUMBER(M76), $B91 * N76, "")</f>
        <v>5818.9655172413795</v>
      </c>
      <c r="Q76" s="146"/>
      <c r="R76" s="146"/>
      <c r="S76" s="146"/>
    </row>
    <row r="77" spans="1:19" ht="17.25" thickBot="1">
      <c r="A77" s="109" t="s">
        <v>199</v>
      </c>
      <c r="B77" s="110">
        <v>268</v>
      </c>
      <c r="C77" s="70">
        <v>1.13207547E-2</v>
      </c>
      <c r="D77" s="15">
        <v>271</v>
      </c>
      <c r="E77" s="32">
        <f t="shared" ref="E77:E80" si="34">IF(ISNUMBER(D77), (D77 - $B77) / $B77, "")</f>
        <v>1.1194029850746268E-2</v>
      </c>
      <c r="F77" s="18">
        <f>IF(ISNUMBER(D77), $B91 * E77, "")</f>
        <v>1679.1044776119402</v>
      </c>
      <c r="G77" s="31">
        <v>270</v>
      </c>
      <c r="H77" s="32">
        <f t="shared" ref="H77:H80" si="35">IF(ISNUMBER(G77), (G77 - $B77) / $B77, "")</f>
        <v>7.462686567164179E-3</v>
      </c>
      <c r="I77" s="91">
        <f>IF(ISNUMBER(G77), $B91 * H77, "")</f>
        <v>1119.4029850746269</v>
      </c>
      <c r="J77" s="15">
        <v>270</v>
      </c>
      <c r="K77" s="32">
        <f t="shared" ref="K77:K80" si="36">IF(ISNUMBER(J77), (J77 - $B77) / $B77, "")</f>
        <v>7.462686567164179E-3</v>
      </c>
      <c r="L77" s="18">
        <f>IF(ISNUMBER(J77), $B91 * K77, "")</f>
        <v>1119.4029850746269</v>
      </c>
      <c r="M77" s="31">
        <v>271</v>
      </c>
      <c r="N77" s="32">
        <f t="shared" ref="N77:N80" si="37">IF(ISNUMBER(M77), (M77 - $B77) / $B77, "")</f>
        <v>1.1194029850746268E-2</v>
      </c>
      <c r="O77" s="18">
        <f>IF(ISNUMBER(M77), $B91 * N77, "")</f>
        <v>1679.1044776119402</v>
      </c>
      <c r="Q77" s="146"/>
      <c r="R77" s="146"/>
      <c r="S77" s="146"/>
    </row>
    <row r="78" spans="1:19" ht="17.25" thickBot="1">
      <c r="A78" s="109" t="s">
        <v>341</v>
      </c>
      <c r="B78" s="110">
        <v>629</v>
      </c>
      <c r="C78" s="70">
        <v>8.0128205000000001E-3</v>
      </c>
      <c r="D78" s="15">
        <v>658</v>
      </c>
      <c r="E78" s="32">
        <f t="shared" si="34"/>
        <v>4.6104928457869634E-2</v>
      </c>
      <c r="F78" s="18">
        <f>IF(ISNUMBER(D78), $B91 * E78, "")</f>
        <v>6915.7392686804451</v>
      </c>
      <c r="G78" s="31">
        <v>656</v>
      </c>
      <c r="H78" s="32">
        <f t="shared" si="35"/>
        <v>4.2925278219395867E-2</v>
      </c>
      <c r="I78" s="91">
        <f>IF(ISNUMBER(G78), $B91 * H78, "")</f>
        <v>6438.7917329093798</v>
      </c>
      <c r="J78" s="15">
        <v>659</v>
      </c>
      <c r="K78" s="32">
        <f t="shared" si="36"/>
        <v>4.7694753577106522E-2</v>
      </c>
      <c r="L78" s="18">
        <f>IF(ISNUMBER(J78), $B91 * K78, "")</f>
        <v>7154.2130365659787</v>
      </c>
      <c r="M78" s="31">
        <v>653</v>
      </c>
      <c r="N78" s="32">
        <f t="shared" si="37"/>
        <v>3.8155802861685212E-2</v>
      </c>
      <c r="O78" s="18">
        <f>IF(ISNUMBER(M78), $B91 * N78, "")</f>
        <v>5723.3704292527818</v>
      </c>
      <c r="Q78" s="146"/>
      <c r="R78" s="146"/>
      <c r="S78" s="146"/>
    </row>
    <row r="79" spans="1:19" ht="17.25" thickBot="1">
      <c r="A79" s="109" t="s">
        <v>81</v>
      </c>
      <c r="B79" s="110">
        <v>324</v>
      </c>
      <c r="C79" s="70">
        <v>6.2111800999999998E-3</v>
      </c>
      <c r="D79" s="15">
        <v>337</v>
      </c>
      <c r="E79" s="32">
        <f t="shared" si="34"/>
        <v>4.0123456790123455E-2</v>
      </c>
      <c r="F79" s="18">
        <f>IF(ISNUMBER(D79), $B91 * E79, "")</f>
        <v>6018.5185185185182</v>
      </c>
      <c r="G79" s="31">
        <v>338</v>
      </c>
      <c r="H79" s="32">
        <f t="shared" si="35"/>
        <v>4.3209876543209874E-2</v>
      </c>
      <c r="I79" s="91">
        <f>IF(ISNUMBER(G79), $B91 * H79, "")</f>
        <v>6481.4814814814808</v>
      </c>
      <c r="J79" s="15">
        <v>338</v>
      </c>
      <c r="K79" s="32">
        <f t="shared" si="36"/>
        <v>4.3209876543209874E-2</v>
      </c>
      <c r="L79" s="18">
        <f>IF(ISNUMBER(J79), $B91 * K79, "")</f>
        <v>6481.4814814814808</v>
      </c>
      <c r="M79" s="31">
        <v>339</v>
      </c>
      <c r="N79" s="32">
        <f t="shared" si="37"/>
        <v>4.6296296296296294E-2</v>
      </c>
      <c r="O79" s="18">
        <f>IF(ISNUMBER(M79), $B91 * N79, "")</f>
        <v>6944.4444444444443</v>
      </c>
      <c r="Q79" s="33"/>
      <c r="R79" s="33"/>
    </row>
    <row r="80" spans="1:19" ht="17.25" thickBot="1">
      <c r="A80" s="114" t="s">
        <v>130</v>
      </c>
      <c r="B80" s="115">
        <v>598</v>
      </c>
      <c r="C80" s="72">
        <v>5.0420168000000001E-3</v>
      </c>
      <c r="D80" s="24">
        <v>619</v>
      </c>
      <c r="E80" s="25">
        <f t="shared" si="34"/>
        <v>3.5117056856187288E-2</v>
      </c>
      <c r="F80" s="94">
        <f>IF(ISNUMBER(D80), $B91 * E80, "")</f>
        <v>5267.5585284280933</v>
      </c>
      <c r="G80" s="92">
        <v>620</v>
      </c>
      <c r="H80" s="25">
        <f t="shared" si="35"/>
        <v>3.678929765886288E-2</v>
      </c>
      <c r="I80" s="93">
        <f>IF(ISNUMBER(G80), $B91 * H80, "")</f>
        <v>5518.3946488294323</v>
      </c>
      <c r="J80" s="24">
        <v>626</v>
      </c>
      <c r="K80" s="25">
        <f t="shared" si="36"/>
        <v>4.6822742474916385E-2</v>
      </c>
      <c r="L80" s="94">
        <f>IF(ISNUMBER(J80), $B91 * K80, "")</f>
        <v>7023.4113712374574</v>
      </c>
      <c r="M80" s="92">
        <v>629</v>
      </c>
      <c r="N80" s="25">
        <f t="shared" si="37"/>
        <v>5.1839464882943144E-2</v>
      </c>
      <c r="O80" s="94">
        <f>IF(ISNUMBER(M80), $B91 * N80, "")</f>
        <v>7775.9197324414718</v>
      </c>
      <c r="Q80" s="147"/>
      <c r="R80" s="148"/>
      <c r="S80" s="149"/>
    </row>
    <row r="81" spans="1:19">
      <c r="A81" s="107" t="s">
        <v>231</v>
      </c>
      <c r="B81" s="108">
        <v>306</v>
      </c>
      <c r="C81" s="69">
        <v>3.2786884999999998E-3</v>
      </c>
      <c r="D81" s="13">
        <v>308</v>
      </c>
      <c r="E81" s="14">
        <f>IF(ISNUMBER(D81), (D81 - $B81) / $B81, "")</f>
        <v>6.5359477124183009E-3</v>
      </c>
      <c r="F81" s="16">
        <f>IF(ISNUMBER(D81), $B91 * E81, "")</f>
        <v>980.39215686274508</v>
      </c>
      <c r="G81" s="29">
        <v>308</v>
      </c>
      <c r="H81" s="14">
        <f>IF(ISNUMBER(G81), (G81 - $B81) / $B81, "")</f>
        <v>6.5359477124183009E-3</v>
      </c>
      <c r="I81" s="90">
        <f>IF(ISNUMBER(G81), $B91 * H81, "")</f>
        <v>980.39215686274508</v>
      </c>
      <c r="J81" s="13">
        <v>308</v>
      </c>
      <c r="K81" s="14">
        <f>IF(ISNUMBER(J81), (J81 - $B81) / $B81, "")</f>
        <v>6.5359477124183009E-3</v>
      </c>
      <c r="L81" s="16">
        <f>IF(ISNUMBER(J81), $B91 * K81, "")</f>
        <v>980.39215686274508</v>
      </c>
      <c r="M81" s="29">
        <v>308</v>
      </c>
      <c r="N81" s="14">
        <f>IF(ISNUMBER(M81), (M81 - $B81) / $B81, "")</f>
        <v>6.5359477124183009E-3</v>
      </c>
      <c r="O81" s="16">
        <f>IF(ISNUMBER(M81), $B91 * N81, "")</f>
        <v>980.39215686274508</v>
      </c>
      <c r="Q81" s="150"/>
      <c r="R81" s="151"/>
      <c r="S81" s="152"/>
    </row>
    <row r="82" spans="1:19" ht="17.25" thickBot="1">
      <c r="A82" s="109" t="s">
        <v>339</v>
      </c>
      <c r="B82" s="110">
        <v>994</v>
      </c>
      <c r="C82" s="70">
        <v>1.0070493E-3</v>
      </c>
      <c r="D82" s="15">
        <v>1025</v>
      </c>
      <c r="E82" s="32">
        <f t="shared" ref="E82:E85" si="38">IF(ISNUMBER(D82), (D82 - $B82) / $B82, "")</f>
        <v>3.1187122736418511E-2</v>
      </c>
      <c r="F82" s="18">
        <f>IF(ISNUMBER(D82), $B91 * E82, "")</f>
        <v>4678.0684104627762</v>
      </c>
      <c r="G82" s="31">
        <v>1025</v>
      </c>
      <c r="H82" s="32">
        <f t="shared" ref="H82:H85" si="39">IF(ISNUMBER(G82), (G82 - $B82) / $B82, "")</f>
        <v>3.1187122736418511E-2</v>
      </c>
      <c r="I82" s="91">
        <f>IF(ISNUMBER(G82), $B91 * H82, "")</f>
        <v>4678.0684104627762</v>
      </c>
      <c r="J82" s="15">
        <v>1020</v>
      </c>
      <c r="K82" s="32">
        <f t="shared" ref="K82:K85" si="40">IF(ISNUMBER(J82), (J82 - $B82) / $B82, "")</f>
        <v>2.6156941649899398E-2</v>
      </c>
      <c r="L82" s="18">
        <f>IF(ISNUMBER(J82), $B91 * K82, "")</f>
        <v>3923.5412474849095</v>
      </c>
      <c r="M82" s="31">
        <v>1025</v>
      </c>
      <c r="N82" s="32">
        <f t="shared" ref="N82:N85" si="41">IF(ISNUMBER(M82), (M82 - $B82) / $B82, "")</f>
        <v>3.1187122736418511E-2</v>
      </c>
      <c r="O82" s="18">
        <f>IF(ISNUMBER(M82), $B91 * N82, "")</f>
        <v>4678.0684104627762</v>
      </c>
      <c r="Q82" s="153"/>
      <c r="R82" s="154"/>
      <c r="S82" s="155"/>
    </row>
    <row r="83" spans="1:19" ht="17.25" thickBot="1">
      <c r="A83" s="109" t="s">
        <v>85</v>
      </c>
      <c r="B83" s="110">
        <v>130</v>
      </c>
      <c r="C83" s="70">
        <v>0</v>
      </c>
      <c r="D83" s="15">
        <v>134</v>
      </c>
      <c r="E83" s="32">
        <f t="shared" si="38"/>
        <v>3.0769230769230771E-2</v>
      </c>
      <c r="F83" s="18">
        <f>IF(ISNUMBER(D83), $B91 * E83, "")</f>
        <v>4615.3846153846152</v>
      </c>
      <c r="G83" s="31">
        <v>133</v>
      </c>
      <c r="H83" s="32">
        <f t="shared" si="39"/>
        <v>2.3076923076923078E-2</v>
      </c>
      <c r="I83" s="91">
        <f>IF(ISNUMBER(G83), $B91 * H83, "")</f>
        <v>3461.5384615384619</v>
      </c>
      <c r="J83" s="15">
        <v>133</v>
      </c>
      <c r="K83" s="32">
        <f t="shared" si="40"/>
        <v>2.3076923076923078E-2</v>
      </c>
      <c r="L83" s="18">
        <f>IF(ISNUMBER(J83), $B91 * K83, "")</f>
        <v>3461.5384615384619</v>
      </c>
      <c r="M83" s="31">
        <v>134</v>
      </c>
      <c r="N83" s="32">
        <f t="shared" si="41"/>
        <v>3.0769230769230771E-2</v>
      </c>
      <c r="O83" s="18">
        <f>IF(ISNUMBER(M83), $B91 * N83, "")</f>
        <v>4615.3846153846152</v>
      </c>
      <c r="Q83" s="146"/>
      <c r="R83" s="146"/>
      <c r="S83" s="146"/>
    </row>
    <row r="84" spans="1:19" ht="17.25" thickBot="1">
      <c r="A84" s="109" t="s">
        <v>157</v>
      </c>
      <c r="B84" s="110">
        <v>207</v>
      </c>
      <c r="C84" s="70">
        <v>0</v>
      </c>
      <c r="D84" s="15">
        <v>209</v>
      </c>
      <c r="E84" s="32">
        <f t="shared" si="38"/>
        <v>9.6618357487922701E-3</v>
      </c>
      <c r="F84" s="18">
        <f>IF(ISNUMBER(D84), $B91 * E84, "")</f>
        <v>1449.2753623188405</v>
      </c>
      <c r="G84" s="31">
        <v>210</v>
      </c>
      <c r="H84" s="32">
        <f t="shared" si="39"/>
        <v>1.4492753623188406E-2</v>
      </c>
      <c r="I84" s="91">
        <f>IF(ISNUMBER(G84), $B91 * H84, "")</f>
        <v>2173.913043478261</v>
      </c>
      <c r="J84" s="15">
        <v>211</v>
      </c>
      <c r="K84" s="32">
        <f t="shared" si="40"/>
        <v>1.932367149758454E-2</v>
      </c>
      <c r="L84" s="18">
        <f>IF(ISNUMBER(J84), $B91 * K84, "")</f>
        <v>2898.550724637681</v>
      </c>
      <c r="M84" s="31">
        <v>215</v>
      </c>
      <c r="N84" s="32">
        <f t="shared" si="41"/>
        <v>3.864734299516908E-2</v>
      </c>
      <c r="O84" s="18">
        <f>IF(ISNUMBER(M84), $B91 * N84, "")</f>
        <v>5797.101449275362</v>
      </c>
      <c r="Q84" s="156"/>
      <c r="R84" s="156"/>
      <c r="S84" s="156"/>
    </row>
    <row r="85" spans="1:19" ht="17.25" thickBot="1">
      <c r="A85" s="111" t="s">
        <v>219</v>
      </c>
      <c r="B85" s="112">
        <v>336</v>
      </c>
      <c r="C85" s="71">
        <v>0</v>
      </c>
      <c r="D85" s="20">
        <v>348</v>
      </c>
      <c r="E85" s="21">
        <f t="shared" si="38"/>
        <v>3.5714285714285712E-2</v>
      </c>
      <c r="F85" s="22">
        <f>IF(ISNUMBER(D85), $B91 * E85, "")</f>
        <v>5357.1428571428569</v>
      </c>
      <c r="G85" s="30">
        <v>349</v>
      </c>
      <c r="H85" s="21">
        <f t="shared" si="39"/>
        <v>3.8690476190476192E-2</v>
      </c>
      <c r="I85" s="95">
        <f>IF(ISNUMBER(G85), $B91 * H85, "")</f>
        <v>5803.5714285714284</v>
      </c>
      <c r="J85" s="20">
        <v>348</v>
      </c>
      <c r="K85" s="21">
        <f t="shared" si="40"/>
        <v>3.5714285714285712E-2</v>
      </c>
      <c r="L85" s="22">
        <f>IF(ISNUMBER(J85), $B91 * K85, "")</f>
        <v>5357.1428571428569</v>
      </c>
      <c r="M85" s="30">
        <v>349</v>
      </c>
      <c r="N85" s="21">
        <f t="shared" si="41"/>
        <v>3.8690476190476192E-2</v>
      </c>
      <c r="O85" s="22">
        <f>IF(ISNUMBER(M85), $B91 * N85, "")</f>
        <v>5803.5714285714284</v>
      </c>
      <c r="Q85" s="156"/>
      <c r="R85" s="156"/>
      <c r="S85" s="156"/>
    </row>
    <row r="86" spans="1:19" ht="17.25" thickBot="1">
      <c r="A86" s="109" t="s">
        <v>105</v>
      </c>
      <c r="B86" s="113">
        <v>187</v>
      </c>
      <c r="C86" s="73">
        <v>0</v>
      </c>
      <c r="D86" s="96">
        <v>192</v>
      </c>
      <c r="E86" s="97">
        <f>IF(ISNUMBER(D86), (D86 - $B86) / $B86, "")</f>
        <v>2.6737967914438502E-2</v>
      </c>
      <c r="F86" s="98">
        <f>IF(ISNUMBER(D86), $B91 * E86, "")</f>
        <v>4010.6951871657752</v>
      </c>
      <c r="G86" s="99">
        <v>192</v>
      </c>
      <c r="H86" s="97">
        <f>IF(ISNUMBER(G86), (G86 - $B86) / $B86, "")</f>
        <v>2.6737967914438502E-2</v>
      </c>
      <c r="I86" s="100">
        <f>IF(ISNUMBER(G86), $B91 * H86, "")</f>
        <v>4010.6951871657752</v>
      </c>
      <c r="J86" s="96">
        <v>192</v>
      </c>
      <c r="K86" s="97">
        <f>IF(ISNUMBER(J86), (J86 - $B86) / $B86, "")</f>
        <v>2.6737967914438502E-2</v>
      </c>
      <c r="L86" s="98">
        <f>IF(ISNUMBER(J86), $B91 * K86, "")</f>
        <v>4010.6951871657752</v>
      </c>
      <c r="M86" s="99">
        <v>192</v>
      </c>
      <c r="N86" s="97">
        <f>IF(ISNUMBER(M86), (M86 - $B86) / $B86, "")</f>
        <v>2.6737967914438502E-2</v>
      </c>
      <c r="O86" s="98">
        <f>IF(ISNUMBER(M86), $B91 * N86, "")</f>
        <v>4010.6951871657752</v>
      </c>
      <c r="Q86" s="146"/>
      <c r="R86" s="146"/>
      <c r="S86" s="146"/>
    </row>
    <row r="87" spans="1:19" ht="17.25" thickBot="1">
      <c r="A87" s="109" t="s">
        <v>60</v>
      </c>
      <c r="B87" s="110">
        <v>394</v>
      </c>
      <c r="C87" s="70">
        <v>0</v>
      </c>
      <c r="D87" s="15">
        <v>413</v>
      </c>
      <c r="E87" s="32">
        <f t="shared" ref="E87:E90" si="42">IF(ISNUMBER(D87), (D87 - $B87) / $B87, "")</f>
        <v>4.8223350253807105E-2</v>
      </c>
      <c r="F87" s="18">
        <f>IF(ISNUMBER(D87), $B91 * E87, "")</f>
        <v>7233.5025380710658</v>
      </c>
      <c r="G87" s="31">
        <v>413</v>
      </c>
      <c r="H87" s="32">
        <f t="shared" ref="H87:H90" si="43">IF(ISNUMBER(G87), (G87 - $B87) / $B87, "")</f>
        <v>4.8223350253807105E-2</v>
      </c>
      <c r="I87" s="91">
        <f>IF(ISNUMBER(G87), $B91 * H87, "")</f>
        <v>7233.5025380710658</v>
      </c>
      <c r="J87" s="15">
        <v>413</v>
      </c>
      <c r="K87" s="32">
        <f t="shared" ref="K87:K90" si="44">IF(ISNUMBER(J87), (J87 - $B87) / $B87, "")</f>
        <v>4.8223350253807105E-2</v>
      </c>
      <c r="L87" s="18">
        <f>IF(ISNUMBER(J87), $B91 * K87, "")</f>
        <v>7233.5025380710658</v>
      </c>
      <c r="M87" s="31">
        <v>412</v>
      </c>
      <c r="N87" s="32">
        <f t="shared" ref="N87:N90" si="45">IF(ISNUMBER(M87), (M87 - $B87) / $B87, "")</f>
        <v>4.5685279187817257E-2</v>
      </c>
      <c r="O87" s="18">
        <f>IF(ISNUMBER(M87), $B91 * N87, "")</f>
        <v>6852.7918781725884</v>
      </c>
      <c r="Q87" s="146"/>
      <c r="R87" s="146"/>
      <c r="S87" s="146"/>
    </row>
    <row r="88" spans="1:19" ht="17.25" thickBot="1">
      <c r="A88" s="109" t="s">
        <v>345</v>
      </c>
      <c r="B88" s="110">
        <v>108</v>
      </c>
      <c r="C88" s="70">
        <v>0</v>
      </c>
      <c r="D88" s="15">
        <v>111</v>
      </c>
      <c r="E88" s="32">
        <f t="shared" si="42"/>
        <v>2.7777777777777776E-2</v>
      </c>
      <c r="F88" s="18">
        <f>IF(ISNUMBER(D88), $B91 * E88, "")</f>
        <v>4166.6666666666661</v>
      </c>
      <c r="G88" s="31">
        <v>109</v>
      </c>
      <c r="H88" s="32">
        <f t="shared" si="43"/>
        <v>9.2592592592592587E-3</v>
      </c>
      <c r="I88" s="91">
        <f>IF(ISNUMBER(G88), $B91 * H88, "")</f>
        <v>1388.8888888888889</v>
      </c>
      <c r="J88" s="15">
        <v>109</v>
      </c>
      <c r="K88" s="32">
        <f t="shared" si="44"/>
        <v>9.2592592592592587E-3</v>
      </c>
      <c r="L88" s="18">
        <f>IF(ISNUMBER(J88), $B91 * K88, "")</f>
        <v>1388.8888888888889</v>
      </c>
      <c r="M88" s="31">
        <v>109</v>
      </c>
      <c r="N88" s="32">
        <f t="shared" si="45"/>
        <v>9.2592592592592587E-3</v>
      </c>
      <c r="O88" s="18">
        <f>IF(ISNUMBER(M88), $B91 * N88, "")</f>
        <v>1388.8888888888889</v>
      </c>
      <c r="Q88" s="146"/>
      <c r="R88" s="146"/>
      <c r="S88" s="146"/>
    </row>
    <row r="89" spans="1:19">
      <c r="A89" s="109" t="s">
        <v>101</v>
      </c>
      <c r="B89" s="110">
        <v>196</v>
      </c>
      <c r="C89" s="70">
        <v>0</v>
      </c>
      <c r="D89" s="15">
        <v>202</v>
      </c>
      <c r="E89" s="32">
        <f t="shared" si="42"/>
        <v>3.0612244897959183E-2</v>
      </c>
      <c r="F89" s="18">
        <f>IF(ISNUMBER(D89), $B91 * E89, "")</f>
        <v>4591.8367346938776</v>
      </c>
      <c r="G89" s="31">
        <v>203</v>
      </c>
      <c r="H89" s="32">
        <f t="shared" si="43"/>
        <v>3.5714285714285712E-2</v>
      </c>
      <c r="I89" s="91">
        <f>IF(ISNUMBER(G89), $B91 * H89, "")</f>
        <v>5357.1428571428569</v>
      </c>
      <c r="J89" s="15">
        <v>202</v>
      </c>
      <c r="K89" s="32">
        <f t="shared" si="44"/>
        <v>3.0612244897959183E-2</v>
      </c>
      <c r="L89" s="18">
        <f>IF(ISNUMBER(J89), $B91 * K89, "")</f>
        <v>4591.8367346938776</v>
      </c>
      <c r="M89" s="31">
        <v>202</v>
      </c>
      <c r="N89" s="32">
        <f t="shared" si="45"/>
        <v>3.0612244897959183E-2</v>
      </c>
      <c r="O89" s="18">
        <f>IF(ISNUMBER(M89), $B91 * N89, "")</f>
        <v>4591.8367346938776</v>
      </c>
      <c r="Q89" s="135"/>
      <c r="R89" s="136"/>
      <c r="S89" s="137"/>
    </row>
    <row r="90" spans="1:19" ht="17.25" thickBot="1">
      <c r="A90" s="114" t="s">
        <v>161</v>
      </c>
      <c r="B90" s="115">
        <v>276</v>
      </c>
      <c r="C90" s="72">
        <v>0</v>
      </c>
      <c r="D90" s="24">
        <v>280</v>
      </c>
      <c r="E90" s="25">
        <f t="shared" si="42"/>
        <v>1.4492753623188406E-2</v>
      </c>
      <c r="F90" s="94">
        <f>IF(ISNUMBER(D90), $B91 * E90, "")</f>
        <v>2173.913043478261</v>
      </c>
      <c r="G90" s="92">
        <v>282</v>
      </c>
      <c r="H90" s="25">
        <f t="shared" si="43"/>
        <v>2.1739130434782608E-2</v>
      </c>
      <c r="I90" s="93">
        <f>IF(ISNUMBER(G90), $B91 * H90, "")</f>
        <v>3260.869565217391</v>
      </c>
      <c r="J90" s="24">
        <v>280</v>
      </c>
      <c r="K90" s="25">
        <f t="shared" si="44"/>
        <v>1.4492753623188406E-2</v>
      </c>
      <c r="L90" s="94">
        <f>IF(ISNUMBER(J90), $B91 * K90, "")</f>
        <v>2173.913043478261</v>
      </c>
      <c r="M90" s="92">
        <v>280</v>
      </c>
      <c r="N90" s="25">
        <f t="shared" si="45"/>
        <v>1.4492753623188406E-2</v>
      </c>
      <c r="O90" s="94">
        <f>IF(ISNUMBER(M90), $B91 * N90, "")</f>
        <v>2173.913043478261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3.039129125003532E-2</v>
      </c>
      <c r="F91" s="28">
        <f>SUM(F71:F90)</f>
        <v>91173.873750105966</v>
      </c>
      <c r="G91" s="26" t="s">
        <v>258</v>
      </c>
      <c r="H91" s="27">
        <f>IF(COUNT(H71:H90), SUM(H71:H90) / COUNT(H71:H90), 0)</f>
        <v>3.0149886159940659E-2</v>
      </c>
      <c r="I91" s="28">
        <f>SUM(I71:I90)</f>
        <v>90449.658479821999</v>
      </c>
      <c r="J91" s="26" t="s">
        <v>258</v>
      </c>
      <c r="K91" s="27">
        <f>IF(COUNT(K71:K90), SUM(K71:K90) / COUNT(K71:K90), 0)</f>
        <v>2.93738208668122E-2</v>
      </c>
      <c r="L91" s="28">
        <f>SUM(L71:L90)</f>
        <v>88121.462600436629</v>
      </c>
      <c r="M91" s="26" t="s">
        <v>258</v>
      </c>
      <c r="N91" s="27">
        <f>IF(COUNT(N71:N90), SUM(N71:N90) / COUNT(N71:N90), 0)</f>
        <v>2.9746455382239023E-2</v>
      </c>
      <c r="O91" s="28">
        <f>SUM(O71:O90)</f>
        <v>89239.366146717075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2023-01-04(수) 오전 00:00</v>
      </c>
      <c r="C96" s="198"/>
      <c r="D96" s="170" t="str">
        <f>TEXT($G$1, "[$-ko-KR]yyyy-mm-dd(ddd) ") &amp; "오후 14:00"</f>
        <v>2023-01-04(수) 오후 14:00</v>
      </c>
      <c r="E96" s="171"/>
      <c r="F96" s="172"/>
      <c r="G96" s="170" t="str">
        <f>TEXT($G$1, "[$-ko-KR]yyyy-mm-dd(ddd) ") &amp; "오후 19:00"</f>
        <v>2023-01-04(수) 오후 19:00</v>
      </c>
      <c r="H96" s="171"/>
      <c r="I96" s="172"/>
      <c r="J96" s="170" t="str">
        <f>TEXT($G$1, "[$-ko-KR]yyyy-mm-dd(ddd) ") &amp; "오후 21:00"</f>
        <v>2023-01-04(수) 오후 21:00</v>
      </c>
      <c r="K96" s="171"/>
      <c r="L96" s="172"/>
      <c r="M96" s="170" t="str">
        <f>TEXT($G$1+1, "[$-ko-KR]yyyy-mm-dd(ddd) ") &amp; "오전 00:00"</f>
        <v>2023-01-05(목)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189</v>
      </c>
      <c r="B98" s="108">
        <v>932</v>
      </c>
      <c r="C98" s="69">
        <v>0.10035419130000001</v>
      </c>
      <c r="D98" s="13">
        <v>938</v>
      </c>
      <c r="E98" s="14">
        <f>IF(ISNUMBER(D98), (D98 - $B98) / $B98, "")</f>
        <v>6.4377682403433476E-3</v>
      </c>
      <c r="F98" s="16">
        <f>IF(ISNUMBER(D98), $B118 * E98, "")</f>
        <v>965.66523605150212</v>
      </c>
      <c r="G98" s="29">
        <v>942</v>
      </c>
      <c r="H98" s="14">
        <f>IF(ISNUMBER(G98), (G98 - $B98) / $B98, "")</f>
        <v>1.0729613733905579E-2</v>
      </c>
      <c r="I98" s="90">
        <f>IF(ISNUMBER(G98), $B118 * H98, "")</f>
        <v>1609.4420600858368</v>
      </c>
      <c r="J98" s="13">
        <v>939</v>
      </c>
      <c r="K98" s="14">
        <f>IF(ISNUMBER(J98), (J98 - $B98) / $B98, "")</f>
        <v>7.5107296137339056E-3</v>
      </c>
      <c r="L98" s="16">
        <f>IF(ISNUMBER(J98), $B118 * K98, "")</f>
        <v>1126.6094420600859</v>
      </c>
      <c r="M98" s="29">
        <v>929</v>
      </c>
      <c r="N98" s="14">
        <f>IF(ISNUMBER(M98), (M98 - $B98) / $B98, "")</f>
        <v>-3.2188841201716738E-3</v>
      </c>
      <c r="O98" s="16">
        <f>IF(ISNUMBER(M98), $B118 * N98, "")</f>
        <v>-482.83261802575106</v>
      </c>
      <c r="Q98" s="156"/>
      <c r="R98" s="156"/>
      <c r="S98" s="156"/>
    </row>
    <row r="99" spans="1:19" ht="17.25" thickBot="1">
      <c r="A99" s="109" t="s">
        <v>343</v>
      </c>
      <c r="B99" s="110">
        <v>15720</v>
      </c>
      <c r="C99" s="70">
        <v>9.6234309599999998E-2</v>
      </c>
      <c r="D99" s="15">
        <v>17180</v>
      </c>
      <c r="E99" s="32">
        <f t="shared" ref="E99:E102" si="46">IF(ISNUMBER(D99), (D99 - $B99) / $B99, "")</f>
        <v>9.2875318066157758E-2</v>
      </c>
      <c r="F99" s="18">
        <f>IF(ISNUMBER(D99), $B118 * E99, "")</f>
        <v>13931.297709923663</v>
      </c>
      <c r="G99" s="31">
        <v>17650</v>
      </c>
      <c r="H99" s="32">
        <f t="shared" ref="H99:H102" si="47">IF(ISNUMBER(G99), (G99 - $B99) / $B99, "")</f>
        <v>0.1227735368956743</v>
      </c>
      <c r="I99" s="91">
        <f>IF(ISNUMBER(G99), $B118 * H99, "")</f>
        <v>18416.030534351146</v>
      </c>
      <c r="J99" s="15">
        <v>17480</v>
      </c>
      <c r="K99" s="32">
        <f t="shared" ref="K99:K102" si="48">IF(ISNUMBER(J99), (J99 - $B99) / $B99, "")</f>
        <v>0.11195928753180662</v>
      </c>
      <c r="L99" s="18">
        <f>IF(ISNUMBER(J99), $B118 * K99, "")</f>
        <v>16793.893129770993</v>
      </c>
      <c r="M99" s="31">
        <v>17190</v>
      </c>
      <c r="N99" s="32">
        <f t="shared" ref="N99:N102" si="49">IF(ISNUMBER(M99), (M99 - $B99) / $B99, "")</f>
        <v>9.3511450381679392E-2</v>
      </c>
      <c r="O99" s="18">
        <f>IF(ISNUMBER(M99), $B118 * N99, "")</f>
        <v>14026.717557251908</v>
      </c>
      <c r="Q99" s="156"/>
      <c r="R99" s="156"/>
      <c r="S99" s="156"/>
    </row>
    <row r="100" spans="1:19" ht="17.25" thickBot="1">
      <c r="A100" s="109" t="s">
        <v>73</v>
      </c>
      <c r="B100" s="110">
        <v>12960</v>
      </c>
      <c r="C100" s="70">
        <v>3.8461538500000003E-2</v>
      </c>
      <c r="D100" s="15">
        <v>13200</v>
      </c>
      <c r="E100" s="32">
        <f t="shared" si="46"/>
        <v>1.8518518518518517E-2</v>
      </c>
      <c r="F100" s="18">
        <f>IF(ISNUMBER(D100), $B118 * E100, "")</f>
        <v>2777.7777777777778</v>
      </c>
      <c r="G100" s="31">
        <v>13110</v>
      </c>
      <c r="H100" s="32">
        <f t="shared" si="47"/>
        <v>1.1574074074074073E-2</v>
      </c>
      <c r="I100" s="91">
        <f>IF(ISNUMBER(G100), $B118 * H100, "")</f>
        <v>1736.1111111111111</v>
      </c>
      <c r="J100" s="15">
        <v>13050</v>
      </c>
      <c r="K100" s="32">
        <f t="shared" si="48"/>
        <v>6.9444444444444441E-3</v>
      </c>
      <c r="L100" s="18">
        <f>IF(ISNUMBER(J100), $B118 * K100, "")</f>
        <v>1041.6666666666665</v>
      </c>
      <c r="M100" s="31">
        <v>13060</v>
      </c>
      <c r="N100" s="32">
        <f t="shared" si="49"/>
        <v>7.716049382716049E-3</v>
      </c>
      <c r="O100" s="18">
        <f>IF(ISNUMBER(M100), $B118 * N100, "")</f>
        <v>1157.4074074074074</v>
      </c>
      <c r="Q100" s="146"/>
      <c r="R100" s="146"/>
      <c r="S100" s="146"/>
    </row>
    <row r="101" spans="1:19" ht="17.25" thickBot="1">
      <c r="A101" s="109" t="s">
        <v>68</v>
      </c>
      <c r="B101" s="110">
        <v>241</v>
      </c>
      <c r="C101" s="70">
        <v>3.4334763900000002E-2</v>
      </c>
      <c r="D101" s="15">
        <v>271</v>
      </c>
      <c r="E101" s="32">
        <f t="shared" si="46"/>
        <v>0.12448132780082988</v>
      </c>
      <c r="F101" s="18">
        <f>IF(ISNUMBER(D101), $B118 * E101, "")</f>
        <v>18672.199170124481</v>
      </c>
      <c r="G101" s="31">
        <v>272</v>
      </c>
      <c r="H101" s="32">
        <f t="shared" si="47"/>
        <v>0.12863070539419086</v>
      </c>
      <c r="I101" s="91">
        <f>IF(ISNUMBER(G101), $B118 * H101, "")</f>
        <v>19294.605809128629</v>
      </c>
      <c r="J101" s="15">
        <v>271</v>
      </c>
      <c r="K101" s="32">
        <f t="shared" si="48"/>
        <v>0.12448132780082988</v>
      </c>
      <c r="L101" s="18">
        <f>IF(ISNUMBER(J101), $B118 * K101, "")</f>
        <v>18672.199170124481</v>
      </c>
      <c r="M101" s="31">
        <v>267</v>
      </c>
      <c r="N101" s="32">
        <f t="shared" si="49"/>
        <v>0.1078838174273859</v>
      </c>
      <c r="O101" s="18">
        <f>IF(ISNUMBER(M101), $B118 * N101, "")</f>
        <v>16182.572614107885</v>
      </c>
      <c r="Q101" s="146"/>
      <c r="R101" s="146"/>
      <c r="S101" s="146"/>
    </row>
    <row r="102" spans="1:19" ht="17.25" thickBot="1">
      <c r="A102" s="111" t="s">
        <v>201</v>
      </c>
      <c r="B102" s="112">
        <v>182</v>
      </c>
      <c r="C102" s="71">
        <v>2.2471910099999999E-2</v>
      </c>
      <c r="D102" s="20">
        <v>183</v>
      </c>
      <c r="E102" s="21">
        <f t="shared" si="46"/>
        <v>5.4945054945054949E-3</v>
      </c>
      <c r="F102" s="22">
        <f>IF(ISNUMBER(D102), $B118 * E102, "")</f>
        <v>824.17582417582423</v>
      </c>
      <c r="G102" s="30">
        <v>183</v>
      </c>
      <c r="H102" s="21">
        <f t="shared" si="47"/>
        <v>5.4945054945054949E-3</v>
      </c>
      <c r="I102" s="95">
        <f>IF(ISNUMBER(G102), $B118 * H102, "")</f>
        <v>824.17582417582423</v>
      </c>
      <c r="J102" s="20">
        <v>183</v>
      </c>
      <c r="K102" s="21">
        <f t="shared" si="48"/>
        <v>5.4945054945054949E-3</v>
      </c>
      <c r="L102" s="22">
        <f>IF(ISNUMBER(J102), $B118 * K102, "")</f>
        <v>824.17582417582423</v>
      </c>
      <c r="M102" s="30">
        <v>183</v>
      </c>
      <c r="N102" s="21">
        <f t="shared" si="49"/>
        <v>5.4945054945054949E-3</v>
      </c>
      <c r="O102" s="22">
        <f>IF(ISNUMBER(M102), $B118 * N102, "")</f>
        <v>824.17582417582423</v>
      </c>
      <c r="Q102" s="146"/>
      <c r="R102" s="146"/>
      <c r="S102" s="146"/>
    </row>
    <row r="103" spans="1:19" ht="17.25" thickBot="1">
      <c r="A103" s="109" t="s">
        <v>95</v>
      </c>
      <c r="B103" s="113">
        <v>961</v>
      </c>
      <c r="C103" s="73">
        <v>2.23404255E-2</v>
      </c>
      <c r="D103" s="96">
        <v>980</v>
      </c>
      <c r="E103" s="97">
        <f>IF(ISNUMBER(D103), (D103 - $B103) / $B103, "")</f>
        <v>1.9771071800208116E-2</v>
      </c>
      <c r="F103" s="98">
        <f>IF(ISNUMBER(D103), $B118 * E103, "")</f>
        <v>2965.6607700312175</v>
      </c>
      <c r="G103" s="99">
        <v>982</v>
      </c>
      <c r="H103" s="97">
        <f>IF(ISNUMBER(G103), (G103 - $B103) / $B103, "")</f>
        <v>2.1852237252861603E-2</v>
      </c>
      <c r="I103" s="100">
        <f>IF(ISNUMBER(G103), $B118 * H103, "")</f>
        <v>3277.8355879292403</v>
      </c>
      <c r="J103" s="96">
        <v>979</v>
      </c>
      <c r="K103" s="97">
        <f>IF(ISNUMBER(J103), (J103 - $B103) / $B103, "")</f>
        <v>1.8730489073881373E-2</v>
      </c>
      <c r="L103" s="98">
        <f>IF(ISNUMBER(J103), $B118 * K103, "")</f>
        <v>2809.5733610822058</v>
      </c>
      <c r="M103" s="99">
        <v>979</v>
      </c>
      <c r="N103" s="97">
        <f>IF(ISNUMBER(M103), (M103 - $B103) / $B103, "")</f>
        <v>1.8730489073881373E-2</v>
      </c>
      <c r="O103" s="98">
        <f>IF(ISNUMBER(M103), $B118 * N103, "")</f>
        <v>2809.5733610822058</v>
      </c>
      <c r="Q103" s="146"/>
      <c r="R103" s="146"/>
      <c r="S103" s="146"/>
    </row>
    <row r="104" spans="1:19" ht="17.25" thickBot="1">
      <c r="A104" s="109" t="s">
        <v>335</v>
      </c>
      <c r="B104" s="110">
        <v>1700</v>
      </c>
      <c r="C104" s="70">
        <v>2.1021021000000001E-2</v>
      </c>
      <c r="D104" s="15">
        <v>1820</v>
      </c>
      <c r="E104" s="32">
        <f t="shared" ref="E104:E107" si="50">IF(ISNUMBER(D104), (D104 - $B104) / $B104, "")</f>
        <v>7.0588235294117646E-2</v>
      </c>
      <c r="F104" s="18">
        <f>IF(ISNUMBER(D104), $B118 * E104, "")</f>
        <v>10588.235294117647</v>
      </c>
      <c r="G104" s="31">
        <v>1950</v>
      </c>
      <c r="H104" s="32">
        <f t="shared" ref="H104:H107" si="51">IF(ISNUMBER(G104), (G104 - $B104) / $B104, "")</f>
        <v>0.14705882352941177</v>
      </c>
      <c r="I104" s="91">
        <f>IF(ISNUMBER(G104), $B118 * H104, "")</f>
        <v>22058.823529411766</v>
      </c>
      <c r="J104" s="15">
        <v>1920</v>
      </c>
      <c r="K104" s="32">
        <f t="shared" ref="K104:K107" si="52">IF(ISNUMBER(J104), (J104 - $B104) / $B104, "")</f>
        <v>0.12941176470588237</v>
      </c>
      <c r="L104" s="18">
        <f>IF(ISNUMBER(J104), $B118 * K104, "")</f>
        <v>19411.764705882353</v>
      </c>
      <c r="M104" s="31">
        <v>1990</v>
      </c>
      <c r="N104" s="32">
        <f t="shared" ref="N104:N107" si="53">IF(ISNUMBER(M104), (M104 - $B104) / $B104, "")</f>
        <v>0.17058823529411765</v>
      </c>
      <c r="O104" s="18">
        <f>IF(ISNUMBER(M104), $B118 * N104, "")</f>
        <v>25588.235294117647</v>
      </c>
      <c r="Q104" s="146"/>
      <c r="R104" s="146"/>
      <c r="S104" s="146"/>
    </row>
    <row r="105" spans="1:19" ht="17.25" thickBot="1">
      <c r="A105" s="109" t="s">
        <v>87</v>
      </c>
      <c r="B105" s="110">
        <v>54360</v>
      </c>
      <c r="C105" s="70">
        <v>2.0653398399999998E-2</v>
      </c>
      <c r="D105" s="15">
        <v>54850</v>
      </c>
      <c r="E105" s="32">
        <f t="shared" si="50"/>
        <v>9.0139808682855038E-3</v>
      </c>
      <c r="F105" s="18">
        <f>IF(ISNUMBER(D105), $B118 * E105, "")</f>
        <v>1352.0971302428256</v>
      </c>
      <c r="G105" s="31">
        <v>54870</v>
      </c>
      <c r="H105" s="32">
        <f t="shared" si="51"/>
        <v>9.3818984547461362E-3</v>
      </c>
      <c r="I105" s="91">
        <f>IF(ISNUMBER(G105), $B118 * H105, "")</f>
        <v>1407.2847682119204</v>
      </c>
      <c r="J105" s="15">
        <v>54660</v>
      </c>
      <c r="K105" s="32">
        <f t="shared" si="52"/>
        <v>5.5187637969094927E-3</v>
      </c>
      <c r="L105" s="18">
        <f>IF(ISNUMBER(J105), $B118 * K105, "")</f>
        <v>827.81456953642396</v>
      </c>
      <c r="M105" s="31">
        <v>54510</v>
      </c>
      <c r="N105" s="32">
        <f t="shared" si="53"/>
        <v>2.7593818984547464E-3</v>
      </c>
      <c r="O105" s="18">
        <f>IF(ISNUMBER(M105), $B118 * N105, "")</f>
        <v>413.90728476821198</v>
      </c>
      <c r="Q105" s="146"/>
      <c r="R105" s="146"/>
      <c r="S105" s="146"/>
    </row>
    <row r="106" spans="1:19" ht="17.25" thickBot="1">
      <c r="A106" s="109" t="s">
        <v>347</v>
      </c>
      <c r="B106" s="110">
        <v>14490</v>
      </c>
      <c r="C106" s="70">
        <v>2.0422535200000001E-2</v>
      </c>
      <c r="D106" s="15">
        <v>15050</v>
      </c>
      <c r="E106" s="32">
        <f t="shared" si="50"/>
        <v>3.864734299516908E-2</v>
      </c>
      <c r="F106" s="18">
        <f>IF(ISNUMBER(D106), $B118 * E106, "")</f>
        <v>5797.101449275362</v>
      </c>
      <c r="G106" s="31">
        <v>15110</v>
      </c>
      <c r="H106" s="32">
        <f t="shared" si="51"/>
        <v>4.2788129744651481E-2</v>
      </c>
      <c r="I106" s="91">
        <f>IF(ISNUMBER(G106), $B118 * H106, "")</f>
        <v>6418.2194616977222</v>
      </c>
      <c r="J106" s="15">
        <v>15080</v>
      </c>
      <c r="K106" s="32">
        <f t="shared" si="52"/>
        <v>4.071773636991028E-2</v>
      </c>
      <c r="L106" s="18">
        <f>IF(ISNUMBER(J106), $B118 * K106, "")</f>
        <v>6107.6604554865417</v>
      </c>
      <c r="M106" s="31">
        <v>15180</v>
      </c>
      <c r="N106" s="32">
        <f t="shared" si="53"/>
        <v>4.7619047619047616E-2</v>
      </c>
      <c r="O106" s="18">
        <f>IF(ISNUMBER(M106), $B118 * N106, "")</f>
        <v>7142.8571428571422</v>
      </c>
      <c r="Q106" s="33"/>
      <c r="R106" s="33"/>
    </row>
    <row r="107" spans="1:19" ht="17.25" thickBot="1">
      <c r="A107" s="114" t="s">
        <v>159</v>
      </c>
      <c r="B107" s="115">
        <v>140</v>
      </c>
      <c r="C107" s="72">
        <v>1.44927536E-2</v>
      </c>
      <c r="D107" s="24">
        <v>142</v>
      </c>
      <c r="E107" s="25">
        <f t="shared" si="50"/>
        <v>1.4285714285714285E-2</v>
      </c>
      <c r="F107" s="94">
        <f>IF(ISNUMBER(D107), $B118 * E107, "")</f>
        <v>2142.8571428571427</v>
      </c>
      <c r="G107" s="92">
        <v>141</v>
      </c>
      <c r="H107" s="25">
        <f t="shared" si="51"/>
        <v>7.1428571428571426E-3</v>
      </c>
      <c r="I107" s="93">
        <f>IF(ISNUMBER(G107), $B118 * H107, "")</f>
        <v>1071.4285714285713</v>
      </c>
      <c r="J107" s="24">
        <v>141</v>
      </c>
      <c r="K107" s="25">
        <f t="shared" si="52"/>
        <v>7.1428571428571426E-3</v>
      </c>
      <c r="L107" s="94">
        <f>IF(ISNUMBER(J107), $B118 * K107, "")</f>
        <v>1071.4285714285713</v>
      </c>
      <c r="M107" s="92">
        <v>141</v>
      </c>
      <c r="N107" s="25">
        <f t="shared" si="53"/>
        <v>7.1428571428571426E-3</v>
      </c>
      <c r="O107" s="94">
        <f>IF(ISNUMBER(M107), $B118 * N107, "")</f>
        <v>1071.4285714285713</v>
      </c>
      <c r="Q107" s="147"/>
      <c r="R107" s="148"/>
      <c r="S107" s="149"/>
    </row>
    <row r="108" spans="1:19">
      <c r="A108" s="107" t="s">
        <v>77</v>
      </c>
      <c r="B108" s="108">
        <v>128250</v>
      </c>
      <c r="C108" s="69">
        <v>1.4234875399999999E-2</v>
      </c>
      <c r="D108" s="13">
        <v>130100</v>
      </c>
      <c r="E108" s="14">
        <f>IF(ISNUMBER(D108), (D108 - $B108) / $B108, "")</f>
        <v>1.442495126705653E-2</v>
      </c>
      <c r="F108" s="16">
        <f>IF(ISNUMBER(D108), $B118 * E108, "")</f>
        <v>2163.7426900584796</v>
      </c>
      <c r="G108" s="29">
        <v>131050</v>
      </c>
      <c r="H108" s="14">
        <f>IF(ISNUMBER(G108), (G108 - $B108) / $B108, "")</f>
        <v>2.1832358674463939E-2</v>
      </c>
      <c r="I108" s="90">
        <f>IF(ISNUMBER(G108), $B118 * H108, "")</f>
        <v>3274.853801169591</v>
      </c>
      <c r="J108" s="13">
        <v>130000</v>
      </c>
      <c r="K108" s="14">
        <f>IF(ISNUMBER(J108), (J108 - $B108) / $B108, "")</f>
        <v>1.364522417153996E-2</v>
      </c>
      <c r="L108" s="16">
        <f>IF(ISNUMBER(J108), $B118 * K108, "")</f>
        <v>2046.7836257309941</v>
      </c>
      <c r="M108" s="29">
        <v>130500</v>
      </c>
      <c r="N108" s="14">
        <f>IF(ISNUMBER(M108), (M108 - $B108) / $B108, "")</f>
        <v>1.7543859649122806E-2</v>
      </c>
      <c r="O108" s="16">
        <f>IF(ISNUMBER(M108), $B118 * N108, "")</f>
        <v>2631.5789473684208</v>
      </c>
      <c r="Q108" s="150"/>
      <c r="R108" s="151"/>
      <c r="S108" s="152"/>
    </row>
    <row r="109" spans="1:19" ht="17.25" thickBot="1">
      <c r="A109" s="109" t="s">
        <v>326</v>
      </c>
      <c r="B109" s="110">
        <v>232</v>
      </c>
      <c r="C109" s="70">
        <v>1.3100436700000001E-2</v>
      </c>
      <c r="D109" s="15">
        <v>242</v>
      </c>
      <c r="E109" s="32">
        <f t="shared" ref="E109:E112" si="54">IF(ISNUMBER(D109), (D109 - $B109) / $B109, "")</f>
        <v>4.3103448275862072E-2</v>
      </c>
      <c r="F109" s="18">
        <f>IF(ISNUMBER(D109), $B118 * E109, "")</f>
        <v>6465.5172413793107</v>
      </c>
      <c r="G109" s="31">
        <v>242</v>
      </c>
      <c r="H109" s="32">
        <f t="shared" ref="H109:H112" si="55">IF(ISNUMBER(G109), (G109 - $B109) / $B109, "")</f>
        <v>4.3103448275862072E-2</v>
      </c>
      <c r="I109" s="91">
        <f>IF(ISNUMBER(G109), $B118 * H109, "")</f>
        <v>6465.5172413793107</v>
      </c>
      <c r="J109" s="15">
        <v>241</v>
      </c>
      <c r="K109" s="32">
        <f t="shared" ref="K109:K112" si="56">IF(ISNUMBER(J109), (J109 - $B109) / $B109, "")</f>
        <v>3.8793103448275863E-2</v>
      </c>
      <c r="L109" s="18">
        <f>IF(ISNUMBER(J109), $B118 * K109, "")</f>
        <v>5818.9655172413795</v>
      </c>
      <c r="M109" s="31">
        <v>241</v>
      </c>
      <c r="N109" s="32">
        <f t="shared" ref="N109:N112" si="57">IF(ISNUMBER(M109), (M109 - $B109) / $B109, "")</f>
        <v>3.8793103448275863E-2</v>
      </c>
      <c r="O109" s="18">
        <f>IF(ISNUMBER(M109), $B118 * N109, "")</f>
        <v>5818.9655172413795</v>
      </c>
      <c r="Q109" s="153"/>
      <c r="R109" s="154"/>
      <c r="S109" s="155"/>
    </row>
    <row r="110" spans="1:19" ht="17.25" thickBot="1">
      <c r="A110" s="109" t="s">
        <v>155</v>
      </c>
      <c r="B110" s="110">
        <v>24.5</v>
      </c>
      <c r="C110" s="70">
        <v>1.2396694200000001E-2</v>
      </c>
      <c r="D110" s="15">
        <v>24.8</v>
      </c>
      <c r="E110" s="32">
        <f t="shared" si="54"/>
        <v>1.2244897959183702E-2</v>
      </c>
      <c r="F110" s="18">
        <f>IF(ISNUMBER(D110), $B118 * E110, "")</f>
        <v>1836.7346938775554</v>
      </c>
      <c r="G110" s="31">
        <v>24.8</v>
      </c>
      <c r="H110" s="32">
        <f t="shared" si="55"/>
        <v>1.2244897959183702E-2</v>
      </c>
      <c r="I110" s="91">
        <f>IF(ISNUMBER(G110), $B118 * H110, "")</f>
        <v>1836.7346938775554</v>
      </c>
      <c r="J110" s="15">
        <v>24.9</v>
      </c>
      <c r="K110" s="32">
        <f t="shared" si="56"/>
        <v>1.632653061224484E-2</v>
      </c>
      <c r="L110" s="18">
        <f>IF(ISNUMBER(J110), $B118 * K110, "")</f>
        <v>2448.9795918367263</v>
      </c>
      <c r="M110" s="31">
        <v>24.8</v>
      </c>
      <c r="N110" s="32">
        <f t="shared" si="57"/>
        <v>1.2244897959183702E-2</v>
      </c>
      <c r="O110" s="18">
        <f>IF(ISNUMBER(M110), $B118 * N110, "")</f>
        <v>1836.7346938775554</v>
      </c>
      <c r="Q110" s="146"/>
      <c r="R110" s="146"/>
      <c r="S110" s="146"/>
    </row>
    <row r="111" spans="1:19" ht="17.25" thickBot="1">
      <c r="A111" s="109" t="s">
        <v>199</v>
      </c>
      <c r="B111" s="110">
        <v>268</v>
      </c>
      <c r="C111" s="70">
        <v>1.13207547E-2</v>
      </c>
      <c r="D111" s="15">
        <v>271</v>
      </c>
      <c r="E111" s="32">
        <f t="shared" si="54"/>
        <v>1.1194029850746268E-2</v>
      </c>
      <c r="F111" s="18">
        <f>IF(ISNUMBER(D111), $B118 * E111, "")</f>
        <v>1679.1044776119402</v>
      </c>
      <c r="G111" s="31">
        <v>270</v>
      </c>
      <c r="H111" s="32">
        <f t="shared" si="55"/>
        <v>7.462686567164179E-3</v>
      </c>
      <c r="I111" s="91">
        <f>IF(ISNUMBER(G111), $B118 * H111, "")</f>
        <v>1119.4029850746269</v>
      </c>
      <c r="J111" s="15">
        <v>270</v>
      </c>
      <c r="K111" s="32">
        <f t="shared" si="56"/>
        <v>7.462686567164179E-3</v>
      </c>
      <c r="L111" s="18">
        <f>IF(ISNUMBER(J111), $B118 * K111, "")</f>
        <v>1119.4029850746269</v>
      </c>
      <c r="M111" s="31">
        <v>271</v>
      </c>
      <c r="N111" s="32">
        <f t="shared" si="57"/>
        <v>1.1194029850746268E-2</v>
      </c>
      <c r="O111" s="18">
        <f>IF(ISNUMBER(M111), $B118 * N111, "")</f>
        <v>1679.1044776119402</v>
      </c>
      <c r="Q111" s="156"/>
      <c r="R111" s="156"/>
      <c r="S111" s="156"/>
    </row>
    <row r="112" spans="1:19" ht="17.25" thickBot="1">
      <c r="A112" s="111" t="s">
        <v>203</v>
      </c>
      <c r="B112" s="112">
        <v>2.96</v>
      </c>
      <c r="C112" s="71">
        <v>1.02389078E-2</v>
      </c>
      <c r="D112" s="20">
        <v>3.02</v>
      </c>
      <c r="E112" s="21">
        <f t="shared" si="54"/>
        <v>2.0270270270270289E-2</v>
      </c>
      <c r="F112" s="22">
        <f>IF(ISNUMBER(D112), $B118 * E112, "")</f>
        <v>3040.5405405405431</v>
      </c>
      <c r="G112" s="30">
        <v>2.99</v>
      </c>
      <c r="H112" s="21">
        <f t="shared" si="55"/>
        <v>1.0135135135135219E-2</v>
      </c>
      <c r="I112" s="95">
        <f>IF(ISNUMBER(G112), $B118 * H112, "")</f>
        <v>1520.2702702702829</v>
      </c>
      <c r="J112" s="20">
        <v>3.01</v>
      </c>
      <c r="K112" s="21">
        <f t="shared" si="56"/>
        <v>1.689189189189183E-2</v>
      </c>
      <c r="L112" s="22">
        <f>IF(ISNUMBER(J112), $B118 * K112, "")</f>
        <v>2533.7837837837747</v>
      </c>
      <c r="M112" s="30">
        <v>3.01</v>
      </c>
      <c r="N112" s="21">
        <f t="shared" si="57"/>
        <v>1.689189189189183E-2</v>
      </c>
      <c r="O112" s="22">
        <f>IF(ISNUMBER(M112), $B118 * N112, "")</f>
        <v>2533.7837837837747</v>
      </c>
      <c r="Q112" s="156"/>
      <c r="R112" s="156"/>
      <c r="S112" s="156"/>
    </row>
    <row r="113" spans="1:19" ht="17.25" thickBot="1">
      <c r="A113" s="109" t="s">
        <v>145</v>
      </c>
      <c r="B113" s="113">
        <v>70.7</v>
      </c>
      <c r="C113" s="73">
        <v>8.5592011000000003E-3</v>
      </c>
      <c r="D113" s="96">
        <v>71.099999999999994</v>
      </c>
      <c r="E113" s="97">
        <f>IF(ISNUMBER(D113), (D113 - $B113) / $B113, "")</f>
        <v>5.6577086280055365E-3</v>
      </c>
      <c r="F113" s="98">
        <f>IF(ISNUMBER(D113), $B118 * E113, "")</f>
        <v>848.65629420083042</v>
      </c>
      <c r="G113" s="99">
        <v>70.7</v>
      </c>
      <c r="H113" s="97">
        <f>IF(ISNUMBER(G113), (G113 - $B113) / $B113, "")</f>
        <v>0</v>
      </c>
      <c r="I113" s="100">
        <f>IF(ISNUMBER(G113), $B118 * H113, "")</f>
        <v>0</v>
      </c>
      <c r="J113" s="96">
        <v>70.599999999999994</v>
      </c>
      <c r="K113" s="97">
        <f>IF(ISNUMBER(J113), (J113 - $B113) / $B113, "")</f>
        <v>-1.414427157001535E-3</v>
      </c>
      <c r="L113" s="98">
        <f>IF(ISNUMBER(J113), $B118 * K113, "")</f>
        <v>-212.16407355023026</v>
      </c>
      <c r="M113" s="99">
        <v>70.400000000000006</v>
      </c>
      <c r="N113" s="97">
        <f>IF(ISNUMBER(M113), (M113 - $B113) / $B113, "")</f>
        <v>-4.2432814710042033E-3</v>
      </c>
      <c r="O113" s="98">
        <f>IF(ISNUMBER(M113), $B118 * N113, "")</f>
        <v>-636.49222065063054</v>
      </c>
      <c r="Q113" s="146"/>
      <c r="R113" s="146"/>
      <c r="S113" s="146"/>
    </row>
    <row r="114" spans="1:19" ht="17.25" thickBot="1">
      <c r="A114" s="109" t="s">
        <v>341</v>
      </c>
      <c r="B114" s="110">
        <v>629</v>
      </c>
      <c r="C114" s="70">
        <v>8.0128205000000001E-3</v>
      </c>
      <c r="D114" s="15">
        <v>658</v>
      </c>
      <c r="E114" s="32">
        <f t="shared" ref="E114:E117" si="58">IF(ISNUMBER(D114), (D114 - $B114) / $B114, "")</f>
        <v>4.6104928457869634E-2</v>
      </c>
      <c r="F114" s="18">
        <f>IF(ISNUMBER(D114), $B118 * E114, "")</f>
        <v>6915.7392686804451</v>
      </c>
      <c r="G114" s="31">
        <v>656</v>
      </c>
      <c r="H114" s="32">
        <f t="shared" ref="H114:H117" si="59">IF(ISNUMBER(G114), (G114 - $B114) / $B114, "")</f>
        <v>4.2925278219395867E-2</v>
      </c>
      <c r="I114" s="91">
        <f>IF(ISNUMBER(G114), $B118 * H114, "")</f>
        <v>6438.7917329093798</v>
      </c>
      <c r="J114" s="15">
        <v>659</v>
      </c>
      <c r="K114" s="32">
        <f t="shared" ref="K114:K117" si="60">IF(ISNUMBER(J114), (J114 - $B114) / $B114, "")</f>
        <v>4.7694753577106522E-2</v>
      </c>
      <c r="L114" s="18">
        <f>IF(ISNUMBER(J114), $B118 * K114, "")</f>
        <v>7154.2130365659787</v>
      </c>
      <c r="M114" s="31">
        <v>653</v>
      </c>
      <c r="N114" s="32">
        <f t="shared" ref="N114:N117" si="61">IF(ISNUMBER(M114), (M114 - $B114) / $B114, "")</f>
        <v>3.8155802861685212E-2</v>
      </c>
      <c r="O114" s="18">
        <f>IF(ISNUMBER(M114), $B118 * N114, "")</f>
        <v>5723.3704292527818</v>
      </c>
      <c r="Q114" s="146"/>
      <c r="R114" s="146"/>
      <c r="S114" s="146"/>
    </row>
    <row r="115" spans="1:19" ht="17.25" thickBot="1">
      <c r="A115" s="109" t="s">
        <v>178</v>
      </c>
      <c r="B115" s="110">
        <v>1350</v>
      </c>
      <c r="C115" s="70">
        <v>7.4626865999999998E-3</v>
      </c>
      <c r="D115" s="15">
        <v>1365</v>
      </c>
      <c r="E115" s="32">
        <f t="shared" si="58"/>
        <v>1.1111111111111112E-2</v>
      </c>
      <c r="F115" s="18">
        <f>IF(ISNUMBER(D115), $B118 * E115, "")</f>
        <v>1666.6666666666667</v>
      </c>
      <c r="G115" s="31">
        <v>1360</v>
      </c>
      <c r="H115" s="32">
        <f t="shared" si="59"/>
        <v>7.4074074074074077E-3</v>
      </c>
      <c r="I115" s="91">
        <f>IF(ISNUMBER(G115), $B118 * H115, "")</f>
        <v>1111.1111111111111</v>
      </c>
      <c r="J115" s="15">
        <v>1365</v>
      </c>
      <c r="K115" s="32">
        <f t="shared" si="60"/>
        <v>1.1111111111111112E-2</v>
      </c>
      <c r="L115" s="18">
        <f>IF(ISNUMBER(J115), $B118 * K115, "")</f>
        <v>1666.6666666666667</v>
      </c>
      <c r="M115" s="31">
        <v>1375</v>
      </c>
      <c r="N115" s="32">
        <f t="shared" si="61"/>
        <v>1.8518518518518517E-2</v>
      </c>
      <c r="O115" s="18">
        <f>IF(ISNUMBER(M115), $B118 * N115, "")</f>
        <v>2777.7777777777778</v>
      </c>
      <c r="Q115" s="146"/>
      <c r="R115" s="146"/>
      <c r="S115" s="146"/>
    </row>
    <row r="116" spans="1:19">
      <c r="A116" s="109" t="s">
        <v>328</v>
      </c>
      <c r="B116" s="110">
        <v>4815</v>
      </c>
      <c r="C116" s="70">
        <v>7.3221757E-3</v>
      </c>
      <c r="D116" s="15">
        <v>5035</v>
      </c>
      <c r="E116" s="32">
        <f t="shared" si="58"/>
        <v>4.569055036344756E-2</v>
      </c>
      <c r="F116" s="18">
        <f>IF(ISNUMBER(D116), $B118 * E116, "")</f>
        <v>6853.5825545171338</v>
      </c>
      <c r="G116" s="31">
        <v>5055</v>
      </c>
      <c r="H116" s="32">
        <f t="shared" si="59"/>
        <v>4.9844236760124609E-2</v>
      </c>
      <c r="I116" s="91">
        <f>IF(ISNUMBER(G116), $B118 * H116, "")</f>
        <v>7476.6355140186915</v>
      </c>
      <c r="J116" s="15">
        <v>5080</v>
      </c>
      <c r="K116" s="32">
        <f t="shared" si="60"/>
        <v>5.5036344755970926E-2</v>
      </c>
      <c r="L116" s="18">
        <f>IF(ISNUMBER(J116), $B118 * K116, "")</f>
        <v>8255.4517133956397</v>
      </c>
      <c r="M116" s="31">
        <v>5050</v>
      </c>
      <c r="N116" s="32">
        <f t="shared" si="61"/>
        <v>4.8805815160955349E-2</v>
      </c>
      <c r="O116" s="18">
        <f>IF(ISNUMBER(M116), $B118 * N116, "")</f>
        <v>7320.8722741433021</v>
      </c>
      <c r="Q116" s="135"/>
      <c r="R116" s="136"/>
      <c r="S116" s="137"/>
    </row>
    <row r="117" spans="1:19" ht="17.25" thickBot="1">
      <c r="A117" s="114" t="s">
        <v>128</v>
      </c>
      <c r="B117" s="115">
        <v>5750</v>
      </c>
      <c r="C117" s="72">
        <v>7.0052539000000002E-3</v>
      </c>
      <c r="D117" s="24">
        <v>5965</v>
      </c>
      <c r="E117" s="25">
        <f t="shared" si="58"/>
        <v>3.7391304347826088E-2</v>
      </c>
      <c r="F117" s="94">
        <f>IF(ISNUMBER(D117), $B118 * E117, "")</f>
        <v>5608.695652173913</v>
      </c>
      <c r="G117" s="92">
        <v>5940</v>
      </c>
      <c r="H117" s="25">
        <f t="shared" si="59"/>
        <v>3.3043478260869563E-2</v>
      </c>
      <c r="I117" s="93">
        <f>IF(ISNUMBER(G117), $B118 * H117, "")</f>
        <v>4956.5217391304341</v>
      </c>
      <c r="J117" s="24">
        <v>5930</v>
      </c>
      <c r="K117" s="25">
        <f t="shared" si="60"/>
        <v>3.1304347826086959E-2</v>
      </c>
      <c r="L117" s="94">
        <f>IF(ISNUMBER(J117), $B118 * K117, "")</f>
        <v>4695.652173913044</v>
      </c>
      <c r="M117" s="92">
        <v>5940</v>
      </c>
      <c r="N117" s="25">
        <f t="shared" si="61"/>
        <v>3.3043478260869563E-2</v>
      </c>
      <c r="O117" s="94">
        <f>IF(ISNUMBER(M117), $B118 * N117, "")</f>
        <v>4956.5217391304341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3.2365349194761424E-2</v>
      </c>
      <c r="F118" s="28">
        <f>SUM(F98:F117)</f>
        <v>97096.047584284286</v>
      </c>
      <c r="G118" s="26" t="s">
        <v>258</v>
      </c>
      <c r="H118" s="27">
        <f>IF(COUNT(H98:H117), SUM(H98:H117) / COUNT(H98:H117), 0)</f>
        <v>3.6771265448824253E-2</v>
      </c>
      <c r="I118" s="28">
        <f>SUM(I98:I117)</f>
        <v>110313.79634647274</v>
      </c>
      <c r="J118" s="26" t="s">
        <v>258</v>
      </c>
      <c r="K118" s="27">
        <f>IF(COUNT(K98:K117), SUM(K98:K117) / COUNT(K98:K117), 0)</f>
        <v>3.4738173638957578E-2</v>
      </c>
      <c r="L118" s="28">
        <f>SUM(L98:L117)</f>
        <v>104214.52091687276</v>
      </c>
      <c r="M118" s="26" t="s">
        <v>258</v>
      </c>
      <c r="N118" s="27">
        <f>IF(COUNT(N98:N117), SUM(N98:N117) / COUNT(N98:N117), 0)</f>
        <v>3.4458753286235932E-2</v>
      </c>
      <c r="O118" s="28">
        <f>SUM(O98:O117)</f>
        <v>103376.25985870778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2023-01-04(수) 오전 00:00</v>
      </c>
      <c r="C123" s="198"/>
      <c r="D123" s="170" t="str">
        <f>TEXT($G$1, "[$-ko-KR]yyyy-mm-dd(ddd) ") &amp; "오후 14:00"</f>
        <v>2023-01-04(수) 오후 14:00</v>
      </c>
      <c r="E123" s="171"/>
      <c r="F123" s="172"/>
      <c r="G123" s="170" t="str">
        <f>TEXT($G$1, "[$-ko-KR]yyyy-mm-dd(ddd) ") &amp; "오후 19:00"</f>
        <v>2023-01-04(수) 오후 19:00</v>
      </c>
      <c r="H123" s="171"/>
      <c r="I123" s="172"/>
      <c r="J123" s="170" t="str">
        <f>TEXT($G$1, "[$-ko-KR]yyyy-mm-dd(ddd) ") &amp; "오후 21:00"</f>
        <v>2023-01-04(수) 오후 21:00</v>
      </c>
      <c r="K123" s="171"/>
      <c r="L123" s="172"/>
      <c r="M123" s="170" t="str">
        <f>TEXT($G$1+1, "[$-ko-KR]yyyy-mm-dd(ddd) ") &amp; "오전 00:00"</f>
        <v>2023-01-05(목)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333</v>
      </c>
      <c r="B125" s="108">
        <v>3.98</v>
      </c>
      <c r="C125" s="69">
        <v>-2.5062656999999999E-3</v>
      </c>
      <c r="D125" s="13">
        <v>4.0199999999999996</v>
      </c>
      <c r="E125" s="14">
        <f>IF(ISNUMBER(D125), (D125 - $B125) / $B125, "")</f>
        <v>1.0050251256281305E-2</v>
      </c>
      <c r="F125" s="16">
        <f>IF(ISNUMBER(D125), $B145 * E125, "")</f>
        <v>1507.5376884421958</v>
      </c>
      <c r="G125" s="29">
        <v>4.01</v>
      </c>
      <c r="H125" s="14">
        <f>IF(ISNUMBER(G125), (G125 - $B125) / $B125, "")</f>
        <v>7.5376884422110064E-3</v>
      </c>
      <c r="I125" s="90">
        <f>IF(ISNUMBER(G125), $B145 * H125, "")</f>
        <v>1130.6532663316509</v>
      </c>
      <c r="J125" s="13">
        <v>4.04</v>
      </c>
      <c r="K125" s="14">
        <f>IF(ISNUMBER(J125), (J125 - $B125) / $B125, "")</f>
        <v>1.5075376884422124E-2</v>
      </c>
      <c r="L125" s="16">
        <f>IF(ISNUMBER(J125), $B145 * K125, "")</f>
        <v>2261.3065326633186</v>
      </c>
      <c r="M125" s="29">
        <v>4.0199999999999996</v>
      </c>
      <c r="N125" s="14">
        <f>IF(ISNUMBER(M125), (M125 - $B125) / $B125, "")</f>
        <v>1.0050251256281305E-2</v>
      </c>
      <c r="O125" s="16">
        <f>IF(ISNUMBER(M125), $B145 * N125, "")</f>
        <v>1507.5376884421958</v>
      </c>
      <c r="Q125" s="156"/>
      <c r="R125" s="156"/>
      <c r="S125" s="156"/>
    </row>
    <row r="126" spans="1:19" ht="17.25" thickBot="1">
      <c r="A126" s="109" t="s">
        <v>181</v>
      </c>
      <c r="B126" s="110">
        <v>3.85</v>
      </c>
      <c r="C126" s="70">
        <v>-2.5906736000000001E-3</v>
      </c>
      <c r="D126" s="15">
        <v>3.91</v>
      </c>
      <c r="E126" s="32">
        <f t="shared" ref="E126:E129" si="62">IF(ISNUMBER(D126), (D126 - $B126) / $B126, "")</f>
        <v>1.5584415584415598E-2</v>
      </c>
      <c r="F126" s="18">
        <f>IF(ISNUMBER(D126), $B145 * E126, "")</f>
        <v>2337.6623376623397</v>
      </c>
      <c r="G126" s="31">
        <v>3.9</v>
      </c>
      <c r="H126" s="32">
        <f t="shared" ref="H126:H129" si="63">IF(ISNUMBER(G126), (G126 - $B126) / $B126, "")</f>
        <v>1.2987012987012941E-2</v>
      </c>
      <c r="I126" s="91">
        <f>IF(ISNUMBER(G126), $B145 * H126, "")</f>
        <v>1948.0519480519411</v>
      </c>
      <c r="J126" s="15">
        <v>3.91</v>
      </c>
      <c r="K126" s="32">
        <f t="shared" ref="K126:K129" si="64">IF(ISNUMBER(J126), (J126 - $B126) / $B126, "")</f>
        <v>1.5584415584415598E-2</v>
      </c>
      <c r="L126" s="18">
        <f>IF(ISNUMBER(J126), $B145 * K126, "")</f>
        <v>2337.6623376623397</v>
      </c>
      <c r="M126" s="31">
        <v>3.9</v>
      </c>
      <c r="N126" s="32">
        <f t="shared" ref="N126:N129" si="65">IF(ISNUMBER(M126), (M126 - $B126) / $B126, "")</f>
        <v>1.2987012987012941E-2</v>
      </c>
      <c r="O126" s="18">
        <f>IF(ISNUMBER(M126), $B145 * N126, "")</f>
        <v>1948.0519480519411</v>
      </c>
      <c r="Q126" s="156"/>
      <c r="R126" s="156"/>
      <c r="S126" s="156"/>
    </row>
    <row r="127" spans="1:19" ht="17.25" thickBot="1">
      <c r="A127" s="109" t="s">
        <v>227</v>
      </c>
      <c r="B127" s="110">
        <v>33.200000000000003</v>
      </c>
      <c r="C127" s="70">
        <v>-3.0030030000000002E-3</v>
      </c>
      <c r="D127" s="15">
        <v>33.6</v>
      </c>
      <c r="E127" s="32">
        <f t="shared" si="62"/>
        <v>1.2048192771084293E-2</v>
      </c>
      <c r="F127" s="18">
        <f>IF(ISNUMBER(D127), $B145 * E127, "")</f>
        <v>1807.2289156626439</v>
      </c>
      <c r="G127" s="31">
        <v>33.6</v>
      </c>
      <c r="H127" s="32">
        <f t="shared" si="63"/>
        <v>1.2048192771084293E-2</v>
      </c>
      <c r="I127" s="91">
        <f>IF(ISNUMBER(G127), $B145 * H127, "")</f>
        <v>1807.2289156626439</v>
      </c>
      <c r="J127" s="15">
        <v>33.6</v>
      </c>
      <c r="K127" s="32">
        <f t="shared" si="64"/>
        <v>1.2048192771084293E-2</v>
      </c>
      <c r="L127" s="18">
        <f>IF(ISNUMBER(J127), $B145 * K127, "")</f>
        <v>1807.2289156626439</v>
      </c>
      <c r="M127" s="31">
        <v>33.700000000000003</v>
      </c>
      <c r="N127" s="32">
        <f t="shared" si="65"/>
        <v>1.506024096385542E-2</v>
      </c>
      <c r="O127" s="18">
        <f>IF(ISNUMBER(M127), $B145 * N127, "")</f>
        <v>2259.0361445783128</v>
      </c>
      <c r="Q127" s="146"/>
      <c r="R127" s="146"/>
      <c r="S127" s="146"/>
    </row>
    <row r="128" spans="1:19" ht="17.25" thickBot="1">
      <c r="A128" s="109" t="s">
        <v>205</v>
      </c>
      <c r="B128" s="110">
        <v>91.5</v>
      </c>
      <c r="C128" s="70">
        <v>-3.2679738999999998E-3</v>
      </c>
      <c r="D128" s="15">
        <v>91.7</v>
      </c>
      <c r="E128" s="32">
        <f t="shared" si="62"/>
        <v>2.1857923497268072E-3</v>
      </c>
      <c r="F128" s="18">
        <f>IF(ISNUMBER(D128), $B145 * E128, "")</f>
        <v>327.86885245902107</v>
      </c>
      <c r="G128" s="31">
        <v>92.2</v>
      </c>
      <c r="H128" s="32">
        <f t="shared" si="63"/>
        <v>7.6502732240437471E-3</v>
      </c>
      <c r="I128" s="91">
        <f>IF(ISNUMBER(G128), $B145 * H128, "")</f>
        <v>1147.5409836065621</v>
      </c>
      <c r="J128" s="15">
        <v>92.2</v>
      </c>
      <c r="K128" s="32">
        <f t="shared" si="64"/>
        <v>7.6502732240437471E-3</v>
      </c>
      <c r="L128" s="18">
        <f>IF(ISNUMBER(J128), $B145 * K128, "")</f>
        <v>1147.5409836065621</v>
      </c>
      <c r="M128" s="31">
        <v>92.3</v>
      </c>
      <c r="N128" s="32">
        <f t="shared" si="65"/>
        <v>8.7431693989070726E-3</v>
      </c>
      <c r="O128" s="18">
        <f>IF(ISNUMBER(M128), $B145 * N128, "")</f>
        <v>1311.4754098360609</v>
      </c>
      <c r="Q128" s="146"/>
      <c r="R128" s="146"/>
      <c r="S128" s="146"/>
    </row>
    <row r="129" spans="1:19" ht="17.25" thickBot="1">
      <c r="A129" s="111" t="s">
        <v>185</v>
      </c>
      <c r="B129" s="112">
        <v>23</v>
      </c>
      <c r="C129" s="71">
        <v>-4.3290042999999997E-3</v>
      </c>
      <c r="D129" s="20">
        <v>23.4</v>
      </c>
      <c r="E129" s="21">
        <f t="shared" si="62"/>
        <v>1.7391304347826025E-2</v>
      </c>
      <c r="F129" s="22">
        <f>IF(ISNUMBER(D129), $B145 * E129, "")</f>
        <v>2608.6956521739039</v>
      </c>
      <c r="G129" s="30">
        <v>23.3</v>
      </c>
      <c r="H129" s="21">
        <f t="shared" si="63"/>
        <v>1.3043478260869596E-2</v>
      </c>
      <c r="I129" s="95">
        <f>IF(ISNUMBER(G129), $B145 * H129, "")</f>
        <v>1956.5217391304393</v>
      </c>
      <c r="J129" s="20">
        <v>23.3</v>
      </c>
      <c r="K129" s="21">
        <f t="shared" si="64"/>
        <v>1.3043478260869596E-2</v>
      </c>
      <c r="L129" s="22">
        <f>IF(ISNUMBER(J129), $B145 * K129, "")</f>
        <v>1956.5217391304393</v>
      </c>
      <c r="M129" s="30">
        <v>23.4</v>
      </c>
      <c r="N129" s="21">
        <f t="shared" si="65"/>
        <v>1.7391304347826025E-2</v>
      </c>
      <c r="O129" s="22">
        <f>IF(ISNUMBER(M129), $B145 * N129, "")</f>
        <v>2608.6956521739039</v>
      </c>
      <c r="Q129" s="146"/>
      <c r="R129" s="146"/>
      <c r="S129" s="146"/>
    </row>
    <row r="130" spans="1:19" ht="17.25" thickBot="1">
      <c r="A130" s="109" t="s">
        <v>138</v>
      </c>
      <c r="B130" s="113">
        <v>20.100000000000001</v>
      </c>
      <c r="C130" s="73">
        <v>-4.9504950000000001E-3</v>
      </c>
      <c r="D130" s="96">
        <v>20.8</v>
      </c>
      <c r="E130" s="97">
        <f>IF(ISNUMBER(D130), (D130 - $B130) / $B130, "")</f>
        <v>3.4825870646766129E-2</v>
      </c>
      <c r="F130" s="98">
        <f>IF(ISNUMBER(D130), $B145 * E130, "")</f>
        <v>5223.8805970149197</v>
      </c>
      <c r="G130" s="99">
        <v>21.1</v>
      </c>
      <c r="H130" s="97">
        <f>IF(ISNUMBER(G130), (G130 - $B130) / $B130, "")</f>
        <v>4.9751243781094523E-2</v>
      </c>
      <c r="I130" s="100">
        <f>IF(ISNUMBER(G130), $B145 * H130, "")</f>
        <v>7462.6865671641781</v>
      </c>
      <c r="J130" s="96">
        <v>21</v>
      </c>
      <c r="K130" s="97">
        <f>IF(ISNUMBER(J130), (J130 - $B130) / $B130, "")</f>
        <v>4.4776119402985003E-2</v>
      </c>
      <c r="L130" s="98">
        <f>IF(ISNUMBER(J130), $B145 * K130, "")</f>
        <v>6716.4179104477507</v>
      </c>
      <c r="M130" s="99">
        <v>21</v>
      </c>
      <c r="N130" s="97">
        <f>IF(ISNUMBER(M130), (M130 - $B130) / $B130, "")</f>
        <v>4.4776119402985003E-2</v>
      </c>
      <c r="O130" s="98">
        <f>IF(ISNUMBER(M130), $B145 * N130, "")</f>
        <v>6716.4179104477507</v>
      </c>
      <c r="Q130" s="146"/>
      <c r="R130" s="146"/>
      <c r="S130" s="146"/>
    </row>
    <row r="131" spans="1:19" ht="17.25" thickBot="1">
      <c r="A131" s="109" t="s">
        <v>56</v>
      </c>
      <c r="B131" s="110">
        <v>37.1</v>
      </c>
      <c r="C131" s="70">
        <v>-5.3619302999999997E-3</v>
      </c>
      <c r="D131" s="15">
        <v>37.9</v>
      </c>
      <c r="E131" s="32">
        <f t="shared" ref="E131:E134" si="66">IF(ISNUMBER(D131), (D131 - $B131) / $B131, "")</f>
        <v>2.1563342318059221E-2</v>
      </c>
      <c r="F131" s="18">
        <f>IF(ISNUMBER(D131), $B145 * E131, "")</f>
        <v>3234.5013477088833</v>
      </c>
      <c r="G131" s="31">
        <v>37.6</v>
      </c>
      <c r="H131" s="32">
        <f t="shared" ref="H131:H134" si="67">IF(ISNUMBER(G131), (G131 - $B131) / $B131, "")</f>
        <v>1.3477088948787061E-2</v>
      </c>
      <c r="I131" s="91">
        <f>IF(ISNUMBER(G131), $B145 * H131, "")</f>
        <v>2021.5633423180591</v>
      </c>
      <c r="J131" s="15">
        <v>37.6</v>
      </c>
      <c r="K131" s="32">
        <f t="shared" ref="K131:K134" si="68">IF(ISNUMBER(J131), (J131 - $B131) / $B131, "")</f>
        <v>1.3477088948787061E-2</v>
      </c>
      <c r="L131" s="18">
        <f>IF(ISNUMBER(J131), $B145 * K131, "")</f>
        <v>2021.5633423180591</v>
      </c>
      <c r="M131" s="31">
        <v>37.4</v>
      </c>
      <c r="N131" s="32">
        <f t="shared" ref="N131:N134" si="69">IF(ISNUMBER(M131), (M131 - $B131) / $B131, "")</f>
        <v>8.0862533692721596E-3</v>
      </c>
      <c r="O131" s="18">
        <f>IF(ISNUMBER(M131), $B145 * N131, "")</f>
        <v>1212.9380053908239</v>
      </c>
      <c r="Q131" s="146"/>
      <c r="R131" s="146"/>
      <c r="S131" s="146"/>
    </row>
    <row r="132" spans="1:19" ht="17.25" thickBot="1">
      <c r="A132" s="109" t="s">
        <v>221</v>
      </c>
      <c r="B132" s="110">
        <v>17.399999999999999</v>
      </c>
      <c r="C132" s="70">
        <v>-5.7142857000000002E-3</v>
      </c>
      <c r="D132" s="15">
        <v>17.7</v>
      </c>
      <c r="E132" s="32">
        <f t="shared" si="66"/>
        <v>1.7241379310344869E-2</v>
      </c>
      <c r="F132" s="18">
        <f>IF(ISNUMBER(D132), $B145 * E132, "")</f>
        <v>2586.2068965517306</v>
      </c>
      <c r="G132" s="31">
        <v>17.7</v>
      </c>
      <c r="H132" s="32">
        <f t="shared" si="67"/>
        <v>1.7241379310344869E-2</v>
      </c>
      <c r="I132" s="91">
        <f>IF(ISNUMBER(G132), $B145 * H132, "")</f>
        <v>2586.2068965517306</v>
      </c>
      <c r="J132" s="15">
        <v>17.7</v>
      </c>
      <c r="K132" s="32">
        <f t="shared" si="68"/>
        <v>1.7241379310344869E-2</v>
      </c>
      <c r="L132" s="18">
        <f>IF(ISNUMBER(J132), $B145 * K132, "")</f>
        <v>2586.2068965517306</v>
      </c>
      <c r="M132" s="31">
        <v>17.7</v>
      </c>
      <c r="N132" s="32">
        <f t="shared" si="69"/>
        <v>1.7241379310344869E-2</v>
      </c>
      <c r="O132" s="18">
        <f>IF(ISNUMBER(M132), $B145 * N132, "")</f>
        <v>2586.2068965517306</v>
      </c>
      <c r="Q132" s="146"/>
      <c r="R132" s="146"/>
      <c r="S132" s="146"/>
    </row>
    <row r="133" spans="1:19" ht="17.25" thickBot="1">
      <c r="A133" s="109" t="s">
        <v>107</v>
      </c>
      <c r="B133" s="110">
        <v>33.5</v>
      </c>
      <c r="C133" s="70">
        <v>-5.9347180999999999E-3</v>
      </c>
      <c r="D133" s="15">
        <v>34</v>
      </c>
      <c r="E133" s="32">
        <f t="shared" si="66"/>
        <v>1.4925373134328358E-2</v>
      </c>
      <c r="F133" s="18">
        <f>IF(ISNUMBER(D133), $B145 * E133, "")</f>
        <v>2238.8059701492539</v>
      </c>
      <c r="G133" s="31">
        <v>34</v>
      </c>
      <c r="H133" s="32">
        <f t="shared" si="67"/>
        <v>1.4925373134328358E-2</v>
      </c>
      <c r="I133" s="91">
        <f>IF(ISNUMBER(G133), $B145 * H133, "")</f>
        <v>2238.8059701492539</v>
      </c>
      <c r="J133" s="15">
        <v>34</v>
      </c>
      <c r="K133" s="32">
        <f t="shared" si="68"/>
        <v>1.4925373134328358E-2</v>
      </c>
      <c r="L133" s="18">
        <f>IF(ISNUMBER(J133), $B145 * K133, "")</f>
        <v>2238.8059701492539</v>
      </c>
      <c r="M133" s="31">
        <v>34.1</v>
      </c>
      <c r="N133" s="32">
        <f t="shared" si="69"/>
        <v>1.7910447761194073E-2</v>
      </c>
      <c r="O133" s="18">
        <f>IF(ISNUMBER(M133), $B145 * N133, "")</f>
        <v>2686.5671641791109</v>
      </c>
      <c r="Q133" s="33"/>
      <c r="R133" s="33"/>
    </row>
    <row r="134" spans="1:19" ht="17.25" thickBot="1">
      <c r="A134" s="114" t="s">
        <v>143</v>
      </c>
      <c r="B134" s="115">
        <v>3.33</v>
      </c>
      <c r="C134" s="72">
        <v>-5.9701492999999998E-3</v>
      </c>
      <c r="D134" s="24">
        <v>3.38</v>
      </c>
      <c r="E134" s="25">
        <f t="shared" si="66"/>
        <v>1.5015015015014961E-2</v>
      </c>
      <c r="F134" s="94">
        <f>IF(ISNUMBER(D134), $B145 * E134, "")</f>
        <v>2252.252252252244</v>
      </c>
      <c r="G134" s="92">
        <v>3.35</v>
      </c>
      <c r="H134" s="25">
        <f t="shared" si="67"/>
        <v>6.0060060060060112E-3</v>
      </c>
      <c r="I134" s="93">
        <f>IF(ISNUMBER(G134), $B145 * H134, "")</f>
        <v>900.90090090090166</v>
      </c>
      <c r="J134" s="24">
        <v>3.36</v>
      </c>
      <c r="K134" s="25">
        <f t="shared" si="68"/>
        <v>9.00900900900895E-3</v>
      </c>
      <c r="L134" s="94">
        <f>IF(ISNUMBER(J134), $B145 * K134, "")</f>
        <v>1351.3513513513426</v>
      </c>
      <c r="M134" s="92">
        <v>3.36</v>
      </c>
      <c r="N134" s="25">
        <f t="shared" si="69"/>
        <v>9.00900900900895E-3</v>
      </c>
      <c r="O134" s="94">
        <f>IF(ISNUMBER(M134), $B145 * N134, "")</f>
        <v>1351.3513513513426</v>
      </c>
      <c r="Q134" s="147"/>
      <c r="R134" s="148"/>
      <c r="S134" s="149"/>
    </row>
    <row r="135" spans="1:19">
      <c r="A135" s="107" t="s">
        <v>193</v>
      </c>
      <c r="B135" s="108">
        <v>15.2</v>
      </c>
      <c r="C135" s="69">
        <v>-6.5359477000000001E-3</v>
      </c>
      <c r="D135" s="13">
        <v>15.5</v>
      </c>
      <c r="E135" s="14">
        <f>IF(ISNUMBER(D135), (D135 - $B135) / $B135, "")</f>
        <v>1.9736842105263205E-2</v>
      </c>
      <c r="F135" s="16">
        <f>IF(ISNUMBER(D135), $B145 * E135, "")</f>
        <v>2960.526315789481</v>
      </c>
      <c r="G135" s="29">
        <v>15.4</v>
      </c>
      <c r="H135" s="14">
        <f>IF(ISNUMBER(G135), (G135 - $B135) / $B135, "")</f>
        <v>1.3157894736842176E-2</v>
      </c>
      <c r="I135" s="90">
        <f>IF(ISNUMBER(G135), $B145 * H135, "")</f>
        <v>1973.6842105263263</v>
      </c>
      <c r="J135" s="13">
        <v>15.4</v>
      </c>
      <c r="K135" s="14">
        <f>IF(ISNUMBER(J135), (J135 - $B135) / $B135, "")</f>
        <v>1.3157894736842176E-2</v>
      </c>
      <c r="L135" s="16">
        <f>IF(ISNUMBER(J135), $B145 * K135, "")</f>
        <v>1973.6842105263263</v>
      </c>
      <c r="M135" s="29">
        <v>15.4</v>
      </c>
      <c r="N135" s="14">
        <f>IF(ISNUMBER(M135), (M135 - $B135) / $B135, "")</f>
        <v>1.3157894736842176E-2</v>
      </c>
      <c r="O135" s="16">
        <f>IF(ISNUMBER(M135), $B145 * N135, "")</f>
        <v>1973.6842105263263</v>
      </c>
      <c r="Q135" s="150"/>
      <c r="R135" s="151"/>
      <c r="S135" s="152"/>
    </row>
    <row r="136" spans="1:19" ht="17.25" thickBot="1">
      <c r="A136" s="109" t="s">
        <v>141</v>
      </c>
      <c r="B136" s="110">
        <v>2.92</v>
      </c>
      <c r="C136" s="70">
        <v>-6.8027210999999999E-3</v>
      </c>
      <c r="D136" s="15">
        <v>2.97</v>
      </c>
      <c r="E136" s="32">
        <f t="shared" ref="E136:E139" si="70">IF(ISNUMBER(D136), (D136 - $B136) / $B136, "")</f>
        <v>1.7123287671232969E-2</v>
      </c>
      <c r="F136" s="18">
        <f>IF(ISNUMBER(D136), $B145 * E136, "")</f>
        <v>2568.4931506849452</v>
      </c>
      <c r="G136" s="31">
        <v>2.96</v>
      </c>
      <c r="H136" s="32">
        <f t="shared" ref="H136:H139" si="71">IF(ISNUMBER(G136), (G136 - $B136) / $B136, "")</f>
        <v>1.3698630136986314E-2</v>
      </c>
      <c r="I136" s="91">
        <f>IF(ISNUMBER(G136), $B145 * H136, "")</f>
        <v>2054.7945205479473</v>
      </c>
      <c r="J136" s="15">
        <v>2.96</v>
      </c>
      <c r="K136" s="32">
        <f t="shared" ref="K136:K139" si="72">IF(ISNUMBER(J136), (J136 - $B136) / $B136, "")</f>
        <v>1.3698630136986314E-2</v>
      </c>
      <c r="L136" s="18">
        <f>IF(ISNUMBER(J136), $B145 * K136, "")</f>
        <v>2054.7945205479473</v>
      </c>
      <c r="M136" s="31">
        <v>2.95</v>
      </c>
      <c r="N136" s="32">
        <f t="shared" ref="N136:N139" si="73">IF(ISNUMBER(M136), (M136 - $B136) / $B136, "")</f>
        <v>1.0273972602739812E-2</v>
      </c>
      <c r="O136" s="18">
        <f>IF(ISNUMBER(M136), $B145 * N136, "")</f>
        <v>1541.0958904109718</v>
      </c>
      <c r="Q136" s="153"/>
      <c r="R136" s="154"/>
      <c r="S136" s="155"/>
    </row>
    <row r="137" spans="1:19" ht="17.25" thickBot="1">
      <c r="A137" s="109" t="s">
        <v>323</v>
      </c>
      <c r="B137" s="110">
        <v>2.8199999999999999E-2</v>
      </c>
      <c r="C137" s="70">
        <v>-7.0422534999999998E-3</v>
      </c>
      <c r="D137" s="15">
        <v>2.92E-2</v>
      </c>
      <c r="E137" s="32">
        <f t="shared" si="70"/>
        <v>3.5460992907801449E-2</v>
      </c>
      <c r="F137" s="18">
        <f>IF(ISNUMBER(D137), $B145 * E137, "")</f>
        <v>5319.148936170217</v>
      </c>
      <c r="G137" s="31">
        <v>2.9000000000000001E-2</v>
      </c>
      <c r="H137" s="32">
        <f t="shared" si="71"/>
        <v>2.836879432624121E-2</v>
      </c>
      <c r="I137" s="91">
        <f>IF(ISNUMBER(G137), $B145 * H137, "")</f>
        <v>4255.3191489361816</v>
      </c>
      <c r="J137" s="15">
        <v>2.92E-2</v>
      </c>
      <c r="K137" s="32">
        <f t="shared" si="72"/>
        <v>3.5460992907801449E-2</v>
      </c>
      <c r="L137" s="18">
        <f>IF(ISNUMBER(J137), $B145 * K137, "")</f>
        <v>5319.148936170217</v>
      </c>
      <c r="M137" s="31">
        <v>2.9000000000000001E-2</v>
      </c>
      <c r="N137" s="32">
        <f t="shared" si="73"/>
        <v>2.836879432624121E-2</v>
      </c>
      <c r="O137" s="18">
        <f>IF(ISNUMBER(M137), $B145 * N137, "")</f>
        <v>4255.3191489361816</v>
      </c>
      <c r="Q137" s="146"/>
      <c r="R137" s="146"/>
      <c r="S137" s="146"/>
    </row>
    <row r="138" spans="1:19" ht="17.25" thickBot="1">
      <c r="A138" s="109" t="s">
        <v>225</v>
      </c>
      <c r="B138" s="110">
        <v>51.9</v>
      </c>
      <c r="C138" s="70">
        <v>-9.5419847000000006E-3</v>
      </c>
      <c r="D138" s="15">
        <v>53</v>
      </c>
      <c r="E138" s="32">
        <f t="shared" si="70"/>
        <v>2.1194605009633938E-2</v>
      </c>
      <c r="F138" s="18">
        <f>IF(ISNUMBER(D138), $B145 * E138, "")</f>
        <v>3179.1907514450909</v>
      </c>
      <c r="G138" s="31">
        <v>52.6</v>
      </c>
      <c r="H138" s="32">
        <f t="shared" si="71"/>
        <v>1.3487475915221635E-2</v>
      </c>
      <c r="I138" s="91">
        <f>IF(ISNUMBER(G138), $B145 * H138, "")</f>
        <v>2023.1213872832452</v>
      </c>
      <c r="J138" s="15">
        <v>52.7</v>
      </c>
      <c r="K138" s="32">
        <f t="shared" si="72"/>
        <v>1.5414258188824746E-2</v>
      </c>
      <c r="L138" s="18">
        <f>IF(ISNUMBER(J138), $B145 * K138, "")</f>
        <v>2312.1387283237118</v>
      </c>
      <c r="M138" s="31">
        <v>52.7</v>
      </c>
      <c r="N138" s="32">
        <f t="shared" si="73"/>
        <v>1.5414258188824746E-2</v>
      </c>
      <c r="O138" s="18">
        <f>IF(ISNUMBER(M138), $B145 * N138, "")</f>
        <v>2312.1387283237118</v>
      </c>
      <c r="Q138" s="156"/>
      <c r="R138" s="156"/>
      <c r="S138" s="156"/>
    </row>
    <row r="139" spans="1:19" ht="17.25" thickBot="1">
      <c r="A139" s="111" t="s">
        <v>350</v>
      </c>
      <c r="B139" s="112">
        <v>5.58</v>
      </c>
      <c r="C139" s="71">
        <v>-1.23893805E-2</v>
      </c>
      <c r="D139" s="20">
        <v>5.66</v>
      </c>
      <c r="E139" s="21">
        <f t="shared" si="70"/>
        <v>1.4336917562724026E-2</v>
      </c>
      <c r="F139" s="22">
        <f>IF(ISNUMBER(D139), $B145 * E139, "")</f>
        <v>2150.5376344086039</v>
      </c>
      <c r="G139" s="30">
        <v>5.63</v>
      </c>
      <c r="H139" s="21">
        <f t="shared" si="71"/>
        <v>8.9605734767024773E-3</v>
      </c>
      <c r="I139" s="95">
        <f>IF(ISNUMBER(G139), $B145 * H139, "")</f>
        <v>1344.0860215053715</v>
      </c>
      <c r="J139" s="20">
        <v>5.63</v>
      </c>
      <c r="K139" s="21">
        <f t="shared" si="72"/>
        <v>8.9605734767024773E-3</v>
      </c>
      <c r="L139" s="22">
        <f>IF(ISNUMBER(J139), $B145 * K139, "")</f>
        <v>1344.0860215053715</v>
      </c>
      <c r="M139" s="30">
        <v>5.65</v>
      </c>
      <c r="N139" s="21">
        <f t="shared" si="73"/>
        <v>1.2544802867383563E-2</v>
      </c>
      <c r="O139" s="22">
        <f>IF(ISNUMBER(M139), $B145 * N139, "")</f>
        <v>1881.7204301075344</v>
      </c>
      <c r="Q139" s="156"/>
      <c r="R139" s="156"/>
      <c r="S139" s="156"/>
    </row>
    <row r="140" spans="1:19" ht="17.25" thickBot="1">
      <c r="A140" s="109" t="s">
        <v>241</v>
      </c>
      <c r="B140" s="113">
        <v>86</v>
      </c>
      <c r="C140" s="73">
        <v>-1.26291619E-2</v>
      </c>
      <c r="D140" s="96">
        <v>86.1</v>
      </c>
      <c r="E140" s="97">
        <f>IF(ISNUMBER(D140), (D140 - $B140) / $B140, "")</f>
        <v>1.1627906976743525E-3</v>
      </c>
      <c r="F140" s="98">
        <f>IF(ISNUMBER(D140), $B145 * E140, "")</f>
        <v>174.41860465115286</v>
      </c>
      <c r="G140" s="99">
        <v>85.9</v>
      </c>
      <c r="H140" s="97">
        <f>IF(ISNUMBER(G140), (G140 - $B140) / $B140, "")</f>
        <v>-1.1627906976743525E-3</v>
      </c>
      <c r="I140" s="100">
        <f>IF(ISNUMBER(G140), $B145 * H140, "")</f>
        <v>-174.41860465115286</v>
      </c>
      <c r="J140" s="96">
        <v>86.1</v>
      </c>
      <c r="K140" s="97">
        <f>IF(ISNUMBER(J140), (J140 - $B140) / $B140, "")</f>
        <v>1.1627906976743525E-3</v>
      </c>
      <c r="L140" s="98">
        <f>IF(ISNUMBER(J140), $B145 * K140, "")</f>
        <v>174.41860465115286</v>
      </c>
      <c r="M140" s="99">
        <v>86.1</v>
      </c>
      <c r="N140" s="97">
        <f>IF(ISNUMBER(M140), (M140 - $B140) / $B140, "")</f>
        <v>1.1627906976743525E-3</v>
      </c>
      <c r="O140" s="98">
        <f>IF(ISNUMBER(M140), $B145 * N140, "")</f>
        <v>174.41860465115286</v>
      </c>
      <c r="Q140" s="146"/>
      <c r="R140" s="146"/>
      <c r="S140" s="146"/>
    </row>
    <row r="141" spans="1:19" ht="17.25" thickBot="1">
      <c r="A141" s="109" t="s">
        <v>71</v>
      </c>
      <c r="B141" s="110">
        <v>9.7899999999999991</v>
      </c>
      <c r="C141" s="70">
        <v>-1.4098690800000001E-2</v>
      </c>
      <c r="D141" s="15">
        <v>9.7799999999999994</v>
      </c>
      <c r="E141" s="32">
        <f t="shared" ref="E141:E144" si="74">IF(ISNUMBER(D141), (D141 - $B141) / $B141, "")</f>
        <v>-1.0214504596526852E-3</v>
      </c>
      <c r="F141" s="18">
        <f>IF(ISNUMBER(D141), $B145 * E141, "")</f>
        <v>-153.21756894790278</v>
      </c>
      <c r="G141" s="31">
        <v>9.7799999999999994</v>
      </c>
      <c r="H141" s="32">
        <f t="shared" ref="H141:H144" si="75">IF(ISNUMBER(G141), (G141 - $B141) / $B141, "")</f>
        <v>-1.0214504596526852E-3</v>
      </c>
      <c r="I141" s="91">
        <f>IF(ISNUMBER(G141), $B145 * H141, "")</f>
        <v>-153.21756894790278</v>
      </c>
      <c r="J141" s="15">
        <v>9.7799999999999994</v>
      </c>
      <c r="K141" s="32">
        <f t="shared" ref="K141:K144" si="76">IF(ISNUMBER(J141), (J141 - $B141) / $B141, "")</f>
        <v>-1.0214504596526852E-3</v>
      </c>
      <c r="L141" s="18">
        <f>IF(ISNUMBER(J141), $B145 * K141, "")</f>
        <v>-153.21756894790278</v>
      </c>
      <c r="M141" s="31">
        <v>9.7899999999999991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146"/>
      <c r="R141" s="146"/>
      <c r="S141" s="146"/>
    </row>
    <row r="142" spans="1:19" ht="17.25" thickBot="1">
      <c r="A142" s="109" t="s">
        <v>64</v>
      </c>
      <c r="B142" s="110">
        <v>8.9</v>
      </c>
      <c r="C142" s="70">
        <v>-1.65745856E-2</v>
      </c>
      <c r="D142" s="15">
        <v>9.1</v>
      </c>
      <c r="E142" s="32">
        <f t="shared" si="74"/>
        <v>2.247191011235947E-2</v>
      </c>
      <c r="F142" s="18">
        <f>IF(ISNUMBER(D142), $B145 * E142, "")</f>
        <v>3370.7865168539206</v>
      </c>
      <c r="G142" s="31">
        <v>9.1</v>
      </c>
      <c r="H142" s="32">
        <f t="shared" si="75"/>
        <v>2.247191011235947E-2</v>
      </c>
      <c r="I142" s="91">
        <f>IF(ISNUMBER(G142), $B145 * H142, "")</f>
        <v>3370.7865168539206</v>
      </c>
      <c r="J142" s="15">
        <v>9.07</v>
      </c>
      <c r="K142" s="32">
        <f t="shared" si="76"/>
        <v>1.9101123595505608E-2</v>
      </c>
      <c r="L142" s="18">
        <f>IF(ISNUMBER(J142), $B145 * K142, "")</f>
        <v>2865.1685393258413</v>
      </c>
      <c r="M142" s="31">
        <v>9.06</v>
      </c>
      <c r="N142" s="32">
        <f t="shared" si="77"/>
        <v>1.7977528089887656E-2</v>
      </c>
      <c r="O142" s="18">
        <f>IF(ISNUMBER(M142), $B145 * N142, "")</f>
        <v>2696.6292134831483</v>
      </c>
      <c r="Q142" s="146"/>
      <c r="R142" s="146"/>
      <c r="S142" s="146"/>
    </row>
    <row r="143" spans="1:19">
      <c r="A143" s="109" t="s">
        <v>191</v>
      </c>
      <c r="B143" s="110">
        <v>49.8</v>
      </c>
      <c r="C143" s="70">
        <v>-2.54403131E-2</v>
      </c>
      <c r="D143" s="15">
        <v>51.3</v>
      </c>
      <c r="E143" s="32">
        <f t="shared" si="74"/>
        <v>3.0120481927710847E-2</v>
      </c>
      <c r="F143" s="18">
        <f>IF(ISNUMBER(D143), $B145 * E143, "")</f>
        <v>4518.0722891566274</v>
      </c>
      <c r="G143" s="31">
        <v>51.3</v>
      </c>
      <c r="H143" s="32">
        <f t="shared" si="75"/>
        <v>3.0120481927710847E-2</v>
      </c>
      <c r="I143" s="91">
        <f>IF(ISNUMBER(G143), $B145 * H143, "")</f>
        <v>4518.0722891566274</v>
      </c>
      <c r="J143" s="15">
        <v>51.3</v>
      </c>
      <c r="K143" s="32">
        <f t="shared" si="76"/>
        <v>3.0120481927710847E-2</v>
      </c>
      <c r="L143" s="18">
        <f>IF(ISNUMBER(J143), $B145 * K143, "")</f>
        <v>4518.0722891566274</v>
      </c>
      <c r="M143" s="31">
        <v>51</v>
      </c>
      <c r="N143" s="32">
        <f t="shared" si="77"/>
        <v>2.4096385542168731E-2</v>
      </c>
      <c r="O143" s="18">
        <f>IF(ISNUMBER(M143), $B145 * N143, "")</f>
        <v>3614.4578313253096</v>
      </c>
      <c r="Q143" s="135"/>
      <c r="R143" s="136"/>
      <c r="S143" s="137"/>
    </row>
    <row r="144" spans="1:19" ht="17.25" thickBot="1">
      <c r="A144" s="114" t="s">
        <v>120</v>
      </c>
      <c r="B144" s="115">
        <v>99.9</v>
      </c>
      <c r="C144" s="72">
        <v>-3.00970874E-2</v>
      </c>
      <c r="D144" s="24">
        <v>102</v>
      </c>
      <c r="E144" s="25">
        <f t="shared" si="74"/>
        <v>2.1021021021020964E-2</v>
      </c>
      <c r="F144" s="94">
        <f>IF(ISNUMBER(D144), $B145 * E144, "")</f>
        <v>3153.1531531531446</v>
      </c>
      <c r="G144" s="92">
        <v>100</v>
      </c>
      <c r="H144" s="25">
        <f t="shared" si="75"/>
        <v>1.001001001000944E-3</v>
      </c>
      <c r="I144" s="93">
        <f>IF(ISNUMBER(G144), $B145 * H144, "")</f>
        <v>150.1501501501416</v>
      </c>
      <c r="J144" s="24">
        <v>102</v>
      </c>
      <c r="K144" s="25">
        <f t="shared" si="76"/>
        <v>2.1021021021020964E-2</v>
      </c>
      <c r="L144" s="94">
        <f>IF(ISNUMBER(J144), $B145 * K144, "")</f>
        <v>3153.1531531531446</v>
      </c>
      <c r="M144" s="92">
        <v>101</v>
      </c>
      <c r="N144" s="25">
        <f t="shared" si="77"/>
        <v>1.1011011011010954E-2</v>
      </c>
      <c r="O144" s="94">
        <f>IF(ISNUMBER(M144), $B145 * N144, "")</f>
        <v>1651.6516516516431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1.7121916764480806E-2</v>
      </c>
      <c r="F145" s="28">
        <f>SUM(F125:F144)</f>
        <v>51365.750293442419</v>
      </c>
      <c r="G145" s="26" t="s">
        <v>258</v>
      </c>
      <c r="H145" s="27">
        <f>IF(COUNT(H125:H144), SUM(H125:H144) / COUNT(H125:H144), 0)</f>
        <v>1.4187512867076021E-2</v>
      </c>
      <c r="I145" s="28">
        <f>SUM(I125:I144)</f>
        <v>42562.538601228065</v>
      </c>
      <c r="J145" s="26" t="s">
        <v>258</v>
      </c>
      <c r="K145" s="27">
        <f>IF(COUNT(K125:K144), SUM(K125:K144) / COUNT(K125:K144), 0)</f>
        <v>1.5995351137985291E-2</v>
      </c>
      <c r="L145" s="28">
        <f>SUM(L125:L144)</f>
        <v>47986.05341395588</v>
      </c>
      <c r="M145" s="26" t="s">
        <v>258</v>
      </c>
      <c r="N145" s="27">
        <f>IF(COUNT(N125:N144), SUM(N125:N144) / COUNT(N125:N144), 0)</f>
        <v>1.4763131293473054E-2</v>
      </c>
      <c r="O145" s="28">
        <f>SUM(O125:O144)</f>
        <v>44289.393880419149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2023-01-04(수) 오전 00:00</v>
      </c>
      <c r="C150" s="198"/>
      <c r="D150" s="170" t="str">
        <f>TEXT($G$1, "[$-ko-KR]yyyy-mm-dd(ddd) ") &amp; "오후 14:00"</f>
        <v>2023-01-04(수) 오후 14:00</v>
      </c>
      <c r="E150" s="171"/>
      <c r="F150" s="172"/>
      <c r="G150" s="170" t="str">
        <f>TEXT($G$1, "[$-ko-KR]yyyy-mm-dd(ddd) ") &amp; "오후 19:00"</f>
        <v>2023-01-04(수) 오후 19:00</v>
      </c>
      <c r="H150" s="171"/>
      <c r="I150" s="172"/>
      <c r="J150" s="170" t="str">
        <f>TEXT($G$1, "[$-ko-KR]yyyy-mm-dd(ddd) ") &amp; "오후 21:00"</f>
        <v>2023-01-04(수) 오후 21:00</v>
      </c>
      <c r="K150" s="171"/>
      <c r="L150" s="172"/>
      <c r="M150" s="170" t="str">
        <f>TEXT($G$1+1, "[$-ko-KR]yyyy-mm-dd(ddd) ") &amp; "오전 00:00"</f>
        <v>2023-01-05(목)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111</v>
      </c>
      <c r="B152" s="108">
        <v>517</v>
      </c>
      <c r="C152" s="69">
        <v>-5.7692307999999996E-3</v>
      </c>
      <c r="D152" s="13">
        <v>558</v>
      </c>
      <c r="E152" s="14">
        <f>IF(ISNUMBER(D152), (D152 - $B152) / $B152, "")</f>
        <v>7.9303675048355893E-2</v>
      </c>
      <c r="F152" s="16">
        <f>IF(ISNUMBER(D152), $B172 * E152, "")</f>
        <v>11895.551257253384</v>
      </c>
      <c r="G152" s="29">
        <v>550</v>
      </c>
      <c r="H152" s="14">
        <f>IF(ISNUMBER(G152), (G152 - $B152) / $B152, "")</f>
        <v>6.3829787234042548E-2</v>
      </c>
      <c r="I152" s="90">
        <f>IF(ISNUMBER(G152), $B172 * H152, "")</f>
        <v>9574.4680851063822</v>
      </c>
      <c r="J152" s="13">
        <v>551</v>
      </c>
      <c r="K152" s="14">
        <f>IF(ISNUMBER(J152), (J152 - $B152) / $B152, "")</f>
        <v>6.5764023210831718E-2</v>
      </c>
      <c r="L152" s="16">
        <f>IF(ISNUMBER(J152), $B172 * K152, "")</f>
        <v>9864.6034816247575</v>
      </c>
      <c r="M152" s="29">
        <v>552</v>
      </c>
      <c r="N152" s="14">
        <f>IF(ISNUMBER(M152), (M152 - $B152) / $B152, "")</f>
        <v>6.7698259187620888E-2</v>
      </c>
      <c r="O152" s="16">
        <f>IF(ISNUMBER(M152), $B172 * N152, "")</f>
        <v>10154.738878143133</v>
      </c>
      <c r="Q152" s="156"/>
      <c r="R152" s="156"/>
      <c r="S152" s="156"/>
    </row>
    <row r="153" spans="1:19" ht="17.25" thickBot="1">
      <c r="A153" s="109" t="s">
        <v>167</v>
      </c>
      <c r="B153" s="110">
        <v>158</v>
      </c>
      <c r="C153" s="70">
        <v>-6.2893081999999996E-3</v>
      </c>
      <c r="D153" s="15">
        <v>161</v>
      </c>
      <c r="E153" s="32">
        <f t="shared" ref="E153:E156" si="78">IF(ISNUMBER(D153), (D153 - $B153) / $B153, "")</f>
        <v>1.8987341772151899E-2</v>
      </c>
      <c r="F153" s="18">
        <f>IF(ISNUMBER(D153), $B172 * E153, "")</f>
        <v>2848.1012658227851</v>
      </c>
      <c r="G153" s="31">
        <v>160</v>
      </c>
      <c r="H153" s="32">
        <f t="shared" ref="H153:H156" si="79">IF(ISNUMBER(G153), (G153 - $B153) / $B153, "")</f>
        <v>1.2658227848101266E-2</v>
      </c>
      <c r="I153" s="91">
        <f>IF(ISNUMBER(G153), $B172 * H153, "")</f>
        <v>1898.7341772151899</v>
      </c>
      <c r="J153" s="15">
        <v>160</v>
      </c>
      <c r="K153" s="32">
        <f t="shared" ref="K153:K156" si="80">IF(ISNUMBER(J153), (J153 - $B153) / $B153, "")</f>
        <v>1.2658227848101266E-2</v>
      </c>
      <c r="L153" s="18">
        <f>IF(ISNUMBER(J153), $B172 * K153, "")</f>
        <v>1898.7341772151899</v>
      </c>
      <c r="M153" s="31">
        <v>160</v>
      </c>
      <c r="N153" s="32">
        <f t="shared" ref="N153:N156" si="81">IF(ISNUMBER(M153), (M153 - $B153) / $B153, "")</f>
        <v>1.2658227848101266E-2</v>
      </c>
      <c r="O153" s="18">
        <f>IF(ISNUMBER(M153), $B172 * N153, "")</f>
        <v>1898.7341772151899</v>
      </c>
      <c r="Q153" s="156"/>
      <c r="R153" s="156"/>
      <c r="S153" s="156"/>
    </row>
    <row r="154" spans="1:19" ht="17.25" thickBot="1">
      <c r="A154" s="109" t="s">
        <v>321</v>
      </c>
      <c r="B154" s="110">
        <v>154</v>
      </c>
      <c r="C154" s="70">
        <v>-6.4516128999999997E-3</v>
      </c>
      <c r="D154" s="15">
        <v>157</v>
      </c>
      <c r="E154" s="32">
        <f t="shared" si="78"/>
        <v>1.948051948051948E-2</v>
      </c>
      <c r="F154" s="18">
        <f>IF(ISNUMBER(D154), $B172 * E154, "")</f>
        <v>2922.0779220779218</v>
      </c>
      <c r="G154" s="31">
        <v>157</v>
      </c>
      <c r="H154" s="32">
        <f t="shared" si="79"/>
        <v>1.948051948051948E-2</v>
      </c>
      <c r="I154" s="91">
        <f>IF(ISNUMBER(G154), $B172 * H154, "")</f>
        <v>2922.0779220779218</v>
      </c>
      <c r="J154" s="15">
        <v>157</v>
      </c>
      <c r="K154" s="32">
        <f t="shared" si="80"/>
        <v>1.948051948051948E-2</v>
      </c>
      <c r="L154" s="18">
        <f>IF(ISNUMBER(J154), $B172 * K154, "")</f>
        <v>2922.0779220779218</v>
      </c>
      <c r="M154" s="31">
        <v>156</v>
      </c>
      <c r="N154" s="32">
        <f t="shared" si="81"/>
        <v>1.2987012987012988E-2</v>
      </c>
      <c r="O154" s="18">
        <f>IF(ISNUMBER(M154), $B172 * N154, "")</f>
        <v>1948.0519480519481</v>
      </c>
      <c r="Q154" s="146"/>
      <c r="R154" s="146"/>
      <c r="S154" s="146"/>
    </row>
    <row r="155" spans="1:19" ht="17.25" thickBot="1">
      <c r="A155" s="109" t="s">
        <v>332</v>
      </c>
      <c r="B155" s="110">
        <v>500</v>
      </c>
      <c r="C155" s="70">
        <v>-7.9365079000000005E-3</v>
      </c>
      <c r="D155" s="15">
        <v>510</v>
      </c>
      <c r="E155" s="32">
        <f t="shared" si="78"/>
        <v>0.02</v>
      </c>
      <c r="F155" s="18">
        <f>IF(ISNUMBER(D155), $B172 * E155, "")</f>
        <v>3000</v>
      </c>
      <c r="G155" s="31">
        <v>507</v>
      </c>
      <c r="H155" s="32">
        <f t="shared" si="79"/>
        <v>1.4E-2</v>
      </c>
      <c r="I155" s="91">
        <f>IF(ISNUMBER(G155), $B172 * H155, "")</f>
        <v>2100</v>
      </c>
      <c r="J155" s="15">
        <v>507</v>
      </c>
      <c r="K155" s="32">
        <f t="shared" si="80"/>
        <v>1.4E-2</v>
      </c>
      <c r="L155" s="18">
        <f>IF(ISNUMBER(J155), $B172 * K155, "")</f>
        <v>2100</v>
      </c>
      <c r="M155" s="31">
        <v>504</v>
      </c>
      <c r="N155" s="32">
        <f t="shared" si="81"/>
        <v>8.0000000000000002E-3</v>
      </c>
      <c r="O155" s="18">
        <f>IF(ISNUMBER(M155), $B172 * N155, "")</f>
        <v>1200</v>
      </c>
      <c r="Q155" s="146"/>
      <c r="R155" s="146"/>
      <c r="S155" s="146"/>
    </row>
    <row r="156" spans="1:19" ht="17.25" thickBot="1">
      <c r="A156" s="111" t="s">
        <v>66</v>
      </c>
      <c r="B156" s="112">
        <v>582</v>
      </c>
      <c r="C156" s="71">
        <v>-8.5178875999999994E-3</v>
      </c>
      <c r="D156" s="20">
        <v>592</v>
      </c>
      <c r="E156" s="21">
        <f t="shared" si="78"/>
        <v>1.7182130584192441E-2</v>
      </c>
      <c r="F156" s="22">
        <f>IF(ISNUMBER(D156), $B172 * E156, "")</f>
        <v>2577.319587628866</v>
      </c>
      <c r="G156" s="30">
        <v>589</v>
      </c>
      <c r="H156" s="21">
        <f t="shared" si="79"/>
        <v>1.2027491408934709E-2</v>
      </c>
      <c r="I156" s="95">
        <f>IF(ISNUMBER(G156), $B172 * H156, "")</f>
        <v>1804.1237113402062</v>
      </c>
      <c r="J156" s="20">
        <v>590</v>
      </c>
      <c r="K156" s="21">
        <f t="shared" si="80"/>
        <v>1.3745704467353952E-2</v>
      </c>
      <c r="L156" s="22">
        <f>IF(ISNUMBER(J156), $B172 * K156, "")</f>
        <v>2061.855670103093</v>
      </c>
      <c r="M156" s="30">
        <v>589</v>
      </c>
      <c r="N156" s="21">
        <f t="shared" si="81"/>
        <v>1.2027491408934709E-2</v>
      </c>
      <c r="O156" s="22">
        <f>IF(ISNUMBER(M156), $B172 * N156, "")</f>
        <v>1804.1237113402062</v>
      </c>
      <c r="Q156" s="146"/>
      <c r="R156" s="146"/>
      <c r="S156" s="146"/>
    </row>
    <row r="157" spans="1:19" ht="17.25" thickBot="1">
      <c r="A157" s="109" t="s">
        <v>183</v>
      </c>
      <c r="B157" s="113">
        <v>115</v>
      </c>
      <c r="C157" s="73">
        <v>-8.6206896999999998E-3</v>
      </c>
      <c r="D157" s="96">
        <v>116</v>
      </c>
      <c r="E157" s="97">
        <f>IF(ISNUMBER(D157), (D157 - $B157) / $B157, "")</f>
        <v>8.6956521739130436E-3</v>
      </c>
      <c r="F157" s="98">
        <f>IF(ISNUMBER(D157), $B172 * E157, "")</f>
        <v>1304.3478260869565</v>
      </c>
      <c r="G157" s="99">
        <v>115</v>
      </c>
      <c r="H157" s="97">
        <f>IF(ISNUMBER(G157), (G157 - $B157) / $B157, "")</f>
        <v>0</v>
      </c>
      <c r="I157" s="100">
        <f>IF(ISNUMBER(G157), $B172 * H157, "")</f>
        <v>0</v>
      </c>
      <c r="J157" s="96">
        <v>116</v>
      </c>
      <c r="K157" s="97">
        <f>IF(ISNUMBER(J157), (J157 - $B157) / $B157, "")</f>
        <v>8.6956521739130436E-3</v>
      </c>
      <c r="L157" s="98">
        <f>IF(ISNUMBER(J157), $B172 * K157, "")</f>
        <v>1304.3478260869565</v>
      </c>
      <c r="M157" s="99">
        <v>115</v>
      </c>
      <c r="N157" s="97">
        <f>IF(ISNUMBER(M157), (M157 - $B157) / $B157, "")</f>
        <v>0</v>
      </c>
      <c r="O157" s="98">
        <f>IF(ISNUMBER(M157), $B172 * N157, "")</f>
        <v>0</v>
      </c>
      <c r="Q157" s="146"/>
      <c r="R157" s="146"/>
      <c r="S157" s="146"/>
    </row>
    <row r="158" spans="1:19" ht="17.25" thickBot="1">
      <c r="A158" s="109" t="s">
        <v>169</v>
      </c>
      <c r="B158" s="110">
        <v>228</v>
      </c>
      <c r="C158" s="70">
        <v>-8.6956522000000008E-3</v>
      </c>
      <c r="D158" s="15">
        <v>230</v>
      </c>
      <c r="E158" s="32">
        <f t="shared" ref="E158:E161" si="82">IF(ISNUMBER(D158), (D158 - $B158) / $B158, "")</f>
        <v>8.771929824561403E-3</v>
      </c>
      <c r="F158" s="18">
        <f>IF(ISNUMBER(D158), $B172 * E158, "")</f>
        <v>1315.7894736842104</v>
      </c>
      <c r="G158" s="31">
        <v>228</v>
      </c>
      <c r="H158" s="32">
        <f t="shared" ref="H158:H161" si="83">IF(ISNUMBER(G158), (G158 - $B158) / $B158, "")</f>
        <v>0</v>
      </c>
      <c r="I158" s="91">
        <f>IF(ISNUMBER(G158), $B172 * H158, "")</f>
        <v>0</v>
      </c>
      <c r="J158" s="15">
        <v>228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229</v>
      </c>
      <c r="N158" s="32">
        <f t="shared" ref="N158:N161" si="85">IF(ISNUMBER(M158), (M158 - $B158) / $B158, "")</f>
        <v>4.3859649122807015E-3</v>
      </c>
      <c r="O158" s="18">
        <f>IF(ISNUMBER(M158), $B172 * N158, "")</f>
        <v>657.8947368421052</v>
      </c>
      <c r="Q158" s="146"/>
      <c r="R158" s="146"/>
      <c r="S158" s="146"/>
    </row>
    <row r="159" spans="1:19" ht="17.25" thickBot="1">
      <c r="A159" s="109" t="s">
        <v>89</v>
      </c>
      <c r="B159" s="110">
        <v>439</v>
      </c>
      <c r="C159" s="70">
        <v>-9.0293453999999995E-3</v>
      </c>
      <c r="D159" s="15">
        <v>445</v>
      </c>
      <c r="E159" s="32">
        <f t="shared" si="82"/>
        <v>1.366742596810934E-2</v>
      </c>
      <c r="F159" s="18">
        <f>IF(ISNUMBER(D159), $B172 * E159, "")</f>
        <v>2050.113895216401</v>
      </c>
      <c r="G159" s="31">
        <v>448</v>
      </c>
      <c r="H159" s="32">
        <f t="shared" si="83"/>
        <v>2.0501138952164009E-2</v>
      </c>
      <c r="I159" s="91">
        <f>IF(ISNUMBER(G159), $B172 * H159, "")</f>
        <v>3075.1708428246016</v>
      </c>
      <c r="J159" s="15">
        <v>446</v>
      </c>
      <c r="K159" s="32">
        <f t="shared" si="84"/>
        <v>1.5945330296127564E-2</v>
      </c>
      <c r="L159" s="18">
        <f>IF(ISNUMBER(J159), $B172 * K159, "")</f>
        <v>2391.7995444191347</v>
      </c>
      <c r="M159" s="31">
        <v>442</v>
      </c>
      <c r="N159" s="32">
        <f t="shared" si="85"/>
        <v>6.8337129840546698E-3</v>
      </c>
      <c r="O159" s="18">
        <f>IF(ISNUMBER(M159), $B172 * N159, "")</f>
        <v>1025.0569476082005</v>
      </c>
      <c r="Q159" s="146"/>
      <c r="R159" s="146"/>
      <c r="S159" s="146"/>
    </row>
    <row r="160" spans="1:19" ht="17.25" thickBot="1">
      <c r="A160" s="109" t="s">
        <v>79</v>
      </c>
      <c r="B160" s="110">
        <v>218</v>
      </c>
      <c r="C160" s="70">
        <v>-9.0909091000000008E-3</v>
      </c>
      <c r="D160" s="15">
        <v>231</v>
      </c>
      <c r="E160" s="32">
        <f t="shared" si="82"/>
        <v>5.9633027522935783E-2</v>
      </c>
      <c r="F160" s="18">
        <f>IF(ISNUMBER(D160), $B172 * E160, "")</f>
        <v>8944.9541284403676</v>
      </c>
      <c r="G160" s="31">
        <v>231</v>
      </c>
      <c r="H160" s="32">
        <f t="shared" si="83"/>
        <v>5.9633027522935783E-2</v>
      </c>
      <c r="I160" s="91">
        <f>IF(ISNUMBER(G160), $B172 * H160, "")</f>
        <v>8944.9541284403676</v>
      </c>
      <c r="J160" s="15">
        <v>231</v>
      </c>
      <c r="K160" s="32">
        <f t="shared" si="84"/>
        <v>5.9633027522935783E-2</v>
      </c>
      <c r="L160" s="18">
        <f>IF(ISNUMBER(J160), $B172 * K160, "")</f>
        <v>8944.9541284403676</v>
      </c>
      <c r="M160" s="31">
        <v>229</v>
      </c>
      <c r="N160" s="32">
        <f t="shared" si="85"/>
        <v>5.0458715596330278E-2</v>
      </c>
      <c r="O160" s="18">
        <f>IF(ISNUMBER(M160), $B172 * N160, "")</f>
        <v>7568.8073394495414</v>
      </c>
      <c r="Q160" s="33"/>
      <c r="R160" s="33"/>
    </row>
    <row r="161" spans="1:19" ht="17.25" thickBot="1">
      <c r="A161" s="114" t="s">
        <v>153</v>
      </c>
      <c r="B161" s="115">
        <v>319</v>
      </c>
      <c r="C161" s="72">
        <v>-9.3167701999999995E-3</v>
      </c>
      <c r="D161" s="24">
        <v>331</v>
      </c>
      <c r="E161" s="25">
        <f t="shared" si="82"/>
        <v>3.7617554858934171E-2</v>
      </c>
      <c r="F161" s="94">
        <f>IF(ISNUMBER(D161), $B172 * E161, "")</f>
        <v>5642.6332288401254</v>
      </c>
      <c r="G161" s="92">
        <v>331</v>
      </c>
      <c r="H161" s="25">
        <f t="shared" si="83"/>
        <v>3.7617554858934171E-2</v>
      </c>
      <c r="I161" s="93">
        <f>IF(ISNUMBER(G161), $B172 * H161, "")</f>
        <v>5642.6332288401254</v>
      </c>
      <c r="J161" s="24">
        <v>331</v>
      </c>
      <c r="K161" s="25">
        <f t="shared" si="84"/>
        <v>3.7617554858934171E-2</v>
      </c>
      <c r="L161" s="94">
        <f>IF(ISNUMBER(J161), $B172 * K161, "")</f>
        <v>5642.6332288401254</v>
      </c>
      <c r="M161" s="92">
        <v>329</v>
      </c>
      <c r="N161" s="25">
        <f t="shared" si="85"/>
        <v>3.1347962382445138E-2</v>
      </c>
      <c r="O161" s="94">
        <f>IF(ISNUMBER(M161), $B172 * N161, "")</f>
        <v>4702.1943573667704</v>
      </c>
      <c r="Q161" s="147"/>
      <c r="R161" s="148"/>
      <c r="S161" s="149"/>
    </row>
    <row r="162" spans="1:19">
      <c r="A162" s="107" t="s">
        <v>211</v>
      </c>
      <c r="B162" s="108">
        <v>913</v>
      </c>
      <c r="C162" s="69">
        <v>-9.7613882999999999E-3</v>
      </c>
      <c r="D162" s="13">
        <v>918</v>
      </c>
      <c r="E162" s="14">
        <f>IF(ISNUMBER(D162), (D162 - $B162) / $B162, "")</f>
        <v>5.4764512595837896E-3</v>
      </c>
      <c r="F162" s="16">
        <f>IF(ISNUMBER(D162), $B172 * E162, "")</f>
        <v>821.46768893756848</v>
      </c>
      <c r="G162" s="29">
        <v>918</v>
      </c>
      <c r="H162" s="14">
        <f>IF(ISNUMBER(G162), (G162 - $B162) / $B162, "")</f>
        <v>5.4764512595837896E-3</v>
      </c>
      <c r="I162" s="90">
        <f>IF(ISNUMBER(G162), $B172 * H162, "")</f>
        <v>821.46768893756848</v>
      </c>
      <c r="J162" s="13">
        <v>916</v>
      </c>
      <c r="K162" s="14">
        <f>IF(ISNUMBER(J162), (J162 - $B162) / $B162, "")</f>
        <v>3.2858707557502738E-3</v>
      </c>
      <c r="L162" s="16">
        <f>IF(ISNUMBER(J162), $B172 * K162, "")</f>
        <v>492.88061336254106</v>
      </c>
      <c r="M162" s="29">
        <v>916</v>
      </c>
      <c r="N162" s="14">
        <f>IF(ISNUMBER(M162), (M162 - $B162) / $B162, "")</f>
        <v>3.2858707557502738E-3</v>
      </c>
      <c r="O162" s="16">
        <f>IF(ISNUMBER(M162), $B172 * N162, "")</f>
        <v>492.88061336254106</v>
      </c>
      <c r="Q162" s="150"/>
      <c r="R162" s="151"/>
      <c r="S162" s="152"/>
    </row>
    <row r="163" spans="1:19" ht="17.25" thickBot="1">
      <c r="A163" s="109" t="s">
        <v>103</v>
      </c>
      <c r="B163" s="110">
        <v>196</v>
      </c>
      <c r="C163" s="70">
        <v>-1.01010101E-2</v>
      </c>
      <c r="D163" s="15">
        <v>202</v>
      </c>
      <c r="E163" s="32">
        <f t="shared" ref="E163:E166" si="86">IF(ISNUMBER(D163), (D163 - $B163) / $B163, "")</f>
        <v>3.0612244897959183E-2</v>
      </c>
      <c r="F163" s="18">
        <f>IF(ISNUMBER(D163), $B172 * E163, "")</f>
        <v>4591.8367346938776</v>
      </c>
      <c r="G163" s="31">
        <v>203</v>
      </c>
      <c r="H163" s="32">
        <f t="shared" ref="H163:H166" si="87">IF(ISNUMBER(G163), (G163 - $B163) / $B163, "")</f>
        <v>3.5714285714285712E-2</v>
      </c>
      <c r="I163" s="91">
        <f>IF(ISNUMBER(G163), $B172 * H163, "")</f>
        <v>5357.1428571428569</v>
      </c>
      <c r="J163" s="15">
        <v>203</v>
      </c>
      <c r="K163" s="32">
        <f t="shared" ref="K163:K166" si="88">IF(ISNUMBER(J163), (J163 - $B163) / $B163, "")</f>
        <v>3.5714285714285712E-2</v>
      </c>
      <c r="L163" s="18">
        <f>IF(ISNUMBER(J163), $B172 * K163, "")</f>
        <v>5357.1428571428569</v>
      </c>
      <c r="M163" s="31">
        <v>202</v>
      </c>
      <c r="N163" s="32">
        <f t="shared" ref="N163:N166" si="89">IF(ISNUMBER(M163), (M163 - $B163) / $B163, "")</f>
        <v>3.0612244897959183E-2</v>
      </c>
      <c r="O163" s="18">
        <f>IF(ISNUMBER(M163), $B172 * N163, "")</f>
        <v>4591.8367346938776</v>
      </c>
      <c r="Q163" s="153"/>
      <c r="R163" s="154"/>
      <c r="S163" s="155"/>
    </row>
    <row r="164" spans="1:19" ht="17.25" thickBot="1">
      <c r="A164" s="109" t="s">
        <v>165</v>
      </c>
      <c r="B164" s="110">
        <v>878</v>
      </c>
      <c r="C164" s="70">
        <v>-1.01465614E-2</v>
      </c>
      <c r="D164" s="15">
        <v>895</v>
      </c>
      <c r="E164" s="32">
        <f t="shared" si="86"/>
        <v>1.9362186788154899E-2</v>
      </c>
      <c r="F164" s="18">
        <f>IF(ISNUMBER(D164), $B172 * E164, "")</f>
        <v>2904.3280182232347</v>
      </c>
      <c r="G164" s="31">
        <v>893</v>
      </c>
      <c r="H164" s="32">
        <f t="shared" si="87"/>
        <v>1.7084282460136675E-2</v>
      </c>
      <c r="I164" s="91">
        <f>IF(ISNUMBER(G164), $B172 * H164, "")</f>
        <v>2562.6423690205011</v>
      </c>
      <c r="J164" s="15">
        <v>893</v>
      </c>
      <c r="K164" s="32">
        <f t="shared" si="88"/>
        <v>1.7084282460136675E-2</v>
      </c>
      <c r="L164" s="18">
        <f>IF(ISNUMBER(J164), $B172 * K164, "")</f>
        <v>2562.6423690205011</v>
      </c>
      <c r="M164" s="31">
        <v>894</v>
      </c>
      <c r="N164" s="32">
        <f t="shared" si="89"/>
        <v>1.8223234624145785E-2</v>
      </c>
      <c r="O164" s="18">
        <f>IF(ISNUMBER(M164), $B172 * N164, "")</f>
        <v>2733.4851936218679</v>
      </c>
      <c r="Q164" s="146"/>
      <c r="R164" s="146"/>
      <c r="S164" s="146"/>
    </row>
    <row r="165" spans="1:19" ht="17.25" thickBot="1">
      <c r="A165" s="109" t="s">
        <v>176</v>
      </c>
      <c r="B165" s="110">
        <v>279</v>
      </c>
      <c r="C165" s="70">
        <v>-1.06382979E-2</v>
      </c>
      <c r="D165" s="15">
        <v>281</v>
      </c>
      <c r="E165" s="32">
        <f t="shared" si="86"/>
        <v>7.1684587813620072E-3</v>
      </c>
      <c r="F165" s="18">
        <f>IF(ISNUMBER(D165), $B172 * E165, "")</f>
        <v>1075.2688172043011</v>
      </c>
      <c r="G165" s="31">
        <v>280</v>
      </c>
      <c r="H165" s="32">
        <f t="shared" si="87"/>
        <v>3.5842293906810036E-3</v>
      </c>
      <c r="I165" s="91">
        <f>IF(ISNUMBER(G165), $B172 * H165, "")</f>
        <v>537.63440860215053</v>
      </c>
      <c r="J165" s="15">
        <v>282</v>
      </c>
      <c r="K165" s="32">
        <f t="shared" si="88"/>
        <v>1.0752688172043012E-2</v>
      </c>
      <c r="L165" s="18">
        <f>IF(ISNUMBER(J165), $B172 * K165, "")</f>
        <v>1612.9032258064517</v>
      </c>
      <c r="M165" s="31">
        <v>282</v>
      </c>
      <c r="N165" s="32">
        <f t="shared" si="89"/>
        <v>1.0752688172043012E-2</v>
      </c>
      <c r="O165" s="18">
        <f>IF(ISNUMBER(M165), $B172 * N165, "")</f>
        <v>1612.9032258064517</v>
      </c>
      <c r="Q165" s="156"/>
      <c r="R165" s="156"/>
      <c r="S165" s="156"/>
    </row>
    <row r="166" spans="1:19" ht="17.25" thickBot="1">
      <c r="A166" s="111" t="s">
        <v>109</v>
      </c>
      <c r="B166" s="112">
        <v>945</v>
      </c>
      <c r="C166" s="71">
        <v>-1.2539185E-2</v>
      </c>
      <c r="D166" s="20">
        <v>962</v>
      </c>
      <c r="E166" s="21">
        <f t="shared" si="86"/>
        <v>1.7989417989417989E-2</v>
      </c>
      <c r="F166" s="22">
        <f>IF(ISNUMBER(D166), $B172 * E166, "")</f>
        <v>2698.4126984126983</v>
      </c>
      <c r="G166" s="30">
        <v>961</v>
      </c>
      <c r="H166" s="21">
        <f t="shared" si="87"/>
        <v>1.6931216931216932E-2</v>
      </c>
      <c r="I166" s="95">
        <f>IF(ISNUMBER(G166), $B172 * H166, "")</f>
        <v>2539.6825396825398</v>
      </c>
      <c r="J166" s="20">
        <v>958</v>
      </c>
      <c r="K166" s="21">
        <f t="shared" si="88"/>
        <v>1.3756613756613757E-2</v>
      </c>
      <c r="L166" s="22">
        <f>IF(ISNUMBER(J166), $B172 * K166, "")</f>
        <v>2063.4920634920636</v>
      </c>
      <c r="M166" s="30">
        <v>963</v>
      </c>
      <c r="N166" s="21">
        <f t="shared" si="89"/>
        <v>1.9047619047619049E-2</v>
      </c>
      <c r="O166" s="22">
        <f>IF(ISNUMBER(M166), $B172 * N166, "")</f>
        <v>2857.1428571428573</v>
      </c>
      <c r="Q166" s="156"/>
      <c r="R166" s="156"/>
      <c r="S166" s="156"/>
    </row>
    <row r="167" spans="1:19" ht="17.25" thickBot="1">
      <c r="A167" s="109" t="s">
        <v>149</v>
      </c>
      <c r="B167" s="113">
        <v>313</v>
      </c>
      <c r="C167" s="73">
        <v>-1.2618296500000001E-2</v>
      </c>
      <c r="D167" s="96">
        <v>321</v>
      </c>
      <c r="E167" s="97">
        <f>IF(ISNUMBER(D167), (D167 - $B167) / $B167, "")</f>
        <v>2.5559105431309903E-2</v>
      </c>
      <c r="F167" s="98">
        <f>IF(ISNUMBER(D167), $B172 * E167, "")</f>
        <v>3833.8658146964854</v>
      </c>
      <c r="G167" s="99">
        <v>320</v>
      </c>
      <c r="H167" s="97">
        <f>IF(ISNUMBER(G167), (G167 - $B167) / $B167, "")</f>
        <v>2.2364217252396165E-2</v>
      </c>
      <c r="I167" s="100">
        <f>IF(ISNUMBER(G167), $B172 * H167, "")</f>
        <v>3354.6325878594248</v>
      </c>
      <c r="J167" s="96">
        <v>318</v>
      </c>
      <c r="K167" s="97">
        <f>IF(ISNUMBER(J167), (J167 - $B167) / $B167, "")</f>
        <v>1.5974440894568689E-2</v>
      </c>
      <c r="L167" s="98">
        <f>IF(ISNUMBER(J167), $B172 * K167, "")</f>
        <v>2396.1661341853032</v>
      </c>
      <c r="M167" s="99">
        <v>319</v>
      </c>
      <c r="N167" s="97">
        <f>IF(ISNUMBER(M167), (M167 - $B167) / $B167, "")</f>
        <v>1.9169329073482427E-2</v>
      </c>
      <c r="O167" s="98">
        <f>IF(ISNUMBER(M167), $B172 * N167, "")</f>
        <v>2875.3993610223642</v>
      </c>
      <c r="Q167" s="146"/>
      <c r="R167" s="146"/>
      <c r="S167" s="146"/>
    </row>
    <row r="168" spans="1:19" ht="17.25" thickBot="1">
      <c r="A168" s="109" t="s">
        <v>317</v>
      </c>
      <c r="B168" s="110">
        <v>565</v>
      </c>
      <c r="C168" s="70">
        <v>-1.39616056E-2</v>
      </c>
      <c r="D168" s="15">
        <v>570</v>
      </c>
      <c r="E168" s="32">
        <f t="shared" ref="E168:E171" si="90">IF(ISNUMBER(D168), (D168 - $B168) / $B168, "")</f>
        <v>8.8495575221238937E-3</v>
      </c>
      <c r="F168" s="18">
        <f>IF(ISNUMBER(D168), $B172 * E168, "")</f>
        <v>1327.4336283185839</v>
      </c>
      <c r="G168" s="31">
        <v>569</v>
      </c>
      <c r="H168" s="32">
        <f t="shared" ref="H168:H171" si="91">IF(ISNUMBER(G168), (G168 - $B168) / $B168, "")</f>
        <v>7.0796460176991149E-3</v>
      </c>
      <c r="I168" s="91">
        <f>IF(ISNUMBER(G168), $B172 * H168, "")</f>
        <v>1061.9469026548672</v>
      </c>
      <c r="J168" s="15">
        <v>568</v>
      </c>
      <c r="K168" s="32">
        <f t="shared" ref="K168:K171" si="92">IF(ISNUMBER(J168), (J168 - $B168) / $B168, "")</f>
        <v>5.3097345132743362E-3</v>
      </c>
      <c r="L168" s="18">
        <f>IF(ISNUMBER(J168), $B172 * K168, "")</f>
        <v>796.46017699115043</v>
      </c>
      <c r="M168" s="31">
        <v>571</v>
      </c>
      <c r="N168" s="32">
        <f t="shared" ref="N168:N171" si="93">IF(ISNUMBER(M168), (M168 - $B168) / $B168, "")</f>
        <v>1.0619469026548672E-2</v>
      </c>
      <c r="O168" s="18">
        <f>IF(ISNUMBER(M168), $B172 * N168, "")</f>
        <v>1592.9203539823009</v>
      </c>
      <c r="Q168" s="146"/>
      <c r="R168" s="146"/>
      <c r="S168" s="146"/>
    </row>
    <row r="169" spans="1:19" ht="17.25" thickBot="1">
      <c r="A169" s="109" t="s">
        <v>213</v>
      </c>
      <c r="B169" s="110">
        <v>402</v>
      </c>
      <c r="C169" s="70">
        <v>-1.47058824E-2</v>
      </c>
      <c r="D169" s="15">
        <v>410</v>
      </c>
      <c r="E169" s="32">
        <f t="shared" si="90"/>
        <v>1.9900497512437811E-2</v>
      </c>
      <c r="F169" s="18">
        <f>IF(ISNUMBER(D169), $B172 * E169, "")</f>
        <v>2985.0746268656717</v>
      </c>
      <c r="G169" s="31">
        <v>417</v>
      </c>
      <c r="H169" s="32">
        <f t="shared" si="91"/>
        <v>3.7313432835820892E-2</v>
      </c>
      <c r="I169" s="91">
        <f>IF(ISNUMBER(G169), $B172 * H169, "")</f>
        <v>5597.0149253731342</v>
      </c>
      <c r="J169" s="15">
        <v>419</v>
      </c>
      <c r="K169" s="32">
        <f t="shared" si="92"/>
        <v>4.228855721393035E-2</v>
      </c>
      <c r="L169" s="18">
        <f>IF(ISNUMBER(J169), $B172 * K169, "")</f>
        <v>6343.2835820895525</v>
      </c>
      <c r="M169" s="31">
        <v>414</v>
      </c>
      <c r="N169" s="32">
        <f t="shared" si="93"/>
        <v>2.9850746268656716E-2</v>
      </c>
      <c r="O169" s="18">
        <f>IF(ISNUMBER(M169), $B172 * N169, "")</f>
        <v>4477.6119402985078</v>
      </c>
      <c r="Q169" s="146"/>
      <c r="R169" s="146"/>
      <c r="S169" s="146"/>
    </row>
    <row r="170" spans="1:19">
      <c r="A170" s="109" t="s">
        <v>319</v>
      </c>
      <c r="B170" s="110">
        <v>310</v>
      </c>
      <c r="C170" s="70">
        <v>-1.5873015899999999E-2</v>
      </c>
      <c r="D170" s="15">
        <v>330</v>
      </c>
      <c r="E170" s="32">
        <f t="shared" si="90"/>
        <v>6.4516129032258063E-2</v>
      </c>
      <c r="F170" s="18">
        <f>IF(ISNUMBER(D170), $B172 * E170, "")</f>
        <v>9677.4193548387102</v>
      </c>
      <c r="G170" s="31">
        <v>330</v>
      </c>
      <c r="H170" s="32">
        <f t="shared" si="91"/>
        <v>6.4516129032258063E-2</v>
      </c>
      <c r="I170" s="91">
        <f>IF(ISNUMBER(G170), $B172 * H170, "")</f>
        <v>9677.4193548387102</v>
      </c>
      <c r="J170" s="15">
        <v>329</v>
      </c>
      <c r="K170" s="32">
        <f t="shared" si="92"/>
        <v>6.1290322580645158E-2</v>
      </c>
      <c r="L170" s="18">
        <f>IF(ISNUMBER(J170), $B172 * K170, "")</f>
        <v>9193.5483870967746</v>
      </c>
      <c r="M170" s="31">
        <v>327</v>
      </c>
      <c r="N170" s="32">
        <f t="shared" si="93"/>
        <v>5.4838709677419356E-2</v>
      </c>
      <c r="O170" s="18">
        <f>IF(ISNUMBER(M170), $B172 * N170, "")</f>
        <v>8225.8064516129034</v>
      </c>
      <c r="Q170" s="135"/>
      <c r="R170" s="136"/>
      <c r="S170" s="137"/>
    </row>
    <row r="171" spans="1:19" ht="17.25" thickBot="1">
      <c r="A171" s="114" t="s">
        <v>116</v>
      </c>
      <c r="B171" s="115">
        <v>911</v>
      </c>
      <c r="C171" s="72">
        <v>-1.93756728E-2</v>
      </c>
      <c r="D171" s="24">
        <v>921</v>
      </c>
      <c r="E171" s="25">
        <f t="shared" si="90"/>
        <v>1.0976948408342482E-2</v>
      </c>
      <c r="F171" s="94">
        <f>IF(ISNUMBER(D171), $B172 * E171, "")</f>
        <v>1646.5422612513723</v>
      </c>
      <c r="G171" s="92">
        <v>922</v>
      </c>
      <c r="H171" s="25">
        <f t="shared" si="91"/>
        <v>1.2074643249176729E-2</v>
      </c>
      <c r="I171" s="93">
        <f>IF(ISNUMBER(G171), $B172 * H171, "")</f>
        <v>1811.1964873765094</v>
      </c>
      <c r="J171" s="24">
        <v>923</v>
      </c>
      <c r="K171" s="25">
        <f t="shared" si="92"/>
        <v>1.3172338090010977E-2</v>
      </c>
      <c r="L171" s="94">
        <f>IF(ISNUMBER(J171), $B172 * K171, "")</f>
        <v>1975.8507135016464</v>
      </c>
      <c r="M171" s="92">
        <v>919</v>
      </c>
      <c r="N171" s="25">
        <f t="shared" si="93"/>
        <v>8.7815587266739849E-3</v>
      </c>
      <c r="O171" s="94">
        <f>IF(ISNUMBER(M171), $B172 * N171, "")</f>
        <v>1317.2338090010978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2.4687512742831173E-2</v>
      </c>
      <c r="F172" s="28">
        <f>SUM(F152:F171)</f>
        <v>74062.538228493533</v>
      </c>
      <c r="G172" s="26" t="s">
        <v>258</v>
      </c>
      <c r="H172" s="27">
        <f>IF(COUNT(H152:H171), SUM(H152:H171) / COUNT(H152:H171), 0)</f>
        <v>2.309431407244435E-2</v>
      </c>
      <c r="I172" s="28">
        <f>SUM(I152:I171)</f>
        <v>69282.942217333053</v>
      </c>
      <c r="J172" s="26" t="s">
        <v>258</v>
      </c>
      <c r="K172" s="27">
        <f>IF(COUNT(K152:K171), SUM(K152:K171) / COUNT(K152:K171), 0)</f>
        <v>2.3308458700498792E-2</v>
      </c>
      <c r="L172" s="28">
        <f>SUM(L152:L171)</f>
        <v>69925.376101496382</v>
      </c>
      <c r="M172" s="26" t="s">
        <v>258</v>
      </c>
      <c r="N172" s="27">
        <f>IF(COUNT(N152:N171), SUM(N152:N171) / COUNT(N152:N171), 0)</f>
        <v>2.0578940878853945E-2</v>
      </c>
      <c r="O172" s="28">
        <f>SUM(O152:O171)</f>
        <v>61736.822636561861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2023-01-04(수) 오전 00:00</v>
      </c>
      <c r="C177" s="198"/>
      <c r="D177" s="170" t="str">
        <f>TEXT($G$1, "[$-ko-KR]yyyy-mm-dd(ddd) ") &amp; "오후 14:00"</f>
        <v>2023-01-04(수) 오후 14:00</v>
      </c>
      <c r="E177" s="171"/>
      <c r="F177" s="172"/>
      <c r="G177" s="170" t="str">
        <f>TEXT($G$1, "[$-ko-KR]yyyy-mm-dd(ddd) ") &amp; "오후 19:00"</f>
        <v>2023-01-04(수) 오후 19:00</v>
      </c>
      <c r="H177" s="171"/>
      <c r="I177" s="172"/>
      <c r="J177" s="170" t="str">
        <f>TEXT($G$1, "[$-ko-KR]yyyy-mm-dd(ddd) ") &amp; "오후 21:00"</f>
        <v>2023-01-04(수) 오후 21:00</v>
      </c>
      <c r="K177" s="171"/>
      <c r="L177" s="172"/>
      <c r="M177" s="170" t="str">
        <f>TEXT($G$1+1, "[$-ko-KR]yyyy-mm-dd(ddd) ") &amp; "오전 00:00"</f>
        <v>2023-01-05(목)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79</v>
      </c>
      <c r="B179" s="108">
        <v>218</v>
      </c>
      <c r="C179" s="69">
        <v>-9.0909091000000008E-3</v>
      </c>
      <c r="D179" s="13">
        <v>231</v>
      </c>
      <c r="E179" s="14">
        <f>IF(ISNUMBER(D179), (D179 - $B179) / $B179, "")</f>
        <v>5.9633027522935783E-2</v>
      </c>
      <c r="F179" s="16">
        <f>IF(ISNUMBER(D179), $B199 * E179, "")</f>
        <v>8944.9541284403676</v>
      </c>
      <c r="G179" s="29">
        <v>231</v>
      </c>
      <c r="H179" s="14">
        <f>IF(ISNUMBER(G179), (G179 - $B179) / $B179, "")</f>
        <v>5.9633027522935783E-2</v>
      </c>
      <c r="I179" s="90">
        <f>IF(ISNUMBER(G179), $B199 * H179, "")</f>
        <v>8944.9541284403676</v>
      </c>
      <c r="J179" s="13">
        <v>231</v>
      </c>
      <c r="K179" s="14">
        <f>IF(ISNUMBER(J179), (J179 - $B179) / $B179, "")</f>
        <v>5.9633027522935783E-2</v>
      </c>
      <c r="L179" s="16">
        <f>IF(ISNUMBER(J179), $B199 * K179, "")</f>
        <v>8944.9541284403676</v>
      </c>
      <c r="M179" s="29">
        <v>229</v>
      </c>
      <c r="N179" s="14">
        <f>IF(ISNUMBER(M179), (M179 - $B179) / $B179, "")</f>
        <v>5.0458715596330278E-2</v>
      </c>
      <c r="O179" s="16">
        <f>IF(ISNUMBER(M179), $B199 * N179, "")</f>
        <v>7568.8073394495414</v>
      </c>
      <c r="Q179" s="156"/>
      <c r="R179" s="156"/>
      <c r="S179" s="156"/>
    </row>
    <row r="180" spans="1:19" ht="17.25" thickBot="1">
      <c r="A180" s="109" t="s">
        <v>153</v>
      </c>
      <c r="B180" s="110">
        <v>319</v>
      </c>
      <c r="C180" s="70">
        <v>-9.3167701999999995E-3</v>
      </c>
      <c r="D180" s="15">
        <v>331</v>
      </c>
      <c r="E180" s="32">
        <f t="shared" ref="E180:E183" si="94">IF(ISNUMBER(D180), (D180 - $B180) / $B180, "")</f>
        <v>3.7617554858934171E-2</v>
      </c>
      <c r="F180" s="18">
        <f>IF(ISNUMBER(D180), $B199 * E180, "")</f>
        <v>5642.6332288401254</v>
      </c>
      <c r="G180" s="31">
        <v>331</v>
      </c>
      <c r="H180" s="32">
        <f t="shared" ref="H180:H183" si="95">IF(ISNUMBER(G180), (G180 - $B180) / $B180, "")</f>
        <v>3.7617554858934171E-2</v>
      </c>
      <c r="I180" s="91">
        <f>IF(ISNUMBER(G180), $B199 * H180, "")</f>
        <v>5642.6332288401254</v>
      </c>
      <c r="J180" s="15">
        <v>331</v>
      </c>
      <c r="K180" s="32">
        <f t="shared" ref="K180:K183" si="96">IF(ISNUMBER(J180), (J180 - $B180) / $B180, "")</f>
        <v>3.7617554858934171E-2</v>
      </c>
      <c r="L180" s="18">
        <f>IF(ISNUMBER(J180), $B199 * K180, "")</f>
        <v>5642.6332288401254</v>
      </c>
      <c r="M180" s="31">
        <v>329</v>
      </c>
      <c r="N180" s="32">
        <f t="shared" ref="N180:N183" si="97">IF(ISNUMBER(M180), (M180 - $B180) / $B180, "")</f>
        <v>3.1347962382445138E-2</v>
      </c>
      <c r="O180" s="18">
        <f>IF(ISNUMBER(M180), $B199 * N180, "")</f>
        <v>4702.1943573667704</v>
      </c>
      <c r="Q180" s="156"/>
      <c r="R180" s="156"/>
      <c r="S180" s="156"/>
    </row>
    <row r="181" spans="1:19" ht="17.25" thickBot="1">
      <c r="A181" s="109" t="s">
        <v>225</v>
      </c>
      <c r="B181" s="110">
        <v>51.9</v>
      </c>
      <c r="C181" s="70">
        <v>-9.5419847000000006E-3</v>
      </c>
      <c r="D181" s="15">
        <v>53</v>
      </c>
      <c r="E181" s="32">
        <f t="shared" si="94"/>
        <v>2.1194605009633938E-2</v>
      </c>
      <c r="F181" s="18">
        <f>IF(ISNUMBER(D181), $B199 * E181, "")</f>
        <v>3179.1907514450909</v>
      </c>
      <c r="G181" s="31">
        <v>52.6</v>
      </c>
      <c r="H181" s="32">
        <f t="shared" si="95"/>
        <v>1.3487475915221635E-2</v>
      </c>
      <c r="I181" s="91">
        <f>IF(ISNUMBER(G181), $B199 * H181, "")</f>
        <v>2023.1213872832452</v>
      </c>
      <c r="J181" s="15">
        <v>52.7</v>
      </c>
      <c r="K181" s="32">
        <f t="shared" si="96"/>
        <v>1.5414258188824746E-2</v>
      </c>
      <c r="L181" s="18">
        <f>IF(ISNUMBER(J181), $B199 * K181, "")</f>
        <v>2312.1387283237118</v>
      </c>
      <c r="M181" s="31">
        <v>52.7</v>
      </c>
      <c r="N181" s="32">
        <f t="shared" si="97"/>
        <v>1.5414258188824746E-2</v>
      </c>
      <c r="O181" s="18">
        <f>IF(ISNUMBER(M181), $B199 * N181, "")</f>
        <v>2312.1387283237118</v>
      </c>
      <c r="Q181" s="146"/>
      <c r="R181" s="146"/>
      <c r="S181" s="146"/>
    </row>
    <row r="182" spans="1:19" ht="17.25" thickBot="1">
      <c r="A182" s="109" t="s">
        <v>211</v>
      </c>
      <c r="B182" s="110">
        <v>913</v>
      </c>
      <c r="C182" s="70">
        <v>-9.7613882999999999E-3</v>
      </c>
      <c r="D182" s="15">
        <v>918</v>
      </c>
      <c r="E182" s="32">
        <f t="shared" si="94"/>
        <v>5.4764512595837896E-3</v>
      </c>
      <c r="F182" s="18">
        <f>IF(ISNUMBER(D182), $B199 * E182, "")</f>
        <v>821.46768893756848</v>
      </c>
      <c r="G182" s="31">
        <v>918</v>
      </c>
      <c r="H182" s="32">
        <f t="shared" si="95"/>
        <v>5.4764512595837896E-3</v>
      </c>
      <c r="I182" s="91">
        <f>IF(ISNUMBER(G182), $B199 * H182, "")</f>
        <v>821.46768893756848</v>
      </c>
      <c r="J182" s="15">
        <v>916</v>
      </c>
      <c r="K182" s="32">
        <f t="shared" si="96"/>
        <v>3.2858707557502738E-3</v>
      </c>
      <c r="L182" s="18">
        <f>IF(ISNUMBER(J182), $B199 * K182, "")</f>
        <v>492.88061336254106</v>
      </c>
      <c r="M182" s="31">
        <v>916</v>
      </c>
      <c r="N182" s="32">
        <f t="shared" si="97"/>
        <v>3.2858707557502738E-3</v>
      </c>
      <c r="O182" s="18">
        <f>IF(ISNUMBER(M182), $B199 * N182, "")</f>
        <v>492.88061336254106</v>
      </c>
      <c r="Q182" s="146"/>
      <c r="R182" s="146"/>
      <c r="S182" s="146"/>
    </row>
    <row r="183" spans="1:19" ht="17.25" thickBot="1">
      <c r="A183" s="111" t="s">
        <v>103</v>
      </c>
      <c r="B183" s="112">
        <v>196</v>
      </c>
      <c r="C183" s="71">
        <v>-1.01010101E-2</v>
      </c>
      <c r="D183" s="20">
        <v>202</v>
      </c>
      <c r="E183" s="21">
        <f t="shared" si="94"/>
        <v>3.0612244897959183E-2</v>
      </c>
      <c r="F183" s="22">
        <f>IF(ISNUMBER(D183), $B199 * E183, "")</f>
        <v>4591.8367346938776</v>
      </c>
      <c r="G183" s="30">
        <v>203</v>
      </c>
      <c r="H183" s="21">
        <f t="shared" si="95"/>
        <v>3.5714285714285712E-2</v>
      </c>
      <c r="I183" s="95">
        <f>IF(ISNUMBER(G183), $B199 * H183, "")</f>
        <v>5357.1428571428569</v>
      </c>
      <c r="J183" s="20">
        <v>203</v>
      </c>
      <c r="K183" s="21">
        <f t="shared" si="96"/>
        <v>3.5714285714285712E-2</v>
      </c>
      <c r="L183" s="22">
        <f>IF(ISNUMBER(J183), $B199 * K183, "")</f>
        <v>5357.1428571428569</v>
      </c>
      <c r="M183" s="30">
        <v>202</v>
      </c>
      <c r="N183" s="21">
        <f t="shared" si="97"/>
        <v>3.0612244897959183E-2</v>
      </c>
      <c r="O183" s="22">
        <f>IF(ISNUMBER(M183), $B199 * N183, "")</f>
        <v>4591.8367346938776</v>
      </c>
      <c r="Q183" s="146"/>
      <c r="R183" s="146"/>
      <c r="S183" s="146"/>
    </row>
    <row r="184" spans="1:19" ht="17.25" thickBot="1">
      <c r="A184" s="109" t="s">
        <v>165</v>
      </c>
      <c r="B184" s="113">
        <v>878</v>
      </c>
      <c r="C184" s="73">
        <v>-1.01465614E-2</v>
      </c>
      <c r="D184" s="96">
        <v>895</v>
      </c>
      <c r="E184" s="97">
        <f>IF(ISNUMBER(D184), (D184 - $B184) / $B184, "")</f>
        <v>1.9362186788154899E-2</v>
      </c>
      <c r="F184" s="98">
        <f>IF(ISNUMBER(D184), $B199 * E184, "")</f>
        <v>2904.3280182232347</v>
      </c>
      <c r="G184" s="99">
        <v>893</v>
      </c>
      <c r="H184" s="97">
        <f>IF(ISNUMBER(G184), (G184 - $B184) / $B184, "")</f>
        <v>1.7084282460136675E-2</v>
      </c>
      <c r="I184" s="100">
        <f>IF(ISNUMBER(G184), $B199 * H184, "")</f>
        <v>2562.6423690205011</v>
      </c>
      <c r="J184" s="96">
        <v>893</v>
      </c>
      <c r="K184" s="97">
        <f>IF(ISNUMBER(J184), (J184 - $B184) / $B184, "")</f>
        <v>1.7084282460136675E-2</v>
      </c>
      <c r="L184" s="98">
        <f>IF(ISNUMBER(J184), $B199 * K184, "")</f>
        <v>2562.6423690205011</v>
      </c>
      <c r="M184" s="99">
        <v>894</v>
      </c>
      <c r="N184" s="97">
        <f>IF(ISNUMBER(M184), (M184 - $B184) / $B184, "")</f>
        <v>1.8223234624145785E-2</v>
      </c>
      <c r="O184" s="98">
        <f>IF(ISNUMBER(M184), $B199 * N184, "")</f>
        <v>2733.4851936218679</v>
      </c>
      <c r="Q184" s="146"/>
      <c r="R184" s="146"/>
      <c r="S184" s="146"/>
    </row>
    <row r="185" spans="1:19" ht="17.25" thickBot="1">
      <c r="A185" s="109" t="s">
        <v>62</v>
      </c>
      <c r="B185" s="110">
        <v>8215</v>
      </c>
      <c r="C185" s="70">
        <v>-1.02409639E-2</v>
      </c>
      <c r="D185" s="15">
        <v>8445</v>
      </c>
      <c r="E185" s="32">
        <f t="shared" ref="E185:E188" si="98">IF(ISNUMBER(D185), (D185 - $B185) / $B185, "")</f>
        <v>2.7997565429093121E-2</v>
      </c>
      <c r="F185" s="18">
        <f>IF(ISNUMBER(D185), $B199 * E185, "")</f>
        <v>4199.634814363968</v>
      </c>
      <c r="G185" s="31">
        <v>8345</v>
      </c>
      <c r="H185" s="32">
        <f t="shared" ref="H185:H188" si="99">IF(ISNUMBER(G185), (G185 - $B185) / $B185, "")</f>
        <v>1.5824710894704809E-2</v>
      </c>
      <c r="I185" s="91">
        <f>IF(ISNUMBER(G185), $B199 * H185, "")</f>
        <v>2373.7066342057215</v>
      </c>
      <c r="J185" s="15">
        <v>8340</v>
      </c>
      <c r="K185" s="32">
        <f t="shared" ref="K185:K188" si="100">IF(ISNUMBER(J185), (J185 - $B185) / $B185, "")</f>
        <v>1.5216068167985392E-2</v>
      </c>
      <c r="L185" s="18">
        <f>IF(ISNUMBER(J185), $B199 * K185, "")</f>
        <v>2282.4102251978088</v>
      </c>
      <c r="M185" s="31">
        <v>8375</v>
      </c>
      <c r="N185" s="32">
        <f t="shared" ref="N185:N188" si="101">IF(ISNUMBER(M185), (M185 - $B185) / $B185, "")</f>
        <v>1.9476567255021303E-2</v>
      </c>
      <c r="O185" s="18">
        <f>IF(ISNUMBER(M185), $B199 * N185, "")</f>
        <v>2921.4850882531955</v>
      </c>
      <c r="Q185" s="146"/>
      <c r="R185" s="146"/>
      <c r="S185" s="146"/>
    </row>
    <row r="186" spans="1:19" ht="17.25" thickBot="1">
      <c r="A186" s="109" t="s">
        <v>176</v>
      </c>
      <c r="B186" s="110">
        <v>279</v>
      </c>
      <c r="C186" s="70">
        <v>-1.06382979E-2</v>
      </c>
      <c r="D186" s="15">
        <v>281</v>
      </c>
      <c r="E186" s="32">
        <f t="shared" si="98"/>
        <v>7.1684587813620072E-3</v>
      </c>
      <c r="F186" s="18">
        <f>IF(ISNUMBER(D186), $B199 * E186, "")</f>
        <v>1075.2688172043011</v>
      </c>
      <c r="G186" s="31">
        <v>280</v>
      </c>
      <c r="H186" s="32">
        <f t="shared" si="99"/>
        <v>3.5842293906810036E-3</v>
      </c>
      <c r="I186" s="91">
        <f>IF(ISNUMBER(G186), $B199 * H186, "")</f>
        <v>537.63440860215053</v>
      </c>
      <c r="J186" s="15">
        <v>282</v>
      </c>
      <c r="K186" s="32">
        <f t="shared" si="100"/>
        <v>1.0752688172043012E-2</v>
      </c>
      <c r="L186" s="18">
        <f>IF(ISNUMBER(J186), $B199 * K186, "")</f>
        <v>1612.9032258064517</v>
      </c>
      <c r="M186" s="31">
        <v>282</v>
      </c>
      <c r="N186" s="32">
        <f t="shared" si="101"/>
        <v>1.0752688172043012E-2</v>
      </c>
      <c r="O186" s="18">
        <f>IF(ISNUMBER(M186), $B199 * N186, "")</f>
        <v>1612.9032258064517</v>
      </c>
      <c r="Q186" s="146"/>
      <c r="R186" s="146"/>
      <c r="S186" s="146"/>
    </row>
    <row r="187" spans="1:19" ht="17.25" thickBot="1">
      <c r="A187" s="109" t="s">
        <v>350</v>
      </c>
      <c r="B187" s="110">
        <v>5.58</v>
      </c>
      <c r="C187" s="70">
        <v>-1.23893805E-2</v>
      </c>
      <c r="D187" s="15">
        <v>5.66</v>
      </c>
      <c r="E187" s="32">
        <f t="shared" si="98"/>
        <v>1.4336917562724026E-2</v>
      </c>
      <c r="F187" s="18">
        <f>IF(ISNUMBER(D187), $B199 * E187, "")</f>
        <v>2150.5376344086039</v>
      </c>
      <c r="G187" s="31">
        <v>5.63</v>
      </c>
      <c r="H187" s="32">
        <f t="shared" si="99"/>
        <v>8.9605734767024773E-3</v>
      </c>
      <c r="I187" s="91">
        <f>IF(ISNUMBER(G187), $B199 * H187, "")</f>
        <v>1344.0860215053715</v>
      </c>
      <c r="J187" s="15">
        <v>5.63</v>
      </c>
      <c r="K187" s="32">
        <f t="shared" si="100"/>
        <v>8.9605734767024773E-3</v>
      </c>
      <c r="L187" s="18">
        <f>IF(ISNUMBER(J187), $B199 * K187, "")</f>
        <v>1344.0860215053715</v>
      </c>
      <c r="M187" s="31">
        <v>5.65</v>
      </c>
      <c r="N187" s="32">
        <f t="shared" si="101"/>
        <v>1.2544802867383563E-2</v>
      </c>
      <c r="O187" s="18">
        <f>IF(ISNUMBER(M187), $B199 * N187, "")</f>
        <v>1881.7204301075344</v>
      </c>
      <c r="Q187" s="33"/>
      <c r="R187" s="33"/>
    </row>
    <row r="188" spans="1:19" ht="17.25" thickBot="1">
      <c r="A188" s="114" t="s">
        <v>109</v>
      </c>
      <c r="B188" s="115">
        <v>945</v>
      </c>
      <c r="C188" s="72">
        <v>-1.2539185E-2</v>
      </c>
      <c r="D188" s="24">
        <v>962</v>
      </c>
      <c r="E188" s="25">
        <f t="shared" si="98"/>
        <v>1.7989417989417989E-2</v>
      </c>
      <c r="F188" s="94">
        <f>IF(ISNUMBER(D188), $B199 * E188, "")</f>
        <v>2698.4126984126983</v>
      </c>
      <c r="G188" s="92">
        <v>961</v>
      </c>
      <c r="H188" s="25">
        <f t="shared" si="99"/>
        <v>1.6931216931216932E-2</v>
      </c>
      <c r="I188" s="93">
        <f>IF(ISNUMBER(G188), $B199 * H188, "")</f>
        <v>2539.6825396825398</v>
      </c>
      <c r="J188" s="24">
        <v>958</v>
      </c>
      <c r="K188" s="25">
        <f t="shared" si="100"/>
        <v>1.3756613756613757E-2</v>
      </c>
      <c r="L188" s="94">
        <f>IF(ISNUMBER(J188), $B199 * K188, "")</f>
        <v>2063.4920634920636</v>
      </c>
      <c r="M188" s="92">
        <v>963</v>
      </c>
      <c r="N188" s="25">
        <f t="shared" si="101"/>
        <v>1.9047619047619049E-2</v>
      </c>
      <c r="O188" s="94">
        <f>IF(ISNUMBER(M188), $B199 * N188, "")</f>
        <v>2857.1428571428573</v>
      </c>
      <c r="Q188" s="147"/>
      <c r="R188" s="148"/>
      <c r="S188" s="149"/>
    </row>
    <row r="189" spans="1:19">
      <c r="A189" s="107" t="s">
        <v>149</v>
      </c>
      <c r="B189" s="108">
        <v>313</v>
      </c>
      <c r="C189" s="69">
        <v>-1.2618296500000001E-2</v>
      </c>
      <c r="D189" s="13">
        <v>321</v>
      </c>
      <c r="E189" s="14">
        <f>IF(ISNUMBER(D189), (D189 - $B189) / $B189, "")</f>
        <v>2.5559105431309903E-2</v>
      </c>
      <c r="F189" s="16">
        <f>IF(ISNUMBER(D189), $B199 * E189, "")</f>
        <v>3833.8658146964854</v>
      </c>
      <c r="G189" s="29">
        <v>320</v>
      </c>
      <c r="H189" s="14">
        <f>IF(ISNUMBER(G189), (G189 - $B189) / $B189, "")</f>
        <v>2.2364217252396165E-2</v>
      </c>
      <c r="I189" s="90">
        <f>IF(ISNUMBER(G189), $B199 * H189, "")</f>
        <v>3354.6325878594248</v>
      </c>
      <c r="J189" s="13">
        <v>318</v>
      </c>
      <c r="K189" s="14">
        <f>IF(ISNUMBER(J189), (J189 - $B189) / $B189, "")</f>
        <v>1.5974440894568689E-2</v>
      </c>
      <c r="L189" s="16">
        <f>IF(ISNUMBER(J189), $B199 * K189, "")</f>
        <v>2396.1661341853032</v>
      </c>
      <c r="M189" s="29">
        <v>319</v>
      </c>
      <c r="N189" s="14">
        <f>IF(ISNUMBER(M189), (M189 - $B189) / $B189, "")</f>
        <v>1.9169329073482427E-2</v>
      </c>
      <c r="O189" s="16">
        <f>IF(ISNUMBER(M189), $B199 * N189, "")</f>
        <v>2875.3993610223642</v>
      </c>
      <c r="Q189" s="150"/>
      <c r="R189" s="151"/>
      <c r="S189" s="152"/>
    </row>
    <row r="190" spans="1:19" ht="17.25" thickBot="1">
      <c r="A190" s="109" t="s">
        <v>241</v>
      </c>
      <c r="B190" s="110">
        <v>86</v>
      </c>
      <c r="C190" s="70">
        <v>-1.26291619E-2</v>
      </c>
      <c r="D190" s="15">
        <v>86.1</v>
      </c>
      <c r="E190" s="32">
        <f t="shared" ref="E190:E193" si="102">IF(ISNUMBER(D190), (D190 - $B190) / $B190, "")</f>
        <v>1.1627906976743525E-3</v>
      </c>
      <c r="F190" s="18">
        <f>IF(ISNUMBER(D190), $B199 * E190, "")</f>
        <v>174.41860465115286</v>
      </c>
      <c r="G190" s="31">
        <v>85.9</v>
      </c>
      <c r="H190" s="32">
        <f t="shared" ref="H190:H193" si="103">IF(ISNUMBER(G190), (G190 - $B190) / $B190, "")</f>
        <v>-1.1627906976743525E-3</v>
      </c>
      <c r="I190" s="91">
        <f>IF(ISNUMBER(G190), $B199 * H190, "")</f>
        <v>-174.41860465115286</v>
      </c>
      <c r="J190" s="15">
        <v>86.1</v>
      </c>
      <c r="K190" s="32">
        <f t="shared" ref="K190:K193" si="104">IF(ISNUMBER(J190), (J190 - $B190) / $B190, "")</f>
        <v>1.1627906976743525E-3</v>
      </c>
      <c r="L190" s="18">
        <f>IF(ISNUMBER(J190), $B199 * K190, "")</f>
        <v>174.41860465115286</v>
      </c>
      <c r="M190" s="31">
        <v>86.1</v>
      </c>
      <c r="N190" s="32">
        <f t="shared" ref="N190:N193" si="105">IF(ISNUMBER(M190), (M190 - $B190) / $B190, "")</f>
        <v>1.1627906976743525E-3</v>
      </c>
      <c r="O190" s="18">
        <f>IF(ISNUMBER(M190), $B199 * N190, "")</f>
        <v>174.41860465115286</v>
      </c>
      <c r="Q190" s="153"/>
      <c r="R190" s="154"/>
      <c r="S190" s="155"/>
    </row>
    <row r="191" spans="1:19" ht="17.25" thickBot="1">
      <c r="A191" s="109" t="s">
        <v>317</v>
      </c>
      <c r="B191" s="110">
        <v>565</v>
      </c>
      <c r="C191" s="70">
        <v>-1.39616056E-2</v>
      </c>
      <c r="D191" s="15">
        <v>570</v>
      </c>
      <c r="E191" s="32">
        <f t="shared" si="102"/>
        <v>8.8495575221238937E-3</v>
      </c>
      <c r="F191" s="18">
        <f>IF(ISNUMBER(D191), $B199 * E191, "")</f>
        <v>1327.4336283185839</v>
      </c>
      <c r="G191" s="31">
        <v>569</v>
      </c>
      <c r="H191" s="32">
        <f t="shared" si="103"/>
        <v>7.0796460176991149E-3</v>
      </c>
      <c r="I191" s="91">
        <f>IF(ISNUMBER(G191), $B199 * H191, "")</f>
        <v>1061.9469026548672</v>
      </c>
      <c r="J191" s="15">
        <v>568</v>
      </c>
      <c r="K191" s="32">
        <f t="shared" si="104"/>
        <v>5.3097345132743362E-3</v>
      </c>
      <c r="L191" s="18">
        <f>IF(ISNUMBER(J191), $B199 * K191, "")</f>
        <v>796.46017699115043</v>
      </c>
      <c r="M191" s="31">
        <v>571</v>
      </c>
      <c r="N191" s="32">
        <f t="shared" si="105"/>
        <v>1.0619469026548672E-2</v>
      </c>
      <c r="O191" s="18">
        <f>IF(ISNUMBER(M191), $B199 * N191, "")</f>
        <v>1592.9203539823009</v>
      </c>
      <c r="Q191" s="146"/>
      <c r="R191" s="146"/>
      <c r="S191" s="146"/>
    </row>
    <row r="192" spans="1:19" ht="17.25" thickBot="1">
      <c r="A192" s="109" t="s">
        <v>71</v>
      </c>
      <c r="B192" s="110">
        <v>9.7899999999999991</v>
      </c>
      <c r="C192" s="70">
        <v>-1.4098690800000001E-2</v>
      </c>
      <c r="D192" s="15">
        <v>9.7799999999999994</v>
      </c>
      <c r="E192" s="32">
        <f t="shared" si="102"/>
        <v>-1.0214504596526852E-3</v>
      </c>
      <c r="F192" s="18">
        <f>IF(ISNUMBER(D192), $B199 * E192, "")</f>
        <v>-153.21756894790278</v>
      </c>
      <c r="G192" s="31">
        <v>9.7799999999999994</v>
      </c>
      <c r="H192" s="32">
        <f t="shared" si="103"/>
        <v>-1.0214504596526852E-3</v>
      </c>
      <c r="I192" s="91">
        <f>IF(ISNUMBER(G192), $B199 * H192, "")</f>
        <v>-153.21756894790278</v>
      </c>
      <c r="J192" s="15">
        <v>9.7799999999999994</v>
      </c>
      <c r="K192" s="32">
        <f t="shared" si="104"/>
        <v>-1.0214504596526852E-3</v>
      </c>
      <c r="L192" s="18">
        <f>IF(ISNUMBER(J192), $B199 * K192, "")</f>
        <v>-153.21756894790278</v>
      </c>
      <c r="M192" s="31">
        <v>9.7899999999999991</v>
      </c>
      <c r="N192" s="32">
        <f t="shared" si="105"/>
        <v>0</v>
      </c>
      <c r="O192" s="18">
        <f>IF(ISNUMBER(M192), $B199 * N192, "")</f>
        <v>0</v>
      </c>
      <c r="Q192" s="156"/>
      <c r="R192" s="156"/>
      <c r="S192" s="156"/>
    </row>
    <row r="193" spans="1:19" ht="17.25" thickBot="1">
      <c r="A193" s="111" t="s">
        <v>213</v>
      </c>
      <c r="B193" s="112">
        <v>402</v>
      </c>
      <c r="C193" s="71">
        <v>-1.47058824E-2</v>
      </c>
      <c r="D193" s="20">
        <v>410</v>
      </c>
      <c r="E193" s="21">
        <f t="shared" si="102"/>
        <v>1.9900497512437811E-2</v>
      </c>
      <c r="F193" s="22">
        <f>IF(ISNUMBER(D193), $B199 * E193, "")</f>
        <v>2985.0746268656717</v>
      </c>
      <c r="G193" s="30">
        <v>417</v>
      </c>
      <c r="H193" s="21">
        <f t="shared" si="103"/>
        <v>3.7313432835820892E-2</v>
      </c>
      <c r="I193" s="95">
        <f>IF(ISNUMBER(G193), $B199 * H193, "")</f>
        <v>5597.0149253731342</v>
      </c>
      <c r="J193" s="20">
        <v>419</v>
      </c>
      <c r="K193" s="21">
        <f t="shared" si="104"/>
        <v>4.228855721393035E-2</v>
      </c>
      <c r="L193" s="22">
        <f>IF(ISNUMBER(J193), $B199 * K193, "")</f>
        <v>6343.2835820895525</v>
      </c>
      <c r="M193" s="30">
        <v>414</v>
      </c>
      <c r="N193" s="21">
        <f t="shared" si="105"/>
        <v>2.9850746268656716E-2</v>
      </c>
      <c r="O193" s="22">
        <f>IF(ISNUMBER(M193), $B199 * N193, "")</f>
        <v>4477.6119402985078</v>
      </c>
      <c r="Q193" s="156"/>
      <c r="R193" s="156"/>
      <c r="S193" s="156"/>
    </row>
    <row r="194" spans="1:19" ht="17.25" thickBot="1">
      <c r="A194" s="109" t="s">
        <v>319</v>
      </c>
      <c r="B194" s="113">
        <v>310</v>
      </c>
      <c r="C194" s="73">
        <v>-1.5873015899999999E-2</v>
      </c>
      <c r="D194" s="96">
        <v>330</v>
      </c>
      <c r="E194" s="97">
        <f>IF(ISNUMBER(D194), (D194 - $B194) / $B194, "")</f>
        <v>6.4516129032258063E-2</v>
      </c>
      <c r="F194" s="98">
        <f>IF(ISNUMBER(D194), $B199 * E194, "")</f>
        <v>9677.4193548387102</v>
      </c>
      <c r="G194" s="99">
        <v>330</v>
      </c>
      <c r="H194" s="97">
        <f>IF(ISNUMBER(G194), (G194 - $B194) / $B194, "")</f>
        <v>6.4516129032258063E-2</v>
      </c>
      <c r="I194" s="100">
        <f>IF(ISNUMBER(G194), $B199 * H194, "")</f>
        <v>9677.4193548387102</v>
      </c>
      <c r="J194" s="96">
        <v>329</v>
      </c>
      <c r="K194" s="97">
        <f>IF(ISNUMBER(J194), (J194 - $B194) / $B194, "")</f>
        <v>6.1290322580645158E-2</v>
      </c>
      <c r="L194" s="98">
        <f>IF(ISNUMBER(J194), $B199 * K194, "")</f>
        <v>9193.5483870967746</v>
      </c>
      <c r="M194" s="99">
        <v>327</v>
      </c>
      <c r="N194" s="97">
        <f>IF(ISNUMBER(M194), (M194 - $B194) / $B194, "")</f>
        <v>5.4838709677419356E-2</v>
      </c>
      <c r="O194" s="98">
        <f>IF(ISNUMBER(M194), $B199 * N194, "")</f>
        <v>8225.8064516129034</v>
      </c>
      <c r="Q194" s="146"/>
      <c r="R194" s="146"/>
      <c r="S194" s="146"/>
    </row>
    <row r="195" spans="1:19" ht="17.25" thickBot="1">
      <c r="A195" s="109" t="s">
        <v>64</v>
      </c>
      <c r="B195" s="110">
        <v>8.9</v>
      </c>
      <c r="C195" s="70">
        <v>-1.65745856E-2</v>
      </c>
      <c r="D195" s="15">
        <v>9.1</v>
      </c>
      <c r="E195" s="32">
        <f t="shared" ref="E195:E198" si="106">IF(ISNUMBER(D195), (D195 - $B195) / $B195, "")</f>
        <v>2.247191011235947E-2</v>
      </c>
      <c r="F195" s="18">
        <f>IF(ISNUMBER(D195), $B199 * E195, "")</f>
        <v>3370.7865168539206</v>
      </c>
      <c r="G195" s="31">
        <v>9.1</v>
      </c>
      <c r="H195" s="32">
        <f t="shared" ref="H195:H198" si="107">IF(ISNUMBER(G195), (G195 - $B195) / $B195, "")</f>
        <v>2.247191011235947E-2</v>
      </c>
      <c r="I195" s="91">
        <f>IF(ISNUMBER(G195), $B199 * H195, "")</f>
        <v>3370.7865168539206</v>
      </c>
      <c r="J195" s="15">
        <v>9.07</v>
      </c>
      <c r="K195" s="32">
        <f t="shared" ref="K195:K198" si="108">IF(ISNUMBER(J195), (J195 - $B195) / $B195, "")</f>
        <v>1.9101123595505608E-2</v>
      </c>
      <c r="L195" s="18">
        <f>IF(ISNUMBER(J195), $B199 * K195, "")</f>
        <v>2865.1685393258413</v>
      </c>
      <c r="M195" s="31">
        <v>9.06</v>
      </c>
      <c r="N195" s="32">
        <f t="shared" ref="N195:N198" si="109">IF(ISNUMBER(M195), (M195 - $B195) / $B195, "")</f>
        <v>1.7977528089887656E-2</v>
      </c>
      <c r="O195" s="18">
        <f>IF(ISNUMBER(M195), $B199 * N195, "")</f>
        <v>2696.6292134831483</v>
      </c>
      <c r="Q195" s="146"/>
      <c r="R195" s="146"/>
      <c r="S195" s="146"/>
    </row>
    <row r="196" spans="1:19" ht="17.25" thickBot="1">
      <c r="A196" s="109" t="s">
        <v>116</v>
      </c>
      <c r="B196" s="110">
        <v>911</v>
      </c>
      <c r="C196" s="70">
        <v>-1.93756728E-2</v>
      </c>
      <c r="D196" s="15">
        <v>921</v>
      </c>
      <c r="E196" s="32">
        <f t="shared" si="106"/>
        <v>1.0976948408342482E-2</v>
      </c>
      <c r="F196" s="18">
        <f>IF(ISNUMBER(D196), $B199 * E196, "")</f>
        <v>1646.5422612513723</v>
      </c>
      <c r="G196" s="31">
        <v>922</v>
      </c>
      <c r="H196" s="32">
        <f t="shared" si="107"/>
        <v>1.2074643249176729E-2</v>
      </c>
      <c r="I196" s="91">
        <f>IF(ISNUMBER(G196), $B199 * H196, "")</f>
        <v>1811.1964873765094</v>
      </c>
      <c r="J196" s="15">
        <v>923</v>
      </c>
      <c r="K196" s="32">
        <f t="shared" si="108"/>
        <v>1.3172338090010977E-2</v>
      </c>
      <c r="L196" s="18">
        <f>IF(ISNUMBER(J196), $B199 * K196, "")</f>
        <v>1975.8507135016464</v>
      </c>
      <c r="M196" s="31">
        <v>919</v>
      </c>
      <c r="N196" s="32">
        <f t="shared" si="109"/>
        <v>8.7815587266739849E-3</v>
      </c>
      <c r="O196" s="18">
        <f>IF(ISNUMBER(M196), $B199 * N196, "")</f>
        <v>1317.2338090010978</v>
      </c>
      <c r="Q196" s="146"/>
      <c r="R196" s="146"/>
      <c r="S196" s="146"/>
    </row>
    <row r="197" spans="1:19">
      <c r="A197" s="109" t="s">
        <v>191</v>
      </c>
      <c r="B197" s="110">
        <v>49.8</v>
      </c>
      <c r="C197" s="70">
        <v>-2.54403131E-2</v>
      </c>
      <c r="D197" s="15">
        <v>51.3</v>
      </c>
      <c r="E197" s="32">
        <f t="shared" si="106"/>
        <v>3.0120481927710847E-2</v>
      </c>
      <c r="F197" s="18">
        <f>IF(ISNUMBER(D197), $B199 * E197, "")</f>
        <v>4518.0722891566274</v>
      </c>
      <c r="G197" s="31">
        <v>51.3</v>
      </c>
      <c r="H197" s="32">
        <f t="shared" si="107"/>
        <v>3.0120481927710847E-2</v>
      </c>
      <c r="I197" s="91">
        <f>IF(ISNUMBER(G197), $B199 * H197, "")</f>
        <v>4518.0722891566274</v>
      </c>
      <c r="J197" s="15">
        <v>51.3</v>
      </c>
      <c r="K197" s="32">
        <f t="shared" si="108"/>
        <v>3.0120481927710847E-2</v>
      </c>
      <c r="L197" s="18">
        <f>IF(ISNUMBER(J197), $B199 * K197, "")</f>
        <v>4518.0722891566274</v>
      </c>
      <c r="M197" s="31">
        <v>51</v>
      </c>
      <c r="N197" s="32">
        <f t="shared" si="109"/>
        <v>2.4096385542168731E-2</v>
      </c>
      <c r="O197" s="18">
        <f>IF(ISNUMBER(M197), $B199 * N197, "")</f>
        <v>3614.4578313253096</v>
      </c>
      <c r="Q197" s="135"/>
      <c r="R197" s="136"/>
      <c r="S197" s="137"/>
    </row>
    <row r="198" spans="1:19" ht="17.25" thickBot="1">
      <c r="A198" s="114" t="s">
        <v>120</v>
      </c>
      <c r="B198" s="115">
        <v>99.9</v>
      </c>
      <c r="C198" s="72">
        <v>-3.00970874E-2</v>
      </c>
      <c r="D198" s="24">
        <v>102</v>
      </c>
      <c r="E198" s="25">
        <f t="shared" si="106"/>
        <v>2.1021021021020964E-2</v>
      </c>
      <c r="F198" s="94">
        <f>IF(ISNUMBER(D198), $B199 * E198, "")</f>
        <v>3153.1531531531446</v>
      </c>
      <c r="G198" s="92">
        <v>100</v>
      </c>
      <c r="H198" s="25">
        <f t="shared" si="107"/>
        <v>1.001001001000944E-3</v>
      </c>
      <c r="I198" s="93">
        <f>IF(ISNUMBER(G198), $B199 * H198, "")</f>
        <v>150.1501501501416</v>
      </c>
      <c r="J198" s="24">
        <v>102</v>
      </c>
      <c r="K198" s="25">
        <f t="shared" si="108"/>
        <v>2.1021021021020964E-2</v>
      </c>
      <c r="L198" s="94">
        <f>IF(ISNUMBER(J198), $B199 * K198, "")</f>
        <v>3153.1531531531446</v>
      </c>
      <c r="M198" s="92">
        <v>101</v>
      </c>
      <c r="N198" s="25">
        <f t="shared" si="109"/>
        <v>1.1011011011010954E-2</v>
      </c>
      <c r="O198" s="94">
        <f>IF(ISNUMBER(M198), $B199 * N198, "")</f>
        <v>1651.6516516516431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2.2247271065269202E-2</v>
      </c>
      <c r="F199" s="28">
        <f>SUM(F179:F198)</f>
        <v>66741.813195807612</v>
      </c>
      <c r="G199" s="26" t="s">
        <v>258</v>
      </c>
      <c r="H199" s="27">
        <f>IF(COUNT(H179:H198), SUM(H179:H198) / COUNT(H179:H198), 0)</f>
        <v>2.0453551434774911E-2</v>
      </c>
      <c r="I199" s="28">
        <f>SUM(I179:I198)</f>
        <v>61360.654304324729</v>
      </c>
      <c r="J199" s="26" t="s">
        <v>258</v>
      </c>
      <c r="K199" s="27">
        <f>IF(COUNT(K179:K198), SUM(K179:K198) / COUNT(K179:K198), 0)</f>
        <v>2.1292729157445029E-2</v>
      </c>
      <c r="L199" s="28">
        <f>SUM(L179:L198)</f>
        <v>63878.187472335077</v>
      </c>
      <c r="M199" s="26" t="s">
        <v>258</v>
      </c>
      <c r="N199" s="27">
        <f>IF(COUNT(N179:N198), SUM(N179:N198) / COUNT(N179:N198), 0)</f>
        <v>1.943357459505226E-2</v>
      </c>
      <c r="O199" s="28">
        <f>SUM(O179:O198)</f>
        <v>58300.72378515677</v>
      </c>
      <c r="Q199" s="141"/>
      <c r="R199" s="142"/>
      <c r="S199" s="14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36F3-7E14-4A8D-BE9C-3F33A1ED6A11}">
  <sheetPr codeName="Sheet11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44931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-11,628 KRW (-0.39%)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10,681 KRW (0.36%)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-8,604 KRW (-0.29%)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-37,066 KRW (-1.24%)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2023-01-05(목) 오전 00:00</v>
      </c>
      <c r="C15" s="196"/>
      <c r="D15" s="170" t="str">
        <f>TEXT($G$1, "[$-ko-KR]yyyy-mm-dd(ddd) ") &amp; "오후 14:00"</f>
        <v>2023-01-05(목) 오후 14:00</v>
      </c>
      <c r="E15" s="171"/>
      <c r="F15" s="172"/>
      <c r="G15" s="170" t="str">
        <f>TEXT($G$1, "[$-ko-KR]yyyy-mm-dd(ddd) ") &amp; "오후 19:00"</f>
        <v>2023-01-05(목) 오후 19:00</v>
      </c>
      <c r="H15" s="171"/>
      <c r="I15" s="172"/>
      <c r="J15" s="170" t="str">
        <f>TEXT($G$1, "[$-ko-KR]yyyy-mm-dd(ddd) ") &amp; "오후 21:00"</f>
        <v>2023-01-05(목) 오후 21:00</v>
      </c>
      <c r="K15" s="171"/>
      <c r="L15" s="172"/>
      <c r="M15" s="170" t="str">
        <f>TEXT($G$1+1, "[$-ko-KR]yyyy-mm-dd(ddd) ") &amp; "오전 00:00"</f>
        <v>2023-01-06(금)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2023-01-05(목) 오전 00:00</v>
      </c>
      <c r="C42" s="198"/>
      <c r="D42" s="170" t="str">
        <f>TEXT($G$1, "[$-ko-KR]yyyy-mm-dd(ddd) ") &amp; "오후 14:00"</f>
        <v>2023-01-05(목) 오후 14:00</v>
      </c>
      <c r="E42" s="171"/>
      <c r="F42" s="172"/>
      <c r="G42" s="170" t="str">
        <f>TEXT($G$1, "[$-ko-KR]yyyy-mm-dd(ddd) ") &amp; "오후 19:00"</f>
        <v>2023-01-05(목) 오후 19:00</v>
      </c>
      <c r="H42" s="171"/>
      <c r="I42" s="172"/>
      <c r="J42" s="170" t="str">
        <f>TEXT($G$1, "[$-ko-KR]yyyy-mm-dd(ddd) ") &amp; "오후 21:00"</f>
        <v>2023-01-05(목) 오후 21:00</v>
      </c>
      <c r="K42" s="171"/>
      <c r="L42" s="172"/>
      <c r="M42" s="170" t="str">
        <f>TEXT($G$1+1, "[$-ko-KR]yyyy-mm-dd(ddd) ") &amp; "오전 00:00"</f>
        <v>2023-01-06(금)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97</v>
      </c>
      <c r="B44" s="108">
        <v>8.9999999999999998E-4</v>
      </c>
      <c r="C44" s="69">
        <v>0.125</v>
      </c>
      <c r="D44" s="13">
        <v>8.9999999999999998E-4</v>
      </c>
      <c r="E44" s="14">
        <f>IF(ISNUMBER(D44), (D44 - $B44) / $B44, "")</f>
        <v>0</v>
      </c>
      <c r="F44" s="16">
        <f>IF(ISNUMBER(D44), $B64 * E44, "")</f>
        <v>0</v>
      </c>
      <c r="G44" s="29">
        <v>8.9999999999999998E-4</v>
      </c>
      <c r="H44" s="14">
        <f>IF(ISNUMBER(G44), (G44 - $B44) / $B44, "")</f>
        <v>0</v>
      </c>
      <c r="I44" s="90">
        <f>IF(ISNUMBER(G44), $B64 * H44, "")</f>
        <v>0</v>
      </c>
      <c r="J44" s="13">
        <v>8.9999999999999998E-4</v>
      </c>
      <c r="K44" s="14">
        <f>IF(ISNUMBER(J44), (J44 - $B44) / $B44, "")</f>
        <v>0</v>
      </c>
      <c r="L44" s="16">
        <f>IF(ISNUMBER(J44), $B64 * K44, "")</f>
        <v>0</v>
      </c>
      <c r="M44" s="29">
        <v>8.9999999999999998E-4</v>
      </c>
      <c r="N44" s="14">
        <f>IF(ISNUMBER(M44), (M44 - $B44) / $B44, "")</f>
        <v>0</v>
      </c>
      <c r="O44" s="16">
        <f>IF(ISNUMBER(M44), $B64 * N44, "")</f>
        <v>0</v>
      </c>
      <c r="Q44" s="156"/>
      <c r="R44" s="156"/>
      <c r="S44" s="156"/>
    </row>
    <row r="45" spans="1:19" ht="17.25" customHeight="1" thickBot="1">
      <c r="A45" s="109" t="s">
        <v>138</v>
      </c>
      <c r="B45" s="110">
        <v>21</v>
      </c>
      <c r="C45" s="70">
        <v>3.9603960399999999E-2</v>
      </c>
      <c r="D45" s="15">
        <v>21.2</v>
      </c>
      <c r="E45" s="32">
        <f t="shared" ref="E45:E48" si="14">IF(ISNUMBER(D45), (D45 - $B45) / $B45, "")</f>
        <v>9.52380952380949E-3</v>
      </c>
      <c r="F45" s="18">
        <f>IF(ISNUMBER(D45), $B64 * E45, "")</f>
        <v>1428.5714285714234</v>
      </c>
      <c r="G45" s="31">
        <v>20.6</v>
      </c>
      <c r="H45" s="32">
        <f t="shared" ref="H45:H48" si="15">IF(ISNUMBER(G45), (G45 - $B45) / $B45, "")</f>
        <v>-1.904761904761898E-2</v>
      </c>
      <c r="I45" s="91">
        <f>IF(ISNUMBER(G45), $B64 * H45, "")</f>
        <v>-2857.1428571428469</v>
      </c>
      <c r="J45" s="15">
        <v>20.9</v>
      </c>
      <c r="K45" s="32">
        <f t="shared" ref="K45:K48" si="16">IF(ISNUMBER(J45), (J45 - $B45) / $B45, "")</f>
        <v>-4.76190476190483E-3</v>
      </c>
      <c r="L45" s="18">
        <f>IF(ISNUMBER(J45), $B64 * K45, "")</f>
        <v>-714.28571428572445</v>
      </c>
      <c r="M45" s="31">
        <v>20.6</v>
      </c>
      <c r="N45" s="32">
        <f t="shared" ref="N45:N48" si="17">IF(ISNUMBER(M45), (M45 - $B45) / $B45, "")</f>
        <v>-1.904761904761898E-2</v>
      </c>
      <c r="O45" s="18">
        <f>IF(ISNUMBER(M45), $B64 * N45, "")</f>
        <v>-2857.1428571428469</v>
      </c>
      <c r="Q45" s="156"/>
      <c r="R45" s="156"/>
      <c r="S45" s="156"/>
    </row>
    <row r="46" spans="1:19" ht="17.25" customHeight="1" thickBot="1">
      <c r="A46" s="109" t="s">
        <v>323</v>
      </c>
      <c r="B46" s="110">
        <v>2.9000000000000001E-2</v>
      </c>
      <c r="C46" s="70">
        <v>3.2028469800000001E-2</v>
      </c>
      <c r="D46" s="15">
        <v>3.2199999999999999E-2</v>
      </c>
      <c r="E46" s="32">
        <f t="shared" si="14"/>
        <v>0.11034482758620683</v>
      </c>
      <c r="F46" s="18">
        <f>IF(ISNUMBER(D46), $B64 * E46, "")</f>
        <v>16551.724137931025</v>
      </c>
      <c r="G46" s="31">
        <v>3.09E-2</v>
      </c>
      <c r="H46" s="32">
        <f t="shared" si="15"/>
        <v>6.5517241379310309E-2</v>
      </c>
      <c r="I46" s="91">
        <f>IF(ISNUMBER(G46), $B64 * H46, "")</f>
        <v>9827.5862068965471</v>
      </c>
      <c r="J46" s="15">
        <v>3.1699999999999999E-2</v>
      </c>
      <c r="K46" s="32">
        <f t="shared" si="16"/>
        <v>9.3103448275861977E-2</v>
      </c>
      <c r="L46" s="18">
        <f>IF(ISNUMBER(J46), $B64 * K46, "")</f>
        <v>13965.517241379297</v>
      </c>
      <c r="M46" s="31">
        <v>3.1300000000000001E-2</v>
      </c>
      <c r="N46" s="32">
        <f t="shared" si="17"/>
        <v>7.9310344827586199E-2</v>
      </c>
      <c r="O46" s="18">
        <f>IF(ISNUMBER(M46), $B64 * N46, "")</f>
        <v>11896.551724137929</v>
      </c>
      <c r="Q46" s="146"/>
      <c r="R46" s="146"/>
      <c r="S46" s="146"/>
    </row>
    <row r="47" spans="1:19" ht="17.25" customHeight="1" thickBot="1">
      <c r="A47" s="109" t="s">
        <v>132</v>
      </c>
      <c r="B47" s="110">
        <v>42.2</v>
      </c>
      <c r="C47" s="70">
        <v>2.6763990299999998E-2</v>
      </c>
      <c r="D47" s="15">
        <v>42.8</v>
      </c>
      <c r="E47" s="32">
        <f t="shared" si="14"/>
        <v>1.421800947867285E-2</v>
      </c>
      <c r="F47" s="18">
        <f>IF(ISNUMBER(D47), $B64 * E47, "")</f>
        <v>2132.7014218009276</v>
      </c>
      <c r="G47" s="31">
        <v>41.5</v>
      </c>
      <c r="H47" s="32">
        <f t="shared" si="15"/>
        <v>-1.6587677725118551E-2</v>
      </c>
      <c r="I47" s="91">
        <f>IF(ISNUMBER(G47), $B64 * H47, "")</f>
        <v>-2488.1516587677825</v>
      </c>
      <c r="J47" s="15">
        <v>42.2</v>
      </c>
      <c r="K47" s="32">
        <f t="shared" si="16"/>
        <v>0</v>
      </c>
      <c r="L47" s="18">
        <f>IF(ISNUMBER(J47), $B64 * K47, "")</f>
        <v>0</v>
      </c>
      <c r="M47" s="31">
        <v>41.6</v>
      </c>
      <c r="N47" s="32">
        <f t="shared" si="17"/>
        <v>-1.4218009478673018E-2</v>
      </c>
      <c r="O47" s="18">
        <f>IF(ISNUMBER(M47), $B64 * N47, "")</f>
        <v>-2132.7014218009526</v>
      </c>
      <c r="Q47" s="146"/>
      <c r="R47" s="146"/>
      <c r="S47" s="146"/>
    </row>
    <row r="48" spans="1:19" ht="17.25" customHeight="1" thickBot="1">
      <c r="A48" s="111" t="s">
        <v>253</v>
      </c>
      <c r="B48" s="112">
        <v>92.3</v>
      </c>
      <c r="C48" s="71">
        <v>2.3281596500000001E-2</v>
      </c>
      <c r="D48" s="20">
        <v>94.4</v>
      </c>
      <c r="E48" s="21">
        <f t="shared" si="14"/>
        <v>2.2751895991332705E-2</v>
      </c>
      <c r="F48" s="22">
        <f>IF(ISNUMBER(D48), $B64 * E48, "")</f>
        <v>3412.7843986999055</v>
      </c>
      <c r="G48" s="30">
        <v>92.9</v>
      </c>
      <c r="H48" s="21">
        <f t="shared" si="15"/>
        <v>6.5005417118094103E-3</v>
      </c>
      <c r="I48" s="95">
        <f>IF(ISNUMBER(G48), $B64 * H48, "")</f>
        <v>975.08125677141152</v>
      </c>
      <c r="J48" s="20">
        <v>93.9</v>
      </c>
      <c r="K48" s="21">
        <f t="shared" si="16"/>
        <v>1.7334777898158273E-2</v>
      </c>
      <c r="L48" s="22">
        <f>IF(ISNUMBER(J48), $B64 * K48, "")</f>
        <v>2600.2166847237409</v>
      </c>
      <c r="M48" s="30">
        <v>92.8</v>
      </c>
      <c r="N48" s="21">
        <f t="shared" si="17"/>
        <v>5.4171180931744311E-3</v>
      </c>
      <c r="O48" s="22">
        <f>IF(ISNUMBER(M48), $B64 * N48, "")</f>
        <v>812.56771397616467</v>
      </c>
      <c r="Q48" s="146"/>
      <c r="R48" s="146"/>
      <c r="S48" s="146"/>
    </row>
    <row r="49" spans="1:19" ht="17.25" customHeight="1" thickBot="1">
      <c r="A49" s="109" t="s">
        <v>324</v>
      </c>
      <c r="B49" s="113">
        <v>75</v>
      </c>
      <c r="C49" s="73">
        <v>2.1798365100000001E-2</v>
      </c>
      <c r="D49" s="96">
        <v>76.3</v>
      </c>
      <c r="E49" s="97">
        <f>IF(ISNUMBER(D49), (D49 - $B49) / $B49, "")</f>
        <v>1.7333333333333294E-2</v>
      </c>
      <c r="F49" s="98">
        <f>IF(ISNUMBER(D49), $B64 * E49, "")</f>
        <v>2599.9999999999941</v>
      </c>
      <c r="G49" s="99">
        <v>75.400000000000006</v>
      </c>
      <c r="H49" s="97">
        <f>IF(ISNUMBER(G49), (G49 - $B49) / $B49, "")</f>
        <v>5.3333333333334095E-3</v>
      </c>
      <c r="I49" s="100">
        <f>IF(ISNUMBER(G49), $B64 * H49, "")</f>
        <v>800.00000000001137</v>
      </c>
      <c r="J49" s="96">
        <v>75.400000000000006</v>
      </c>
      <c r="K49" s="97">
        <f>IF(ISNUMBER(J49), (J49 - $B49) / $B49, "")</f>
        <v>5.3333333333334095E-3</v>
      </c>
      <c r="L49" s="98">
        <f>IF(ISNUMBER(J49), $B64 * K49, "")</f>
        <v>800.00000000001137</v>
      </c>
      <c r="M49" s="99">
        <v>75.099999999999994</v>
      </c>
      <c r="N49" s="97">
        <f>IF(ISNUMBER(M49), (M49 - $B49) / $B49, "")</f>
        <v>1.3333333333332576E-3</v>
      </c>
      <c r="O49" s="98">
        <f>IF(ISNUMBER(M49), $B64 * N49, "")</f>
        <v>199.99999999998863</v>
      </c>
      <c r="Q49" s="146"/>
      <c r="R49" s="146"/>
      <c r="S49" s="146"/>
    </row>
    <row r="50" spans="1:19" ht="17.25" customHeight="1" thickBot="1">
      <c r="A50" s="109" t="s">
        <v>349</v>
      </c>
      <c r="B50" s="110">
        <v>20.8</v>
      </c>
      <c r="C50" s="70">
        <v>1.9607843100000001E-2</v>
      </c>
      <c r="D50" s="15">
        <v>21.3</v>
      </c>
      <c r="E50" s="32">
        <f t="shared" ref="E50:E53" si="18">IF(ISNUMBER(D50), (D50 - $B50) / $B50, "")</f>
        <v>2.4038461538461536E-2</v>
      </c>
      <c r="F50" s="18">
        <f>IF(ISNUMBER(D50), $B64 * E50, "")</f>
        <v>3605.7692307692305</v>
      </c>
      <c r="G50" s="31">
        <v>20.8</v>
      </c>
      <c r="H50" s="32">
        <f t="shared" ref="H50:H53" si="19">IF(ISNUMBER(G50), (G50 - $B50) / $B50, "")</f>
        <v>0</v>
      </c>
      <c r="I50" s="91">
        <f>IF(ISNUMBER(G50), $B64 * H50, "")</f>
        <v>0</v>
      </c>
      <c r="J50" s="15">
        <v>21.2</v>
      </c>
      <c r="K50" s="32">
        <f t="shared" ref="K50:K53" si="20">IF(ISNUMBER(J50), (J50 - $B50) / $B50, "")</f>
        <v>1.9230769230769162E-2</v>
      </c>
      <c r="L50" s="18">
        <f>IF(ISNUMBER(J50), $B64 * K50, "")</f>
        <v>2884.6153846153743</v>
      </c>
      <c r="M50" s="31">
        <v>20.7</v>
      </c>
      <c r="N50" s="32">
        <f t="shared" ref="N50:N53" si="21">IF(ISNUMBER(M50), (M50 - $B50) / $B50, "")</f>
        <v>-4.8076923076923756E-3</v>
      </c>
      <c r="O50" s="18">
        <f>IF(ISNUMBER(M50), $B64 * N50, "")</f>
        <v>-721.15384615385631</v>
      </c>
      <c r="Q50" s="146"/>
      <c r="R50" s="146"/>
      <c r="S50" s="146"/>
    </row>
    <row r="51" spans="1:19" ht="17.25" customHeight="1" thickBot="1">
      <c r="A51" s="109" t="s">
        <v>126</v>
      </c>
      <c r="B51" s="110">
        <v>21.6</v>
      </c>
      <c r="C51" s="70">
        <v>1.8867924500000001E-2</v>
      </c>
      <c r="D51" s="15">
        <v>21.7</v>
      </c>
      <c r="E51" s="32">
        <f t="shared" si="18"/>
        <v>4.6296296296295305E-3</v>
      </c>
      <c r="F51" s="18">
        <f>IF(ISNUMBER(D51), $B64 * E51, "")</f>
        <v>694.44444444442956</v>
      </c>
      <c r="G51" s="31">
        <v>21.3</v>
      </c>
      <c r="H51" s="32">
        <f t="shared" si="19"/>
        <v>-1.3888888888888921E-2</v>
      </c>
      <c r="I51" s="91">
        <f>IF(ISNUMBER(G51), $B64 * H51, "")</f>
        <v>-2083.333333333338</v>
      </c>
      <c r="J51" s="15">
        <v>21.6</v>
      </c>
      <c r="K51" s="32">
        <f t="shared" si="20"/>
        <v>0</v>
      </c>
      <c r="L51" s="18">
        <f>IF(ISNUMBER(J51), $B64 * K51, "")</f>
        <v>0</v>
      </c>
      <c r="M51" s="31">
        <v>21.4</v>
      </c>
      <c r="N51" s="32">
        <f t="shared" si="21"/>
        <v>-9.2592592592593906E-3</v>
      </c>
      <c r="O51" s="18">
        <f>IF(ISNUMBER(M51), $B64 * N51, "")</f>
        <v>-1388.8888888889087</v>
      </c>
      <c r="Q51" s="146"/>
      <c r="R51" s="146"/>
      <c r="S51" s="146"/>
    </row>
    <row r="52" spans="1:19" ht="17.25" customHeight="1" thickBot="1">
      <c r="A52" s="109" t="s">
        <v>124</v>
      </c>
      <c r="B52" s="110">
        <v>27.5</v>
      </c>
      <c r="C52" s="70">
        <v>1.8518518500000001E-2</v>
      </c>
      <c r="D52" s="15">
        <v>27.5</v>
      </c>
      <c r="E52" s="32">
        <f t="shared" si="18"/>
        <v>0</v>
      </c>
      <c r="F52" s="18">
        <f>IF(ISNUMBER(D52), $B64 * E52, "")</f>
        <v>0</v>
      </c>
      <c r="G52" s="31">
        <v>27.1</v>
      </c>
      <c r="H52" s="32">
        <f t="shared" si="19"/>
        <v>-1.4545454545454493E-2</v>
      </c>
      <c r="I52" s="91">
        <f>IF(ISNUMBER(G52), $B64 * H52, "")</f>
        <v>-2181.8181818181738</v>
      </c>
      <c r="J52" s="15">
        <v>27.7</v>
      </c>
      <c r="K52" s="32">
        <f t="shared" si="20"/>
        <v>7.2727272727272467E-3</v>
      </c>
      <c r="L52" s="18">
        <f>IF(ISNUMBER(J52), $B64 * K52, "")</f>
        <v>1090.9090909090869</v>
      </c>
      <c r="M52" s="31">
        <v>27.5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14" t="s">
        <v>185</v>
      </c>
      <c r="B53" s="115">
        <v>23.4</v>
      </c>
      <c r="C53" s="72">
        <v>1.73913043E-2</v>
      </c>
      <c r="D53" s="24">
        <v>23.8</v>
      </c>
      <c r="E53" s="25">
        <f t="shared" si="18"/>
        <v>1.7094017094017186E-2</v>
      </c>
      <c r="F53" s="94">
        <f>IF(ISNUMBER(D53), $B64 * E53, "")</f>
        <v>2564.1025641025781</v>
      </c>
      <c r="G53" s="92">
        <v>23.3</v>
      </c>
      <c r="H53" s="25">
        <f t="shared" si="19"/>
        <v>-4.2735042735041829E-3</v>
      </c>
      <c r="I53" s="93">
        <f>IF(ISNUMBER(G53), $B64 * H53, "")</f>
        <v>-641.02564102562746</v>
      </c>
      <c r="J53" s="24">
        <v>24.1</v>
      </c>
      <c r="K53" s="25">
        <f t="shared" si="20"/>
        <v>2.9914529914530037E-2</v>
      </c>
      <c r="L53" s="94">
        <f>IF(ISNUMBER(J53), $B64 * K53, "")</f>
        <v>4487.1794871795055</v>
      </c>
      <c r="M53" s="92">
        <v>23.3</v>
      </c>
      <c r="N53" s="25">
        <f t="shared" si="21"/>
        <v>-4.2735042735041829E-3</v>
      </c>
      <c r="O53" s="94">
        <f>IF(ISNUMBER(M53), $B64 * N53, "")</f>
        <v>-641.02564102562746</v>
      </c>
      <c r="Q53" s="147"/>
      <c r="R53" s="148"/>
      <c r="S53" s="149"/>
    </row>
    <row r="54" spans="1:19" ht="17.25" customHeight="1">
      <c r="A54" s="107" t="s">
        <v>333</v>
      </c>
      <c r="B54" s="108">
        <v>4.0199999999999996</v>
      </c>
      <c r="C54" s="69">
        <v>1.51515152E-2</v>
      </c>
      <c r="D54" s="13">
        <v>4.0599999999999996</v>
      </c>
      <c r="E54" s="14">
        <f>IF(ISNUMBER(D54), (D54 - $B54) / $B54, "")</f>
        <v>9.9502487562189157E-3</v>
      </c>
      <c r="F54" s="16">
        <f>IF(ISNUMBER(D54), $B64 * E54, "")</f>
        <v>1492.5373134328374</v>
      </c>
      <c r="G54" s="29">
        <v>4.4000000000000004</v>
      </c>
      <c r="H54" s="14">
        <f>IF(ISNUMBER(G54), (G54 - $B54) / $B54, "")</f>
        <v>9.452736318407981E-2</v>
      </c>
      <c r="I54" s="90">
        <f>IF(ISNUMBER(G54), $B64 * H54, "")</f>
        <v>14179.104477611971</v>
      </c>
      <c r="J54" s="13">
        <v>4.09</v>
      </c>
      <c r="K54" s="14">
        <f>IF(ISNUMBER(J54), (J54 - $B54) / $B54, "")</f>
        <v>1.7412935323383158E-2</v>
      </c>
      <c r="L54" s="16">
        <f>IF(ISNUMBER(J54), $B64 * K54, "")</f>
        <v>2611.9402985074735</v>
      </c>
      <c r="M54" s="29">
        <v>4.07</v>
      </c>
      <c r="N54" s="14">
        <f>IF(ISNUMBER(M54), (M54 - $B54) / $B54, "")</f>
        <v>1.2437810945273809E-2</v>
      </c>
      <c r="O54" s="16">
        <f>IF(ISNUMBER(M54), $B64 * N54, "")</f>
        <v>1865.6716417910714</v>
      </c>
      <c r="Q54" s="150"/>
      <c r="R54" s="151"/>
      <c r="S54" s="152"/>
    </row>
    <row r="55" spans="1:19" ht="17.25" customHeight="1" thickBot="1">
      <c r="A55" s="109" t="s">
        <v>227</v>
      </c>
      <c r="B55" s="110">
        <v>33.700000000000003</v>
      </c>
      <c r="C55" s="70">
        <v>1.5060241E-2</v>
      </c>
      <c r="D55" s="15">
        <v>35.5</v>
      </c>
      <c r="E55" s="32">
        <f t="shared" ref="E55:E58" si="22">IF(ISNUMBER(D55), (D55 - $B55) / $B55, "")</f>
        <v>5.3412462908011778E-2</v>
      </c>
      <c r="F55" s="18">
        <f>IF(ISNUMBER(D55), $B64 * E55, "")</f>
        <v>8011.8694362017668</v>
      </c>
      <c r="G55" s="31">
        <v>35.1</v>
      </c>
      <c r="H55" s="32">
        <f t="shared" ref="H55:H58" si="23">IF(ISNUMBER(G55), (G55 - $B55) / $B55, "")</f>
        <v>4.154302670623141E-2</v>
      </c>
      <c r="I55" s="91">
        <f>IF(ISNUMBER(G55), $B64 * H55, "")</f>
        <v>6231.4540059347119</v>
      </c>
      <c r="J55" s="15">
        <v>35.5</v>
      </c>
      <c r="K55" s="32">
        <f t="shared" ref="K55:K58" si="24">IF(ISNUMBER(J55), (J55 - $B55) / $B55, "")</f>
        <v>5.3412462908011778E-2</v>
      </c>
      <c r="L55" s="18">
        <f>IF(ISNUMBER(J55), $B64 * K55, "")</f>
        <v>8011.8694362017668</v>
      </c>
      <c r="M55" s="31">
        <v>35</v>
      </c>
      <c r="N55" s="32">
        <f t="shared" ref="N55:N58" si="25">IF(ISNUMBER(M55), (M55 - $B55) / $B55, "")</f>
        <v>3.857566765578626E-2</v>
      </c>
      <c r="O55" s="18">
        <f>IF(ISNUMBER(M55), $B64 * N55, "")</f>
        <v>5786.3501483679393</v>
      </c>
      <c r="Q55" s="153"/>
      <c r="R55" s="154"/>
      <c r="S55" s="155"/>
    </row>
    <row r="56" spans="1:19" ht="17.25" customHeight="1" thickBot="1">
      <c r="A56" s="109" t="s">
        <v>217</v>
      </c>
      <c r="B56" s="110">
        <v>55.3</v>
      </c>
      <c r="C56" s="70">
        <v>1.46788991E-2</v>
      </c>
      <c r="D56" s="15">
        <v>55.9</v>
      </c>
      <c r="E56" s="32">
        <f t="shared" si="22"/>
        <v>1.0849909584086825E-2</v>
      </c>
      <c r="F56" s="18">
        <f>IF(ISNUMBER(D56), $B64 * E56, "")</f>
        <v>1627.4864376130238</v>
      </c>
      <c r="G56" s="31">
        <v>54.9</v>
      </c>
      <c r="H56" s="32">
        <f t="shared" si="23"/>
        <v>-7.2332730560578408E-3</v>
      </c>
      <c r="I56" s="91">
        <f>IF(ISNUMBER(G56), $B64 * H56, "")</f>
        <v>-1084.9909584086761</v>
      </c>
      <c r="J56" s="15">
        <v>55.7</v>
      </c>
      <c r="K56" s="32">
        <f t="shared" si="24"/>
        <v>7.2332730560579692E-3</v>
      </c>
      <c r="L56" s="18">
        <f>IF(ISNUMBER(J56), $B64 * K56, "")</f>
        <v>1084.9909584086954</v>
      </c>
      <c r="M56" s="31">
        <v>55.9</v>
      </c>
      <c r="N56" s="32">
        <f t="shared" si="25"/>
        <v>1.0849909584086825E-2</v>
      </c>
      <c r="O56" s="18">
        <f>IF(ISNUMBER(M56), $B64 * N56, "")</f>
        <v>1627.4864376130238</v>
      </c>
      <c r="Q56" s="146"/>
      <c r="R56" s="146"/>
      <c r="S56" s="146"/>
    </row>
    <row r="57" spans="1:19" ht="17.25" customHeight="1" thickBot="1">
      <c r="A57" s="109" t="s">
        <v>122</v>
      </c>
      <c r="B57" s="110">
        <v>21</v>
      </c>
      <c r="C57" s="70">
        <v>1.44927536E-2</v>
      </c>
      <c r="D57" s="15">
        <v>21.3</v>
      </c>
      <c r="E57" s="32">
        <f t="shared" si="22"/>
        <v>1.428571428571432E-2</v>
      </c>
      <c r="F57" s="18">
        <f>IF(ISNUMBER(D57), $B64 * E57, "")</f>
        <v>2142.8571428571481</v>
      </c>
      <c r="G57" s="31">
        <v>20.8</v>
      </c>
      <c r="H57" s="32">
        <f t="shared" si="23"/>
        <v>-9.52380952380949E-3</v>
      </c>
      <c r="I57" s="91">
        <f>IF(ISNUMBER(G57), $B64 * H57, "")</f>
        <v>-1428.5714285714234</v>
      </c>
      <c r="J57" s="15">
        <v>21</v>
      </c>
      <c r="K57" s="32">
        <f t="shared" si="24"/>
        <v>0</v>
      </c>
      <c r="L57" s="18">
        <f>IF(ISNUMBER(J57), $B64 * K57, "")</f>
        <v>0</v>
      </c>
      <c r="M57" s="31">
        <v>20.8</v>
      </c>
      <c r="N57" s="32">
        <f t="shared" si="25"/>
        <v>-9.52380952380949E-3</v>
      </c>
      <c r="O57" s="18">
        <f>IF(ISNUMBER(M57), $B64 * N57, "")</f>
        <v>-1428.5714285714234</v>
      </c>
      <c r="Q57" s="156"/>
      <c r="R57" s="156"/>
      <c r="S57" s="156"/>
    </row>
    <row r="58" spans="1:19" ht="17.25" customHeight="1" thickBot="1">
      <c r="A58" s="111" t="s">
        <v>197</v>
      </c>
      <c r="B58" s="112">
        <v>5.62</v>
      </c>
      <c r="C58" s="71">
        <v>1.44404332E-2</v>
      </c>
      <c r="D58" s="20">
        <v>5.62</v>
      </c>
      <c r="E58" s="21">
        <f t="shared" si="22"/>
        <v>0</v>
      </c>
      <c r="F58" s="22">
        <f>IF(ISNUMBER(D58), $B64 * E58, "")</f>
        <v>0</v>
      </c>
      <c r="G58" s="30">
        <v>5.65</v>
      </c>
      <c r="H58" s="21">
        <f t="shared" si="23"/>
        <v>5.338078291814991E-3</v>
      </c>
      <c r="I58" s="95">
        <f>IF(ISNUMBER(G58), $B64 * H58, "")</f>
        <v>800.71174377224861</v>
      </c>
      <c r="J58" s="20">
        <v>5.83</v>
      </c>
      <c r="K58" s="21">
        <f t="shared" si="24"/>
        <v>3.7366548042704617E-2</v>
      </c>
      <c r="L58" s="22">
        <f>IF(ISNUMBER(J58), $B64 * K58, "")</f>
        <v>5604.9822064056925</v>
      </c>
      <c r="M58" s="30">
        <v>5.61</v>
      </c>
      <c r="N58" s="21">
        <f t="shared" si="25"/>
        <v>-1.7793594306049442E-3</v>
      </c>
      <c r="O58" s="22">
        <f>IF(ISNUMBER(M58), $B64 * N58, "")</f>
        <v>-266.90391459074164</v>
      </c>
      <c r="Q58" s="156"/>
      <c r="R58" s="156"/>
      <c r="S58" s="156"/>
    </row>
    <row r="59" spans="1:19" ht="17.25" customHeight="1" thickBot="1">
      <c r="A59" s="109" t="s">
        <v>207</v>
      </c>
      <c r="B59" s="113">
        <v>60.1</v>
      </c>
      <c r="C59" s="73">
        <v>1.34907251E-2</v>
      </c>
      <c r="D59" s="96">
        <v>59.4</v>
      </c>
      <c r="E59" s="97">
        <f>IF(ISNUMBER(D59), (D59 - $B59) / $B59, "")</f>
        <v>-1.1647254575707202E-2</v>
      </c>
      <c r="F59" s="98">
        <f>IF(ISNUMBER(D59), $B64 * E59, "")</f>
        <v>-1747.0881863560803</v>
      </c>
      <c r="G59" s="99">
        <v>58.5</v>
      </c>
      <c r="H59" s="97">
        <f>IF(ISNUMBER(G59), (G59 - $B59) / $B59, "")</f>
        <v>-2.6622296173044947E-2</v>
      </c>
      <c r="I59" s="100">
        <f>IF(ISNUMBER(G59), $B64 * H59, "")</f>
        <v>-3993.3444259567418</v>
      </c>
      <c r="J59" s="96">
        <v>60</v>
      </c>
      <c r="K59" s="97">
        <f>IF(ISNUMBER(J59), (J59 - $B59) / $B59, "")</f>
        <v>-1.6638935108153315E-3</v>
      </c>
      <c r="L59" s="98">
        <f>IF(ISNUMBER(J59), $B64 * K59, "")</f>
        <v>-249.58402662229972</v>
      </c>
      <c r="M59" s="99">
        <v>59.3</v>
      </c>
      <c r="N59" s="97">
        <f>IF(ISNUMBER(M59), (M59 - $B59) / $B59, "")</f>
        <v>-1.3311148086522534E-2</v>
      </c>
      <c r="O59" s="98">
        <f>IF(ISNUMBER(M59), $B64 * N59, "")</f>
        <v>-1996.67221297838</v>
      </c>
      <c r="Q59" s="146"/>
      <c r="R59" s="146"/>
      <c r="S59" s="146"/>
    </row>
    <row r="60" spans="1:19" ht="17.25" customHeight="1" thickBot="1">
      <c r="A60" s="109" t="s">
        <v>203</v>
      </c>
      <c r="B60" s="110">
        <v>3.01</v>
      </c>
      <c r="C60" s="70">
        <v>1.3468013500000001E-2</v>
      </c>
      <c r="D60" s="15">
        <v>3.02</v>
      </c>
      <c r="E60" s="32">
        <f t="shared" ref="E60:E63" si="26">IF(ISNUMBER(D60), (D60 - $B60) / $B60, "")</f>
        <v>3.3222591362127014E-3</v>
      </c>
      <c r="F60" s="18">
        <f>IF(ISNUMBER(D60), $B64 * E60, "")</f>
        <v>498.33887043190521</v>
      </c>
      <c r="G60" s="31">
        <v>2.98</v>
      </c>
      <c r="H60" s="32">
        <f t="shared" ref="H60:H63" si="27">IF(ISNUMBER(G60), (G60 - $B60) / $B60, "")</f>
        <v>-9.9667774086378089E-3</v>
      </c>
      <c r="I60" s="91">
        <f>IF(ISNUMBER(G60), $B64 * H60, "")</f>
        <v>-1495.0166112956713</v>
      </c>
      <c r="J60" s="15">
        <v>3.02</v>
      </c>
      <c r="K60" s="32">
        <f t="shared" ref="K60:K63" si="28">IF(ISNUMBER(J60), (J60 - $B60) / $B60, "")</f>
        <v>3.3222591362127014E-3</v>
      </c>
      <c r="L60" s="18">
        <f>IF(ISNUMBER(J60), $B64 * K60, "")</f>
        <v>498.33887043190521</v>
      </c>
      <c r="M60" s="31">
        <v>2.98</v>
      </c>
      <c r="N60" s="32">
        <f t="shared" ref="N60:N63" si="29">IF(ISNUMBER(M60), (M60 - $B60) / $B60, "")</f>
        <v>-9.9667774086378089E-3</v>
      </c>
      <c r="O60" s="18">
        <f>IF(ISNUMBER(M60), $B64 * N60, "")</f>
        <v>-1495.0166112956713</v>
      </c>
      <c r="Q60" s="146"/>
      <c r="R60" s="146"/>
      <c r="S60" s="146"/>
    </row>
    <row r="61" spans="1:19" ht="17.25" customHeight="1" thickBot="1">
      <c r="A61" s="109" t="s">
        <v>181</v>
      </c>
      <c r="B61" s="110">
        <v>3.9</v>
      </c>
      <c r="C61" s="70">
        <v>1.2987013E-2</v>
      </c>
      <c r="D61" s="15">
        <v>3.91</v>
      </c>
      <c r="E61" s="32">
        <f t="shared" si="26"/>
        <v>2.5641025641026235E-3</v>
      </c>
      <c r="F61" s="18">
        <f>IF(ISNUMBER(D61), $B64 * E61, "")</f>
        <v>384.61538461539351</v>
      </c>
      <c r="G61" s="31">
        <v>3.99</v>
      </c>
      <c r="H61" s="32">
        <f t="shared" si="27"/>
        <v>2.3076923076923155E-2</v>
      </c>
      <c r="I61" s="91">
        <f>IF(ISNUMBER(G61), $B64 * H61, "")</f>
        <v>3461.5384615384733</v>
      </c>
      <c r="J61" s="15">
        <v>3.96</v>
      </c>
      <c r="K61" s="32">
        <f t="shared" si="28"/>
        <v>1.5384615384615399E-2</v>
      </c>
      <c r="L61" s="18">
        <f>IF(ISNUMBER(J61), $B64 * K61, "")</f>
        <v>2307.6923076923099</v>
      </c>
      <c r="M61" s="31">
        <v>3.9</v>
      </c>
      <c r="N61" s="32">
        <f t="shared" si="29"/>
        <v>0</v>
      </c>
      <c r="O61" s="18">
        <f>IF(ISNUMBER(M61), $B64 * N61, "")</f>
        <v>0</v>
      </c>
      <c r="Q61" s="146"/>
      <c r="R61" s="146"/>
      <c r="S61" s="146"/>
    </row>
    <row r="62" spans="1:19" ht="17.25" customHeight="1">
      <c r="A62" s="109" t="s">
        <v>107</v>
      </c>
      <c r="B62" s="110">
        <v>34.1</v>
      </c>
      <c r="C62" s="70">
        <v>1.18694362E-2</v>
      </c>
      <c r="D62" s="15">
        <v>34.6</v>
      </c>
      <c r="E62" s="32">
        <f t="shared" si="26"/>
        <v>1.4662756598240468E-2</v>
      </c>
      <c r="F62" s="18">
        <f>IF(ISNUMBER(D62), $B64 * E62, "")</f>
        <v>2199.4134897360705</v>
      </c>
      <c r="G62" s="31">
        <v>34</v>
      </c>
      <c r="H62" s="32">
        <f t="shared" si="27"/>
        <v>-2.9325513196481355E-3</v>
      </c>
      <c r="I62" s="91">
        <f>IF(ISNUMBER(G62), $B64 * H62, "")</f>
        <v>-439.88269794722032</v>
      </c>
      <c r="J62" s="15">
        <v>34.700000000000003</v>
      </c>
      <c r="K62" s="32">
        <f t="shared" si="28"/>
        <v>1.7595307917888603E-2</v>
      </c>
      <c r="L62" s="18">
        <f>IF(ISNUMBER(J62), $B64 * K62, "")</f>
        <v>2639.2961876832906</v>
      </c>
      <c r="M62" s="31">
        <v>34.299999999999997</v>
      </c>
      <c r="N62" s="32">
        <f t="shared" si="29"/>
        <v>5.8651026392960628E-3</v>
      </c>
      <c r="O62" s="18">
        <f>IF(ISNUMBER(M62), $B64 * N62, "")</f>
        <v>879.76539589440938</v>
      </c>
      <c r="Q62" s="135"/>
      <c r="R62" s="136"/>
      <c r="S62" s="137"/>
    </row>
    <row r="63" spans="1:19" ht="17.25" customHeight="1" thickBot="1">
      <c r="A63" s="114" t="s">
        <v>195</v>
      </c>
      <c r="B63" s="115">
        <v>5.55</v>
      </c>
      <c r="C63" s="72">
        <v>1.09289617E-2</v>
      </c>
      <c r="D63" s="24">
        <v>5.6</v>
      </c>
      <c r="E63" s="25">
        <f t="shared" si="26"/>
        <v>9.0090090090089777E-3</v>
      </c>
      <c r="F63" s="94">
        <f>IF(ISNUMBER(D63), $B64 * E63, "")</f>
        <v>1351.3513513513467</v>
      </c>
      <c r="G63" s="92">
        <v>5.57</v>
      </c>
      <c r="H63" s="25">
        <f t="shared" si="27"/>
        <v>3.6036036036036869E-3</v>
      </c>
      <c r="I63" s="93">
        <f>IF(ISNUMBER(G63), $B64 * H63, "")</f>
        <v>540.54054054055302</v>
      </c>
      <c r="J63" s="24">
        <v>5.65</v>
      </c>
      <c r="K63" s="25">
        <f t="shared" si="28"/>
        <v>1.8018018018018115E-2</v>
      </c>
      <c r="L63" s="94">
        <f>IF(ISNUMBER(J63), $B64 * K63, "")</f>
        <v>2702.702702702717</v>
      </c>
      <c r="M63" s="92">
        <v>5.57</v>
      </c>
      <c r="N63" s="25">
        <f t="shared" si="29"/>
        <v>3.6036036036036869E-3</v>
      </c>
      <c r="O63" s="94">
        <f>IF(ISNUMBER(M63), $B64 * N63, "")</f>
        <v>540.54054054055302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1.6317159622067638E-2</v>
      </c>
      <c r="F64" s="28">
        <f>SUM(F44:F63)</f>
        <v>48951.478866202931</v>
      </c>
      <c r="G64" s="26" t="s">
        <v>258</v>
      </c>
      <c r="H64" s="27">
        <f>IF(COUNT(H44:H63), SUM(H44:H63) / COUNT(H44:H63), 0)</f>
        <v>6.0409129662661416E-3</v>
      </c>
      <c r="I64" s="28">
        <f>SUM(I44:I63)</f>
        <v>18122.738898798427</v>
      </c>
      <c r="J64" s="26" t="s">
        <v>258</v>
      </c>
      <c r="K64" s="27">
        <f>IF(COUNT(K44:K63), SUM(K44:K63) / COUNT(K44:K63), 0)</f>
        <v>1.6775460371977614E-2</v>
      </c>
      <c r="L64" s="28">
        <f>SUM(L44:L63)</f>
        <v>50326.381115932847</v>
      </c>
      <c r="M64" s="26" t="s">
        <v>258</v>
      </c>
      <c r="N64" s="27">
        <f>IF(COUNT(N44:N63), SUM(N44:N63) / COUNT(N44:N63), 0)</f>
        <v>3.5602855932908906E-3</v>
      </c>
      <c r="O64" s="28">
        <f>SUM(O44:O63)</f>
        <v>10680.856779872674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2023-01-05(목) 오전 00:00</v>
      </c>
      <c r="C69" s="198"/>
      <c r="D69" s="170" t="str">
        <f>TEXT($G$1, "[$-ko-KR]yyyy-mm-dd(ddd) ") &amp; "오후 14:00"</f>
        <v>2023-01-05(목) 오후 14:00</v>
      </c>
      <c r="E69" s="171"/>
      <c r="F69" s="172"/>
      <c r="G69" s="170" t="str">
        <f>TEXT($G$1, "[$-ko-KR]yyyy-mm-dd(ddd) ") &amp; "오후 19:00"</f>
        <v>2023-01-05(목) 오후 19:00</v>
      </c>
      <c r="H69" s="171"/>
      <c r="I69" s="172"/>
      <c r="J69" s="170" t="str">
        <f>TEXT($G$1, "[$-ko-KR]yyyy-mm-dd(ddd) ") &amp; "오후 21:00"</f>
        <v>2023-01-05(목) 오후 21:00</v>
      </c>
      <c r="K69" s="171"/>
      <c r="L69" s="172"/>
      <c r="M69" s="170" t="str">
        <f>TEXT($G$1+1, "[$-ko-KR]yyyy-mm-dd(ddd) ") &amp; "오전 00:00"</f>
        <v>2023-01-06(금)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81</v>
      </c>
      <c r="B71" s="108">
        <v>339</v>
      </c>
      <c r="C71" s="69">
        <v>4.95356037E-2</v>
      </c>
      <c r="D71" s="13">
        <v>342</v>
      </c>
      <c r="E71" s="14">
        <f>IF(ISNUMBER(D71), (D71 - $B71) / $B71, "")</f>
        <v>8.8495575221238937E-3</v>
      </c>
      <c r="F71" s="16">
        <f>IF(ISNUMBER(D71), $B91 * E71, "")</f>
        <v>1327.4336283185839</v>
      </c>
      <c r="G71" s="29">
        <v>337</v>
      </c>
      <c r="H71" s="14">
        <f>IF(ISNUMBER(G71), (G71 - $B71) / $B71, "")</f>
        <v>-5.8997050147492625E-3</v>
      </c>
      <c r="I71" s="90">
        <f>IF(ISNUMBER(G71), $B91 * H71, "")</f>
        <v>-884.95575221238937</v>
      </c>
      <c r="J71" s="13">
        <v>339</v>
      </c>
      <c r="K71" s="14">
        <f>IF(ISNUMBER(J71), (J71 - $B71) / $B71, "")</f>
        <v>0</v>
      </c>
      <c r="L71" s="16">
        <f>IF(ISNUMBER(J71), $B91 * K71, "")</f>
        <v>0</v>
      </c>
      <c r="M71" s="29">
        <v>340</v>
      </c>
      <c r="N71" s="14">
        <f>IF(ISNUMBER(M71), (M71 - $B71) / $B71, "")</f>
        <v>2.9498525073746312E-3</v>
      </c>
      <c r="O71" s="16">
        <f>IF(ISNUMBER(M71), $B91 * N71, "")</f>
        <v>442.47787610619469</v>
      </c>
      <c r="Q71" s="156"/>
      <c r="R71" s="156"/>
      <c r="S71" s="156"/>
    </row>
    <row r="72" spans="1:19" ht="17.25" thickBot="1">
      <c r="A72" s="109" t="s">
        <v>130</v>
      </c>
      <c r="B72" s="110">
        <v>629</v>
      </c>
      <c r="C72" s="70">
        <v>4.1390728500000001E-2</v>
      </c>
      <c r="D72" s="15">
        <v>628</v>
      </c>
      <c r="E72" s="32">
        <f t="shared" ref="E72:E75" si="30">IF(ISNUMBER(D72), (D72 - $B72) / $B72, "")</f>
        <v>-1.589825119236884E-3</v>
      </c>
      <c r="F72" s="18">
        <f>IF(ISNUMBER(D72), $B91 * E72, "")</f>
        <v>-238.4737678855326</v>
      </c>
      <c r="G72" s="31">
        <v>617</v>
      </c>
      <c r="H72" s="32">
        <f t="shared" ref="H72:H75" si="31">IF(ISNUMBER(G72), (G72 - $B72) / $B72, "")</f>
        <v>-1.9077901430842606E-2</v>
      </c>
      <c r="I72" s="91">
        <f>IF(ISNUMBER(G72), $B91 * H72, "")</f>
        <v>-2861.6852146263909</v>
      </c>
      <c r="J72" s="15">
        <v>622</v>
      </c>
      <c r="K72" s="32">
        <f t="shared" ref="K72:K75" si="32">IF(ISNUMBER(J72), (J72 - $B72) / $B72, "")</f>
        <v>-1.1128775834658187E-2</v>
      </c>
      <c r="L72" s="18">
        <f>IF(ISNUMBER(J72), $B91 * K72, "")</f>
        <v>-1669.3163751987281</v>
      </c>
      <c r="M72" s="31">
        <v>620</v>
      </c>
      <c r="N72" s="32">
        <f t="shared" ref="N72:N75" si="33">IF(ISNUMBER(M72), (M72 - $B72) / $B72, "")</f>
        <v>-1.4308426073131956E-2</v>
      </c>
      <c r="O72" s="18">
        <f>IF(ISNUMBER(M72), $B91 * N72, "")</f>
        <v>-2146.2639109697934</v>
      </c>
      <c r="Q72" s="156"/>
      <c r="R72" s="156"/>
      <c r="S72" s="156"/>
    </row>
    <row r="73" spans="1:19" ht="17.25" thickBot="1">
      <c r="A73" s="109" t="s">
        <v>60</v>
      </c>
      <c r="B73" s="110">
        <v>412</v>
      </c>
      <c r="C73" s="70">
        <v>4.0404040400000001E-2</v>
      </c>
      <c r="D73" s="15">
        <v>425</v>
      </c>
      <c r="E73" s="32">
        <f t="shared" si="30"/>
        <v>3.1553398058252427E-2</v>
      </c>
      <c r="F73" s="18">
        <f>IF(ISNUMBER(D73), $B91 * E73, "")</f>
        <v>4733.0097087378645</v>
      </c>
      <c r="G73" s="31">
        <v>410</v>
      </c>
      <c r="H73" s="32">
        <f t="shared" si="31"/>
        <v>-4.8543689320388345E-3</v>
      </c>
      <c r="I73" s="91">
        <f>IF(ISNUMBER(G73), $B91 * H73, "")</f>
        <v>-728.15533980582518</v>
      </c>
      <c r="J73" s="15">
        <v>415</v>
      </c>
      <c r="K73" s="32">
        <f t="shared" si="32"/>
        <v>7.2815533980582527E-3</v>
      </c>
      <c r="L73" s="18">
        <f>IF(ISNUMBER(J73), $B91 * K73, "")</f>
        <v>1092.2330097087379</v>
      </c>
      <c r="M73" s="31">
        <v>410</v>
      </c>
      <c r="N73" s="32">
        <f t="shared" si="33"/>
        <v>-4.8543689320388345E-3</v>
      </c>
      <c r="O73" s="18">
        <f>IF(ISNUMBER(M73), $B91 * N73, "")</f>
        <v>-728.15533980582518</v>
      </c>
      <c r="Q73" s="146"/>
      <c r="R73" s="146"/>
      <c r="S73" s="146"/>
    </row>
    <row r="74" spans="1:19" ht="17.25" thickBot="1">
      <c r="A74" s="109" t="s">
        <v>157</v>
      </c>
      <c r="B74" s="110">
        <v>215</v>
      </c>
      <c r="C74" s="70">
        <v>3.3653846199999997E-2</v>
      </c>
      <c r="D74" s="15">
        <v>212</v>
      </c>
      <c r="E74" s="32">
        <f t="shared" si="30"/>
        <v>-1.3953488372093023E-2</v>
      </c>
      <c r="F74" s="18">
        <f>IF(ISNUMBER(D74), $B91 * E74, "")</f>
        <v>-2093.0232558139533</v>
      </c>
      <c r="G74" s="31">
        <v>211</v>
      </c>
      <c r="H74" s="32">
        <f t="shared" si="31"/>
        <v>-1.8604651162790697E-2</v>
      </c>
      <c r="I74" s="91">
        <f>IF(ISNUMBER(G74), $B91 * H74, "")</f>
        <v>-2790.6976744186045</v>
      </c>
      <c r="J74" s="15">
        <v>213</v>
      </c>
      <c r="K74" s="32">
        <f t="shared" si="32"/>
        <v>-9.3023255813953487E-3</v>
      </c>
      <c r="L74" s="18">
        <f>IF(ISNUMBER(J74), $B91 * K74, "")</f>
        <v>-1395.3488372093022</v>
      </c>
      <c r="M74" s="31">
        <v>214</v>
      </c>
      <c r="N74" s="32">
        <f t="shared" si="33"/>
        <v>-4.6511627906976744E-3</v>
      </c>
      <c r="O74" s="18">
        <f>IF(ISNUMBER(M74), $B91 * N74, "")</f>
        <v>-697.67441860465112</v>
      </c>
      <c r="Q74" s="146"/>
      <c r="R74" s="146"/>
      <c r="S74" s="146"/>
    </row>
    <row r="75" spans="1:19" ht="17.25" thickBot="1">
      <c r="A75" s="111" t="s">
        <v>105</v>
      </c>
      <c r="B75" s="112">
        <v>192</v>
      </c>
      <c r="C75" s="71">
        <v>3.2258064500000003E-2</v>
      </c>
      <c r="D75" s="20">
        <v>192</v>
      </c>
      <c r="E75" s="21">
        <f t="shared" si="30"/>
        <v>0</v>
      </c>
      <c r="F75" s="22">
        <f>IF(ISNUMBER(D75), $B91 * E75, "")</f>
        <v>0</v>
      </c>
      <c r="G75" s="30">
        <v>190</v>
      </c>
      <c r="H75" s="21">
        <f t="shared" si="31"/>
        <v>-1.0416666666666666E-2</v>
      </c>
      <c r="I75" s="95">
        <f>IF(ISNUMBER(G75), $B91 * H75, "")</f>
        <v>-1562.5</v>
      </c>
      <c r="J75" s="20">
        <v>193</v>
      </c>
      <c r="K75" s="21">
        <f t="shared" si="32"/>
        <v>5.208333333333333E-3</v>
      </c>
      <c r="L75" s="22">
        <f>IF(ISNUMBER(J75), $B91 * K75, "")</f>
        <v>781.25</v>
      </c>
      <c r="M75" s="30">
        <v>191</v>
      </c>
      <c r="N75" s="21">
        <f t="shared" si="33"/>
        <v>-5.208333333333333E-3</v>
      </c>
      <c r="O75" s="22">
        <f>IF(ISNUMBER(M75), $B91 * N75, "")</f>
        <v>-781.25</v>
      </c>
      <c r="Q75" s="146"/>
      <c r="R75" s="146"/>
      <c r="S75" s="146"/>
    </row>
    <row r="76" spans="1:19" ht="17.25" thickBot="1">
      <c r="A76" s="109" t="s">
        <v>111</v>
      </c>
      <c r="B76" s="113">
        <v>552</v>
      </c>
      <c r="C76" s="73">
        <v>3.1775700900000002E-2</v>
      </c>
      <c r="D76" s="96">
        <v>564</v>
      </c>
      <c r="E76" s="97">
        <f>IF(ISNUMBER(D76), (D76 - $B76) / $B76, "")</f>
        <v>2.1739130434782608E-2</v>
      </c>
      <c r="F76" s="98">
        <f>IF(ISNUMBER(D76), $B91 * E76, "")</f>
        <v>3260.869565217391</v>
      </c>
      <c r="G76" s="99">
        <v>546</v>
      </c>
      <c r="H76" s="97">
        <f>IF(ISNUMBER(G76), (G76 - $B76) / $B76, "")</f>
        <v>-1.0869565217391304E-2</v>
      </c>
      <c r="I76" s="100">
        <f>IF(ISNUMBER(G76), $B91 * H76, "")</f>
        <v>-1630.4347826086955</v>
      </c>
      <c r="J76" s="96">
        <v>552</v>
      </c>
      <c r="K76" s="97">
        <f>IF(ISNUMBER(J76), (J76 - $B76) / $B76, "")</f>
        <v>0</v>
      </c>
      <c r="L76" s="98">
        <f>IF(ISNUMBER(J76), $B91 * K76, "")</f>
        <v>0</v>
      </c>
      <c r="M76" s="99">
        <v>546</v>
      </c>
      <c r="N76" s="97">
        <f>IF(ISNUMBER(M76), (M76 - $B76) / $B76, "")</f>
        <v>-1.0869565217391304E-2</v>
      </c>
      <c r="O76" s="98">
        <f>IF(ISNUMBER(M76), $B91 * N76, "")</f>
        <v>-1630.4347826086955</v>
      </c>
      <c r="Q76" s="146"/>
      <c r="R76" s="146"/>
      <c r="S76" s="146"/>
    </row>
    <row r="77" spans="1:19" ht="17.25" thickBot="1">
      <c r="A77" s="109" t="s">
        <v>79</v>
      </c>
      <c r="B77" s="110">
        <v>229</v>
      </c>
      <c r="C77" s="70">
        <v>3.1531531500000001E-2</v>
      </c>
      <c r="D77" s="15">
        <v>232</v>
      </c>
      <c r="E77" s="32">
        <f t="shared" ref="E77:E80" si="34">IF(ISNUMBER(D77), (D77 - $B77) / $B77, "")</f>
        <v>1.3100436681222707E-2</v>
      </c>
      <c r="F77" s="18">
        <f>IF(ISNUMBER(D77), $B91 * E77, "")</f>
        <v>1965.0655021834061</v>
      </c>
      <c r="G77" s="31">
        <v>226</v>
      </c>
      <c r="H77" s="32">
        <f t="shared" ref="H77:H80" si="35">IF(ISNUMBER(G77), (G77 - $B77) / $B77, "")</f>
        <v>-1.3100436681222707E-2</v>
      </c>
      <c r="I77" s="91">
        <f>IF(ISNUMBER(G77), $B91 * H77, "")</f>
        <v>-1965.0655021834061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655.02183406113534</v>
      </c>
      <c r="M77" s="31">
        <v>226</v>
      </c>
      <c r="N77" s="32">
        <f t="shared" ref="N77:N80" si="37">IF(ISNUMBER(M77), (M77 - $B77) / $B77, "")</f>
        <v>-1.3100436681222707E-2</v>
      </c>
      <c r="O77" s="18">
        <f>IF(ISNUMBER(M77), $B91 * N77, "")</f>
        <v>-1965.0655021834061</v>
      </c>
      <c r="Q77" s="146"/>
      <c r="R77" s="146"/>
      <c r="S77" s="146"/>
    </row>
    <row r="78" spans="1:19" ht="17.25" thickBot="1">
      <c r="A78" s="109" t="s">
        <v>229</v>
      </c>
      <c r="B78" s="110">
        <v>235</v>
      </c>
      <c r="C78" s="70">
        <v>2.6200873400000001E-2</v>
      </c>
      <c r="D78" s="15">
        <v>235</v>
      </c>
      <c r="E78" s="32">
        <f t="shared" si="34"/>
        <v>0</v>
      </c>
      <c r="F78" s="18">
        <f>IF(ISNUMBER(D78), $B91 * E78, "")</f>
        <v>0</v>
      </c>
      <c r="G78" s="31">
        <v>232</v>
      </c>
      <c r="H78" s="32">
        <f t="shared" si="35"/>
        <v>-1.276595744680851E-2</v>
      </c>
      <c r="I78" s="91">
        <f>IF(ISNUMBER(G78), $B91 * H78, "")</f>
        <v>-1914.8936170212764</v>
      </c>
      <c r="J78" s="15">
        <v>233</v>
      </c>
      <c r="K78" s="32">
        <f t="shared" si="36"/>
        <v>-8.5106382978723406E-3</v>
      </c>
      <c r="L78" s="18">
        <f>IF(ISNUMBER(J78), $B91 * K78, "")</f>
        <v>-1276.5957446808511</v>
      </c>
      <c r="M78" s="31">
        <v>234</v>
      </c>
      <c r="N78" s="32">
        <f t="shared" si="37"/>
        <v>-4.2553191489361703E-3</v>
      </c>
      <c r="O78" s="18">
        <f>IF(ISNUMBER(M78), $B91 * N78, "")</f>
        <v>-638.29787234042556</v>
      </c>
      <c r="Q78" s="146"/>
      <c r="R78" s="146"/>
      <c r="S78" s="146"/>
    </row>
    <row r="79" spans="1:19" ht="17.25" thickBot="1">
      <c r="A79" s="109" t="s">
        <v>235</v>
      </c>
      <c r="B79" s="110">
        <v>516</v>
      </c>
      <c r="C79" s="70">
        <v>2.1782178199999998E-2</v>
      </c>
      <c r="D79" s="15">
        <v>516</v>
      </c>
      <c r="E79" s="32">
        <f t="shared" si="34"/>
        <v>0</v>
      </c>
      <c r="F79" s="18">
        <f>IF(ISNUMBER(D79), $B91 * E79, "")</f>
        <v>0</v>
      </c>
      <c r="G79" s="31">
        <v>511</v>
      </c>
      <c r="H79" s="32">
        <f t="shared" si="35"/>
        <v>-9.6899224806201549E-3</v>
      </c>
      <c r="I79" s="91">
        <f>IF(ISNUMBER(G79), $B91 * H79, "")</f>
        <v>-1453.4883720930231</v>
      </c>
      <c r="J79" s="15">
        <v>520</v>
      </c>
      <c r="K79" s="32">
        <f t="shared" si="36"/>
        <v>7.7519379844961239E-3</v>
      </c>
      <c r="L79" s="18">
        <f>IF(ISNUMBER(J79), $B91 * K79, "")</f>
        <v>1162.7906976744187</v>
      </c>
      <c r="M79" s="31">
        <v>521</v>
      </c>
      <c r="N79" s="32">
        <f t="shared" si="37"/>
        <v>9.6899224806201549E-3</v>
      </c>
      <c r="O79" s="18">
        <f>IF(ISNUMBER(M79), $B91 * N79, "")</f>
        <v>1453.4883720930231</v>
      </c>
      <c r="Q79" s="33"/>
      <c r="R79" s="33"/>
    </row>
    <row r="80" spans="1:19" ht="17.25" thickBot="1">
      <c r="A80" s="114" t="s">
        <v>109</v>
      </c>
      <c r="B80" s="115">
        <v>963</v>
      </c>
      <c r="C80" s="72">
        <v>2.1208907700000001E-2</v>
      </c>
      <c r="D80" s="24">
        <v>989</v>
      </c>
      <c r="E80" s="25">
        <f t="shared" si="34"/>
        <v>2.6998961578400829E-2</v>
      </c>
      <c r="F80" s="94">
        <f>IF(ISNUMBER(D80), $B91 * E80, "")</f>
        <v>4049.8442367601242</v>
      </c>
      <c r="G80" s="92">
        <v>962</v>
      </c>
      <c r="H80" s="25">
        <f t="shared" si="35"/>
        <v>-1.0384215991692627E-3</v>
      </c>
      <c r="I80" s="93">
        <f>IF(ISNUMBER(G80), $B91 * H80, "")</f>
        <v>-155.76323987538942</v>
      </c>
      <c r="J80" s="24">
        <v>971</v>
      </c>
      <c r="K80" s="25">
        <f t="shared" si="36"/>
        <v>8.3073727933541015E-3</v>
      </c>
      <c r="L80" s="94">
        <f>IF(ISNUMBER(J80), $B91 * K80, "")</f>
        <v>1246.1059190031153</v>
      </c>
      <c r="M80" s="92">
        <v>967</v>
      </c>
      <c r="N80" s="25">
        <f t="shared" si="37"/>
        <v>4.1536863966770508E-3</v>
      </c>
      <c r="O80" s="94">
        <f>IF(ISNUMBER(M80), $B91 * N80, "")</f>
        <v>623.05295950155767</v>
      </c>
      <c r="Q80" s="147"/>
      <c r="R80" s="148"/>
      <c r="S80" s="149"/>
    </row>
    <row r="81" spans="1:19">
      <c r="A81" s="107" t="s">
        <v>326</v>
      </c>
      <c r="B81" s="108">
        <v>241</v>
      </c>
      <c r="C81" s="69">
        <v>2.11864407E-2</v>
      </c>
      <c r="D81" s="13">
        <v>241</v>
      </c>
      <c r="E81" s="14">
        <f>IF(ISNUMBER(D81), (D81 - $B81) / $B81, "")</f>
        <v>0</v>
      </c>
      <c r="F81" s="16">
        <f>IF(ISNUMBER(D81), $B91 * E81, "")</f>
        <v>0</v>
      </c>
      <c r="G81" s="29">
        <v>236</v>
      </c>
      <c r="H81" s="14">
        <f>IF(ISNUMBER(G81), (G81 - $B81) / $B81, "")</f>
        <v>-2.0746887966804978E-2</v>
      </c>
      <c r="I81" s="90">
        <f>IF(ISNUMBER(G81), $B91 * H81, "")</f>
        <v>-3112.0331950207469</v>
      </c>
      <c r="J81" s="13">
        <v>238</v>
      </c>
      <c r="K81" s="14">
        <f>IF(ISNUMBER(J81), (J81 - $B81) / $B81, "")</f>
        <v>-1.2448132780082987E-2</v>
      </c>
      <c r="L81" s="16">
        <f>IF(ISNUMBER(J81), $B91 * K81, "")</f>
        <v>-1867.2199170124479</v>
      </c>
      <c r="M81" s="29">
        <v>236</v>
      </c>
      <c r="N81" s="14">
        <f>IF(ISNUMBER(M81), (M81 - $B81) / $B81, "")</f>
        <v>-2.0746887966804978E-2</v>
      </c>
      <c r="O81" s="16">
        <f>IF(ISNUMBER(M81), $B91 * N81, "")</f>
        <v>-3112.0331950207469</v>
      </c>
      <c r="Q81" s="150"/>
      <c r="R81" s="151"/>
      <c r="S81" s="152"/>
    </row>
    <row r="82" spans="1:19" ht="17.25" thickBot="1">
      <c r="A82" s="109" t="s">
        <v>101</v>
      </c>
      <c r="B82" s="110">
        <v>202</v>
      </c>
      <c r="C82" s="70">
        <v>2.02020202E-2</v>
      </c>
      <c r="D82" s="15">
        <v>204</v>
      </c>
      <c r="E82" s="32">
        <f t="shared" ref="E82:E85" si="38">IF(ISNUMBER(D82), (D82 - $B82) / $B82, "")</f>
        <v>9.9009900990099011E-3</v>
      </c>
      <c r="F82" s="18">
        <f>IF(ISNUMBER(D82), $B91 * E82, "")</f>
        <v>1485.1485148514851</v>
      </c>
      <c r="G82" s="31">
        <v>200</v>
      </c>
      <c r="H82" s="32">
        <f t="shared" ref="H82:H85" si="39">IF(ISNUMBER(G82), (G82 - $B82) / $B82, "")</f>
        <v>-9.9009900990099011E-3</v>
      </c>
      <c r="I82" s="91">
        <f>IF(ISNUMBER(G82), $B91 * H82, "")</f>
        <v>-1485.1485148514851</v>
      </c>
      <c r="J82" s="15">
        <v>203</v>
      </c>
      <c r="K82" s="32">
        <f t="shared" ref="K82:K85" si="40">IF(ISNUMBER(J82), (J82 - $B82) / $B82, "")</f>
        <v>4.9504950495049506E-3</v>
      </c>
      <c r="L82" s="18">
        <f>IF(ISNUMBER(J82), $B91 * K82, "")</f>
        <v>742.57425742574253</v>
      </c>
      <c r="M82" s="31">
        <v>201</v>
      </c>
      <c r="N82" s="32">
        <f t="shared" ref="N82:N85" si="41">IF(ISNUMBER(M82), (M82 - $B82) / $B82, "")</f>
        <v>-4.9504950495049506E-3</v>
      </c>
      <c r="O82" s="18">
        <f>IF(ISNUMBER(M82), $B91 * N82, "")</f>
        <v>-742.57425742574253</v>
      </c>
      <c r="Q82" s="153"/>
      <c r="R82" s="154"/>
      <c r="S82" s="155"/>
    </row>
    <row r="83" spans="1:19" ht="17.25" thickBot="1">
      <c r="A83" s="109" t="s">
        <v>103</v>
      </c>
      <c r="B83" s="110">
        <v>202</v>
      </c>
      <c r="C83" s="70">
        <v>2.02020202E-2</v>
      </c>
      <c r="D83" s="15">
        <v>205</v>
      </c>
      <c r="E83" s="32">
        <f t="shared" si="38"/>
        <v>1.4851485148514851E-2</v>
      </c>
      <c r="F83" s="18">
        <f>IF(ISNUMBER(D83), $B91 * E83, "")</f>
        <v>2227.7227722772277</v>
      </c>
      <c r="G83" s="31">
        <v>200</v>
      </c>
      <c r="H83" s="32">
        <f t="shared" si="39"/>
        <v>-9.9009900990099011E-3</v>
      </c>
      <c r="I83" s="91">
        <f>IF(ISNUMBER(G83), $B91 * H83, "")</f>
        <v>-1485.1485148514851</v>
      </c>
      <c r="J83" s="15">
        <v>202</v>
      </c>
      <c r="K83" s="32">
        <f t="shared" si="40"/>
        <v>0</v>
      </c>
      <c r="L83" s="18">
        <f>IF(ISNUMBER(J83), $B91 * K83, "")</f>
        <v>0</v>
      </c>
      <c r="M83" s="31">
        <v>199</v>
      </c>
      <c r="N83" s="32">
        <f t="shared" si="41"/>
        <v>-1.4851485148514851E-2</v>
      </c>
      <c r="O83" s="18">
        <f>IF(ISNUMBER(M83), $B91 * N83, "")</f>
        <v>-2227.7227722772277</v>
      </c>
      <c r="Q83" s="146"/>
      <c r="R83" s="146"/>
      <c r="S83" s="146"/>
    </row>
    <row r="84" spans="1:19" ht="17.25" thickBot="1">
      <c r="A84" s="109" t="s">
        <v>213</v>
      </c>
      <c r="B84" s="110">
        <v>414</v>
      </c>
      <c r="C84" s="70">
        <v>1.97044335E-2</v>
      </c>
      <c r="D84" s="15">
        <v>414</v>
      </c>
      <c r="E84" s="32">
        <f t="shared" si="38"/>
        <v>0</v>
      </c>
      <c r="F84" s="18">
        <f>IF(ISNUMBER(D84), $B91 * E84, "")</f>
        <v>0</v>
      </c>
      <c r="G84" s="31">
        <v>406</v>
      </c>
      <c r="H84" s="32">
        <f t="shared" si="39"/>
        <v>-1.932367149758454E-2</v>
      </c>
      <c r="I84" s="91">
        <f>IF(ISNUMBER(G84), $B91 * H84, "")</f>
        <v>-2898.550724637681</v>
      </c>
      <c r="J84" s="15">
        <v>411</v>
      </c>
      <c r="K84" s="32">
        <f t="shared" si="40"/>
        <v>-7.246376811594203E-3</v>
      </c>
      <c r="L84" s="18">
        <f>IF(ISNUMBER(J84), $B91 * K84, "")</f>
        <v>-1086.9565217391305</v>
      </c>
      <c r="M84" s="31">
        <v>414</v>
      </c>
      <c r="N84" s="32">
        <f t="shared" si="41"/>
        <v>0</v>
      </c>
      <c r="O84" s="18">
        <f>IF(ISNUMBER(M84), $B91 * N84, "")</f>
        <v>0</v>
      </c>
      <c r="Q84" s="156"/>
      <c r="R84" s="156"/>
      <c r="S84" s="156"/>
    </row>
    <row r="85" spans="1:19" ht="17.25" thickBot="1">
      <c r="A85" s="111" t="s">
        <v>149</v>
      </c>
      <c r="B85" s="112">
        <v>319</v>
      </c>
      <c r="C85" s="71">
        <v>1.91693291E-2</v>
      </c>
      <c r="D85" s="20">
        <v>328</v>
      </c>
      <c r="E85" s="21">
        <f t="shared" si="38"/>
        <v>2.8213166144200628E-2</v>
      </c>
      <c r="F85" s="22">
        <f>IF(ISNUMBER(D85), $B91 * E85, "")</f>
        <v>4231.9749216300943</v>
      </c>
      <c r="G85" s="30">
        <v>318</v>
      </c>
      <c r="H85" s="21">
        <f t="shared" si="39"/>
        <v>-3.134796238244514E-3</v>
      </c>
      <c r="I85" s="95">
        <f>IF(ISNUMBER(G85), $B91 * H85, "")</f>
        <v>-470.2194357366771</v>
      </c>
      <c r="J85" s="20">
        <v>320</v>
      </c>
      <c r="K85" s="21">
        <f t="shared" si="40"/>
        <v>3.134796238244514E-3</v>
      </c>
      <c r="L85" s="22">
        <f>IF(ISNUMBER(J85), $B91 * K85, "")</f>
        <v>470.2194357366771</v>
      </c>
      <c r="M85" s="30">
        <v>318</v>
      </c>
      <c r="N85" s="21">
        <f t="shared" si="41"/>
        <v>-3.134796238244514E-3</v>
      </c>
      <c r="O85" s="22">
        <f>IF(ISNUMBER(M85), $B91 * N85, "")</f>
        <v>-470.2194357366771</v>
      </c>
      <c r="Q85" s="156"/>
      <c r="R85" s="156"/>
      <c r="S85" s="156"/>
    </row>
    <row r="86" spans="1:19" ht="17.25" thickBot="1">
      <c r="A86" s="109" t="s">
        <v>153</v>
      </c>
      <c r="B86" s="113">
        <v>329</v>
      </c>
      <c r="C86" s="73">
        <v>1.8575851399999999E-2</v>
      </c>
      <c r="D86" s="96">
        <v>333</v>
      </c>
      <c r="E86" s="97">
        <f>IF(ISNUMBER(D86), (D86 - $B86) / $B86, "")</f>
        <v>1.2158054711246201E-2</v>
      </c>
      <c r="F86" s="98">
        <f>IF(ISNUMBER(D86), $B91 * E86, "")</f>
        <v>1823.70820668693</v>
      </c>
      <c r="G86" s="99">
        <v>325</v>
      </c>
      <c r="H86" s="97">
        <f>IF(ISNUMBER(G86), (G86 - $B86) / $B86, "")</f>
        <v>-1.2158054711246201E-2</v>
      </c>
      <c r="I86" s="100">
        <f>IF(ISNUMBER(G86), $B91 * H86, "")</f>
        <v>-1823.70820668693</v>
      </c>
      <c r="J86" s="96">
        <v>329</v>
      </c>
      <c r="K86" s="97">
        <f>IF(ISNUMBER(J86), (J86 - $B86) / $B86, "")</f>
        <v>0</v>
      </c>
      <c r="L86" s="98">
        <f>IF(ISNUMBER(J86), $B91 * K86, "")</f>
        <v>0</v>
      </c>
      <c r="M86" s="99">
        <v>326</v>
      </c>
      <c r="N86" s="97">
        <f>IF(ISNUMBER(M86), (M86 - $B86) / $B86, "")</f>
        <v>-9.11854103343465E-3</v>
      </c>
      <c r="O86" s="98">
        <f>IF(ISNUMBER(M86), $B91 * N86, "")</f>
        <v>-1367.7811550151976</v>
      </c>
      <c r="Q86" s="146"/>
      <c r="R86" s="146"/>
      <c r="S86" s="146"/>
    </row>
    <row r="87" spans="1:19" ht="17.25" thickBot="1">
      <c r="A87" s="109" t="s">
        <v>223</v>
      </c>
      <c r="B87" s="110">
        <v>191</v>
      </c>
      <c r="C87" s="70">
        <v>1.59574468E-2</v>
      </c>
      <c r="D87" s="15">
        <v>191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188</v>
      </c>
      <c r="H87" s="32">
        <f t="shared" ref="H87:H90" si="43">IF(ISNUMBER(G87), (G87 - $B87) / $B87, "")</f>
        <v>-1.5706806282722512E-2</v>
      </c>
      <c r="I87" s="91">
        <f>IF(ISNUMBER(G87), $B91 * H87, "")</f>
        <v>-2356.0209424083769</v>
      </c>
      <c r="J87" s="15">
        <v>190</v>
      </c>
      <c r="K87" s="32">
        <f t="shared" ref="K87:K90" si="44">IF(ISNUMBER(J87), (J87 - $B87) / $B87, "")</f>
        <v>-5.235602094240838E-3</v>
      </c>
      <c r="L87" s="18">
        <f>IF(ISNUMBER(J87), $B91 * K87, "")</f>
        <v>-785.3403141361257</v>
      </c>
      <c r="M87" s="31">
        <v>191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146"/>
      <c r="R87" s="146"/>
      <c r="S87" s="146"/>
    </row>
    <row r="88" spans="1:19" ht="17.25" thickBot="1">
      <c r="A88" s="109" t="s">
        <v>95</v>
      </c>
      <c r="B88" s="110">
        <v>979</v>
      </c>
      <c r="C88" s="70">
        <v>1.5560166E-2</v>
      </c>
      <c r="D88" s="15">
        <v>990</v>
      </c>
      <c r="E88" s="32">
        <f t="shared" si="42"/>
        <v>1.1235955056179775E-2</v>
      </c>
      <c r="F88" s="18">
        <f>IF(ISNUMBER(D88), $B91 * E88, "")</f>
        <v>1685.3932584269662</v>
      </c>
      <c r="G88" s="31">
        <v>964</v>
      </c>
      <c r="H88" s="32">
        <f t="shared" si="43"/>
        <v>-1.5321756894790603E-2</v>
      </c>
      <c r="I88" s="91">
        <f>IF(ISNUMBER(G88), $B91 * H88, "")</f>
        <v>-2298.2635342185904</v>
      </c>
      <c r="J88" s="15">
        <v>969</v>
      </c>
      <c r="K88" s="32">
        <f t="shared" si="44"/>
        <v>-1.0214504596527068E-2</v>
      </c>
      <c r="L88" s="18">
        <f>IF(ISNUMBER(J88), $B91 * K88, "")</f>
        <v>-1532.1756894790603</v>
      </c>
      <c r="M88" s="31">
        <v>963</v>
      </c>
      <c r="N88" s="32">
        <f t="shared" si="45"/>
        <v>-1.634320735444331E-2</v>
      </c>
      <c r="O88" s="18">
        <f>IF(ISNUMBER(M88), $B91 * N88, "")</f>
        <v>-2451.4811031664967</v>
      </c>
      <c r="Q88" s="146"/>
      <c r="R88" s="146"/>
      <c r="S88" s="146"/>
    </row>
    <row r="89" spans="1:19">
      <c r="A89" s="109" t="s">
        <v>330</v>
      </c>
      <c r="B89" s="110">
        <v>266</v>
      </c>
      <c r="C89" s="70">
        <v>1.52671756E-2</v>
      </c>
      <c r="D89" s="15">
        <v>269</v>
      </c>
      <c r="E89" s="32">
        <f t="shared" si="42"/>
        <v>1.1278195488721804E-2</v>
      </c>
      <c r="F89" s="18">
        <f>IF(ISNUMBER(D89), $B91 * E89, "")</f>
        <v>1691.7293233082705</v>
      </c>
      <c r="G89" s="31">
        <v>263</v>
      </c>
      <c r="H89" s="32">
        <f t="shared" si="43"/>
        <v>-1.1278195488721804E-2</v>
      </c>
      <c r="I89" s="91">
        <f>IF(ISNUMBER(G89), $B91 * H89, "")</f>
        <v>-1691.7293233082705</v>
      </c>
      <c r="J89" s="15">
        <v>266</v>
      </c>
      <c r="K89" s="32">
        <f t="shared" si="44"/>
        <v>0</v>
      </c>
      <c r="L89" s="18">
        <f>IF(ISNUMBER(J89), $B91 * K89, "")</f>
        <v>0</v>
      </c>
      <c r="M89" s="31">
        <v>266</v>
      </c>
      <c r="N89" s="32">
        <f t="shared" si="45"/>
        <v>0</v>
      </c>
      <c r="O89" s="18">
        <f>IF(ISNUMBER(M89), $B91 * N89, "")</f>
        <v>0</v>
      </c>
      <c r="Q89" s="135"/>
      <c r="R89" s="136"/>
      <c r="S89" s="137"/>
    </row>
    <row r="90" spans="1:19" ht="17.25" thickBot="1">
      <c r="A90" s="114" t="s">
        <v>85</v>
      </c>
      <c r="B90" s="115">
        <v>134</v>
      </c>
      <c r="C90" s="72">
        <v>1.51515152E-2</v>
      </c>
      <c r="D90" s="24">
        <v>146</v>
      </c>
      <c r="E90" s="25">
        <f t="shared" si="42"/>
        <v>8.9552238805970144E-2</v>
      </c>
      <c r="F90" s="94">
        <f>IF(ISNUMBER(D90), $B91 * E90, "")</f>
        <v>13432.835820895521</v>
      </c>
      <c r="G90" s="92">
        <v>141</v>
      </c>
      <c r="H90" s="25">
        <f t="shared" si="43"/>
        <v>5.2238805970149252E-2</v>
      </c>
      <c r="I90" s="93">
        <f>IF(ISNUMBER(G90), $B91 * H90, "")</f>
        <v>7835.8208955223881</v>
      </c>
      <c r="J90" s="24">
        <v>142</v>
      </c>
      <c r="K90" s="25">
        <f t="shared" si="44"/>
        <v>5.9701492537313432E-2</v>
      </c>
      <c r="L90" s="94">
        <f>IF(ISNUMBER(J90), $B91 * K90, "")</f>
        <v>8955.2238805970155</v>
      </c>
      <c r="M90" s="92">
        <v>141</v>
      </c>
      <c r="N90" s="25">
        <f t="shared" si="45"/>
        <v>5.2238805970149252E-2</v>
      </c>
      <c r="O90" s="94">
        <f>IF(ISNUMBER(M90), $B91 * N90, "")</f>
        <v>7835.8208955223881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1.3194412811864792E-2</v>
      </c>
      <c r="F91" s="28">
        <f>SUM(F71:F90)</f>
        <v>39583.23843559438</v>
      </c>
      <c r="G91" s="26" t="s">
        <v>258</v>
      </c>
      <c r="H91" s="27">
        <f>IF(COUNT(H71:H90), SUM(H71:H90) / COUNT(H71:H90), 0)</f>
        <v>-8.5775469970142855E-3</v>
      </c>
      <c r="I91" s="28">
        <f>SUM(I71:I90)</f>
        <v>-25732.640991042848</v>
      </c>
      <c r="J91" s="26" t="s">
        <v>258</v>
      </c>
      <c r="K91" s="27">
        <f>IF(COUNT(K71:K90), SUM(K71:K90) / COUNT(K71:K90), 0)</f>
        <v>1.8308218782503987E-3</v>
      </c>
      <c r="L91" s="28">
        <f>SUM(L71:L90)</f>
        <v>5492.4656347511964</v>
      </c>
      <c r="M91" s="26" t="s">
        <v>258</v>
      </c>
      <c r="N91" s="27">
        <f>IF(COUNT(N71:N90), SUM(N71:N90) / COUNT(N71:N90), 0)</f>
        <v>-2.868037880643908E-3</v>
      </c>
      <c r="O91" s="28">
        <f>SUM(O71:O90)</f>
        <v>-8604.1136419317227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2023-01-05(목) 오전 00:00</v>
      </c>
      <c r="C96" s="198"/>
      <c r="D96" s="170" t="str">
        <f>TEXT($G$1, "[$-ko-KR]yyyy-mm-dd(ddd) ") &amp; "오후 14:00"</f>
        <v>2023-01-05(목) 오후 14:00</v>
      </c>
      <c r="E96" s="171"/>
      <c r="F96" s="172"/>
      <c r="G96" s="170" t="str">
        <f>TEXT($G$1, "[$-ko-KR]yyyy-mm-dd(ddd) ") &amp; "오후 19:00"</f>
        <v>2023-01-05(목) 오후 19:00</v>
      </c>
      <c r="H96" s="171"/>
      <c r="I96" s="172"/>
      <c r="J96" s="170" t="str">
        <f>TEXT($G$1, "[$-ko-KR]yyyy-mm-dd(ddd) ") &amp; "오후 21:00"</f>
        <v>2023-01-05(목) 오후 21:00</v>
      </c>
      <c r="K96" s="171"/>
      <c r="L96" s="172"/>
      <c r="M96" s="170" t="str">
        <f>TEXT($G$1+1, "[$-ko-KR]yyyy-mm-dd(ddd) ") &amp; "오전 00:00"</f>
        <v>2023-01-06(금)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335</v>
      </c>
      <c r="B98" s="108">
        <v>1990</v>
      </c>
      <c r="C98" s="69">
        <v>0.16715542520000001</v>
      </c>
      <c r="D98" s="13">
        <v>2045</v>
      </c>
      <c r="E98" s="14">
        <f>IF(ISNUMBER(D98), (D98 - $B98) / $B98, "")</f>
        <v>2.7638190954773871E-2</v>
      </c>
      <c r="F98" s="16">
        <f>IF(ISNUMBER(D98), $B118 * E98, "")</f>
        <v>4145.7286432160809</v>
      </c>
      <c r="G98" s="29">
        <v>1970</v>
      </c>
      <c r="H98" s="14">
        <f>IF(ISNUMBER(G98), (G98 - $B98) / $B98, "")</f>
        <v>-1.0050251256281407E-2</v>
      </c>
      <c r="I98" s="90">
        <f>IF(ISNUMBER(G98), $B118 * H98, "")</f>
        <v>-1507.537688442211</v>
      </c>
      <c r="J98" s="13">
        <v>2000</v>
      </c>
      <c r="K98" s="14">
        <f>IF(ISNUMBER(J98), (J98 - $B98) / $B98, "")</f>
        <v>5.0251256281407036E-3</v>
      </c>
      <c r="L98" s="16">
        <f>IF(ISNUMBER(J98), $B118 * K98, "")</f>
        <v>753.7688442211055</v>
      </c>
      <c r="M98" s="29">
        <v>1965</v>
      </c>
      <c r="N98" s="14">
        <f>IF(ISNUMBER(M98), (M98 - $B98) / $B98, "")</f>
        <v>-1.2562814070351759E-2</v>
      </c>
      <c r="O98" s="16">
        <f>IF(ISNUMBER(M98), $B118 * N98, "")</f>
        <v>-1884.422110552764</v>
      </c>
      <c r="Q98" s="156"/>
      <c r="R98" s="156"/>
      <c r="S98" s="156"/>
    </row>
    <row r="99" spans="1:19" ht="17.25" thickBot="1">
      <c r="A99" s="109" t="s">
        <v>99</v>
      </c>
      <c r="B99" s="110">
        <v>23250</v>
      </c>
      <c r="C99" s="70">
        <v>0.13970588240000001</v>
      </c>
      <c r="D99" s="15">
        <v>24870</v>
      </c>
      <c r="E99" s="32">
        <f t="shared" ref="E99:E102" si="46">IF(ISNUMBER(D99), (D99 - $B99) / $B99, "")</f>
        <v>6.9677419354838704E-2</v>
      </c>
      <c r="F99" s="18">
        <f>IF(ISNUMBER(D99), $B118 * E99, "")</f>
        <v>10451.612903225805</v>
      </c>
      <c r="G99" s="31">
        <v>23760</v>
      </c>
      <c r="H99" s="32">
        <f t="shared" ref="H99:H102" si="47">IF(ISNUMBER(G99), (G99 - $B99) / $B99, "")</f>
        <v>2.1935483870967741E-2</v>
      </c>
      <c r="I99" s="91">
        <f>IF(ISNUMBER(G99), $B118 * H99, "")</f>
        <v>3290.322580645161</v>
      </c>
      <c r="J99" s="15">
        <v>23880</v>
      </c>
      <c r="K99" s="32">
        <f t="shared" ref="K99:K102" si="48">IF(ISNUMBER(J99), (J99 - $B99) / $B99, "")</f>
        <v>2.7096774193548386E-2</v>
      </c>
      <c r="L99" s="18">
        <f>IF(ISNUMBER(J99), $B118 * K99, "")</f>
        <v>4064.516129032258</v>
      </c>
      <c r="M99" s="31">
        <v>23640</v>
      </c>
      <c r="N99" s="32">
        <f t="shared" ref="N99:N102" si="49">IF(ISNUMBER(M99), (M99 - $B99) / $B99, "")</f>
        <v>1.6774193548387096E-2</v>
      </c>
      <c r="O99" s="18">
        <f>IF(ISNUMBER(M99), $B118 * N99, "")</f>
        <v>2516.1290322580644</v>
      </c>
      <c r="Q99" s="156"/>
      <c r="R99" s="156"/>
      <c r="S99" s="156"/>
    </row>
    <row r="100" spans="1:19" ht="17.25" thickBot="1">
      <c r="A100" s="109" t="s">
        <v>97</v>
      </c>
      <c r="B100" s="110">
        <v>8.9999999999999998E-4</v>
      </c>
      <c r="C100" s="70">
        <v>0.125</v>
      </c>
      <c r="D100" s="15">
        <v>8.9999999999999998E-4</v>
      </c>
      <c r="E100" s="32">
        <f t="shared" si="46"/>
        <v>0</v>
      </c>
      <c r="F100" s="18">
        <f>IF(ISNUMBER(D100), $B118 * E100, "")</f>
        <v>0</v>
      </c>
      <c r="G100" s="31">
        <v>8.9999999999999998E-4</v>
      </c>
      <c r="H100" s="32">
        <f t="shared" si="47"/>
        <v>0</v>
      </c>
      <c r="I100" s="91">
        <f>IF(ISNUMBER(G100), $B118 * H100, "")</f>
        <v>0</v>
      </c>
      <c r="J100" s="15">
        <v>8.9999999999999998E-4</v>
      </c>
      <c r="K100" s="32">
        <f t="shared" si="48"/>
        <v>0</v>
      </c>
      <c r="L100" s="18">
        <f>IF(ISNUMBER(J100), $B118 * K100, "")</f>
        <v>0</v>
      </c>
      <c r="M100" s="31">
        <v>8.9999999999999998E-4</v>
      </c>
      <c r="N100" s="32">
        <f t="shared" si="49"/>
        <v>0</v>
      </c>
      <c r="O100" s="18">
        <f>IF(ISNUMBER(M100), $B118 * N100, "")</f>
        <v>0</v>
      </c>
      <c r="Q100" s="146"/>
      <c r="R100" s="146"/>
      <c r="S100" s="146"/>
    </row>
    <row r="101" spans="1:19" ht="17.25" thickBot="1">
      <c r="A101" s="109" t="s">
        <v>91</v>
      </c>
      <c r="B101" s="110">
        <v>16460</v>
      </c>
      <c r="C101" s="70">
        <v>7.8636959399999998E-2</v>
      </c>
      <c r="D101" s="15">
        <v>17800</v>
      </c>
      <c r="E101" s="32">
        <f t="shared" si="46"/>
        <v>8.1409477521263665E-2</v>
      </c>
      <c r="F101" s="18">
        <f>IF(ISNUMBER(D101), $B118 * E101, "")</f>
        <v>12211.42162818955</v>
      </c>
      <c r="G101" s="31">
        <v>17400</v>
      </c>
      <c r="H101" s="32">
        <f t="shared" si="47"/>
        <v>5.7108140947752128E-2</v>
      </c>
      <c r="I101" s="91">
        <f>IF(ISNUMBER(G101), $B118 * H101, "")</f>
        <v>8566.2211421628199</v>
      </c>
      <c r="J101" s="15">
        <v>17770</v>
      </c>
      <c r="K101" s="32">
        <f t="shared" si="48"/>
        <v>7.9586877278250298E-2</v>
      </c>
      <c r="L101" s="18">
        <f>IF(ISNUMBER(J101), $B118 * K101, "")</f>
        <v>11938.031591737545</v>
      </c>
      <c r="M101" s="31">
        <v>17320</v>
      </c>
      <c r="N101" s="32">
        <f t="shared" si="49"/>
        <v>5.2247873633049821E-2</v>
      </c>
      <c r="O101" s="18">
        <f>IF(ISNUMBER(M101), $B118 * N101, "")</f>
        <v>7837.1810449574732</v>
      </c>
      <c r="Q101" s="146"/>
      <c r="R101" s="146"/>
      <c r="S101" s="146"/>
    </row>
    <row r="102" spans="1:19" ht="17.25" thickBot="1">
      <c r="A102" s="111" t="s">
        <v>337</v>
      </c>
      <c r="B102" s="112">
        <v>72830</v>
      </c>
      <c r="C102" s="71">
        <v>7.3239021500000001E-2</v>
      </c>
      <c r="D102" s="20">
        <v>71550</v>
      </c>
      <c r="E102" s="21">
        <f t="shared" si="46"/>
        <v>-1.7575175065220376E-2</v>
      </c>
      <c r="F102" s="22">
        <f>IF(ISNUMBER(D102), $B118 * E102, "")</f>
        <v>-2636.2762597830565</v>
      </c>
      <c r="G102" s="30">
        <v>70420</v>
      </c>
      <c r="H102" s="21">
        <f t="shared" si="47"/>
        <v>-3.3090759302485243E-2</v>
      </c>
      <c r="I102" s="95">
        <f>IF(ISNUMBER(G102), $B118 * H102, "")</f>
        <v>-4963.6138953727868</v>
      </c>
      <c r="J102" s="20">
        <v>71000</v>
      </c>
      <c r="K102" s="21">
        <f t="shared" si="48"/>
        <v>-2.5127008101057256E-2</v>
      </c>
      <c r="L102" s="22">
        <f>IF(ISNUMBER(J102), $B118 * K102, "")</f>
        <v>-3769.0512151585885</v>
      </c>
      <c r="M102" s="30">
        <v>70860</v>
      </c>
      <c r="N102" s="21">
        <f t="shared" si="49"/>
        <v>-2.7049292873815734E-2</v>
      </c>
      <c r="O102" s="22">
        <f>IF(ISNUMBER(M102), $B118 * N102, "")</f>
        <v>-4057.3939310723599</v>
      </c>
      <c r="Q102" s="146"/>
      <c r="R102" s="146"/>
      <c r="S102" s="146"/>
    </row>
    <row r="103" spans="1:19" ht="17.25" thickBot="1">
      <c r="A103" s="109" t="s">
        <v>151</v>
      </c>
      <c r="B103" s="113">
        <v>1800</v>
      </c>
      <c r="C103" s="73">
        <v>4.9562682199999999E-2</v>
      </c>
      <c r="D103" s="96">
        <v>1810</v>
      </c>
      <c r="E103" s="97">
        <f>IF(ISNUMBER(D103), (D103 - $B103) / $B103, "")</f>
        <v>5.5555555555555558E-3</v>
      </c>
      <c r="F103" s="98">
        <f>IF(ISNUMBER(D103), $B118 * E103, "")</f>
        <v>833.33333333333337</v>
      </c>
      <c r="G103" s="99">
        <v>1755</v>
      </c>
      <c r="H103" s="97">
        <f>IF(ISNUMBER(G103), (G103 - $B103) / $B103, "")</f>
        <v>-2.5000000000000001E-2</v>
      </c>
      <c r="I103" s="100">
        <f>IF(ISNUMBER(G103), $B118 * H103, "")</f>
        <v>-3750</v>
      </c>
      <c r="J103" s="96">
        <v>1770</v>
      </c>
      <c r="K103" s="97">
        <f>IF(ISNUMBER(J103), (J103 - $B103) / $B103, "")</f>
        <v>-1.6666666666666666E-2</v>
      </c>
      <c r="L103" s="98">
        <f>IF(ISNUMBER(J103), $B118 * K103, "")</f>
        <v>-2500</v>
      </c>
      <c r="M103" s="99">
        <v>1765</v>
      </c>
      <c r="N103" s="97">
        <f>IF(ISNUMBER(M103), (M103 - $B103) / $B103, "")</f>
        <v>-1.9444444444444445E-2</v>
      </c>
      <c r="O103" s="98">
        <f>IF(ISNUMBER(M103), $B118 * N103, "")</f>
        <v>-2916.6666666666665</v>
      </c>
      <c r="Q103" s="146"/>
      <c r="R103" s="146"/>
      <c r="S103" s="146"/>
    </row>
    <row r="104" spans="1:19" ht="17.25" thickBot="1">
      <c r="A104" s="109" t="s">
        <v>81</v>
      </c>
      <c r="B104" s="110">
        <v>339</v>
      </c>
      <c r="C104" s="70">
        <v>4.95356037E-2</v>
      </c>
      <c r="D104" s="15">
        <v>342</v>
      </c>
      <c r="E104" s="32">
        <f t="shared" ref="E104:E107" si="50">IF(ISNUMBER(D104), (D104 - $B104) / $B104, "")</f>
        <v>8.8495575221238937E-3</v>
      </c>
      <c r="F104" s="18">
        <f>IF(ISNUMBER(D104), $B118 * E104, "")</f>
        <v>1327.4336283185839</v>
      </c>
      <c r="G104" s="31">
        <v>337</v>
      </c>
      <c r="H104" s="32">
        <f t="shared" ref="H104:H107" si="51">IF(ISNUMBER(G104), (G104 - $B104) / $B104, "")</f>
        <v>-5.8997050147492625E-3</v>
      </c>
      <c r="I104" s="91">
        <f>IF(ISNUMBER(G104), $B118 * H104, "")</f>
        <v>-884.95575221238937</v>
      </c>
      <c r="J104" s="15">
        <v>339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340</v>
      </c>
      <c r="N104" s="32">
        <f t="shared" ref="N104:N107" si="53">IF(ISNUMBER(M104), (M104 - $B104) / $B104, "")</f>
        <v>2.9498525073746312E-3</v>
      </c>
      <c r="O104" s="18">
        <f>IF(ISNUMBER(M104), $B118 * N104, "")</f>
        <v>442.47787610619469</v>
      </c>
      <c r="Q104" s="146"/>
      <c r="R104" s="146"/>
      <c r="S104" s="146"/>
    </row>
    <row r="105" spans="1:19" ht="17.25" thickBot="1">
      <c r="A105" s="109" t="s">
        <v>130</v>
      </c>
      <c r="B105" s="110">
        <v>629</v>
      </c>
      <c r="C105" s="70">
        <v>4.1390728500000001E-2</v>
      </c>
      <c r="D105" s="15">
        <v>628</v>
      </c>
      <c r="E105" s="32">
        <f t="shared" si="50"/>
        <v>-1.589825119236884E-3</v>
      </c>
      <c r="F105" s="18">
        <f>IF(ISNUMBER(D105), $B118 * E105, "")</f>
        <v>-238.4737678855326</v>
      </c>
      <c r="G105" s="31">
        <v>617</v>
      </c>
      <c r="H105" s="32">
        <f t="shared" si="51"/>
        <v>-1.9077901430842606E-2</v>
      </c>
      <c r="I105" s="91">
        <f>IF(ISNUMBER(G105), $B118 * H105, "")</f>
        <v>-2861.6852146263909</v>
      </c>
      <c r="J105" s="15">
        <v>622</v>
      </c>
      <c r="K105" s="32">
        <f t="shared" si="52"/>
        <v>-1.1128775834658187E-2</v>
      </c>
      <c r="L105" s="18">
        <f>IF(ISNUMBER(J105), $B118 * K105, "")</f>
        <v>-1669.3163751987281</v>
      </c>
      <c r="M105" s="31">
        <v>620</v>
      </c>
      <c r="N105" s="32">
        <f t="shared" si="53"/>
        <v>-1.4308426073131956E-2</v>
      </c>
      <c r="O105" s="18">
        <f>IF(ISNUMBER(M105), $B118 * N105, "")</f>
        <v>-2146.2639109697934</v>
      </c>
      <c r="Q105" s="146"/>
      <c r="R105" s="146"/>
      <c r="S105" s="146"/>
    </row>
    <row r="106" spans="1:19" ht="17.25" thickBot="1">
      <c r="A106" s="109" t="s">
        <v>60</v>
      </c>
      <c r="B106" s="110">
        <v>412</v>
      </c>
      <c r="C106" s="70">
        <v>4.0404040400000001E-2</v>
      </c>
      <c r="D106" s="15">
        <v>425</v>
      </c>
      <c r="E106" s="32">
        <f t="shared" si="50"/>
        <v>3.1553398058252427E-2</v>
      </c>
      <c r="F106" s="18">
        <f>IF(ISNUMBER(D106), $B118 * E106, "")</f>
        <v>4733.0097087378645</v>
      </c>
      <c r="G106" s="31">
        <v>410</v>
      </c>
      <c r="H106" s="32">
        <f t="shared" si="51"/>
        <v>-4.8543689320388345E-3</v>
      </c>
      <c r="I106" s="91">
        <f>IF(ISNUMBER(G106), $B118 * H106, "")</f>
        <v>-728.15533980582518</v>
      </c>
      <c r="J106" s="15">
        <v>415</v>
      </c>
      <c r="K106" s="32">
        <f t="shared" si="52"/>
        <v>7.2815533980582527E-3</v>
      </c>
      <c r="L106" s="18">
        <f>IF(ISNUMBER(J106), $B118 * K106, "")</f>
        <v>1092.2330097087379</v>
      </c>
      <c r="M106" s="31">
        <v>410</v>
      </c>
      <c r="N106" s="32">
        <f t="shared" si="53"/>
        <v>-4.8543689320388345E-3</v>
      </c>
      <c r="O106" s="18">
        <f>IF(ISNUMBER(M106), $B118 * N106, "")</f>
        <v>-728.15533980582518</v>
      </c>
      <c r="Q106" s="33"/>
      <c r="R106" s="33"/>
    </row>
    <row r="107" spans="1:19" ht="17.25" thickBot="1">
      <c r="A107" s="114" t="s">
        <v>347</v>
      </c>
      <c r="B107" s="115">
        <v>15180</v>
      </c>
      <c r="C107" s="72">
        <v>3.9726027400000002E-2</v>
      </c>
      <c r="D107" s="24">
        <v>15490</v>
      </c>
      <c r="E107" s="25">
        <f t="shared" si="50"/>
        <v>2.0421607378129116E-2</v>
      </c>
      <c r="F107" s="94">
        <f>IF(ISNUMBER(D107), $B118 * E107, "")</f>
        <v>3063.2411067193675</v>
      </c>
      <c r="G107" s="92">
        <v>15150</v>
      </c>
      <c r="H107" s="25">
        <f t="shared" si="51"/>
        <v>-1.976284584980237E-3</v>
      </c>
      <c r="I107" s="93">
        <f>IF(ISNUMBER(G107), $B118 * H107, "")</f>
        <v>-296.44268774703556</v>
      </c>
      <c r="J107" s="24">
        <v>15200</v>
      </c>
      <c r="K107" s="25">
        <f t="shared" si="52"/>
        <v>1.3175230566534915E-3</v>
      </c>
      <c r="L107" s="94">
        <f>IF(ISNUMBER(J107), $B118 * K107, "")</f>
        <v>197.62845849802372</v>
      </c>
      <c r="M107" s="92">
        <v>15050</v>
      </c>
      <c r="N107" s="25">
        <f t="shared" si="53"/>
        <v>-8.563899868247694E-3</v>
      </c>
      <c r="O107" s="94">
        <f>IF(ISNUMBER(M107), $B118 * N107, "")</f>
        <v>-1284.584980237154</v>
      </c>
      <c r="Q107" s="147"/>
      <c r="R107" s="148"/>
      <c r="S107" s="149"/>
    </row>
    <row r="108" spans="1:19">
      <c r="A108" s="107" t="s">
        <v>138</v>
      </c>
      <c r="B108" s="108">
        <v>21</v>
      </c>
      <c r="C108" s="69">
        <v>3.9603960399999999E-2</v>
      </c>
      <c r="D108" s="13">
        <v>21.2</v>
      </c>
      <c r="E108" s="14">
        <f>IF(ISNUMBER(D108), (D108 - $B108) / $B108, "")</f>
        <v>9.52380952380949E-3</v>
      </c>
      <c r="F108" s="16">
        <f>IF(ISNUMBER(D108), $B118 * E108, "")</f>
        <v>1428.5714285714234</v>
      </c>
      <c r="G108" s="29">
        <v>20.6</v>
      </c>
      <c r="H108" s="14">
        <f>IF(ISNUMBER(G108), (G108 - $B108) / $B108, "")</f>
        <v>-1.904761904761898E-2</v>
      </c>
      <c r="I108" s="90">
        <f>IF(ISNUMBER(G108), $B118 * H108, "")</f>
        <v>-2857.1428571428469</v>
      </c>
      <c r="J108" s="13">
        <v>20.9</v>
      </c>
      <c r="K108" s="14">
        <f>IF(ISNUMBER(J108), (J108 - $B108) / $B108, "")</f>
        <v>-4.76190476190483E-3</v>
      </c>
      <c r="L108" s="16">
        <f>IF(ISNUMBER(J108), $B118 * K108, "")</f>
        <v>-714.28571428572445</v>
      </c>
      <c r="M108" s="29">
        <v>20.6</v>
      </c>
      <c r="N108" s="14">
        <f>IF(ISNUMBER(M108), (M108 - $B108) / $B108, "")</f>
        <v>-1.904761904761898E-2</v>
      </c>
      <c r="O108" s="16">
        <f>IF(ISNUMBER(M108), $B118 * N108, "")</f>
        <v>-2857.1428571428469</v>
      </c>
      <c r="Q108" s="150"/>
      <c r="R108" s="151"/>
      <c r="S108" s="152"/>
    </row>
    <row r="109" spans="1:19" ht="17.25" thickBot="1">
      <c r="A109" s="109" t="s">
        <v>157</v>
      </c>
      <c r="B109" s="110">
        <v>215</v>
      </c>
      <c r="C109" s="70">
        <v>3.3653846199999997E-2</v>
      </c>
      <c r="D109" s="15">
        <v>212</v>
      </c>
      <c r="E109" s="32">
        <f t="shared" ref="E109:E112" si="54">IF(ISNUMBER(D109), (D109 - $B109) / $B109, "")</f>
        <v>-1.3953488372093023E-2</v>
      </c>
      <c r="F109" s="18">
        <f>IF(ISNUMBER(D109), $B118 * E109, "")</f>
        <v>-2093.0232558139533</v>
      </c>
      <c r="G109" s="31">
        <v>211</v>
      </c>
      <c r="H109" s="32">
        <f t="shared" ref="H109:H112" si="55">IF(ISNUMBER(G109), (G109 - $B109) / $B109, "")</f>
        <v>-1.8604651162790697E-2</v>
      </c>
      <c r="I109" s="91">
        <f>IF(ISNUMBER(G109), $B118 * H109, "")</f>
        <v>-2790.6976744186045</v>
      </c>
      <c r="J109" s="15">
        <v>213</v>
      </c>
      <c r="K109" s="32">
        <f t="shared" ref="K109:K112" si="56">IF(ISNUMBER(J109), (J109 - $B109) / $B109, "")</f>
        <v>-9.3023255813953487E-3</v>
      </c>
      <c r="L109" s="18">
        <f>IF(ISNUMBER(J109), $B118 * K109, "")</f>
        <v>-1395.3488372093022</v>
      </c>
      <c r="M109" s="31">
        <v>214</v>
      </c>
      <c r="N109" s="32">
        <f t="shared" ref="N109:N112" si="57">IF(ISNUMBER(M109), (M109 - $B109) / $B109, "")</f>
        <v>-4.6511627906976744E-3</v>
      </c>
      <c r="O109" s="18">
        <f>IF(ISNUMBER(M109), $B118 * N109, "")</f>
        <v>-697.67441860465112</v>
      </c>
      <c r="Q109" s="153"/>
      <c r="R109" s="154"/>
      <c r="S109" s="155"/>
    </row>
    <row r="110" spans="1:19" ht="17.25" thickBot="1">
      <c r="A110" s="109" t="s">
        <v>105</v>
      </c>
      <c r="B110" s="110">
        <v>192</v>
      </c>
      <c r="C110" s="70">
        <v>3.2258064500000003E-2</v>
      </c>
      <c r="D110" s="15">
        <v>192</v>
      </c>
      <c r="E110" s="32">
        <f t="shared" si="54"/>
        <v>0</v>
      </c>
      <c r="F110" s="18">
        <f>IF(ISNUMBER(D110), $B118 * E110, "")</f>
        <v>0</v>
      </c>
      <c r="G110" s="31">
        <v>190</v>
      </c>
      <c r="H110" s="32">
        <f t="shared" si="55"/>
        <v>-1.0416666666666666E-2</v>
      </c>
      <c r="I110" s="91">
        <f>IF(ISNUMBER(G110), $B118 * H110, "")</f>
        <v>-1562.5</v>
      </c>
      <c r="J110" s="15">
        <v>193</v>
      </c>
      <c r="K110" s="32">
        <f t="shared" si="56"/>
        <v>5.208333333333333E-3</v>
      </c>
      <c r="L110" s="18">
        <f>IF(ISNUMBER(J110), $B118 * K110, "")</f>
        <v>781.25</v>
      </c>
      <c r="M110" s="31">
        <v>191</v>
      </c>
      <c r="N110" s="32">
        <f t="shared" si="57"/>
        <v>-5.208333333333333E-3</v>
      </c>
      <c r="O110" s="18">
        <f>IF(ISNUMBER(M110), $B118 * N110, "")</f>
        <v>-781.25</v>
      </c>
      <c r="Q110" s="146"/>
      <c r="R110" s="146"/>
      <c r="S110" s="146"/>
    </row>
    <row r="111" spans="1:19" ht="17.25" thickBot="1">
      <c r="A111" s="109" t="s">
        <v>323</v>
      </c>
      <c r="B111" s="110">
        <v>2.9000000000000001E-2</v>
      </c>
      <c r="C111" s="70">
        <v>3.2028469800000001E-2</v>
      </c>
      <c r="D111" s="15">
        <v>3.2199999999999999E-2</v>
      </c>
      <c r="E111" s="32">
        <f t="shared" si="54"/>
        <v>0.11034482758620683</v>
      </c>
      <c r="F111" s="18">
        <f>IF(ISNUMBER(D111), $B118 * E111, "")</f>
        <v>16551.724137931025</v>
      </c>
      <c r="G111" s="31">
        <v>3.09E-2</v>
      </c>
      <c r="H111" s="32">
        <f t="shared" si="55"/>
        <v>6.5517241379310309E-2</v>
      </c>
      <c r="I111" s="91">
        <f>IF(ISNUMBER(G111), $B118 * H111, "")</f>
        <v>9827.5862068965471</v>
      </c>
      <c r="J111" s="15">
        <v>3.1699999999999999E-2</v>
      </c>
      <c r="K111" s="32">
        <f t="shared" si="56"/>
        <v>9.3103448275861977E-2</v>
      </c>
      <c r="L111" s="18">
        <f>IF(ISNUMBER(J111), $B118 * K111, "")</f>
        <v>13965.517241379297</v>
      </c>
      <c r="M111" s="31">
        <v>3.1300000000000001E-2</v>
      </c>
      <c r="N111" s="32">
        <f t="shared" si="57"/>
        <v>7.9310344827586199E-2</v>
      </c>
      <c r="O111" s="18">
        <f>IF(ISNUMBER(M111), $B118 * N111, "")</f>
        <v>11896.551724137929</v>
      </c>
      <c r="Q111" s="156"/>
      <c r="R111" s="156"/>
      <c r="S111" s="156"/>
    </row>
    <row r="112" spans="1:19" ht="17.25" thickBot="1">
      <c r="A112" s="111" t="s">
        <v>111</v>
      </c>
      <c r="B112" s="112">
        <v>552</v>
      </c>
      <c r="C112" s="71">
        <v>3.1775700900000002E-2</v>
      </c>
      <c r="D112" s="20">
        <v>564</v>
      </c>
      <c r="E112" s="21">
        <f t="shared" si="54"/>
        <v>2.1739130434782608E-2</v>
      </c>
      <c r="F112" s="22">
        <f>IF(ISNUMBER(D112), $B118 * E112, "")</f>
        <v>3260.869565217391</v>
      </c>
      <c r="G112" s="30">
        <v>546</v>
      </c>
      <c r="H112" s="21">
        <f t="shared" si="55"/>
        <v>-1.0869565217391304E-2</v>
      </c>
      <c r="I112" s="95">
        <f>IF(ISNUMBER(G112), $B118 * H112, "")</f>
        <v>-1630.4347826086955</v>
      </c>
      <c r="J112" s="20">
        <v>552</v>
      </c>
      <c r="K112" s="21">
        <f t="shared" si="56"/>
        <v>0</v>
      </c>
      <c r="L112" s="22">
        <f>IF(ISNUMBER(J112), $B118 * K112, "")</f>
        <v>0</v>
      </c>
      <c r="M112" s="30">
        <v>546</v>
      </c>
      <c r="N112" s="21">
        <f t="shared" si="57"/>
        <v>-1.0869565217391304E-2</v>
      </c>
      <c r="O112" s="22">
        <f>IF(ISNUMBER(M112), $B118 * N112, "")</f>
        <v>-1630.4347826086955</v>
      </c>
      <c r="Q112" s="156"/>
      <c r="R112" s="156"/>
      <c r="S112" s="156"/>
    </row>
    <row r="113" spans="1:19" ht="17.25" thickBot="1">
      <c r="A113" s="109" t="s">
        <v>328</v>
      </c>
      <c r="B113" s="113">
        <v>5050</v>
      </c>
      <c r="C113" s="73">
        <v>3.16649642E-2</v>
      </c>
      <c r="D113" s="96">
        <v>4855</v>
      </c>
      <c r="E113" s="97">
        <f>IF(ISNUMBER(D113), (D113 - $B113) / $B113, "")</f>
        <v>-3.8613861386138613E-2</v>
      </c>
      <c r="F113" s="98">
        <f>IF(ISNUMBER(D113), $B118 * E113, "")</f>
        <v>-5792.0792079207922</v>
      </c>
      <c r="G113" s="99">
        <v>4740</v>
      </c>
      <c r="H113" s="97">
        <f>IF(ISNUMBER(G113), (G113 - $B113) / $B113, "")</f>
        <v>-6.1386138613861385E-2</v>
      </c>
      <c r="I113" s="100">
        <f>IF(ISNUMBER(G113), $B118 * H113, "")</f>
        <v>-9207.9207920792069</v>
      </c>
      <c r="J113" s="96">
        <v>4775</v>
      </c>
      <c r="K113" s="97">
        <f>IF(ISNUMBER(J113), (J113 - $B113) / $B113, "")</f>
        <v>-5.4455445544554455E-2</v>
      </c>
      <c r="L113" s="98">
        <f>IF(ISNUMBER(J113), $B118 * K113, "")</f>
        <v>-8168.3168316831679</v>
      </c>
      <c r="M113" s="99">
        <v>4730</v>
      </c>
      <c r="N113" s="97">
        <f>IF(ISNUMBER(M113), (M113 - $B113) / $B113, "")</f>
        <v>-6.3366336633663367E-2</v>
      </c>
      <c r="O113" s="98">
        <f>IF(ISNUMBER(M113), $B118 * N113, "")</f>
        <v>-9504.9504950495048</v>
      </c>
      <c r="Q113" s="146"/>
      <c r="R113" s="146"/>
      <c r="S113" s="146"/>
    </row>
    <row r="114" spans="1:19" ht="17.25" thickBot="1">
      <c r="A114" s="109" t="s">
        <v>79</v>
      </c>
      <c r="B114" s="110">
        <v>229</v>
      </c>
      <c r="C114" s="70">
        <v>3.1531531500000001E-2</v>
      </c>
      <c r="D114" s="15">
        <v>232</v>
      </c>
      <c r="E114" s="32">
        <f t="shared" ref="E114:E117" si="58">IF(ISNUMBER(D114), (D114 - $B114) / $B114, "")</f>
        <v>1.3100436681222707E-2</v>
      </c>
      <c r="F114" s="18">
        <f>IF(ISNUMBER(D114), $B118 * E114, "")</f>
        <v>1965.0655021834061</v>
      </c>
      <c r="G114" s="31">
        <v>226</v>
      </c>
      <c r="H114" s="32">
        <f t="shared" ref="H114:H117" si="59">IF(ISNUMBER(G114), (G114 - $B114) / $B114, "")</f>
        <v>-1.3100436681222707E-2</v>
      </c>
      <c r="I114" s="91">
        <f>IF(ISNUMBER(G114), $B118 * H114, "")</f>
        <v>-1965.0655021834061</v>
      </c>
      <c r="J114" s="15">
        <v>230</v>
      </c>
      <c r="K114" s="32">
        <f t="shared" ref="K114:K117" si="60">IF(ISNUMBER(J114), (J114 - $B114) / $B114, "")</f>
        <v>4.3668122270742356E-3</v>
      </c>
      <c r="L114" s="18">
        <f>IF(ISNUMBER(J114), $B118 * K114, "")</f>
        <v>655.02183406113534</v>
      </c>
      <c r="M114" s="31">
        <v>226</v>
      </c>
      <c r="N114" s="32">
        <f t="shared" ref="N114:N117" si="61">IF(ISNUMBER(M114), (M114 - $B114) / $B114, "")</f>
        <v>-1.3100436681222707E-2</v>
      </c>
      <c r="O114" s="18">
        <f>IF(ISNUMBER(M114), $B118 * N114, "")</f>
        <v>-1965.0655021834061</v>
      </c>
      <c r="Q114" s="146"/>
      <c r="R114" s="146"/>
      <c r="S114" s="146"/>
    </row>
    <row r="115" spans="1:19" ht="17.25" thickBot="1">
      <c r="A115" s="109" t="s">
        <v>172</v>
      </c>
      <c r="B115" s="110">
        <v>2495</v>
      </c>
      <c r="C115" s="70">
        <v>2.8865979399999998E-2</v>
      </c>
      <c r="D115" s="15">
        <v>2525</v>
      </c>
      <c r="E115" s="32">
        <f t="shared" si="58"/>
        <v>1.2024048096192385E-2</v>
      </c>
      <c r="F115" s="18">
        <f>IF(ISNUMBER(D115), $B118 * E115, "")</f>
        <v>1803.6072144288578</v>
      </c>
      <c r="G115" s="31">
        <v>2450</v>
      </c>
      <c r="H115" s="32">
        <f t="shared" si="59"/>
        <v>-1.8036072144288578E-2</v>
      </c>
      <c r="I115" s="91">
        <f>IF(ISNUMBER(G115), $B118 * H115, "")</f>
        <v>-2705.4108216432865</v>
      </c>
      <c r="J115" s="15">
        <v>2470</v>
      </c>
      <c r="K115" s="32">
        <f t="shared" si="60"/>
        <v>-1.002004008016032E-2</v>
      </c>
      <c r="L115" s="18">
        <f>IF(ISNUMBER(J115), $B118 * K115, "")</f>
        <v>-1503.006012024048</v>
      </c>
      <c r="M115" s="31">
        <v>2470</v>
      </c>
      <c r="N115" s="32">
        <f t="shared" si="61"/>
        <v>-1.002004008016032E-2</v>
      </c>
      <c r="O115" s="18">
        <f>IF(ISNUMBER(M115), $B118 * N115, "")</f>
        <v>-1503.006012024048</v>
      </c>
      <c r="Q115" s="146"/>
      <c r="R115" s="146"/>
      <c r="S115" s="146"/>
    </row>
    <row r="116" spans="1:19">
      <c r="A116" s="109" t="s">
        <v>93</v>
      </c>
      <c r="B116" s="110">
        <v>1599000</v>
      </c>
      <c r="C116" s="70">
        <v>2.8626568000000002E-2</v>
      </c>
      <c r="D116" s="15">
        <v>1603500</v>
      </c>
      <c r="E116" s="32">
        <f t="shared" si="58"/>
        <v>2.8142589118198874E-3</v>
      </c>
      <c r="F116" s="18">
        <f>IF(ISNUMBER(D116), $B118 * E116, "")</f>
        <v>422.1388367729831</v>
      </c>
      <c r="G116" s="31">
        <v>1591500</v>
      </c>
      <c r="H116" s="32">
        <f t="shared" si="59"/>
        <v>-4.6904315196998128E-3</v>
      </c>
      <c r="I116" s="91">
        <f>IF(ISNUMBER(G116), $B118 * H116, "")</f>
        <v>-703.56472795497189</v>
      </c>
      <c r="J116" s="15">
        <v>1601500</v>
      </c>
      <c r="K116" s="32">
        <f t="shared" si="60"/>
        <v>1.5634771732332708E-3</v>
      </c>
      <c r="L116" s="18">
        <f>IF(ISNUMBER(J116), $B118 * K116, "")</f>
        <v>234.52157598499062</v>
      </c>
      <c r="M116" s="31">
        <v>1596500</v>
      </c>
      <c r="N116" s="32">
        <f t="shared" si="61"/>
        <v>-1.5634771732332708E-3</v>
      </c>
      <c r="O116" s="18">
        <f>IF(ISNUMBER(M116), $B118 * N116, "")</f>
        <v>-234.52157598499062</v>
      </c>
      <c r="Q116" s="135"/>
      <c r="R116" s="136"/>
      <c r="S116" s="137"/>
    </row>
    <row r="117" spans="1:19" ht="17.25" thickBot="1">
      <c r="A117" s="114" t="s">
        <v>75</v>
      </c>
      <c r="B117" s="115">
        <v>7400</v>
      </c>
      <c r="C117" s="72">
        <v>2.7064538499999999E-2</v>
      </c>
      <c r="D117" s="24">
        <v>7400</v>
      </c>
      <c r="E117" s="25">
        <f t="shared" si="58"/>
        <v>0</v>
      </c>
      <c r="F117" s="94">
        <f>IF(ISNUMBER(D117), $B118 * E117, "")</f>
        <v>0</v>
      </c>
      <c r="G117" s="92">
        <v>7285</v>
      </c>
      <c r="H117" s="25">
        <f t="shared" si="59"/>
        <v>-1.5540540540540541E-2</v>
      </c>
      <c r="I117" s="93">
        <f>IF(ISNUMBER(G117), $B118 * H117, "")</f>
        <v>-2331.0810810810813</v>
      </c>
      <c r="J117" s="24">
        <v>7300</v>
      </c>
      <c r="K117" s="25">
        <f t="shared" si="60"/>
        <v>-1.3513513513513514E-2</v>
      </c>
      <c r="L117" s="94">
        <f>IF(ISNUMBER(J117), $B118 * K117, "")</f>
        <v>-2027.0270270270271</v>
      </c>
      <c r="M117" s="92">
        <v>7295</v>
      </c>
      <c r="N117" s="25">
        <f t="shared" si="61"/>
        <v>-1.418918918918919E-2</v>
      </c>
      <c r="O117" s="94">
        <f>IF(ISNUMBER(M117), $B118 * N117, "")</f>
        <v>-2128.3783783783783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1.7145968381814113E-2</v>
      </c>
      <c r="F118" s="28">
        <f>SUM(F98:F117)</f>
        <v>51437.905145442332</v>
      </c>
      <c r="G118" s="26" t="s">
        <v>258</v>
      </c>
      <c r="H118" s="27">
        <f>IF(COUNT(H98:H117), SUM(H98:H117) / COUNT(H98:H117), 0)</f>
        <v>-6.3540262958714051E-3</v>
      </c>
      <c r="I118" s="28">
        <f>SUM(I98:I117)</f>
        <v>-19062.078887614211</v>
      </c>
      <c r="J118" s="26" t="s">
        <v>258</v>
      </c>
      <c r="K118" s="27">
        <f>IF(COUNT(K98:K117), SUM(K98:K117) / COUNT(K98:K117), 0)</f>
        <v>3.9787122240121696E-3</v>
      </c>
      <c r="L118" s="28">
        <f>SUM(L98:L117)</f>
        <v>11936.136672036502</v>
      </c>
      <c r="M118" s="26" t="s">
        <v>258</v>
      </c>
      <c r="N118" s="27">
        <f>IF(COUNT(N98:N117), SUM(N98:N117) / COUNT(N98:N117), 0)</f>
        <v>-3.8758570946071406E-3</v>
      </c>
      <c r="O118" s="28">
        <f>SUM(O98:O117)</f>
        <v>-11627.571283821424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2023-01-05(목) 오전 00:00</v>
      </c>
      <c r="C123" s="198"/>
      <c r="D123" s="170" t="str">
        <f>TEXT($G$1, "[$-ko-KR]yyyy-mm-dd(ddd) ") &amp; "오후 14:00"</f>
        <v>2023-01-05(목) 오후 14:00</v>
      </c>
      <c r="E123" s="171"/>
      <c r="F123" s="172"/>
      <c r="G123" s="170" t="str">
        <f>TEXT($G$1, "[$-ko-KR]yyyy-mm-dd(ddd) ") &amp; "오후 19:00"</f>
        <v>2023-01-05(목) 오후 19:00</v>
      </c>
      <c r="H123" s="171"/>
      <c r="I123" s="172"/>
      <c r="J123" s="170" t="str">
        <f>TEXT($G$1, "[$-ko-KR]yyyy-mm-dd(ddd) ") &amp; "오후 21:00"</f>
        <v>2023-01-05(목) 오후 21:00</v>
      </c>
      <c r="K123" s="171"/>
      <c r="L123" s="172"/>
      <c r="M123" s="170" t="str">
        <f>TEXT($G$1+1, "[$-ko-KR]yyyy-mm-dd(ddd) ") &amp; "오전 00:00"</f>
        <v>2023-01-06(금)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195</v>
      </c>
      <c r="B125" s="108">
        <v>5.55</v>
      </c>
      <c r="C125" s="69">
        <v>1.09289617E-2</v>
      </c>
      <c r="D125" s="13">
        <v>5.6</v>
      </c>
      <c r="E125" s="14">
        <f>IF(ISNUMBER(D125), (D125 - $B125) / $B125, "")</f>
        <v>9.0090090090089777E-3</v>
      </c>
      <c r="F125" s="16">
        <f>IF(ISNUMBER(D125), $B145 * E125, "")</f>
        <v>1351.3513513513467</v>
      </c>
      <c r="G125" s="29">
        <v>5.57</v>
      </c>
      <c r="H125" s="14">
        <f>IF(ISNUMBER(G125), (G125 - $B125) / $B125, "")</f>
        <v>3.6036036036036869E-3</v>
      </c>
      <c r="I125" s="90">
        <f>IF(ISNUMBER(G125), $B145 * H125, "")</f>
        <v>540.54054054055302</v>
      </c>
      <c r="J125" s="13">
        <v>5.65</v>
      </c>
      <c r="K125" s="14">
        <f>IF(ISNUMBER(J125), (J125 - $B125) / $B125, "")</f>
        <v>1.8018018018018115E-2</v>
      </c>
      <c r="L125" s="16">
        <f>IF(ISNUMBER(J125), $B145 * K125, "")</f>
        <v>2702.702702702717</v>
      </c>
      <c r="M125" s="29">
        <v>5.57</v>
      </c>
      <c r="N125" s="14">
        <f>IF(ISNUMBER(M125), (M125 - $B125) / $B125, "")</f>
        <v>3.6036036036036869E-3</v>
      </c>
      <c r="O125" s="16">
        <f>IF(ISNUMBER(M125), $B145 * N125, "")</f>
        <v>540.54054054055302</v>
      </c>
      <c r="Q125" s="156"/>
      <c r="R125" s="156"/>
      <c r="S125" s="156"/>
    </row>
    <row r="126" spans="1:19" ht="17.25" thickBot="1">
      <c r="A126" s="109" t="s">
        <v>141</v>
      </c>
      <c r="B126" s="110">
        <v>2.95</v>
      </c>
      <c r="C126" s="70">
        <v>1.02739726E-2</v>
      </c>
      <c r="D126" s="15">
        <v>3.02</v>
      </c>
      <c r="E126" s="32">
        <f t="shared" ref="E126:E129" si="62">IF(ISNUMBER(D126), (D126 - $B126) / $B126, "")</f>
        <v>2.3728813559321979E-2</v>
      </c>
      <c r="F126" s="18">
        <f>IF(ISNUMBER(D126), $B145 * E126, "")</f>
        <v>3559.3220338982969</v>
      </c>
      <c r="G126" s="31">
        <v>2.93</v>
      </c>
      <c r="H126" s="32">
        <f t="shared" ref="H126:H129" si="63">IF(ISNUMBER(G126), (G126 - $B126) / $B126, "")</f>
        <v>-6.7796610169491584E-3</v>
      </c>
      <c r="I126" s="91">
        <f>IF(ISNUMBER(G126), $B145 * H126, "")</f>
        <v>-1016.9491525423738</v>
      </c>
      <c r="J126" s="15">
        <v>3</v>
      </c>
      <c r="K126" s="32">
        <f t="shared" ref="K126:K129" si="64">IF(ISNUMBER(J126), (J126 - $B126) / $B126, "")</f>
        <v>1.6949152542372819E-2</v>
      </c>
      <c r="L126" s="18">
        <f>IF(ISNUMBER(J126), $B145 * K126, "")</f>
        <v>2542.3728813559228</v>
      </c>
      <c r="M126" s="31">
        <v>2.97</v>
      </c>
      <c r="N126" s="32">
        <f t="shared" ref="N126:N129" si="65">IF(ISNUMBER(M126), (M126 - $B126) / $B126, "")</f>
        <v>6.7796610169491584E-3</v>
      </c>
      <c r="O126" s="18">
        <f>IF(ISNUMBER(M126), $B145 * N126, "")</f>
        <v>1016.9491525423738</v>
      </c>
      <c r="Q126" s="156"/>
      <c r="R126" s="156"/>
      <c r="S126" s="156"/>
    </row>
    <row r="127" spans="1:19" ht="17.25" thickBot="1">
      <c r="A127" s="109" t="s">
        <v>143</v>
      </c>
      <c r="B127" s="110">
        <v>3.36</v>
      </c>
      <c r="C127" s="70">
        <v>9.0090090000000001E-3</v>
      </c>
      <c r="D127" s="15">
        <v>3.39</v>
      </c>
      <c r="E127" s="32">
        <f t="shared" si="62"/>
        <v>8.9285714285715027E-3</v>
      </c>
      <c r="F127" s="18">
        <f>IF(ISNUMBER(D127), $B145 * E127, "")</f>
        <v>1339.2857142857254</v>
      </c>
      <c r="G127" s="31">
        <v>3.43</v>
      </c>
      <c r="H127" s="32">
        <f t="shared" si="63"/>
        <v>2.0833333333333419E-2</v>
      </c>
      <c r="I127" s="91">
        <f>IF(ISNUMBER(G127), $B145 * H127, "")</f>
        <v>3125.0000000000127</v>
      </c>
      <c r="J127" s="15">
        <v>3.44</v>
      </c>
      <c r="K127" s="32">
        <f t="shared" si="64"/>
        <v>2.3809523809523832E-2</v>
      </c>
      <c r="L127" s="18">
        <f>IF(ISNUMBER(J127), $B145 * K127, "")</f>
        <v>3571.4285714285747</v>
      </c>
      <c r="M127" s="31">
        <v>3.37</v>
      </c>
      <c r="N127" s="32">
        <f t="shared" si="65"/>
        <v>2.976190476190545E-3</v>
      </c>
      <c r="O127" s="18">
        <f>IF(ISNUMBER(M127), $B145 * N127, "")</f>
        <v>446.42857142858173</v>
      </c>
      <c r="Q127" s="146"/>
      <c r="R127" s="146"/>
      <c r="S127" s="146"/>
    </row>
    <row r="128" spans="1:19" ht="17.25" thickBot="1">
      <c r="A128" s="109" t="s">
        <v>64</v>
      </c>
      <c r="B128" s="110">
        <v>9.06</v>
      </c>
      <c r="C128" s="70">
        <v>8.9086860000000007E-3</v>
      </c>
      <c r="D128" s="15">
        <v>9.14</v>
      </c>
      <c r="E128" s="32">
        <f t="shared" si="62"/>
        <v>8.8300220750551946E-3</v>
      </c>
      <c r="F128" s="18">
        <f>IF(ISNUMBER(D128), $B145 * E128, "")</f>
        <v>1324.5033112582792</v>
      </c>
      <c r="G128" s="31">
        <v>9.0299999999999994</v>
      </c>
      <c r="H128" s="32">
        <f t="shared" si="63"/>
        <v>-3.3112582781458207E-3</v>
      </c>
      <c r="I128" s="91">
        <f>IF(ISNUMBER(G128), $B145 * H128, "")</f>
        <v>-496.6887417218731</v>
      </c>
      <c r="J128" s="15">
        <v>9.1300000000000008</v>
      </c>
      <c r="K128" s="32">
        <f t="shared" si="64"/>
        <v>7.72626931567332E-3</v>
      </c>
      <c r="L128" s="18">
        <f>IF(ISNUMBER(J128), $B145 * K128, "")</f>
        <v>1158.940397350998</v>
      </c>
      <c r="M128" s="31">
        <v>9.07</v>
      </c>
      <c r="N128" s="32">
        <f t="shared" si="65"/>
        <v>1.1037527593818748E-3</v>
      </c>
      <c r="O128" s="18">
        <f>IF(ISNUMBER(M128), $B145 * N128, "")</f>
        <v>165.56291390728123</v>
      </c>
      <c r="Q128" s="146"/>
      <c r="R128" s="146"/>
      <c r="S128" s="146"/>
    </row>
    <row r="129" spans="1:19" ht="17.25" thickBot="1">
      <c r="A129" s="111" t="s">
        <v>155</v>
      </c>
      <c r="B129" s="112">
        <v>24.8</v>
      </c>
      <c r="C129" s="71">
        <v>8.1300812999999996E-3</v>
      </c>
      <c r="D129" s="20">
        <v>25</v>
      </c>
      <c r="E129" s="21">
        <f t="shared" si="62"/>
        <v>8.0645161290322284E-3</v>
      </c>
      <c r="F129" s="22">
        <f>IF(ISNUMBER(D129), $B145 * E129, "")</f>
        <v>1209.6774193548342</v>
      </c>
      <c r="G129" s="30">
        <v>24.4</v>
      </c>
      <c r="H129" s="21">
        <f t="shared" si="63"/>
        <v>-1.6129032258064602E-2</v>
      </c>
      <c r="I129" s="95">
        <f>IF(ISNUMBER(G129), $B145 * H129, "")</f>
        <v>-2419.3548387096903</v>
      </c>
      <c r="J129" s="20">
        <v>24.9</v>
      </c>
      <c r="K129" s="21">
        <f t="shared" si="64"/>
        <v>4.0322580645160431E-3</v>
      </c>
      <c r="L129" s="22">
        <f>IF(ISNUMBER(J129), $B145 * K129, "")</f>
        <v>604.83870967740643</v>
      </c>
      <c r="M129" s="30">
        <v>24.8</v>
      </c>
      <c r="N129" s="21">
        <f t="shared" si="65"/>
        <v>0</v>
      </c>
      <c r="O129" s="22">
        <f>IF(ISNUMBER(M129), $B145 * N129, "")</f>
        <v>0</v>
      </c>
      <c r="Q129" s="146"/>
      <c r="R129" s="146"/>
      <c r="S129" s="146"/>
    </row>
    <row r="130" spans="1:19" ht="17.25" thickBot="1">
      <c r="A130" s="109" t="s">
        <v>237</v>
      </c>
      <c r="B130" s="113">
        <v>25.9</v>
      </c>
      <c r="C130" s="73">
        <v>7.7821011999999997E-3</v>
      </c>
      <c r="D130" s="96">
        <v>25.9</v>
      </c>
      <c r="E130" s="97">
        <f>IF(ISNUMBER(D130), (D130 - $B130) / $B130, "")</f>
        <v>0</v>
      </c>
      <c r="F130" s="98">
        <f>IF(ISNUMBER(D130), $B145 * E130, "")</f>
        <v>0</v>
      </c>
      <c r="G130" s="99">
        <v>25.5</v>
      </c>
      <c r="H130" s="97">
        <f>IF(ISNUMBER(G130), (G130 - $B130) / $B130, "")</f>
        <v>-1.5444015444015391E-2</v>
      </c>
      <c r="I130" s="100">
        <f>IF(ISNUMBER(G130), $B145 * H130, "")</f>
        <v>-2316.6023166023087</v>
      </c>
      <c r="J130" s="96">
        <v>26</v>
      </c>
      <c r="K130" s="97">
        <f>IF(ISNUMBER(J130), (J130 - $B130) / $B130, "")</f>
        <v>3.8610038610039162E-3</v>
      </c>
      <c r="L130" s="98">
        <f>IF(ISNUMBER(J130), $B145 * K130, "")</f>
        <v>579.15057915058742</v>
      </c>
      <c r="M130" s="99">
        <v>25.8</v>
      </c>
      <c r="N130" s="97">
        <f>IF(ISNUMBER(M130), (M130 - $B130) / $B130, "")</f>
        <v>-3.8610038610037791E-3</v>
      </c>
      <c r="O130" s="98">
        <f>IF(ISNUMBER(M130), $B145 * N130, "")</f>
        <v>-579.15057915056684</v>
      </c>
      <c r="Q130" s="146"/>
      <c r="R130" s="146"/>
      <c r="S130" s="146"/>
    </row>
    <row r="131" spans="1:19" ht="17.25" thickBot="1">
      <c r="A131" s="109" t="s">
        <v>225</v>
      </c>
      <c r="B131" s="110">
        <v>52.7</v>
      </c>
      <c r="C131" s="70">
        <v>7.6481835999999996E-3</v>
      </c>
      <c r="D131" s="15">
        <v>52.8</v>
      </c>
      <c r="E131" s="32">
        <f t="shared" ref="E131:E134" si="66">IF(ISNUMBER(D131), (D131 - $B131) / $B131, "")</f>
        <v>1.8975332068310116E-3</v>
      </c>
      <c r="F131" s="18">
        <f>IF(ISNUMBER(D131), $B145 * E131, "")</f>
        <v>284.62998102465173</v>
      </c>
      <c r="G131" s="31">
        <v>52.1</v>
      </c>
      <c r="H131" s="32">
        <f t="shared" ref="H131:H134" si="67">IF(ISNUMBER(G131), (G131 - $B131) / $B131, "")</f>
        <v>-1.1385199240986743E-2</v>
      </c>
      <c r="I131" s="91">
        <f>IF(ISNUMBER(G131), $B145 * H131, "")</f>
        <v>-1707.7798861480114</v>
      </c>
      <c r="J131" s="15">
        <v>52.9</v>
      </c>
      <c r="K131" s="32">
        <f t="shared" ref="K131:K134" si="68">IF(ISNUMBER(J131), (J131 - $B131) / $B131, "")</f>
        <v>3.7950664136621581E-3</v>
      </c>
      <c r="L131" s="18">
        <f>IF(ISNUMBER(J131), $B145 * K131, "")</f>
        <v>569.25996204932369</v>
      </c>
      <c r="M131" s="31">
        <v>52.4</v>
      </c>
      <c r="N131" s="32">
        <f t="shared" ref="N131:N134" si="69">IF(ISNUMBER(M131), (M131 - $B131) / $B131, "")</f>
        <v>-5.6925996204934392E-3</v>
      </c>
      <c r="O131" s="18">
        <f>IF(ISNUMBER(M131), $B145 * N131, "")</f>
        <v>-853.88994307401583</v>
      </c>
      <c r="Q131" s="146"/>
      <c r="R131" s="146"/>
      <c r="S131" s="146"/>
    </row>
    <row r="132" spans="1:19" ht="17.25" thickBot="1">
      <c r="A132" s="109" t="s">
        <v>193</v>
      </c>
      <c r="B132" s="110">
        <v>15.4</v>
      </c>
      <c r="C132" s="70">
        <v>6.5359477000000001E-3</v>
      </c>
      <c r="D132" s="15">
        <v>15.5</v>
      </c>
      <c r="E132" s="32">
        <f t="shared" si="66"/>
        <v>6.4935064935064705E-3</v>
      </c>
      <c r="F132" s="18">
        <f>IF(ISNUMBER(D132), $B145 * E132, "")</f>
        <v>974.02597402597053</v>
      </c>
      <c r="G132" s="31">
        <v>15.3</v>
      </c>
      <c r="H132" s="32">
        <f t="shared" si="67"/>
        <v>-6.4935064935064705E-3</v>
      </c>
      <c r="I132" s="91">
        <f>IF(ISNUMBER(G132), $B145 * H132, "")</f>
        <v>-974.02597402597053</v>
      </c>
      <c r="J132" s="15">
        <v>15.5</v>
      </c>
      <c r="K132" s="32">
        <f t="shared" si="68"/>
        <v>6.4935064935064705E-3</v>
      </c>
      <c r="L132" s="18">
        <f>IF(ISNUMBER(J132), $B145 * K132, "")</f>
        <v>974.02597402597053</v>
      </c>
      <c r="M132" s="31">
        <v>15.4</v>
      </c>
      <c r="N132" s="32">
        <f t="shared" si="69"/>
        <v>0</v>
      </c>
      <c r="O132" s="18">
        <f>IF(ISNUMBER(M132), $B145 * N132, "")</f>
        <v>0</v>
      </c>
      <c r="Q132" s="146"/>
      <c r="R132" s="146"/>
      <c r="S132" s="146"/>
    </row>
    <row r="133" spans="1:19" ht="17.25" thickBot="1">
      <c r="A133" s="109" t="s">
        <v>221</v>
      </c>
      <c r="B133" s="110">
        <v>17.7</v>
      </c>
      <c r="C133" s="70">
        <v>5.6818182E-3</v>
      </c>
      <c r="D133" s="15">
        <v>17.7</v>
      </c>
      <c r="E133" s="32">
        <f t="shared" si="66"/>
        <v>0</v>
      </c>
      <c r="F133" s="18">
        <f>IF(ISNUMBER(D133), $B145 * E133, "")</f>
        <v>0</v>
      </c>
      <c r="G133" s="31">
        <v>17.600000000000001</v>
      </c>
      <c r="H133" s="32">
        <f t="shared" si="67"/>
        <v>-5.6497175141241732E-3</v>
      </c>
      <c r="I133" s="91">
        <f>IF(ISNUMBER(G133), $B145 * H133, "")</f>
        <v>-847.45762711862596</v>
      </c>
      <c r="J133" s="15">
        <v>18.100000000000001</v>
      </c>
      <c r="K133" s="32">
        <f t="shared" si="68"/>
        <v>2.2598870056497296E-2</v>
      </c>
      <c r="L133" s="18">
        <f>IF(ISNUMBER(J133), $B145 * K133, "")</f>
        <v>3389.8305084745944</v>
      </c>
      <c r="M133" s="31">
        <v>17.8</v>
      </c>
      <c r="N133" s="32">
        <f t="shared" si="69"/>
        <v>5.6497175141243744E-3</v>
      </c>
      <c r="O133" s="18">
        <f>IF(ISNUMBER(M133), $B145 * N133, "")</f>
        <v>847.45762711865621</v>
      </c>
      <c r="Q133" s="33"/>
      <c r="R133" s="33"/>
    </row>
    <row r="134" spans="1:19" ht="17.25" thickBot="1">
      <c r="A134" s="114" t="s">
        <v>56</v>
      </c>
      <c r="B134" s="115">
        <v>37.4</v>
      </c>
      <c r="C134" s="72">
        <v>5.3763441000000004E-3</v>
      </c>
      <c r="D134" s="24">
        <v>37.5</v>
      </c>
      <c r="E134" s="25">
        <f t="shared" si="66"/>
        <v>2.6737967914438883E-3</v>
      </c>
      <c r="F134" s="94">
        <f>IF(ISNUMBER(D134), $B145 * E134, "")</f>
        <v>401.06951871658322</v>
      </c>
      <c r="G134" s="92">
        <v>36.700000000000003</v>
      </c>
      <c r="H134" s="25">
        <f t="shared" si="67"/>
        <v>-1.8716577540106839E-2</v>
      </c>
      <c r="I134" s="93">
        <f>IF(ISNUMBER(G134), $B145 * H134, "")</f>
        <v>-2807.486631016026</v>
      </c>
      <c r="J134" s="24">
        <v>37.1</v>
      </c>
      <c r="K134" s="25">
        <f t="shared" si="68"/>
        <v>-8.0213903743314753E-3</v>
      </c>
      <c r="L134" s="94">
        <f>IF(ISNUMBER(J134), $B145 * K134, "")</f>
        <v>-1203.2085561497213</v>
      </c>
      <c r="M134" s="92">
        <v>37</v>
      </c>
      <c r="N134" s="25">
        <f t="shared" si="69"/>
        <v>-1.0695187165775364E-2</v>
      </c>
      <c r="O134" s="94">
        <f>IF(ISNUMBER(M134), $B145 * N134, "")</f>
        <v>-1604.2780748663047</v>
      </c>
      <c r="Q134" s="147"/>
      <c r="R134" s="148"/>
      <c r="S134" s="149"/>
    </row>
    <row r="135" spans="1:19">
      <c r="A135" s="107" t="s">
        <v>350</v>
      </c>
      <c r="B135" s="108">
        <v>5.65</v>
      </c>
      <c r="C135" s="69">
        <v>5.3380783000000001E-3</v>
      </c>
      <c r="D135" s="13">
        <v>5.62</v>
      </c>
      <c r="E135" s="14">
        <f>IF(ISNUMBER(D135), (D135 - $B135) / $B135, "")</f>
        <v>-5.3097345132743796E-3</v>
      </c>
      <c r="F135" s="16">
        <f>IF(ISNUMBER(D135), $B145 * E135, "")</f>
        <v>-796.46017699115691</v>
      </c>
      <c r="G135" s="29">
        <v>5.53</v>
      </c>
      <c r="H135" s="14">
        <f>IF(ISNUMBER(G135), (G135 - $B135) / $B135, "")</f>
        <v>-2.1238938053097362E-2</v>
      </c>
      <c r="I135" s="90">
        <f>IF(ISNUMBER(G135), $B145 * H135, "")</f>
        <v>-3185.8407079646045</v>
      </c>
      <c r="J135" s="13">
        <v>5.67</v>
      </c>
      <c r="K135" s="14">
        <f>IF(ISNUMBER(J135), (J135 - $B135) / $B135, "")</f>
        <v>3.539823008849482E-3</v>
      </c>
      <c r="L135" s="16">
        <f>IF(ISNUMBER(J135), $B145 * K135, "")</f>
        <v>530.97345132742225</v>
      </c>
      <c r="M135" s="29">
        <v>5.63</v>
      </c>
      <c r="N135" s="14">
        <f>IF(ISNUMBER(M135), (M135 - $B135) / $B135, "")</f>
        <v>-3.539823008849639E-3</v>
      </c>
      <c r="O135" s="16">
        <f>IF(ISNUMBER(M135), $B145 * N135, "")</f>
        <v>-530.9734513274459</v>
      </c>
      <c r="Q135" s="150"/>
      <c r="R135" s="151"/>
      <c r="S135" s="152"/>
    </row>
    <row r="136" spans="1:19" ht="17.25" thickBot="1">
      <c r="A136" s="109" t="s">
        <v>51</v>
      </c>
      <c r="B136" s="110">
        <v>94.6</v>
      </c>
      <c r="C136" s="70">
        <v>5.3134962999999997E-3</v>
      </c>
      <c r="D136" s="15">
        <v>94.5</v>
      </c>
      <c r="E136" s="32">
        <f t="shared" ref="E136:E139" si="70">IF(ISNUMBER(D136), (D136 - $B136) / $B136, "")</f>
        <v>-1.0570824524312296E-3</v>
      </c>
      <c r="F136" s="18">
        <f>IF(ISNUMBER(D136), $B145 * E136, "")</f>
        <v>-158.56236786468443</v>
      </c>
      <c r="G136" s="31">
        <v>92.8</v>
      </c>
      <c r="H136" s="32">
        <f t="shared" ref="H136:H139" si="71">IF(ISNUMBER(G136), (G136 - $B136) / $B136, "")</f>
        <v>-1.9027484143763186E-2</v>
      </c>
      <c r="I136" s="91">
        <f>IF(ISNUMBER(G136), $B145 * H136, "")</f>
        <v>-2854.1226215644779</v>
      </c>
      <c r="J136" s="15">
        <v>93.7</v>
      </c>
      <c r="K136" s="32">
        <f t="shared" ref="K136:K139" si="72">IF(ISNUMBER(J136), (J136 - $B136) / $B136, "")</f>
        <v>-9.5137420718815167E-3</v>
      </c>
      <c r="L136" s="18">
        <f>IF(ISNUMBER(J136), $B145 * K136, "")</f>
        <v>-1427.0613107822276</v>
      </c>
      <c r="M136" s="31">
        <v>93.1</v>
      </c>
      <c r="N136" s="32">
        <f t="shared" ref="N136:N139" si="73">IF(ISNUMBER(M136), (M136 - $B136) / $B136, "")</f>
        <v>-1.5856236786469347E-2</v>
      </c>
      <c r="O136" s="18">
        <f>IF(ISNUMBER(M136), $B145 * N136, "")</f>
        <v>-2378.4355179704021</v>
      </c>
      <c r="Q136" s="153"/>
      <c r="R136" s="154"/>
      <c r="S136" s="155"/>
    </row>
    <row r="137" spans="1:19" ht="17.25" thickBot="1">
      <c r="A137" s="109" t="s">
        <v>118</v>
      </c>
      <c r="B137" s="110">
        <v>4.82</v>
      </c>
      <c r="C137" s="70">
        <v>4.1666667000000001E-3</v>
      </c>
      <c r="D137" s="15">
        <v>4.87</v>
      </c>
      <c r="E137" s="32">
        <f t="shared" si="70"/>
        <v>1.0373443983402453E-2</v>
      </c>
      <c r="F137" s="18">
        <f>IF(ISNUMBER(D137), $B145 * E137, "")</f>
        <v>1556.016597510368</v>
      </c>
      <c r="G137" s="31">
        <v>4.7699999999999996</v>
      </c>
      <c r="H137" s="32">
        <f t="shared" si="71"/>
        <v>-1.0373443983402637E-2</v>
      </c>
      <c r="I137" s="91">
        <f>IF(ISNUMBER(G137), $B145 * H137, "")</f>
        <v>-1556.0165975103955</v>
      </c>
      <c r="J137" s="15">
        <v>4.9000000000000004</v>
      </c>
      <c r="K137" s="32">
        <f t="shared" si="72"/>
        <v>1.6597510373443997E-2</v>
      </c>
      <c r="L137" s="18">
        <f>IF(ISNUMBER(J137), $B145 * K137, "")</f>
        <v>2489.6265560165998</v>
      </c>
      <c r="M137" s="31">
        <v>4.8</v>
      </c>
      <c r="N137" s="32">
        <f t="shared" si="73"/>
        <v>-4.1493775933610913E-3</v>
      </c>
      <c r="O137" s="18">
        <f>IF(ISNUMBER(M137), $B145 * N137, "")</f>
        <v>-622.40663900416371</v>
      </c>
      <c r="Q137" s="146"/>
      <c r="R137" s="146"/>
      <c r="S137" s="146"/>
    </row>
    <row r="138" spans="1:19" ht="17.25" thickBot="1">
      <c r="A138" s="109" t="s">
        <v>241</v>
      </c>
      <c r="B138" s="110">
        <v>86.1</v>
      </c>
      <c r="C138" s="70">
        <v>3.4965034999999999E-3</v>
      </c>
      <c r="D138" s="15">
        <v>86</v>
      </c>
      <c r="E138" s="32">
        <f t="shared" si="70"/>
        <v>-1.1614401858303638E-3</v>
      </c>
      <c r="F138" s="18">
        <f>IF(ISNUMBER(D138), $B145 * E138, "")</f>
        <v>-174.21602787455458</v>
      </c>
      <c r="G138" s="31">
        <v>84.6</v>
      </c>
      <c r="H138" s="32">
        <f t="shared" si="71"/>
        <v>-1.7421602787456449E-2</v>
      </c>
      <c r="I138" s="91">
        <f>IF(ISNUMBER(G138), $B145 * H138, "")</f>
        <v>-2613.2404181184675</v>
      </c>
      <c r="J138" s="15">
        <v>85.4</v>
      </c>
      <c r="K138" s="32">
        <f t="shared" si="72"/>
        <v>-8.1300813008128772E-3</v>
      </c>
      <c r="L138" s="18">
        <f>IF(ISNUMBER(J138), $B145 * K138, "")</f>
        <v>-1219.5121951219317</v>
      </c>
      <c r="M138" s="31">
        <v>85.3</v>
      </c>
      <c r="N138" s="32">
        <f t="shared" si="73"/>
        <v>-9.2915214866434049E-3</v>
      </c>
      <c r="O138" s="18">
        <f>IF(ISNUMBER(M138), $B145 * N138, "")</f>
        <v>-1393.7282229965108</v>
      </c>
      <c r="Q138" s="156"/>
      <c r="R138" s="156"/>
      <c r="S138" s="156"/>
    </row>
    <row r="139" spans="1:19" ht="17.25" thickBot="1">
      <c r="A139" s="111" t="s">
        <v>145</v>
      </c>
      <c r="B139" s="112">
        <v>70.400000000000006</v>
      </c>
      <c r="C139" s="71">
        <v>2.8490028000000001E-3</v>
      </c>
      <c r="D139" s="20">
        <v>69.900000000000006</v>
      </c>
      <c r="E139" s="21">
        <f t="shared" si="70"/>
        <v>-7.102272727272727E-3</v>
      </c>
      <c r="F139" s="22">
        <f>IF(ISNUMBER(D139), $B145 * E139, "")</f>
        <v>-1065.340909090909</v>
      </c>
      <c r="G139" s="30">
        <v>69.7</v>
      </c>
      <c r="H139" s="21">
        <f t="shared" si="71"/>
        <v>-9.9431818181818579E-3</v>
      </c>
      <c r="I139" s="95">
        <f>IF(ISNUMBER(G139), $B145 * H139, "")</f>
        <v>-1491.4772727272787</v>
      </c>
      <c r="J139" s="20">
        <v>69.8</v>
      </c>
      <c r="K139" s="21">
        <f t="shared" si="72"/>
        <v>-8.5227272727273935E-3</v>
      </c>
      <c r="L139" s="22">
        <f>IF(ISNUMBER(J139), $B145 * K139, "")</f>
        <v>-1278.409090909109</v>
      </c>
      <c r="M139" s="30">
        <v>69.400000000000006</v>
      </c>
      <c r="N139" s="21">
        <f t="shared" si="73"/>
        <v>-1.4204545454545454E-2</v>
      </c>
      <c r="O139" s="22">
        <f>IF(ISNUMBER(M139), $B145 * N139, "")</f>
        <v>-2130.681818181818</v>
      </c>
      <c r="Q139" s="156"/>
      <c r="R139" s="156"/>
      <c r="S139" s="156"/>
    </row>
    <row r="140" spans="1:19" ht="17.25" thickBot="1">
      <c r="A140" s="109" t="s">
        <v>209</v>
      </c>
      <c r="B140" s="113">
        <v>71.099999999999994</v>
      </c>
      <c r="C140" s="73">
        <v>2.8208744999999999E-3</v>
      </c>
      <c r="D140" s="96">
        <v>71.2</v>
      </c>
      <c r="E140" s="97">
        <f>IF(ISNUMBER(D140), (D140 - $B140) / $B140, "")</f>
        <v>1.4064697609002606E-3</v>
      </c>
      <c r="F140" s="98">
        <f>IF(ISNUMBER(D140), $B145 * E140, "")</f>
        <v>210.97046413503909</v>
      </c>
      <c r="G140" s="99">
        <v>69.8</v>
      </c>
      <c r="H140" s="97">
        <f>IF(ISNUMBER(G140), (G140 - $B140) / $B140, "")</f>
        <v>-1.828410689170179E-2</v>
      </c>
      <c r="I140" s="100">
        <f>IF(ISNUMBER(G140), $B145 * H140, "")</f>
        <v>-2742.6160337552687</v>
      </c>
      <c r="J140" s="96">
        <v>70.8</v>
      </c>
      <c r="K140" s="97">
        <f>IF(ISNUMBER(J140), (J140 - $B140) / $B140, "")</f>
        <v>-4.2194092827003826E-3</v>
      </c>
      <c r="L140" s="98">
        <f>IF(ISNUMBER(J140), $B145 * K140, "")</f>
        <v>-632.91139240505743</v>
      </c>
      <c r="M140" s="99">
        <v>70.5</v>
      </c>
      <c r="N140" s="97">
        <f>IF(ISNUMBER(M140), (M140 - $B140) / $B140, "")</f>
        <v>-8.4388185654007651E-3</v>
      </c>
      <c r="O140" s="98">
        <f>IF(ISNUMBER(M140), $B145 * N140, "")</f>
        <v>-1265.8227848101149</v>
      </c>
      <c r="Q140" s="146"/>
      <c r="R140" s="146"/>
      <c r="S140" s="146"/>
    </row>
    <row r="141" spans="1:19" ht="17.25" thickBot="1">
      <c r="A141" s="109" t="s">
        <v>329</v>
      </c>
      <c r="B141" s="110">
        <v>49.2</v>
      </c>
      <c r="C141" s="70">
        <v>2.0366599E-3</v>
      </c>
      <c r="D141" s="15">
        <v>49.3</v>
      </c>
      <c r="E141" s="32">
        <f t="shared" ref="E141:E144" si="74">IF(ISNUMBER(D141), (D141 - $B141) / $B141, "")</f>
        <v>2.0325203252031365E-3</v>
      </c>
      <c r="F141" s="18">
        <f>IF(ISNUMBER(D141), $B145 * E141, "")</f>
        <v>304.87804878047046</v>
      </c>
      <c r="G141" s="31">
        <v>48.5</v>
      </c>
      <c r="H141" s="32">
        <f t="shared" ref="H141:H144" si="75">IF(ISNUMBER(G141), (G141 - $B141) / $B141, "")</f>
        <v>-1.4227642276422821E-2</v>
      </c>
      <c r="I141" s="91">
        <f>IF(ISNUMBER(G141), $B145 * H141, "")</f>
        <v>-2134.1463414634231</v>
      </c>
      <c r="J141" s="15">
        <v>49</v>
      </c>
      <c r="K141" s="32">
        <f t="shared" ref="K141:K144" si="76">IF(ISNUMBER(J141), (J141 - $B141) / $B141, "")</f>
        <v>-4.0650406504065617E-3</v>
      </c>
      <c r="L141" s="18">
        <f>IF(ISNUMBER(J141), $B145 * K141, "")</f>
        <v>-609.75609756098424</v>
      </c>
      <c r="M141" s="31">
        <v>48.6</v>
      </c>
      <c r="N141" s="32">
        <f t="shared" ref="N141:N144" si="77">IF(ISNUMBER(M141), (M141 - $B141) / $B141, "")</f>
        <v>-1.219512195121954E-2</v>
      </c>
      <c r="O141" s="18">
        <f>IF(ISNUMBER(M141), $B145 * N141, "")</f>
        <v>-1829.2682926829311</v>
      </c>
      <c r="Q141" s="146"/>
      <c r="R141" s="146"/>
      <c r="S141" s="146"/>
    </row>
    <row r="142" spans="1:19" ht="17.25" thickBot="1">
      <c r="A142" s="109" t="s">
        <v>205</v>
      </c>
      <c r="B142" s="110">
        <v>92.3</v>
      </c>
      <c r="C142" s="70">
        <v>1.0845987E-3</v>
      </c>
      <c r="D142" s="15">
        <v>91.6</v>
      </c>
      <c r="E142" s="32">
        <f t="shared" si="74"/>
        <v>-7.5839653304442343E-3</v>
      </c>
      <c r="F142" s="18">
        <f>IF(ISNUMBER(D142), $B145 * E142, "")</f>
        <v>-1137.5947995666352</v>
      </c>
      <c r="G142" s="31">
        <v>90.1</v>
      </c>
      <c r="H142" s="32">
        <f t="shared" si="75"/>
        <v>-2.3835319609967529E-2</v>
      </c>
      <c r="I142" s="91">
        <f>IF(ISNUMBER(G142), $B145 * H142, "")</f>
        <v>-3575.2979414951292</v>
      </c>
      <c r="J142" s="15">
        <v>91.1</v>
      </c>
      <c r="K142" s="32">
        <f t="shared" si="76"/>
        <v>-1.3001083423618666E-2</v>
      </c>
      <c r="L142" s="18">
        <f>IF(ISNUMBER(J142), $B145 * K142, "")</f>
        <v>-1950.1625135427998</v>
      </c>
      <c r="M142" s="31">
        <v>90.7</v>
      </c>
      <c r="N142" s="32">
        <f t="shared" si="77"/>
        <v>-1.733477789815812E-2</v>
      </c>
      <c r="O142" s="18">
        <f>IF(ISNUMBER(M142), $B145 * N142, "")</f>
        <v>-2600.2166847237181</v>
      </c>
      <c r="Q142" s="146"/>
      <c r="R142" s="146"/>
      <c r="S142" s="146"/>
    </row>
    <row r="143" spans="1:19">
      <c r="A143" s="109" t="s">
        <v>71</v>
      </c>
      <c r="B143" s="110">
        <v>9.7899999999999991</v>
      </c>
      <c r="C143" s="70">
        <v>1.0224949E-3</v>
      </c>
      <c r="D143" s="15">
        <v>9.75</v>
      </c>
      <c r="E143" s="32">
        <f t="shared" si="74"/>
        <v>-4.0858018386107408E-3</v>
      </c>
      <c r="F143" s="18">
        <f>IF(ISNUMBER(D143), $B145 * E143, "")</f>
        <v>-612.87027579161111</v>
      </c>
      <c r="G143" s="31">
        <v>9.56</v>
      </c>
      <c r="H143" s="32">
        <f t="shared" si="75"/>
        <v>-2.3493360572012123E-2</v>
      </c>
      <c r="I143" s="91">
        <f>IF(ISNUMBER(G143), $B145 * H143, "")</f>
        <v>-3524.0040858018183</v>
      </c>
      <c r="J143" s="15">
        <v>9.64</v>
      </c>
      <c r="K143" s="32">
        <f t="shared" si="76"/>
        <v>-1.5321756894790459E-2</v>
      </c>
      <c r="L143" s="18">
        <f>IF(ISNUMBER(J143), $B145 * K143, "")</f>
        <v>-2298.263534218569</v>
      </c>
      <c r="M143" s="31">
        <v>9.6300000000000008</v>
      </c>
      <c r="N143" s="32">
        <f t="shared" si="77"/>
        <v>-1.6343207354443143E-2</v>
      </c>
      <c r="O143" s="18">
        <f>IF(ISNUMBER(M143), $B145 * N143, "")</f>
        <v>-2451.4811031664717</v>
      </c>
      <c r="Q143" s="135"/>
      <c r="R143" s="136"/>
      <c r="S143" s="137"/>
    </row>
    <row r="144" spans="1:19" ht="17.25" thickBot="1">
      <c r="A144" s="114" t="s">
        <v>191</v>
      </c>
      <c r="B144" s="115">
        <v>51</v>
      </c>
      <c r="C144" s="72">
        <v>-1.35396518E-2</v>
      </c>
      <c r="D144" s="24">
        <v>50.6</v>
      </c>
      <c r="E144" s="25">
        <f t="shared" si="74"/>
        <v>-7.8431372549019329E-3</v>
      </c>
      <c r="F144" s="94">
        <f>IF(ISNUMBER(D144), $B145 * E144, "")</f>
        <v>-1176.4705882352901</v>
      </c>
      <c r="G144" s="92">
        <v>50.1</v>
      </c>
      <c r="H144" s="25">
        <f t="shared" si="75"/>
        <v>-1.7647058823529384E-2</v>
      </c>
      <c r="I144" s="93">
        <f>IF(ISNUMBER(G144), $B145 * H144, "")</f>
        <v>-2647.0588235294076</v>
      </c>
      <c r="J144" s="24">
        <v>50.7</v>
      </c>
      <c r="K144" s="25">
        <f t="shared" si="76"/>
        <v>-5.882352941176415E-3</v>
      </c>
      <c r="L144" s="94">
        <f>IF(ISNUMBER(J144), $B145 * K144, "")</f>
        <v>-882.3529411764622</v>
      </c>
      <c r="M144" s="92">
        <v>50.3</v>
      </c>
      <c r="N144" s="25">
        <f t="shared" si="77"/>
        <v>-1.3725490196078487E-2</v>
      </c>
      <c r="O144" s="94">
        <f>IF(ISNUMBER(M144), $B145 * N144, "")</f>
        <v>-2058.8235294117731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2.4647384229755749E-3</v>
      </c>
      <c r="F145" s="28">
        <f>SUM(F125:F144)</f>
        <v>7394.2152689267259</v>
      </c>
      <c r="G145" s="26" t="s">
        <v>258</v>
      </c>
      <c r="H145" s="27">
        <f>IF(COUNT(H125:H144), SUM(H125:H144) / COUNT(H125:H144), 0)</f>
        <v>-1.174820849042486E-2</v>
      </c>
      <c r="I145" s="28">
        <f>SUM(I125:I144)</f>
        <v>-35244.625471274587</v>
      </c>
      <c r="J145" s="26" t="s">
        <v>258</v>
      </c>
      <c r="K145" s="27">
        <f>IF(COUNT(K125:K144), SUM(K125:K144) / COUNT(K125:K144), 0)</f>
        <v>2.537170887231086E-3</v>
      </c>
      <c r="L145" s="28">
        <f>SUM(L125:L144)</f>
        <v>7611.5126616932512</v>
      </c>
      <c r="M145" s="26" t="s">
        <v>258</v>
      </c>
      <c r="N145" s="27">
        <f>IF(COUNT(N125:N144), SUM(N125:N144) / COUNT(N125:N144), 0)</f>
        <v>-5.7607392786095972E-3</v>
      </c>
      <c r="O145" s="28">
        <f>SUM(O125:O144)</f>
        <v>-17282.217835828793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2023-01-05(목) 오전 00:00</v>
      </c>
      <c r="C150" s="198"/>
      <c r="D150" s="170" t="str">
        <f>TEXT($G$1, "[$-ko-KR]yyyy-mm-dd(ddd) ") &amp; "오후 14:00"</f>
        <v>2023-01-05(목) 오후 14:00</v>
      </c>
      <c r="E150" s="171"/>
      <c r="F150" s="172"/>
      <c r="G150" s="170" t="str">
        <f>TEXT($G$1, "[$-ko-KR]yyyy-mm-dd(ddd) ") &amp; "오후 19:00"</f>
        <v>2023-01-05(목) 오후 19:00</v>
      </c>
      <c r="H150" s="171"/>
      <c r="I150" s="172"/>
      <c r="J150" s="170" t="str">
        <f>TEXT($G$1, "[$-ko-KR]yyyy-mm-dd(ddd) ") &amp; "오후 21:00"</f>
        <v>2023-01-05(목) 오후 21:00</v>
      </c>
      <c r="K150" s="171"/>
      <c r="L150" s="172"/>
      <c r="M150" s="170" t="str">
        <f>TEXT($G$1+1, "[$-ko-KR]yyyy-mm-dd(ddd) ") &amp; "오전 00:00"</f>
        <v>2023-01-06(금)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66</v>
      </c>
      <c r="B152" s="108">
        <v>589</v>
      </c>
      <c r="C152" s="69">
        <v>1.02915952E-2</v>
      </c>
      <c r="D152" s="13">
        <v>587</v>
      </c>
      <c r="E152" s="14">
        <f>IF(ISNUMBER(D152), (D152 - $B152) / $B152, "")</f>
        <v>-3.3955857385398981E-3</v>
      </c>
      <c r="F152" s="16">
        <f>IF(ISNUMBER(D152), $B172 * E152, "")</f>
        <v>-509.33786078098473</v>
      </c>
      <c r="G152" s="29">
        <v>580</v>
      </c>
      <c r="H152" s="14">
        <f>IF(ISNUMBER(G152), (G152 - $B152) / $B152, "")</f>
        <v>-1.5280135823429542E-2</v>
      </c>
      <c r="I152" s="90">
        <f>IF(ISNUMBER(G152), $B172 * H152, "")</f>
        <v>-2292.0203735144314</v>
      </c>
      <c r="J152" s="13">
        <v>588</v>
      </c>
      <c r="K152" s="14">
        <f>IF(ISNUMBER(J152), (J152 - $B152) / $B152, "")</f>
        <v>-1.697792869269949E-3</v>
      </c>
      <c r="L152" s="16">
        <f>IF(ISNUMBER(J152), $B172 * K152, "")</f>
        <v>-254.66893039049236</v>
      </c>
      <c r="M152" s="29">
        <v>592</v>
      </c>
      <c r="N152" s="14">
        <f>IF(ISNUMBER(M152), (M152 - $B152) / $B152, "")</f>
        <v>5.0933786078098476E-3</v>
      </c>
      <c r="O152" s="16">
        <f>IF(ISNUMBER(M152), $B172 * N152, "")</f>
        <v>764.00679117147718</v>
      </c>
      <c r="Q152" s="156"/>
      <c r="R152" s="156"/>
      <c r="S152" s="156"/>
    </row>
    <row r="153" spans="1:19" ht="17.25" thickBot="1">
      <c r="A153" s="109" t="s">
        <v>165</v>
      </c>
      <c r="B153" s="110">
        <v>894</v>
      </c>
      <c r="C153" s="70">
        <v>1.0169491500000001E-2</v>
      </c>
      <c r="D153" s="15">
        <v>891</v>
      </c>
      <c r="E153" s="32">
        <f t="shared" ref="E153:E156" si="78">IF(ISNUMBER(D153), (D153 - $B153) / $B153, "")</f>
        <v>-3.3557046979865771E-3</v>
      </c>
      <c r="F153" s="18">
        <f>IF(ISNUMBER(D153), $B172 * E153, "")</f>
        <v>-503.35570469798654</v>
      </c>
      <c r="G153" s="31">
        <v>880</v>
      </c>
      <c r="H153" s="32">
        <f t="shared" ref="H153:H156" si="79">IF(ISNUMBER(G153), (G153 - $B153) / $B153, "")</f>
        <v>-1.5659955257270694E-2</v>
      </c>
      <c r="I153" s="91">
        <f>IF(ISNUMBER(G153), $B172 * H153, "")</f>
        <v>-2348.9932885906042</v>
      </c>
      <c r="J153" s="15">
        <v>883</v>
      </c>
      <c r="K153" s="32">
        <f t="shared" ref="K153:K156" si="80">IF(ISNUMBER(J153), (J153 - $B153) / $B153, "")</f>
        <v>-1.2304250559284116E-2</v>
      </c>
      <c r="L153" s="18">
        <f>IF(ISNUMBER(J153), $B172 * K153, "")</f>
        <v>-1845.6375838926174</v>
      </c>
      <c r="M153" s="31">
        <v>892</v>
      </c>
      <c r="N153" s="32">
        <f t="shared" ref="N153:N156" si="81">IF(ISNUMBER(M153), (M153 - $B153) / $B153, "")</f>
        <v>-2.2371364653243847E-3</v>
      </c>
      <c r="O153" s="18">
        <f>IF(ISNUMBER(M153), $B172 * N153, "")</f>
        <v>-335.57046979865771</v>
      </c>
      <c r="Q153" s="156"/>
      <c r="R153" s="156"/>
      <c r="S153" s="156"/>
    </row>
    <row r="154" spans="1:19" ht="17.25" thickBot="1">
      <c r="A154" s="109" t="s">
        <v>345</v>
      </c>
      <c r="B154" s="110">
        <v>109</v>
      </c>
      <c r="C154" s="70">
        <v>9.2592592999999994E-3</v>
      </c>
      <c r="D154" s="15">
        <v>110</v>
      </c>
      <c r="E154" s="32">
        <f t="shared" si="78"/>
        <v>9.1743119266055051E-3</v>
      </c>
      <c r="F154" s="18">
        <f>IF(ISNUMBER(D154), $B172 * E154, "")</f>
        <v>1376.1467889908258</v>
      </c>
      <c r="G154" s="31">
        <v>108</v>
      </c>
      <c r="H154" s="32">
        <f t="shared" si="79"/>
        <v>-9.1743119266055051E-3</v>
      </c>
      <c r="I154" s="91">
        <f>IF(ISNUMBER(G154), $B172 * H154, "")</f>
        <v>-1376.1467889908258</v>
      </c>
      <c r="J154" s="15">
        <v>109</v>
      </c>
      <c r="K154" s="32">
        <f t="shared" si="80"/>
        <v>0</v>
      </c>
      <c r="L154" s="18">
        <f>IF(ISNUMBER(J154), $B172 * K154, "")</f>
        <v>0</v>
      </c>
      <c r="M154" s="31">
        <v>108</v>
      </c>
      <c r="N154" s="32">
        <f t="shared" si="81"/>
        <v>-9.1743119266055051E-3</v>
      </c>
      <c r="O154" s="18">
        <f>IF(ISNUMBER(M154), $B172 * N154, "")</f>
        <v>-1376.1467889908258</v>
      </c>
      <c r="Q154" s="146"/>
      <c r="R154" s="146"/>
      <c r="S154" s="146"/>
    </row>
    <row r="155" spans="1:19" ht="17.25" thickBot="1">
      <c r="A155" s="109" t="s">
        <v>169</v>
      </c>
      <c r="B155" s="110">
        <v>229</v>
      </c>
      <c r="C155" s="70">
        <v>8.8105726999999998E-3</v>
      </c>
      <c r="D155" s="15">
        <v>229</v>
      </c>
      <c r="E155" s="32">
        <f t="shared" si="78"/>
        <v>0</v>
      </c>
      <c r="F155" s="18">
        <f>IF(ISNUMBER(D155), $B172 * E155, "")</f>
        <v>0</v>
      </c>
      <c r="G155" s="31">
        <v>226</v>
      </c>
      <c r="H155" s="32">
        <f t="shared" si="79"/>
        <v>-1.3100436681222707E-2</v>
      </c>
      <c r="I155" s="91">
        <f>IF(ISNUMBER(G155), $B172 * H155, "")</f>
        <v>-1965.0655021834061</v>
      </c>
      <c r="J155" s="15">
        <v>230</v>
      </c>
      <c r="K155" s="32">
        <f t="shared" si="80"/>
        <v>4.3668122270742356E-3</v>
      </c>
      <c r="L155" s="18">
        <f>IF(ISNUMBER(J155), $B172 * K155, "")</f>
        <v>655.02183406113534</v>
      </c>
      <c r="M155" s="31">
        <v>228</v>
      </c>
      <c r="N155" s="32">
        <f t="shared" si="81"/>
        <v>-4.3668122270742356E-3</v>
      </c>
      <c r="O155" s="18">
        <f>IF(ISNUMBER(M155), $B172 * N155, "")</f>
        <v>-655.02183406113534</v>
      </c>
      <c r="Q155" s="146"/>
      <c r="R155" s="146"/>
      <c r="S155" s="146"/>
    </row>
    <row r="156" spans="1:19" ht="17.25" thickBot="1">
      <c r="A156" s="111" t="s">
        <v>215</v>
      </c>
      <c r="B156" s="112">
        <v>286</v>
      </c>
      <c r="C156" s="71">
        <v>7.0422534999999998E-3</v>
      </c>
      <c r="D156" s="20">
        <v>288</v>
      </c>
      <c r="E156" s="21">
        <f t="shared" si="78"/>
        <v>6.993006993006993E-3</v>
      </c>
      <c r="F156" s="22">
        <f>IF(ISNUMBER(D156), $B172 * E156, "")</f>
        <v>1048.951048951049</v>
      </c>
      <c r="G156" s="30">
        <v>283</v>
      </c>
      <c r="H156" s="21">
        <f t="shared" si="79"/>
        <v>-1.048951048951049E-2</v>
      </c>
      <c r="I156" s="95">
        <f>IF(ISNUMBER(G156), $B172 * H156, "")</f>
        <v>-1573.4265734265734</v>
      </c>
      <c r="J156" s="20">
        <v>287</v>
      </c>
      <c r="K156" s="21">
        <f t="shared" si="80"/>
        <v>3.4965034965034965E-3</v>
      </c>
      <c r="L156" s="22">
        <f>IF(ISNUMBER(J156), $B172 * K156, "")</f>
        <v>524.47552447552448</v>
      </c>
      <c r="M156" s="30">
        <v>287</v>
      </c>
      <c r="N156" s="21">
        <f t="shared" si="81"/>
        <v>3.4965034965034965E-3</v>
      </c>
      <c r="O156" s="22">
        <f>IF(ISNUMBER(M156), $B172 * N156, "")</f>
        <v>524.47552447552448</v>
      </c>
      <c r="Q156" s="146"/>
      <c r="R156" s="146"/>
      <c r="S156" s="146"/>
    </row>
    <row r="157" spans="1:19" ht="17.25" thickBot="1">
      <c r="A157" s="109" t="s">
        <v>187</v>
      </c>
      <c r="B157" s="113">
        <v>728</v>
      </c>
      <c r="C157" s="73">
        <v>6.9156293000000001E-3</v>
      </c>
      <c r="D157" s="96">
        <v>723</v>
      </c>
      <c r="E157" s="97">
        <f>IF(ISNUMBER(D157), (D157 - $B157) / $B157, "")</f>
        <v>-6.868131868131868E-3</v>
      </c>
      <c r="F157" s="98">
        <f>IF(ISNUMBER(D157), $B172 * E157, "")</f>
        <v>-1030.2197802197802</v>
      </c>
      <c r="G157" s="99">
        <v>713</v>
      </c>
      <c r="H157" s="97">
        <f>IF(ISNUMBER(G157), (G157 - $B157) / $B157, "")</f>
        <v>-2.0604395604395604E-2</v>
      </c>
      <c r="I157" s="100">
        <f>IF(ISNUMBER(G157), $B172 * H157, "")</f>
        <v>-3090.6593406593406</v>
      </c>
      <c r="J157" s="96">
        <v>721</v>
      </c>
      <c r="K157" s="97">
        <f>IF(ISNUMBER(J157), (J157 - $B157) / $B157, "")</f>
        <v>-9.6153846153846159E-3</v>
      </c>
      <c r="L157" s="98">
        <f>IF(ISNUMBER(J157), $B172 * K157, "")</f>
        <v>-1442.3076923076924</v>
      </c>
      <c r="M157" s="99">
        <v>720</v>
      </c>
      <c r="N157" s="97">
        <f>IF(ISNUMBER(M157), (M157 - $B157) / $B157, "")</f>
        <v>-1.098901098901099E-2</v>
      </c>
      <c r="O157" s="98">
        <f>IF(ISNUMBER(M157), $B172 * N157, "")</f>
        <v>-1648.3516483516485</v>
      </c>
      <c r="Q157" s="146"/>
      <c r="R157" s="146"/>
      <c r="S157" s="146"/>
    </row>
    <row r="158" spans="1:19" ht="17.25" thickBot="1">
      <c r="A158" s="109" t="s">
        <v>167</v>
      </c>
      <c r="B158" s="110">
        <v>160</v>
      </c>
      <c r="C158" s="70">
        <v>6.2893081999999996E-3</v>
      </c>
      <c r="D158" s="15">
        <v>161</v>
      </c>
      <c r="E158" s="32">
        <f t="shared" ref="E158:E161" si="82">IF(ISNUMBER(D158), (D158 - $B158) / $B158, "")</f>
        <v>6.2500000000000003E-3</v>
      </c>
      <c r="F158" s="18">
        <f>IF(ISNUMBER(D158), $B172 * E158, "")</f>
        <v>937.5</v>
      </c>
      <c r="G158" s="31">
        <v>159</v>
      </c>
      <c r="H158" s="32">
        <f t="shared" ref="H158:H161" si="83">IF(ISNUMBER(G158), (G158 - $B158) / $B158, "")</f>
        <v>-6.2500000000000003E-3</v>
      </c>
      <c r="I158" s="91">
        <f>IF(ISNUMBER(G158), $B172 * H158, "")</f>
        <v>-937.5</v>
      </c>
      <c r="J158" s="15">
        <v>161</v>
      </c>
      <c r="K158" s="32">
        <f t="shared" ref="K158:K161" si="84">IF(ISNUMBER(J158), (J158 - $B158) / $B158, "")</f>
        <v>6.2500000000000003E-3</v>
      </c>
      <c r="L158" s="18">
        <f>IF(ISNUMBER(J158), $B172 * K158, "")</f>
        <v>937.5</v>
      </c>
      <c r="M158" s="31">
        <v>162</v>
      </c>
      <c r="N158" s="32">
        <f t="shared" ref="N158:N161" si="85">IF(ISNUMBER(M158), (M158 - $B158) / $B158, "")</f>
        <v>1.2500000000000001E-2</v>
      </c>
      <c r="O158" s="18">
        <f>IF(ISNUMBER(M158), $B172 * N158, "")</f>
        <v>1875</v>
      </c>
      <c r="Q158" s="146"/>
      <c r="R158" s="146"/>
      <c r="S158" s="146"/>
    </row>
    <row r="159" spans="1:19" ht="17.25" thickBot="1">
      <c r="A159" s="109" t="s">
        <v>219</v>
      </c>
      <c r="B159" s="110">
        <v>349</v>
      </c>
      <c r="C159" s="70">
        <v>5.7636887999999997E-3</v>
      </c>
      <c r="D159" s="15">
        <v>347</v>
      </c>
      <c r="E159" s="32">
        <f t="shared" si="82"/>
        <v>-5.7306590257879654E-3</v>
      </c>
      <c r="F159" s="18">
        <f>IF(ISNUMBER(D159), $B172 * E159, "")</f>
        <v>-859.59885386819485</v>
      </c>
      <c r="G159" s="31">
        <v>340</v>
      </c>
      <c r="H159" s="32">
        <f t="shared" si="83"/>
        <v>-2.5787965616045846E-2</v>
      </c>
      <c r="I159" s="91">
        <f>IF(ISNUMBER(G159), $B172 * H159, "")</f>
        <v>-3868.1948424068769</v>
      </c>
      <c r="J159" s="15">
        <v>345</v>
      </c>
      <c r="K159" s="32">
        <f t="shared" si="84"/>
        <v>-1.1461318051575931E-2</v>
      </c>
      <c r="L159" s="18">
        <f>IF(ISNUMBER(J159), $B172 * K159, "")</f>
        <v>-1719.1977077363897</v>
      </c>
      <c r="M159" s="31">
        <v>344</v>
      </c>
      <c r="N159" s="32">
        <f t="shared" si="85"/>
        <v>-1.4326647564469915E-2</v>
      </c>
      <c r="O159" s="18">
        <f>IF(ISNUMBER(M159), $B172 * N159, "")</f>
        <v>-2148.9971346704874</v>
      </c>
      <c r="Q159" s="146"/>
      <c r="R159" s="146"/>
      <c r="S159" s="146"/>
    </row>
    <row r="160" spans="1:19" ht="17.25" thickBot="1">
      <c r="A160" s="109" t="s">
        <v>317</v>
      </c>
      <c r="B160" s="110">
        <v>571</v>
      </c>
      <c r="C160" s="70">
        <v>5.2816900999999999E-3</v>
      </c>
      <c r="D160" s="15">
        <v>566</v>
      </c>
      <c r="E160" s="32">
        <f t="shared" si="82"/>
        <v>-8.7565674255691769E-3</v>
      </c>
      <c r="F160" s="18">
        <f>IF(ISNUMBER(D160), $B172 * E160, "")</f>
        <v>-1313.4851138353765</v>
      </c>
      <c r="G160" s="31">
        <v>557</v>
      </c>
      <c r="H160" s="32">
        <f t="shared" si="83"/>
        <v>-2.4518388791593695E-2</v>
      </c>
      <c r="I160" s="91">
        <f>IF(ISNUMBER(G160), $B172 * H160, "")</f>
        <v>-3677.7583187390542</v>
      </c>
      <c r="J160" s="15">
        <v>562</v>
      </c>
      <c r="K160" s="32">
        <f t="shared" si="84"/>
        <v>-1.5761821366024518E-2</v>
      </c>
      <c r="L160" s="18">
        <f>IF(ISNUMBER(J160), $B172 * K160, "")</f>
        <v>-2364.2732049036777</v>
      </c>
      <c r="M160" s="31">
        <v>560</v>
      </c>
      <c r="N160" s="32">
        <f t="shared" si="85"/>
        <v>-1.9264448336252189E-2</v>
      </c>
      <c r="O160" s="18">
        <f>IF(ISNUMBER(M160), $B172 * N160, "")</f>
        <v>-2889.6672504378284</v>
      </c>
      <c r="Q160" s="33"/>
      <c r="R160" s="33"/>
    </row>
    <row r="161" spans="1:19" ht="17.25" thickBot="1">
      <c r="A161" s="114" t="s">
        <v>89</v>
      </c>
      <c r="B161" s="115">
        <v>442</v>
      </c>
      <c r="C161" s="72">
        <v>4.5454544999999997E-3</v>
      </c>
      <c r="D161" s="24">
        <v>445</v>
      </c>
      <c r="E161" s="25">
        <f t="shared" si="82"/>
        <v>6.7873303167420816E-3</v>
      </c>
      <c r="F161" s="94">
        <f>IF(ISNUMBER(D161), $B172 * E161, "")</f>
        <v>1018.0995475113123</v>
      </c>
      <c r="G161" s="92">
        <v>434</v>
      </c>
      <c r="H161" s="25">
        <f t="shared" si="83"/>
        <v>-1.8099547511312219E-2</v>
      </c>
      <c r="I161" s="93">
        <f>IF(ISNUMBER(G161), $B172 * H161, "")</f>
        <v>-2714.9321266968327</v>
      </c>
      <c r="J161" s="24">
        <v>437</v>
      </c>
      <c r="K161" s="25">
        <f t="shared" si="84"/>
        <v>-1.1312217194570135E-2</v>
      </c>
      <c r="L161" s="94">
        <f>IF(ISNUMBER(J161), $B172 * K161, "")</f>
        <v>-1696.8325791855202</v>
      </c>
      <c r="M161" s="92">
        <v>436</v>
      </c>
      <c r="N161" s="25">
        <f t="shared" si="85"/>
        <v>-1.3574660633484163E-2</v>
      </c>
      <c r="O161" s="94">
        <f>IF(ISNUMBER(M161), $B172 * N161, "")</f>
        <v>-2036.1990950226245</v>
      </c>
      <c r="Q161" s="147"/>
      <c r="R161" s="148"/>
      <c r="S161" s="149"/>
    </row>
    <row r="162" spans="1:19">
      <c r="A162" s="107" t="s">
        <v>231</v>
      </c>
      <c r="B162" s="108">
        <v>308</v>
      </c>
      <c r="C162" s="69">
        <v>3.2573290000000002E-3</v>
      </c>
      <c r="D162" s="13">
        <v>310</v>
      </c>
      <c r="E162" s="14">
        <f>IF(ISNUMBER(D162), (D162 - $B162) / $B162, "")</f>
        <v>6.4935064935064939E-3</v>
      </c>
      <c r="F162" s="16">
        <f>IF(ISNUMBER(D162), $B172 * E162, "")</f>
        <v>974.02597402597405</v>
      </c>
      <c r="G162" s="29">
        <v>303</v>
      </c>
      <c r="H162" s="14">
        <f>IF(ISNUMBER(G162), (G162 - $B162) / $B162, "")</f>
        <v>-1.6233766233766232E-2</v>
      </c>
      <c r="I162" s="90">
        <f>IF(ISNUMBER(G162), $B172 * H162, "")</f>
        <v>-2435.0649350649346</v>
      </c>
      <c r="J162" s="13">
        <v>306</v>
      </c>
      <c r="K162" s="14">
        <f>IF(ISNUMBER(J162), (J162 - $B162) / $B162, "")</f>
        <v>-6.4935064935064939E-3</v>
      </c>
      <c r="L162" s="16">
        <f>IF(ISNUMBER(J162), $B172 * K162, "")</f>
        <v>-974.02597402597405</v>
      </c>
      <c r="M162" s="29">
        <v>306</v>
      </c>
      <c r="N162" s="14">
        <f>IF(ISNUMBER(M162), (M162 - $B162) / $B162, "")</f>
        <v>-6.4935064935064939E-3</v>
      </c>
      <c r="O162" s="16">
        <f>IF(ISNUMBER(M162), $B172 * N162, "")</f>
        <v>-974.02597402597405</v>
      </c>
      <c r="Q162" s="150"/>
      <c r="R162" s="151"/>
      <c r="S162" s="152"/>
    </row>
    <row r="163" spans="1:19" ht="17.25" thickBot="1">
      <c r="A163" s="109" t="s">
        <v>239</v>
      </c>
      <c r="B163" s="110">
        <v>411</v>
      </c>
      <c r="C163" s="70">
        <v>2.4390243999999998E-3</v>
      </c>
      <c r="D163" s="15">
        <v>411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407</v>
      </c>
      <c r="H163" s="32">
        <f t="shared" ref="H163:H166" si="87">IF(ISNUMBER(G163), (G163 - $B163) / $B163, "")</f>
        <v>-9.7323600973236012E-3</v>
      </c>
      <c r="I163" s="91">
        <f>IF(ISNUMBER(G163), $B172 * H163, "")</f>
        <v>-1459.8540145985403</v>
      </c>
      <c r="J163" s="15">
        <v>412</v>
      </c>
      <c r="K163" s="32">
        <f t="shared" ref="K163:K166" si="88">IF(ISNUMBER(J163), (J163 - $B163) / $B163, "")</f>
        <v>2.4330900243309003E-3</v>
      </c>
      <c r="L163" s="18">
        <f>IF(ISNUMBER(J163), $B172 * K163, "")</f>
        <v>364.96350364963507</v>
      </c>
      <c r="M163" s="31">
        <v>411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153"/>
      <c r="R163" s="154"/>
      <c r="S163" s="155"/>
    </row>
    <row r="164" spans="1:19" ht="17.25" thickBot="1">
      <c r="A164" s="109" t="s">
        <v>211</v>
      </c>
      <c r="B164" s="110">
        <v>916</v>
      </c>
      <c r="C164" s="70">
        <v>1.0928962E-3</v>
      </c>
      <c r="D164" s="15">
        <v>922</v>
      </c>
      <c r="E164" s="32">
        <f t="shared" si="86"/>
        <v>6.5502183406113534E-3</v>
      </c>
      <c r="F164" s="18">
        <f>IF(ISNUMBER(D164), $B172 * E164, "")</f>
        <v>982.53275109170306</v>
      </c>
      <c r="G164" s="31">
        <v>911</v>
      </c>
      <c r="H164" s="32">
        <f t="shared" si="87"/>
        <v>-5.4585152838427945E-3</v>
      </c>
      <c r="I164" s="91">
        <f>IF(ISNUMBER(G164), $B172 * H164, "")</f>
        <v>-818.7772925764192</v>
      </c>
      <c r="J164" s="15">
        <v>916</v>
      </c>
      <c r="K164" s="32">
        <f t="shared" si="88"/>
        <v>0</v>
      </c>
      <c r="L164" s="18">
        <f>IF(ISNUMBER(J164), $B172 * K164, "")</f>
        <v>0</v>
      </c>
      <c r="M164" s="31">
        <v>938</v>
      </c>
      <c r="N164" s="32">
        <f t="shared" si="89"/>
        <v>2.4017467248908297E-2</v>
      </c>
      <c r="O164" s="18">
        <f>IF(ISNUMBER(M164), $B172 * N164, "")</f>
        <v>3602.6200873362445</v>
      </c>
      <c r="Q164" s="146"/>
      <c r="R164" s="146"/>
      <c r="S164" s="146"/>
    </row>
    <row r="165" spans="1:19" ht="17.25" thickBot="1">
      <c r="A165" s="109" t="s">
        <v>189</v>
      </c>
      <c r="B165" s="110">
        <v>929</v>
      </c>
      <c r="C165" s="70">
        <v>1.0775862E-3</v>
      </c>
      <c r="D165" s="15">
        <v>926</v>
      </c>
      <c r="E165" s="32">
        <f t="shared" si="86"/>
        <v>-3.2292787944025836E-3</v>
      </c>
      <c r="F165" s="18">
        <f>IF(ISNUMBER(D165), $B172 * E165, "")</f>
        <v>-484.39181916038751</v>
      </c>
      <c r="G165" s="31">
        <v>900</v>
      </c>
      <c r="H165" s="32">
        <f t="shared" si="87"/>
        <v>-3.1216361679224973E-2</v>
      </c>
      <c r="I165" s="91">
        <f>IF(ISNUMBER(G165), $B172 * H165, "")</f>
        <v>-4682.4542518837461</v>
      </c>
      <c r="J165" s="15">
        <v>911</v>
      </c>
      <c r="K165" s="32">
        <f t="shared" si="88"/>
        <v>-1.9375672766415501E-2</v>
      </c>
      <c r="L165" s="18">
        <f>IF(ISNUMBER(J165), $B172 * K165, "")</f>
        <v>-2906.3509149623251</v>
      </c>
      <c r="M165" s="31">
        <v>903</v>
      </c>
      <c r="N165" s="32">
        <f t="shared" si="89"/>
        <v>-2.7987082884822389E-2</v>
      </c>
      <c r="O165" s="18">
        <f>IF(ISNUMBER(M165), $B172 * N165, "")</f>
        <v>-4198.0624327233581</v>
      </c>
      <c r="Q165" s="156"/>
      <c r="R165" s="156"/>
      <c r="S165" s="156"/>
    </row>
    <row r="166" spans="1:19" ht="17.25" thickBot="1">
      <c r="A166" s="111" t="s">
        <v>183</v>
      </c>
      <c r="B166" s="112">
        <v>115</v>
      </c>
      <c r="C166" s="71">
        <v>0</v>
      </c>
      <c r="D166" s="20">
        <v>116</v>
      </c>
      <c r="E166" s="21">
        <f t="shared" si="86"/>
        <v>8.6956521739130436E-3</v>
      </c>
      <c r="F166" s="22">
        <f>IF(ISNUMBER(D166), $B172 * E166, "")</f>
        <v>1304.3478260869565</v>
      </c>
      <c r="G166" s="30">
        <v>113</v>
      </c>
      <c r="H166" s="21">
        <f t="shared" si="87"/>
        <v>-1.7391304347826087E-2</v>
      </c>
      <c r="I166" s="95">
        <f>IF(ISNUMBER(G166), $B172 * H166, "")</f>
        <v>-2608.695652173913</v>
      </c>
      <c r="J166" s="20">
        <v>115</v>
      </c>
      <c r="K166" s="21">
        <f t="shared" si="88"/>
        <v>0</v>
      </c>
      <c r="L166" s="22">
        <f>IF(ISNUMBER(J166), $B172 * K166, "")</f>
        <v>0</v>
      </c>
      <c r="M166" s="30">
        <v>116</v>
      </c>
      <c r="N166" s="21">
        <f t="shared" si="89"/>
        <v>8.6956521739130436E-3</v>
      </c>
      <c r="O166" s="22">
        <f>IF(ISNUMBER(M166), $B172 * N166, "")</f>
        <v>1304.3478260869565</v>
      </c>
      <c r="Q166" s="156"/>
      <c r="R166" s="156"/>
      <c r="S166" s="156"/>
    </row>
    <row r="167" spans="1:19" ht="17.25" thickBot="1">
      <c r="A167" s="109" t="s">
        <v>120</v>
      </c>
      <c r="B167" s="113">
        <v>101</v>
      </c>
      <c r="C167" s="73">
        <v>0</v>
      </c>
      <c r="D167" s="96">
        <v>101</v>
      </c>
      <c r="E167" s="97">
        <f>IF(ISNUMBER(D167), (D167 - $B167) / $B167, "")</f>
        <v>0</v>
      </c>
      <c r="F167" s="98">
        <f>IF(ISNUMBER(D167), $B172 * E167, "")</f>
        <v>0</v>
      </c>
      <c r="G167" s="99">
        <v>99.2</v>
      </c>
      <c r="H167" s="97">
        <f>IF(ISNUMBER(G167), (G167 - $B167) / $B167, "")</f>
        <v>-1.7821782178217793E-2</v>
      </c>
      <c r="I167" s="100">
        <f>IF(ISNUMBER(G167), $B172 * H167, "")</f>
        <v>-2673.2673267326691</v>
      </c>
      <c r="J167" s="96">
        <v>99.6</v>
      </c>
      <c r="K167" s="97">
        <f>IF(ISNUMBER(J167), (J167 - $B167) / $B167, "")</f>
        <v>-1.3861386138613917E-2</v>
      </c>
      <c r="L167" s="98">
        <f>IF(ISNUMBER(J167), $B172 * K167, "")</f>
        <v>-2079.2079207920874</v>
      </c>
      <c r="M167" s="99">
        <v>99.2</v>
      </c>
      <c r="N167" s="97">
        <f>IF(ISNUMBER(M167), (M167 - $B167) / $B167, "")</f>
        <v>-1.7821782178217793E-2</v>
      </c>
      <c r="O167" s="98">
        <f>IF(ISNUMBER(M167), $B172 * N167, "")</f>
        <v>-2673.2673267326691</v>
      </c>
      <c r="Q167" s="146"/>
      <c r="R167" s="146"/>
      <c r="S167" s="146"/>
    </row>
    <row r="168" spans="1:19" ht="17.25" thickBot="1">
      <c r="A168" s="109" t="s">
        <v>116</v>
      </c>
      <c r="B168" s="110">
        <v>919</v>
      </c>
      <c r="C168" s="70">
        <v>-1.0869565E-3</v>
      </c>
      <c r="D168" s="15">
        <v>915</v>
      </c>
      <c r="E168" s="32">
        <f t="shared" ref="E168:E171" si="90">IF(ISNUMBER(D168), (D168 - $B168) / $B168, "")</f>
        <v>-4.3525571273122961E-3</v>
      </c>
      <c r="F168" s="18">
        <f>IF(ISNUMBER(D168), $B172 * E168, "")</f>
        <v>-652.88356909684444</v>
      </c>
      <c r="G168" s="31">
        <v>905</v>
      </c>
      <c r="H168" s="32">
        <f t="shared" ref="H168:H171" si="91">IF(ISNUMBER(G168), (G168 - $B168) / $B168, "")</f>
        <v>-1.5233949945593036E-2</v>
      </c>
      <c r="I168" s="91">
        <f>IF(ISNUMBER(G168), $B172 * H168, "")</f>
        <v>-2285.0924918389555</v>
      </c>
      <c r="J168" s="15">
        <v>912</v>
      </c>
      <c r="K168" s="32">
        <f t="shared" ref="K168:K171" si="92">IF(ISNUMBER(J168), (J168 - $B168) / $B168, "")</f>
        <v>-7.6169749727965181E-3</v>
      </c>
      <c r="L168" s="18">
        <f>IF(ISNUMBER(J168), $B172 * K168, "")</f>
        <v>-1142.5462459194778</v>
      </c>
      <c r="M168" s="31">
        <v>909</v>
      </c>
      <c r="N168" s="32">
        <f t="shared" ref="N168:N171" si="93">IF(ISNUMBER(M168), (M168 - $B168) / $B168, "")</f>
        <v>-1.088139281828074E-2</v>
      </c>
      <c r="O168" s="18">
        <f>IF(ISNUMBER(M168), $B172 * N168, "")</f>
        <v>-1632.2089227421111</v>
      </c>
      <c r="Q168" s="146"/>
      <c r="R168" s="146"/>
      <c r="S168" s="146"/>
    </row>
    <row r="169" spans="1:19" ht="17.25" thickBot="1">
      <c r="A169" s="109" t="s">
        <v>319</v>
      </c>
      <c r="B169" s="110">
        <v>327</v>
      </c>
      <c r="C169" s="70">
        <v>-3.0487804999999998E-3</v>
      </c>
      <c r="D169" s="15">
        <v>331</v>
      </c>
      <c r="E169" s="32">
        <f t="shared" si="90"/>
        <v>1.2232415902140673E-2</v>
      </c>
      <c r="F169" s="18">
        <f>IF(ISNUMBER(D169), $B172 * E169, "")</f>
        <v>1834.8623853211009</v>
      </c>
      <c r="G169" s="31">
        <v>325</v>
      </c>
      <c r="H169" s="32">
        <f t="shared" si="91"/>
        <v>-6.1162079510703364E-3</v>
      </c>
      <c r="I169" s="91">
        <f>IF(ISNUMBER(G169), $B172 * H169, "")</f>
        <v>-917.43119266055044</v>
      </c>
      <c r="J169" s="15">
        <v>330</v>
      </c>
      <c r="K169" s="32">
        <f t="shared" si="92"/>
        <v>9.1743119266055051E-3</v>
      </c>
      <c r="L169" s="18">
        <f>IF(ISNUMBER(J169), $B172 * K169, "")</f>
        <v>1376.1467889908258</v>
      </c>
      <c r="M169" s="31">
        <v>325</v>
      </c>
      <c r="N169" s="32">
        <f t="shared" si="93"/>
        <v>-6.1162079510703364E-3</v>
      </c>
      <c r="O169" s="18">
        <f>IF(ISNUMBER(M169), $B172 * N169, "")</f>
        <v>-917.43119266055044</v>
      </c>
      <c r="Q169" s="146"/>
      <c r="R169" s="146"/>
      <c r="S169" s="146"/>
    </row>
    <row r="170" spans="1:19">
      <c r="A170" s="109" t="s">
        <v>341</v>
      </c>
      <c r="B170" s="110">
        <v>653</v>
      </c>
      <c r="C170" s="70">
        <v>-3.0534351000000002E-3</v>
      </c>
      <c r="D170" s="15">
        <v>650</v>
      </c>
      <c r="E170" s="32">
        <f t="shared" si="90"/>
        <v>-4.5941807044410417E-3</v>
      </c>
      <c r="F170" s="18">
        <f>IF(ISNUMBER(D170), $B172 * E170, "")</f>
        <v>-689.12710566615624</v>
      </c>
      <c r="G170" s="31">
        <v>631</v>
      </c>
      <c r="H170" s="32">
        <f t="shared" si="91"/>
        <v>-3.3690658499234305E-2</v>
      </c>
      <c r="I170" s="91">
        <f>IF(ISNUMBER(G170), $B172 * H170, "")</f>
        <v>-5053.5987748851458</v>
      </c>
      <c r="J170" s="15">
        <v>632</v>
      </c>
      <c r="K170" s="32">
        <f t="shared" si="92"/>
        <v>-3.2159264931087291E-2</v>
      </c>
      <c r="L170" s="18">
        <f>IF(ISNUMBER(J170), $B172 * K170, "")</f>
        <v>-4823.8897396630937</v>
      </c>
      <c r="M170" s="31">
        <v>632</v>
      </c>
      <c r="N170" s="32">
        <f t="shared" si="93"/>
        <v>-3.2159264931087291E-2</v>
      </c>
      <c r="O170" s="18">
        <f>IF(ISNUMBER(M170), $B172 * N170, "")</f>
        <v>-4823.8897396630937</v>
      </c>
      <c r="Q170" s="135"/>
      <c r="R170" s="136"/>
      <c r="S170" s="137"/>
    </row>
    <row r="171" spans="1:19" ht="17.25" thickBot="1">
      <c r="A171" s="114" t="s">
        <v>68</v>
      </c>
      <c r="B171" s="115">
        <v>267</v>
      </c>
      <c r="C171" s="72">
        <v>-3.7313432999999999E-3</v>
      </c>
      <c r="D171" s="24">
        <v>259</v>
      </c>
      <c r="E171" s="25">
        <f t="shared" si="90"/>
        <v>-2.9962546816479401E-2</v>
      </c>
      <c r="F171" s="94">
        <f>IF(ISNUMBER(D171), $B172 * E171, "")</f>
        <v>-4494.3820224719102</v>
      </c>
      <c r="G171" s="92">
        <v>253</v>
      </c>
      <c r="H171" s="25">
        <f t="shared" si="91"/>
        <v>-5.2434456928838954E-2</v>
      </c>
      <c r="I171" s="93">
        <f>IF(ISNUMBER(G171), $B172 * H171, "")</f>
        <v>-7865.1685393258431</v>
      </c>
      <c r="J171" s="24">
        <v>255</v>
      </c>
      <c r="K171" s="25">
        <f t="shared" si="92"/>
        <v>-4.49438202247191E-2</v>
      </c>
      <c r="L171" s="94">
        <f>IF(ISNUMBER(J171), $B172 * K171, "")</f>
        <v>-6741.5730337078649</v>
      </c>
      <c r="M171" s="92">
        <v>253</v>
      </c>
      <c r="N171" s="25">
        <f t="shared" si="93"/>
        <v>-5.2434456928838954E-2</v>
      </c>
      <c r="O171" s="94">
        <f>IF(ISNUMBER(M171), $B172 * N171, "")</f>
        <v>-7865.1685393258431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-3.5343850260623319E-4</v>
      </c>
      <c r="F172" s="28">
        <f>SUM(F152:F171)</f>
        <v>-1060.3155078187001</v>
      </c>
      <c r="G172" s="26" t="s">
        <v>258</v>
      </c>
      <c r="H172" s="27">
        <f>IF(COUNT(H152:H171), SUM(H152:H171) / COUNT(H152:H171), 0)</f>
        <v>-1.821470054231622E-2</v>
      </c>
      <c r="I172" s="28">
        <f>SUM(I152:I171)</f>
        <v>-54644.101626948664</v>
      </c>
      <c r="J172" s="26" t="s">
        <v>258</v>
      </c>
      <c r="K172" s="27">
        <f>IF(COUNT(K152:K171), SUM(K152:K171) / COUNT(K152:K171), 0)</f>
        <v>-8.0441346254366986E-3</v>
      </c>
      <c r="L172" s="28">
        <f>SUM(L152:L171)</f>
        <v>-24132.403876310094</v>
      </c>
      <c r="M172" s="26" t="s">
        <v>258</v>
      </c>
      <c r="N172" s="27">
        <f>IF(COUNT(N152:N171), SUM(N152:N171) / COUNT(N152:N171), 0)</f>
        <v>-8.7011860400455325E-3</v>
      </c>
      <c r="O172" s="28">
        <f>SUM(O152:O171)</f>
        <v>-26103.5581201366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2023-01-05(목) 오전 00:00</v>
      </c>
      <c r="C177" s="198"/>
      <c r="D177" s="170" t="str">
        <f>TEXT($G$1, "[$-ko-KR]yyyy-mm-dd(ddd) ") &amp; "오후 14:00"</f>
        <v>2023-01-05(목) 오후 14:00</v>
      </c>
      <c r="E177" s="171"/>
      <c r="F177" s="172"/>
      <c r="G177" s="170" t="str">
        <f>TEXT($G$1, "[$-ko-KR]yyyy-mm-dd(ddd) ") &amp; "오후 19:00"</f>
        <v>2023-01-05(목) 오후 19:00</v>
      </c>
      <c r="H177" s="171"/>
      <c r="I177" s="172"/>
      <c r="J177" s="170" t="str">
        <f>TEXT($G$1, "[$-ko-KR]yyyy-mm-dd(ddd) ") &amp; "오후 21:00"</f>
        <v>2023-01-05(목) 오후 21:00</v>
      </c>
      <c r="K177" s="171"/>
      <c r="L177" s="172"/>
      <c r="M177" s="170" t="str">
        <f>TEXT($G$1+1, "[$-ko-KR]yyyy-mm-dd(ddd) ") &amp; "오전 00:00"</f>
        <v>2023-01-06(금)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233</v>
      </c>
      <c r="B179" s="108">
        <v>2745</v>
      </c>
      <c r="C179" s="69">
        <v>3.6563071000000002E-3</v>
      </c>
      <c r="D179" s="13">
        <v>2730</v>
      </c>
      <c r="E179" s="14">
        <f>IF(ISNUMBER(D179), (D179 - $B179) / $B179, "")</f>
        <v>-5.4644808743169399E-3</v>
      </c>
      <c r="F179" s="16">
        <f>IF(ISNUMBER(D179), $B199 * E179, "")</f>
        <v>-819.67213114754099</v>
      </c>
      <c r="G179" s="29">
        <v>2710</v>
      </c>
      <c r="H179" s="14">
        <f>IF(ISNUMBER(G179), (G179 - $B179) / $B179, "")</f>
        <v>-1.2750455373406194E-2</v>
      </c>
      <c r="I179" s="90">
        <f>IF(ISNUMBER(G179), $B199 * H179, "")</f>
        <v>-1912.5683060109291</v>
      </c>
      <c r="J179" s="13">
        <v>2730</v>
      </c>
      <c r="K179" s="14">
        <f>IF(ISNUMBER(J179), (J179 - $B179) / $B179, "")</f>
        <v>-5.4644808743169399E-3</v>
      </c>
      <c r="L179" s="16">
        <f>IF(ISNUMBER(J179), $B199 * K179, "")</f>
        <v>-819.67213114754099</v>
      </c>
      <c r="M179" s="29">
        <v>2745</v>
      </c>
      <c r="N179" s="14">
        <f>IF(ISNUMBER(M179), (M179 - $B179) / $B179, "")</f>
        <v>0</v>
      </c>
      <c r="O179" s="16">
        <f>IF(ISNUMBER(M179), $B199 * N179, "")</f>
        <v>0</v>
      </c>
      <c r="Q179" s="156"/>
      <c r="R179" s="156"/>
      <c r="S179" s="156"/>
    </row>
    <row r="180" spans="1:19" ht="17.25" thickBot="1">
      <c r="A180" s="109" t="s">
        <v>343</v>
      </c>
      <c r="B180" s="110">
        <v>17190</v>
      </c>
      <c r="C180" s="70">
        <v>3.5026269999999999E-3</v>
      </c>
      <c r="D180" s="15">
        <v>17060</v>
      </c>
      <c r="E180" s="32">
        <f t="shared" ref="E180:E183" si="94">IF(ISNUMBER(D180), (D180 - $B180) / $B180, "")</f>
        <v>-7.5625363583478765E-3</v>
      </c>
      <c r="F180" s="18">
        <f>IF(ISNUMBER(D180), $B199 * E180, "")</f>
        <v>-1134.3804537521814</v>
      </c>
      <c r="G180" s="31">
        <v>16630</v>
      </c>
      <c r="H180" s="32">
        <f t="shared" ref="H180:H183" si="95">IF(ISNUMBER(G180), (G180 - $B180) / $B180, "")</f>
        <v>-3.2577079697498547E-2</v>
      </c>
      <c r="I180" s="91">
        <f>IF(ISNUMBER(G180), $B199 * H180, "")</f>
        <v>-4886.5619546247817</v>
      </c>
      <c r="J180" s="15">
        <v>16910</v>
      </c>
      <c r="K180" s="32">
        <f t="shared" ref="K180:K183" si="96">IF(ISNUMBER(J180), (J180 - $B180) / $B180, "")</f>
        <v>-1.6288539848749273E-2</v>
      </c>
      <c r="L180" s="18">
        <f>IF(ISNUMBER(J180), $B199 * K180, "")</f>
        <v>-2443.2809773123909</v>
      </c>
      <c r="M180" s="31">
        <v>16830</v>
      </c>
      <c r="N180" s="32">
        <f t="shared" ref="N180:N183" si="97">IF(ISNUMBER(M180), (M180 - $B180) / $B180, "")</f>
        <v>-2.0942408376963352E-2</v>
      </c>
      <c r="O180" s="18">
        <f>IF(ISNUMBER(M180), $B199 * N180, "")</f>
        <v>-3141.3612565445028</v>
      </c>
      <c r="Q180" s="156"/>
      <c r="R180" s="156"/>
      <c r="S180" s="156"/>
    </row>
    <row r="181" spans="1:19" ht="17.25" thickBot="1">
      <c r="A181" s="109" t="s">
        <v>241</v>
      </c>
      <c r="B181" s="110">
        <v>86.1</v>
      </c>
      <c r="C181" s="70">
        <v>3.4965034999999999E-3</v>
      </c>
      <c r="D181" s="15">
        <v>86</v>
      </c>
      <c r="E181" s="32">
        <f t="shared" si="94"/>
        <v>-1.1614401858303638E-3</v>
      </c>
      <c r="F181" s="18">
        <f>IF(ISNUMBER(D181), $B199 * E181, "")</f>
        <v>-174.21602787455458</v>
      </c>
      <c r="G181" s="31">
        <v>84.6</v>
      </c>
      <c r="H181" s="32">
        <f t="shared" si="95"/>
        <v>-1.7421602787456449E-2</v>
      </c>
      <c r="I181" s="91">
        <f>IF(ISNUMBER(G181), $B199 * H181, "")</f>
        <v>-2613.2404181184675</v>
      </c>
      <c r="J181" s="15">
        <v>85.4</v>
      </c>
      <c r="K181" s="32">
        <f t="shared" si="96"/>
        <v>-8.1300813008128772E-3</v>
      </c>
      <c r="L181" s="18">
        <f>IF(ISNUMBER(J181), $B199 * K181, "")</f>
        <v>-1219.5121951219317</v>
      </c>
      <c r="M181" s="31">
        <v>85.3</v>
      </c>
      <c r="N181" s="32">
        <f t="shared" si="97"/>
        <v>-9.2915214866434049E-3</v>
      </c>
      <c r="O181" s="18">
        <f>IF(ISNUMBER(M181), $B199 * N181, "")</f>
        <v>-1393.7282229965108</v>
      </c>
      <c r="Q181" s="146"/>
      <c r="R181" s="146"/>
      <c r="S181" s="146"/>
    </row>
    <row r="182" spans="1:19" ht="17.25" thickBot="1">
      <c r="A182" s="109" t="s">
        <v>231</v>
      </c>
      <c r="B182" s="110">
        <v>308</v>
      </c>
      <c r="C182" s="70">
        <v>3.2573290000000002E-3</v>
      </c>
      <c r="D182" s="15">
        <v>310</v>
      </c>
      <c r="E182" s="32">
        <f t="shared" si="94"/>
        <v>6.4935064935064939E-3</v>
      </c>
      <c r="F182" s="18">
        <f>IF(ISNUMBER(D182), $B199 * E182, "")</f>
        <v>974.02597402597405</v>
      </c>
      <c r="G182" s="31">
        <v>303</v>
      </c>
      <c r="H182" s="32">
        <f t="shared" si="95"/>
        <v>-1.6233766233766232E-2</v>
      </c>
      <c r="I182" s="91">
        <f>IF(ISNUMBER(G182), $B199 * H182, "")</f>
        <v>-2435.0649350649346</v>
      </c>
      <c r="J182" s="15">
        <v>306</v>
      </c>
      <c r="K182" s="32">
        <f t="shared" si="96"/>
        <v>-6.4935064935064939E-3</v>
      </c>
      <c r="L182" s="18">
        <f>IF(ISNUMBER(J182), $B199 * K182, "")</f>
        <v>-974.02597402597405</v>
      </c>
      <c r="M182" s="31">
        <v>306</v>
      </c>
      <c r="N182" s="32">
        <f t="shared" si="97"/>
        <v>-6.4935064935064939E-3</v>
      </c>
      <c r="O182" s="18">
        <f>IF(ISNUMBER(M182), $B199 * N182, "")</f>
        <v>-974.02597402597405</v>
      </c>
      <c r="Q182" s="146"/>
      <c r="R182" s="146"/>
      <c r="S182" s="146"/>
    </row>
    <row r="183" spans="1:19" ht="17.25" thickBot="1">
      <c r="A183" s="111" t="s">
        <v>145</v>
      </c>
      <c r="B183" s="112">
        <v>70.400000000000006</v>
      </c>
      <c r="C183" s="71">
        <v>2.8490028000000001E-3</v>
      </c>
      <c r="D183" s="20">
        <v>69.900000000000006</v>
      </c>
      <c r="E183" s="21">
        <f t="shared" si="94"/>
        <v>-7.102272727272727E-3</v>
      </c>
      <c r="F183" s="22">
        <f>IF(ISNUMBER(D183), $B199 * E183, "")</f>
        <v>-1065.340909090909</v>
      </c>
      <c r="G183" s="30">
        <v>69.7</v>
      </c>
      <c r="H183" s="21">
        <f t="shared" si="95"/>
        <v>-9.9431818181818579E-3</v>
      </c>
      <c r="I183" s="95">
        <f>IF(ISNUMBER(G183), $B199 * H183, "")</f>
        <v>-1491.4772727272787</v>
      </c>
      <c r="J183" s="20">
        <v>69.8</v>
      </c>
      <c r="K183" s="21">
        <f t="shared" si="96"/>
        <v>-8.5227272727273935E-3</v>
      </c>
      <c r="L183" s="22">
        <f>IF(ISNUMBER(J183), $B199 * K183, "")</f>
        <v>-1278.409090909109</v>
      </c>
      <c r="M183" s="30">
        <v>69.400000000000006</v>
      </c>
      <c r="N183" s="21">
        <f t="shared" si="97"/>
        <v>-1.4204545454545454E-2</v>
      </c>
      <c r="O183" s="22">
        <f>IF(ISNUMBER(M183), $B199 * N183, "")</f>
        <v>-2130.681818181818</v>
      </c>
      <c r="Q183" s="146"/>
      <c r="R183" s="146"/>
      <c r="S183" s="146"/>
    </row>
    <row r="184" spans="1:19" ht="17.25" thickBot="1">
      <c r="A184" s="109" t="s">
        <v>209</v>
      </c>
      <c r="B184" s="113">
        <v>71.099999999999994</v>
      </c>
      <c r="C184" s="73">
        <v>2.8208744999999999E-3</v>
      </c>
      <c r="D184" s="96">
        <v>71.2</v>
      </c>
      <c r="E184" s="97">
        <f>IF(ISNUMBER(D184), (D184 - $B184) / $B184, "")</f>
        <v>1.4064697609002606E-3</v>
      </c>
      <c r="F184" s="98">
        <f>IF(ISNUMBER(D184), $B199 * E184, "")</f>
        <v>210.97046413503909</v>
      </c>
      <c r="G184" s="99">
        <v>69.8</v>
      </c>
      <c r="H184" s="97">
        <f>IF(ISNUMBER(G184), (G184 - $B184) / $B184, "")</f>
        <v>-1.828410689170179E-2</v>
      </c>
      <c r="I184" s="100">
        <f>IF(ISNUMBER(G184), $B199 * H184, "")</f>
        <v>-2742.6160337552687</v>
      </c>
      <c r="J184" s="96">
        <v>70.8</v>
      </c>
      <c r="K184" s="97">
        <f>IF(ISNUMBER(J184), (J184 - $B184) / $B184, "")</f>
        <v>-4.2194092827003826E-3</v>
      </c>
      <c r="L184" s="98">
        <f>IF(ISNUMBER(J184), $B199 * K184, "")</f>
        <v>-632.91139240505743</v>
      </c>
      <c r="M184" s="99">
        <v>70.5</v>
      </c>
      <c r="N184" s="97">
        <f>IF(ISNUMBER(M184), (M184 - $B184) / $B184, "")</f>
        <v>-8.4388185654007651E-3</v>
      </c>
      <c r="O184" s="98">
        <f>IF(ISNUMBER(M184), $B199 * N184, "")</f>
        <v>-1265.8227848101149</v>
      </c>
      <c r="Q184" s="146"/>
      <c r="R184" s="146"/>
      <c r="S184" s="146"/>
    </row>
    <row r="185" spans="1:19" ht="17.25" thickBot="1">
      <c r="A185" s="109" t="s">
        <v>239</v>
      </c>
      <c r="B185" s="110">
        <v>411</v>
      </c>
      <c r="C185" s="70">
        <v>2.4390243999999998E-3</v>
      </c>
      <c r="D185" s="15">
        <v>411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407</v>
      </c>
      <c r="H185" s="32">
        <f t="shared" ref="H185:H188" si="99">IF(ISNUMBER(G185), (G185 - $B185) / $B185, "")</f>
        <v>-9.7323600973236012E-3</v>
      </c>
      <c r="I185" s="91">
        <f>IF(ISNUMBER(G185), $B199 * H185, "")</f>
        <v>-1459.8540145985403</v>
      </c>
      <c r="J185" s="15">
        <v>412</v>
      </c>
      <c r="K185" s="32">
        <f t="shared" ref="K185:K188" si="100">IF(ISNUMBER(J185), (J185 - $B185) / $B185, "")</f>
        <v>2.4330900243309003E-3</v>
      </c>
      <c r="L185" s="18">
        <f>IF(ISNUMBER(J185), $B199 * K185, "")</f>
        <v>364.96350364963507</v>
      </c>
      <c r="M185" s="31">
        <v>411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46"/>
      <c r="R185" s="146"/>
      <c r="S185" s="146"/>
    </row>
    <row r="186" spans="1:19" ht="17.25" thickBot="1">
      <c r="A186" s="109" t="s">
        <v>329</v>
      </c>
      <c r="B186" s="110">
        <v>49.2</v>
      </c>
      <c r="C186" s="70">
        <v>2.0366599E-3</v>
      </c>
      <c r="D186" s="15">
        <v>49.3</v>
      </c>
      <c r="E186" s="32">
        <f t="shared" si="98"/>
        <v>2.0325203252031365E-3</v>
      </c>
      <c r="F186" s="18">
        <f>IF(ISNUMBER(D186), $B199 * E186, "")</f>
        <v>304.87804878047046</v>
      </c>
      <c r="G186" s="31">
        <v>48.5</v>
      </c>
      <c r="H186" s="32">
        <f t="shared" si="99"/>
        <v>-1.4227642276422821E-2</v>
      </c>
      <c r="I186" s="91">
        <f>IF(ISNUMBER(G186), $B199 * H186, "")</f>
        <v>-2134.1463414634231</v>
      </c>
      <c r="J186" s="15">
        <v>49</v>
      </c>
      <c r="K186" s="32">
        <f t="shared" si="100"/>
        <v>-4.0650406504065617E-3</v>
      </c>
      <c r="L186" s="18">
        <f>IF(ISNUMBER(J186), $B199 * K186, "")</f>
        <v>-609.75609756098424</v>
      </c>
      <c r="M186" s="31">
        <v>48.6</v>
      </c>
      <c r="N186" s="32">
        <f t="shared" si="101"/>
        <v>-1.219512195121954E-2</v>
      </c>
      <c r="O186" s="18">
        <f>IF(ISNUMBER(M186), $B199 * N186, "")</f>
        <v>-1829.2682926829311</v>
      </c>
      <c r="Q186" s="146"/>
      <c r="R186" s="146"/>
      <c r="S186" s="146"/>
    </row>
    <row r="187" spans="1:19" ht="17.25" thickBot="1">
      <c r="A187" s="109" t="s">
        <v>211</v>
      </c>
      <c r="B187" s="110">
        <v>916</v>
      </c>
      <c r="C187" s="70">
        <v>1.0928962E-3</v>
      </c>
      <c r="D187" s="15">
        <v>922</v>
      </c>
      <c r="E187" s="32">
        <f t="shared" si="98"/>
        <v>6.5502183406113534E-3</v>
      </c>
      <c r="F187" s="18">
        <f>IF(ISNUMBER(D187), $B199 * E187, "")</f>
        <v>982.53275109170306</v>
      </c>
      <c r="G187" s="31">
        <v>911</v>
      </c>
      <c r="H187" s="32">
        <f t="shared" si="99"/>
        <v>-5.4585152838427945E-3</v>
      </c>
      <c r="I187" s="91">
        <f>IF(ISNUMBER(G187), $B199 * H187, "")</f>
        <v>-818.7772925764192</v>
      </c>
      <c r="J187" s="15">
        <v>916</v>
      </c>
      <c r="K187" s="32">
        <f t="shared" si="100"/>
        <v>0</v>
      </c>
      <c r="L187" s="18">
        <f>IF(ISNUMBER(J187), $B199 * K187, "")</f>
        <v>0</v>
      </c>
      <c r="M187" s="31">
        <v>938</v>
      </c>
      <c r="N187" s="32">
        <f t="shared" si="101"/>
        <v>2.4017467248908297E-2</v>
      </c>
      <c r="O187" s="18">
        <f>IF(ISNUMBER(M187), $B199 * N187, "")</f>
        <v>3602.6200873362445</v>
      </c>
      <c r="Q187" s="33"/>
      <c r="R187" s="33"/>
    </row>
    <row r="188" spans="1:19" ht="17.25" thickBot="1">
      <c r="A188" s="114" t="s">
        <v>205</v>
      </c>
      <c r="B188" s="115">
        <v>92.3</v>
      </c>
      <c r="C188" s="72">
        <v>1.0845987E-3</v>
      </c>
      <c r="D188" s="24">
        <v>91.6</v>
      </c>
      <c r="E188" s="25">
        <f t="shared" si="98"/>
        <v>-7.5839653304442343E-3</v>
      </c>
      <c r="F188" s="94">
        <f>IF(ISNUMBER(D188), $B199 * E188, "")</f>
        <v>-1137.5947995666352</v>
      </c>
      <c r="G188" s="92">
        <v>90.1</v>
      </c>
      <c r="H188" s="25">
        <f t="shared" si="99"/>
        <v>-2.3835319609967529E-2</v>
      </c>
      <c r="I188" s="93">
        <f>IF(ISNUMBER(G188), $B199 * H188, "")</f>
        <v>-3575.2979414951292</v>
      </c>
      <c r="J188" s="24">
        <v>91.1</v>
      </c>
      <c r="K188" s="25">
        <f t="shared" si="100"/>
        <v>-1.3001083423618666E-2</v>
      </c>
      <c r="L188" s="94">
        <f>IF(ISNUMBER(J188), $B199 * K188, "")</f>
        <v>-1950.1625135427998</v>
      </c>
      <c r="M188" s="92">
        <v>90.7</v>
      </c>
      <c r="N188" s="25">
        <f t="shared" si="101"/>
        <v>-1.733477789815812E-2</v>
      </c>
      <c r="O188" s="94">
        <f>IF(ISNUMBER(M188), $B199 * N188, "")</f>
        <v>-2600.2166847237181</v>
      </c>
      <c r="Q188" s="147"/>
      <c r="R188" s="148"/>
      <c r="S188" s="149"/>
    </row>
    <row r="189" spans="1:19">
      <c r="A189" s="107" t="s">
        <v>189</v>
      </c>
      <c r="B189" s="108">
        <v>929</v>
      </c>
      <c r="C189" s="69">
        <v>1.0775862E-3</v>
      </c>
      <c r="D189" s="13">
        <v>926</v>
      </c>
      <c r="E189" s="14">
        <f>IF(ISNUMBER(D189), (D189 - $B189) / $B189, "")</f>
        <v>-3.2292787944025836E-3</v>
      </c>
      <c r="F189" s="16">
        <f>IF(ISNUMBER(D189), $B199 * E189, "")</f>
        <v>-484.39181916038751</v>
      </c>
      <c r="G189" s="29">
        <v>900</v>
      </c>
      <c r="H189" s="14">
        <f>IF(ISNUMBER(G189), (G189 - $B189) / $B189, "")</f>
        <v>-3.1216361679224973E-2</v>
      </c>
      <c r="I189" s="90">
        <f>IF(ISNUMBER(G189), $B199 * H189, "")</f>
        <v>-4682.4542518837461</v>
      </c>
      <c r="J189" s="13">
        <v>911</v>
      </c>
      <c r="K189" s="14">
        <f>IF(ISNUMBER(J189), (J189 - $B189) / $B189, "")</f>
        <v>-1.9375672766415501E-2</v>
      </c>
      <c r="L189" s="16">
        <f>IF(ISNUMBER(J189), $B199 * K189, "")</f>
        <v>-2906.3509149623251</v>
      </c>
      <c r="M189" s="29">
        <v>903</v>
      </c>
      <c r="N189" s="14">
        <f>IF(ISNUMBER(M189), (M189 - $B189) / $B189, "")</f>
        <v>-2.7987082884822389E-2</v>
      </c>
      <c r="O189" s="16">
        <f>IF(ISNUMBER(M189), $B199 * N189, "")</f>
        <v>-4198.0624327233581</v>
      </c>
      <c r="Q189" s="150"/>
      <c r="R189" s="151"/>
      <c r="S189" s="152"/>
    </row>
    <row r="190" spans="1:19" ht="17.25" thickBot="1">
      <c r="A190" s="109" t="s">
        <v>71</v>
      </c>
      <c r="B190" s="110">
        <v>9.7899999999999991</v>
      </c>
      <c r="C190" s="70">
        <v>1.0224949E-3</v>
      </c>
      <c r="D190" s="15">
        <v>9.75</v>
      </c>
      <c r="E190" s="32">
        <f t="shared" ref="E190:E193" si="102">IF(ISNUMBER(D190), (D190 - $B190) / $B190, "")</f>
        <v>-4.0858018386107408E-3</v>
      </c>
      <c r="F190" s="18">
        <f>IF(ISNUMBER(D190), $B199 * E190, "")</f>
        <v>-612.87027579161111</v>
      </c>
      <c r="G190" s="31">
        <v>9.56</v>
      </c>
      <c r="H190" s="32">
        <f t="shared" ref="H190:H193" si="103">IF(ISNUMBER(G190), (G190 - $B190) / $B190, "")</f>
        <v>-2.3493360572012123E-2</v>
      </c>
      <c r="I190" s="91">
        <f>IF(ISNUMBER(G190), $B199 * H190, "")</f>
        <v>-3524.0040858018183</v>
      </c>
      <c r="J190" s="15">
        <v>9.64</v>
      </c>
      <c r="K190" s="32">
        <f t="shared" ref="K190:K193" si="104">IF(ISNUMBER(J190), (J190 - $B190) / $B190, "")</f>
        <v>-1.5321756894790459E-2</v>
      </c>
      <c r="L190" s="18">
        <f>IF(ISNUMBER(J190), $B199 * K190, "")</f>
        <v>-2298.263534218569</v>
      </c>
      <c r="M190" s="31">
        <v>9.6300000000000008</v>
      </c>
      <c r="N190" s="32">
        <f t="shared" ref="N190:N193" si="105">IF(ISNUMBER(M190), (M190 - $B190) / $B190, "")</f>
        <v>-1.6343207354443143E-2</v>
      </c>
      <c r="O190" s="18">
        <f>IF(ISNUMBER(M190), $B199 * N190, "")</f>
        <v>-2451.4811031664717</v>
      </c>
      <c r="Q190" s="153"/>
      <c r="R190" s="154"/>
      <c r="S190" s="155"/>
    </row>
    <row r="191" spans="1:19" ht="17.25" thickBot="1">
      <c r="A191" s="109" t="s">
        <v>183</v>
      </c>
      <c r="B191" s="110">
        <v>115</v>
      </c>
      <c r="C191" s="70">
        <v>0</v>
      </c>
      <c r="D191" s="15">
        <v>116</v>
      </c>
      <c r="E191" s="32">
        <f t="shared" si="102"/>
        <v>8.6956521739130436E-3</v>
      </c>
      <c r="F191" s="18">
        <f>IF(ISNUMBER(D191), $B199 * E191, "")</f>
        <v>1304.3478260869565</v>
      </c>
      <c r="G191" s="31">
        <v>113</v>
      </c>
      <c r="H191" s="32">
        <f t="shared" si="103"/>
        <v>-1.7391304347826087E-2</v>
      </c>
      <c r="I191" s="91">
        <f>IF(ISNUMBER(G191), $B199 * H191, "")</f>
        <v>-2608.695652173913</v>
      </c>
      <c r="J191" s="15">
        <v>115</v>
      </c>
      <c r="K191" s="32">
        <f t="shared" si="104"/>
        <v>0</v>
      </c>
      <c r="L191" s="18">
        <f>IF(ISNUMBER(J191), $B199 * K191, "")</f>
        <v>0</v>
      </c>
      <c r="M191" s="31">
        <v>116</v>
      </c>
      <c r="N191" s="32">
        <f t="shared" si="105"/>
        <v>8.6956521739130436E-3</v>
      </c>
      <c r="O191" s="18">
        <f>IF(ISNUMBER(M191), $B199 * N191, "")</f>
        <v>1304.3478260869565</v>
      </c>
      <c r="Q191" s="146"/>
      <c r="R191" s="146"/>
      <c r="S191" s="146"/>
    </row>
    <row r="192" spans="1:19" ht="17.25" thickBot="1">
      <c r="A192" s="109" t="s">
        <v>120</v>
      </c>
      <c r="B192" s="110">
        <v>101</v>
      </c>
      <c r="C192" s="70">
        <v>0</v>
      </c>
      <c r="D192" s="15">
        <v>101</v>
      </c>
      <c r="E192" s="32">
        <f t="shared" si="102"/>
        <v>0</v>
      </c>
      <c r="F192" s="18">
        <f>IF(ISNUMBER(D192), $B199 * E192, "")</f>
        <v>0</v>
      </c>
      <c r="G192" s="31">
        <v>99.2</v>
      </c>
      <c r="H192" s="32">
        <f t="shared" si="103"/>
        <v>-1.7821782178217793E-2</v>
      </c>
      <c r="I192" s="91">
        <f>IF(ISNUMBER(G192), $B199 * H192, "")</f>
        <v>-2673.2673267326691</v>
      </c>
      <c r="J192" s="15">
        <v>99.6</v>
      </c>
      <c r="K192" s="32">
        <f t="shared" si="104"/>
        <v>-1.3861386138613917E-2</v>
      </c>
      <c r="L192" s="18">
        <f>IF(ISNUMBER(J192), $B199 * K192, "")</f>
        <v>-2079.2079207920874</v>
      </c>
      <c r="M192" s="31">
        <v>99.2</v>
      </c>
      <c r="N192" s="32">
        <f t="shared" si="105"/>
        <v>-1.7821782178217793E-2</v>
      </c>
      <c r="O192" s="18">
        <f>IF(ISNUMBER(M192), $B199 * N192, "")</f>
        <v>-2673.2673267326691</v>
      </c>
      <c r="Q192" s="156"/>
      <c r="R192" s="156"/>
      <c r="S192" s="156"/>
    </row>
    <row r="193" spans="1:19" ht="17.25" thickBot="1">
      <c r="A193" s="111" t="s">
        <v>113</v>
      </c>
      <c r="B193" s="112">
        <v>1115</v>
      </c>
      <c r="C193" s="71">
        <v>0</v>
      </c>
      <c r="D193" s="20">
        <v>1110</v>
      </c>
      <c r="E193" s="21">
        <f t="shared" si="102"/>
        <v>-4.4843049327354259E-3</v>
      </c>
      <c r="F193" s="22">
        <f>IF(ISNUMBER(D193), $B199 * E193, "")</f>
        <v>-672.64573991031386</v>
      </c>
      <c r="G193" s="30">
        <v>1100</v>
      </c>
      <c r="H193" s="21">
        <f t="shared" si="103"/>
        <v>-1.3452914798206279E-2</v>
      </c>
      <c r="I193" s="95">
        <f>IF(ISNUMBER(G193), $B199 * H193, "")</f>
        <v>-2017.9372197309417</v>
      </c>
      <c r="J193" s="20">
        <v>1100</v>
      </c>
      <c r="K193" s="21">
        <f t="shared" si="104"/>
        <v>-1.3452914798206279E-2</v>
      </c>
      <c r="L193" s="22">
        <f>IF(ISNUMBER(J193), $B199 * K193, "")</f>
        <v>-2017.9372197309417</v>
      </c>
      <c r="M193" s="30">
        <v>1100</v>
      </c>
      <c r="N193" s="21">
        <f t="shared" si="105"/>
        <v>-1.3452914798206279E-2</v>
      </c>
      <c r="O193" s="22">
        <f>IF(ISNUMBER(M193), $B199 * N193, "")</f>
        <v>-2017.9372197309417</v>
      </c>
      <c r="Q193" s="156"/>
      <c r="R193" s="156"/>
      <c r="S193" s="156"/>
    </row>
    <row r="194" spans="1:19" ht="17.25" thickBot="1">
      <c r="A194" s="109" t="s">
        <v>116</v>
      </c>
      <c r="B194" s="113">
        <v>919</v>
      </c>
      <c r="C194" s="73">
        <v>-1.0869565E-3</v>
      </c>
      <c r="D194" s="96">
        <v>915</v>
      </c>
      <c r="E194" s="97">
        <f>IF(ISNUMBER(D194), (D194 - $B194) / $B194, "")</f>
        <v>-4.3525571273122961E-3</v>
      </c>
      <c r="F194" s="98">
        <f>IF(ISNUMBER(D194), $B199 * E194, "")</f>
        <v>-652.88356909684444</v>
      </c>
      <c r="G194" s="99">
        <v>905</v>
      </c>
      <c r="H194" s="97">
        <f>IF(ISNUMBER(G194), (G194 - $B194) / $B194, "")</f>
        <v>-1.5233949945593036E-2</v>
      </c>
      <c r="I194" s="100">
        <f>IF(ISNUMBER(G194), $B199 * H194, "")</f>
        <v>-2285.0924918389555</v>
      </c>
      <c r="J194" s="96">
        <v>912</v>
      </c>
      <c r="K194" s="97">
        <f>IF(ISNUMBER(J194), (J194 - $B194) / $B194, "")</f>
        <v>-7.6169749727965181E-3</v>
      </c>
      <c r="L194" s="98">
        <f>IF(ISNUMBER(J194), $B199 * K194, "")</f>
        <v>-1142.5462459194778</v>
      </c>
      <c r="M194" s="99">
        <v>909</v>
      </c>
      <c r="N194" s="97">
        <f>IF(ISNUMBER(M194), (M194 - $B194) / $B194, "")</f>
        <v>-1.088139281828074E-2</v>
      </c>
      <c r="O194" s="98">
        <f>IF(ISNUMBER(M194), $B199 * N194, "")</f>
        <v>-1632.2089227421111</v>
      </c>
      <c r="Q194" s="146"/>
      <c r="R194" s="146"/>
      <c r="S194" s="146"/>
    </row>
    <row r="195" spans="1:19" ht="17.25" thickBot="1">
      <c r="A195" s="109" t="s">
        <v>319</v>
      </c>
      <c r="B195" s="110">
        <v>327</v>
      </c>
      <c r="C195" s="70">
        <v>-3.0487804999999998E-3</v>
      </c>
      <c r="D195" s="15">
        <v>331</v>
      </c>
      <c r="E195" s="32">
        <f t="shared" ref="E195:E198" si="106">IF(ISNUMBER(D195), (D195 - $B195) / $B195, "")</f>
        <v>1.2232415902140673E-2</v>
      </c>
      <c r="F195" s="18">
        <f>IF(ISNUMBER(D195), $B199 * E195, "")</f>
        <v>1834.8623853211009</v>
      </c>
      <c r="G195" s="31">
        <v>325</v>
      </c>
      <c r="H195" s="32">
        <f t="shared" ref="H195:H198" si="107">IF(ISNUMBER(G195), (G195 - $B195) / $B195, "")</f>
        <v>-6.1162079510703364E-3</v>
      </c>
      <c r="I195" s="91">
        <f>IF(ISNUMBER(G195), $B199 * H195, "")</f>
        <v>-917.43119266055044</v>
      </c>
      <c r="J195" s="15">
        <v>330</v>
      </c>
      <c r="K195" s="32">
        <f t="shared" ref="K195:K198" si="108">IF(ISNUMBER(J195), (J195 - $B195) / $B195, "")</f>
        <v>9.1743119266055051E-3</v>
      </c>
      <c r="L195" s="18">
        <f>IF(ISNUMBER(J195), $B199 * K195, "")</f>
        <v>1376.1467889908258</v>
      </c>
      <c r="M195" s="31">
        <v>325</v>
      </c>
      <c r="N195" s="32">
        <f t="shared" ref="N195:N198" si="109">IF(ISNUMBER(M195), (M195 - $B195) / $B195, "")</f>
        <v>-6.1162079510703364E-3</v>
      </c>
      <c r="O195" s="18">
        <f>IF(ISNUMBER(M195), $B199 * N195, "")</f>
        <v>-917.43119266055044</v>
      </c>
      <c r="Q195" s="146"/>
      <c r="R195" s="146"/>
      <c r="S195" s="146"/>
    </row>
    <row r="196" spans="1:19" ht="17.25" thickBot="1">
      <c r="A196" s="109" t="s">
        <v>341</v>
      </c>
      <c r="B196" s="110">
        <v>653</v>
      </c>
      <c r="C196" s="70">
        <v>-3.0534351000000002E-3</v>
      </c>
      <c r="D196" s="15">
        <v>650</v>
      </c>
      <c r="E196" s="32">
        <f t="shared" si="106"/>
        <v>-4.5941807044410417E-3</v>
      </c>
      <c r="F196" s="18">
        <f>IF(ISNUMBER(D196), $B199 * E196, "")</f>
        <v>-689.12710566615624</v>
      </c>
      <c r="G196" s="31">
        <v>631</v>
      </c>
      <c r="H196" s="32">
        <f t="shared" si="107"/>
        <v>-3.3690658499234305E-2</v>
      </c>
      <c r="I196" s="91">
        <f>IF(ISNUMBER(G196), $B199 * H196, "")</f>
        <v>-5053.5987748851458</v>
      </c>
      <c r="J196" s="15">
        <v>632</v>
      </c>
      <c r="K196" s="32">
        <f t="shared" si="108"/>
        <v>-3.2159264931087291E-2</v>
      </c>
      <c r="L196" s="18">
        <f>IF(ISNUMBER(J196), $B199 * K196, "")</f>
        <v>-4823.8897396630937</v>
      </c>
      <c r="M196" s="31">
        <v>632</v>
      </c>
      <c r="N196" s="32">
        <f t="shared" si="109"/>
        <v>-3.2159264931087291E-2</v>
      </c>
      <c r="O196" s="18">
        <f>IF(ISNUMBER(M196), $B199 * N196, "")</f>
        <v>-4823.8897396630937</v>
      </c>
      <c r="Q196" s="146"/>
      <c r="R196" s="146"/>
      <c r="S196" s="146"/>
    </row>
    <row r="197" spans="1:19">
      <c r="A197" s="109" t="s">
        <v>68</v>
      </c>
      <c r="B197" s="110">
        <v>267</v>
      </c>
      <c r="C197" s="70">
        <v>-3.7313432999999999E-3</v>
      </c>
      <c r="D197" s="15">
        <v>259</v>
      </c>
      <c r="E197" s="32">
        <f t="shared" si="106"/>
        <v>-2.9962546816479401E-2</v>
      </c>
      <c r="F197" s="18">
        <f>IF(ISNUMBER(D197), $B199 * E197, "")</f>
        <v>-4494.3820224719102</v>
      </c>
      <c r="G197" s="31">
        <v>253</v>
      </c>
      <c r="H197" s="32">
        <f t="shared" si="107"/>
        <v>-5.2434456928838954E-2</v>
      </c>
      <c r="I197" s="91">
        <f>IF(ISNUMBER(G197), $B199 * H197, "")</f>
        <v>-7865.1685393258431</v>
      </c>
      <c r="J197" s="15">
        <v>255</v>
      </c>
      <c r="K197" s="32">
        <f t="shared" si="108"/>
        <v>-4.49438202247191E-2</v>
      </c>
      <c r="L197" s="18">
        <f>IF(ISNUMBER(J197), $B199 * K197, "")</f>
        <v>-6741.5730337078649</v>
      </c>
      <c r="M197" s="31">
        <v>253</v>
      </c>
      <c r="N197" s="32">
        <f t="shared" si="109"/>
        <v>-5.2434456928838954E-2</v>
      </c>
      <c r="O197" s="18">
        <f>IF(ISNUMBER(M197), $B199 * N197, "")</f>
        <v>-7865.1685393258431</v>
      </c>
      <c r="Q197" s="135"/>
      <c r="R197" s="136"/>
      <c r="S197" s="137"/>
    </row>
    <row r="198" spans="1:19" ht="17.25" thickBot="1">
      <c r="A198" s="114" t="s">
        <v>191</v>
      </c>
      <c r="B198" s="115">
        <v>51</v>
      </c>
      <c r="C198" s="72">
        <v>-1.35396518E-2</v>
      </c>
      <c r="D198" s="24">
        <v>50.6</v>
      </c>
      <c r="E198" s="25">
        <f t="shared" si="106"/>
        <v>-7.8431372549019329E-3</v>
      </c>
      <c r="F198" s="94">
        <f>IF(ISNUMBER(D198), $B199 * E198, "")</f>
        <v>-1176.4705882352901</v>
      </c>
      <c r="G198" s="92">
        <v>50.1</v>
      </c>
      <c r="H198" s="25">
        <f t="shared" si="107"/>
        <v>-1.7647058823529384E-2</v>
      </c>
      <c r="I198" s="93">
        <f>IF(ISNUMBER(G198), $B199 * H198, "")</f>
        <v>-2647.0588235294076</v>
      </c>
      <c r="J198" s="24">
        <v>50.7</v>
      </c>
      <c r="K198" s="25">
        <f t="shared" si="108"/>
        <v>-5.882352941176415E-3</v>
      </c>
      <c r="L198" s="94">
        <f>IF(ISNUMBER(J198), $B199 * K198, "")</f>
        <v>-882.3529411764622</v>
      </c>
      <c r="M198" s="92">
        <v>50.3</v>
      </c>
      <c r="N198" s="25">
        <f t="shared" si="109"/>
        <v>-1.3725490196078487E-2</v>
      </c>
      <c r="O198" s="94">
        <f>IF(ISNUMBER(M198), $B199 * N198, "")</f>
        <v>-2058.8235294117731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-2.5007859974410301E-3</v>
      </c>
      <c r="F199" s="28">
        <f>SUM(F179:F198)</f>
        <v>-7502.3579923230909</v>
      </c>
      <c r="G199" s="26" t="s">
        <v>258</v>
      </c>
      <c r="H199" s="27">
        <f>IF(COUNT(H179:H198), SUM(H179:H198) / COUNT(H179:H198), 0)</f>
        <v>-1.9448104289666056E-2</v>
      </c>
      <c r="I199" s="28">
        <f>SUM(I179:I198)</f>
        <v>-58344.312868998168</v>
      </c>
      <c r="J199" s="26" t="s">
        <v>258</v>
      </c>
      <c r="K199" s="27">
        <f>IF(COUNT(K179:K198), SUM(K179:K198) / COUNT(K179:K198), 0)</f>
        <v>-1.0359580543185382E-2</v>
      </c>
      <c r="L199" s="28">
        <f>SUM(L179:L198)</f>
        <v>-31078.741629556149</v>
      </c>
      <c r="M199" s="26" t="s">
        <v>258</v>
      </c>
      <c r="N199" s="27">
        <f>IF(COUNT(N179:N198), SUM(N179:N198) / COUNT(N179:N198), 0)</f>
        <v>-1.2355469042233062E-2</v>
      </c>
      <c r="O199" s="28">
        <f>SUM(O179:O198)</f>
        <v>-37066.407126699181</v>
      </c>
      <c r="Q199" s="141"/>
      <c r="R199" s="142"/>
      <c r="S199" s="14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A7E78-AD93-43C7-A425-0BBEBEC7DA0B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44932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-107,815 KRW (-3.59%)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-75,770 KRW (-2.53%)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-58,445 KRW (-1.95%)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-57,930 KRW (-1.93%)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2023-01-06(금) 오전 00:00</v>
      </c>
      <c r="C15" s="196"/>
      <c r="D15" s="170" t="str">
        <f>TEXT($G$1, "[$-ko-KR]yyyy-mm-dd(ddd) ") &amp; "오후 14:00"</f>
        <v>2023-01-06(금) 오후 14:00</v>
      </c>
      <c r="E15" s="171"/>
      <c r="F15" s="172"/>
      <c r="G15" s="170" t="str">
        <f>TEXT($G$1, "[$-ko-KR]yyyy-mm-dd(ddd) ") &amp; "오후 19:00"</f>
        <v>2023-01-06(금) 오후 19:00</v>
      </c>
      <c r="H15" s="171"/>
      <c r="I15" s="172"/>
      <c r="J15" s="170" t="str">
        <f>TEXT($G$1, "[$-ko-KR]yyyy-mm-dd(ddd) ") &amp; "오후 21:00"</f>
        <v>2023-01-06(금) 오후 21:00</v>
      </c>
      <c r="K15" s="171"/>
      <c r="L15" s="172"/>
      <c r="M15" s="170" t="str">
        <f>TEXT($G$1+1, "[$-ko-KR]yyyy-mm-dd(ddd) ") &amp; "오전 00:00"</f>
        <v>2023-01-07(토)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2023-01-06(금) 오전 00:00</v>
      </c>
      <c r="C42" s="198"/>
      <c r="D42" s="170" t="str">
        <f>TEXT($G$1, "[$-ko-KR]yyyy-mm-dd(ddd) ") &amp; "오후 14:00"</f>
        <v>2023-01-06(금) 오후 14:00</v>
      </c>
      <c r="E42" s="171"/>
      <c r="F42" s="172"/>
      <c r="G42" s="170" t="str">
        <f>TEXT($G$1, "[$-ko-KR]yyyy-mm-dd(ddd) ") &amp; "오후 19:00"</f>
        <v>2023-01-06(금) 오후 19:00</v>
      </c>
      <c r="H42" s="171"/>
      <c r="I42" s="172"/>
      <c r="J42" s="170" t="str">
        <f>TEXT($G$1, "[$-ko-KR]yyyy-mm-dd(ddd) ") &amp; "오후 21:00"</f>
        <v>2023-01-06(금) 오후 21:00</v>
      </c>
      <c r="K42" s="171"/>
      <c r="L42" s="172"/>
      <c r="M42" s="170" t="str">
        <f>TEXT($G$1+1, "[$-ko-KR]yyyy-mm-dd(ddd) ") &amp; "오전 00:00"</f>
        <v>2023-01-07(토)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323</v>
      </c>
      <c r="B44" s="108">
        <v>3.1300000000000001E-2</v>
      </c>
      <c r="C44" s="69">
        <v>3.64238411E-2</v>
      </c>
      <c r="D44" s="13">
        <v>3.04E-2</v>
      </c>
      <c r="E44" s="14">
        <f>IF(ISNUMBER(D44), (D44 - $B44) / $B44, "")</f>
        <v>-2.875399361022369E-2</v>
      </c>
      <c r="F44" s="16">
        <f>IF(ISNUMBER(D44), $B64 * E44, "")</f>
        <v>-4313.0990415335536</v>
      </c>
      <c r="G44" s="29">
        <v>3.0099999999999998E-2</v>
      </c>
      <c r="H44" s="14">
        <f>IF(ISNUMBER(G44), (G44 - $B44) / $B44, "")</f>
        <v>-3.8338658146964952E-2</v>
      </c>
      <c r="I44" s="90">
        <f>IF(ISNUMBER(G44), $B64 * H44, "")</f>
        <v>-5750.798722044743</v>
      </c>
      <c r="J44" s="13">
        <v>0.03</v>
      </c>
      <c r="K44" s="14">
        <f>IF(ISNUMBER(J44), (J44 - $B44) / $B44, "")</f>
        <v>-4.1533546325878676E-2</v>
      </c>
      <c r="L44" s="16">
        <f>IF(ISNUMBER(J44), $B64 * K44, "")</f>
        <v>-6230.0319488818013</v>
      </c>
      <c r="M44" s="29">
        <v>3.0300000000000001E-2</v>
      </c>
      <c r="N44" s="14">
        <f>IF(ISNUMBER(M44), (M44 - $B44) / $B44, "")</f>
        <v>-3.1948881789137407E-2</v>
      </c>
      <c r="O44" s="16">
        <f>IF(ISNUMBER(M44), $B64 * N44, "")</f>
        <v>-4792.332268370611</v>
      </c>
      <c r="Q44" s="156"/>
      <c r="R44" s="156"/>
      <c r="S44" s="156"/>
    </row>
    <row r="45" spans="1:19" ht="17.25" customHeight="1" thickBot="1">
      <c r="A45" s="109" t="s">
        <v>227</v>
      </c>
      <c r="B45" s="110">
        <v>35</v>
      </c>
      <c r="C45" s="70">
        <v>1.74418605E-2</v>
      </c>
      <c r="D45" s="15">
        <v>34</v>
      </c>
      <c r="E45" s="32">
        <f t="shared" ref="E45:E48" si="14">IF(ISNUMBER(D45), (D45 - $B45) / $B45, "")</f>
        <v>-2.8571428571428571E-2</v>
      </c>
      <c r="F45" s="18">
        <f>IF(ISNUMBER(D45), $B64 * E45, "")</f>
        <v>-4285.7142857142853</v>
      </c>
      <c r="G45" s="31">
        <v>34.4</v>
      </c>
      <c r="H45" s="32">
        <f t="shared" ref="H45:H48" si="15">IF(ISNUMBER(G45), (G45 - $B45) / $B45, "")</f>
        <v>-1.7142857142857182E-2</v>
      </c>
      <c r="I45" s="91">
        <f>IF(ISNUMBER(G45), $B64 * H45, "")</f>
        <v>-2571.4285714285775</v>
      </c>
      <c r="J45" s="15">
        <v>34.299999999999997</v>
      </c>
      <c r="K45" s="32">
        <f t="shared" ref="K45:K48" si="16">IF(ISNUMBER(J45), (J45 - $B45) / $B45, "")</f>
        <v>-2.000000000000008E-2</v>
      </c>
      <c r="L45" s="18">
        <f>IF(ISNUMBER(J45), $B64 * K45, "")</f>
        <v>-3000.0000000000118</v>
      </c>
      <c r="M45" s="31">
        <v>34.299999999999997</v>
      </c>
      <c r="N45" s="32">
        <f t="shared" ref="N45:N48" si="17">IF(ISNUMBER(M45), (M45 - $B45) / $B45, "")</f>
        <v>-2.000000000000008E-2</v>
      </c>
      <c r="O45" s="18">
        <f>IF(ISNUMBER(M45), $B64 * N45, "")</f>
        <v>-3000.0000000000118</v>
      </c>
      <c r="Q45" s="156"/>
      <c r="R45" s="156"/>
      <c r="S45" s="156"/>
    </row>
    <row r="46" spans="1:19" ht="17.25" customHeight="1" thickBot="1">
      <c r="A46" s="109" t="s">
        <v>333</v>
      </c>
      <c r="B46" s="110">
        <v>4.07</v>
      </c>
      <c r="C46" s="70">
        <v>9.9255582999999998E-3</v>
      </c>
      <c r="D46" s="15">
        <v>4</v>
      </c>
      <c r="E46" s="32">
        <f t="shared" si="14"/>
        <v>-1.7199017199017268E-2</v>
      </c>
      <c r="F46" s="18">
        <f>IF(ISNUMBER(D46), $B64 * E46, "")</f>
        <v>-2579.8525798525902</v>
      </c>
      <c r="G46" s="31">
        <v>4.0199999999999996</v>
      </c>
      <c r="H46" s="32">
        <f t="shared" si="15"/>
        <v>-1.2285012285012459E-2</v>
      </c>
      <c r="I46" s="91">
        <f>IF(ISNUMBER(G46), $B64 * H46, "")</f>
        <v>-1842.7518427518689</v>
      </c>
      <c r="J46" s="15">
        <v>3.97</v>
      </c>
      <c r="K46" s="32">
        <f t="shared" si="16"/>
        <v>-2.4570024570024589E-2</v>
      </c>
      <c r="L46" s="18">
        <f>IF(ISNUMBER(J46), $B64 * K46, "")</f>
        <v>-3685.5036855036883</v>
      </c>
      <c r="M46" s="31">
        <v>3.96</v>
      </c>
      <c r="N46" s="32">
        <f t="shared" si="17"/>
        <v>-2.7027027027027105E-2</v>
      </c>
      <c r="O46" s="18">
        <f>IF(ISNUMBER(M46), $B64 * N46, "")</f>
        <v>-4054.0540540540655</v>
      </c>
      <c r="Q46" s="146"/>
      <c r="R46" s="146"/>
      <c r="S46" s="146"/>
    </row>
    <row r="47" spans="1:19" ht="17.25" customHeight="1" thickBot="1">
      <c r="A47" s="109" t="s">
        <v>217</v>
      </c>
      <c r="B47" s="110">
        <v>55.9</v>
      </c>
      <c r="C47" s="70">
        <v>1.7921147000000001E-3</v>
      </c>
      <c r="D47" s="15">
        <v>55</v>
      </c>
      <c r="E47" s="32">
        <f t="shared" si="14"/>
        <v>-1.6100178890876539E-2</v>
      </c>
      <c r="F47" s="18">
        <f>IF(ISNUMBER(D47), $B64 * E47, "")</f>
        <v>-2415.0268336314807</v>
      </c>
      <c r="G47" s="31">
        <v>54.5</v>
      </c>
      <c r="H47" s="32">
        <f t="shared" si="15"/>
        <v>-2.50447227191413E-2</v>
      </c>
      <c r="I47" s="91">
        <f>IF(ISNUMBER(G47), $B64 * H47, "")</f>
        <v>-3756.708407871195</v>
      </c>
      <c r="J47" s="15">
        <v>54.4</v>
      </c>
      <c r="K47" s="32">
        <f t="shared" si="16"/>
        <v>-2.6833631484794278E-2</v>
      </c>
      <c r="L47" s="18">
        <f>IF(ISNUMBER(J47), $B64 * K47, "")</f>
        <v>-4025.0447227191416</v>
      </c>
      <c r="M47" s="31">
        <v>54.4</v>
      </c>
      <c r="N47" s="32">
        <f t="shared" si="17"/>
        <v>-2.6833631484794278E-2</v>
      </c>
      <c r="O47" s="18">
        <f>IF(ISNUMBER(M47), $B64 * N47, "")</f>
        <v>-4025.0447227191416</v>
      </c>
      <c r="Q47" s="146"/>
      <c r="R47" s="146"/>
      <c r="S47" s="146"/>
    </row>
    <row r="48" spans="1:19" ht="17.25" customHeight="1" thickBot="1">
      <c r="A48" s="111" t="s">
        <v>97</v>
      </c>
      <c r="B48" s="112">
        <v>8.9999999999999998E-4</v>
      </c>
      <c r="C48" s="71">
        <v>0</v>
      </c>
      <c r="D48" s="20">
        <v>8.0000000000000004E-4</v>
      </c>
      <c r="E48" s="21">
        <f t="shared" si="14"/>
        <v>-0.11111111111111105</v>
      </c>
      <c r="F48" s="22">
        <f>IF(ISNUMBER(D48), $B64 * E48, "")</f>
        <v>-16666.666666666657</v>
      </c>
      <c r="G48" s="30">
        <v>6.9999999999999999E-4</v>
      </c>
      <c r="H48" s="21">
        <f t="shared" si="15"/>
        <v>-0.22222222222222221</v>
      </c>
      <c r="I48" s="95">
        <f>IF(ISNUMBER(G48), $B64 * H48, "")</f>
        <v>-33333.333333333328</v>
      </c>
      <c r="J48" s="20">
        <v>8.0000000000000004E-4</v>
      </c>
      <c r="K48" s="21">
        <f t="shared" si="16"/>
        <v>-0.11111111111111105</v>
      </c>
      <c r="L48" s="22">
        <f>IF(ISNUMBER(J48), $B64 * K48, "")</f>
        <v>-16666.666666666657</v>
      </c>
      <c r="M48" s="30">
        <v>6.9999999999999999E-4</v>
      </c>
      <c r="N48" s="21">
        <f t="shared" si="17"/>
        <v>-0.22222222222222221</v>
      </c>
      <c r="O48" s="22">
        <f>IF(ISNUMBER(M48), $B64 * N48, "")</f>
        <v>-33333.333333333328</v>
      </c>
      <c r="Q48" s="146"/>
      <c r="R48" s="146"/>
      <c r="S48" s="146"/>
    </row>
    <row r="49" spans="1:19" ht="17.25" customHeight="1" thickBot="1">
      <c r="A49" s="109" t="s">
        <v>107</v>
      </c>
      <c r="B49" s="113">
        <v>34.299999999999997</v>
      </c>
      <c r="C49" s="73">
        <v>0</v>
      </c>
      <c r="D49" s="96">
        <v>35.6</v>
      </c>
      <c r="E49" s="97">
        <f>IF(ISNUMBER(D49), (D49 - $B49) / $B49, "")</f>
        <v>3.790087463556864E-2</v>
      </c>
      <c r="F49" s="98">
        <f>IF(ISNUMBER(D49), $B64 * E49, "")</f>
        <v>5685.1311953352961</v>
      </c>
      <c r="G49" s="99">
        <v>37</v>
      </c>
      <c r="H49" s="97">
        <f>IF(ISNUMBER(G49), (G49 - $B49) / $B49, "")</f>
        <v>7.8717201166180847E-2</v>
      </c>
      <c r="I49" s="100">
        <f>IF(ISNUMBER(G49), $B64 * H49, "")</f>
        <v>11807.580174927127</v>
      </c>
      <c r="J49" s="96">
        <v>37.5</v>
      </c>
      <c r="K49" s="97">
        <f>IF(ISNUMBER(J49), (J49 - $B49) / $B49, "")</f>
        <v>9.3294460641399513E-2</v>
      </c>
      <c r="L49" s="98">
        <f>IF(ISNUMBER(J49), $B64 * K49, "")</f>
        <v>13994.169096209927</v>
      </c>
      <c r="M49" s="99">
        <v>36</v>
      </c>
      <c r="N49" s="97">
        <f>IF(ISNUMBER(M49), (M49 - $B49) / $B49, "")</f>
        <v>4.9562682215743524E-2</v>
      </c>
      <c r="O49" s="98">
        <f>IF(ISNUMBER(M49), $B64 * N49, "")</f>
        <v>7434.4023323615284</v>
      </c>
      <c r="Q49" s="146"/>
      <c r="R49" s="146"/>
      <c r="S49" s="146"/>
    </row>
    <row r="50" spans="1:19" ht="17.25" customHeight="1" thickBot="1">
      <c r="A50" s="109" t="s">
        <v>124</v>
      </c>
      <c r="B50" s="110">
        <v>27.5</v>
      </c>
      <c r="C50" s="70">
        <v>0</v>
      </c>
      <c r="D50" s="15">
        <v>27.3</v>
      </c>
      <c r="E50" s="32">
        <f t="shared" ref="E50:E53" si="18">IF(ISNUMBER(D50), (D50 - $B50) / $B50, "")</f>
        <v>-7.2727272727272467E-3</v>
      </c>
      <c r="F50" s="18">
        <f>IF(ISNUMBER(D50), $B64 * E50, "")</f>
        <v>-1090.9090909090869</v>
      </c>
      <c r="G50" s="31">
        <v>27.3</v>
      </c>
      <c r="H50" s="32">
        <f t="shared" ref="H50:H53" si="19">IF(ISNUMBER(G50), (G50 - $B50) / $B50, "")</f>
        <v>-7.2727272727272467E-3</v>
      </c>
      <c r="I50" s="91">
        <f>IF(ISNUMBER(G50), $B64 * H50, "")</f>
        <v>-1090.9090909090869</v>
      </c>
      <c r="J50" s="15">
        <v>27.1</v>
      </c>
      <c r="K50" s="32">
        <f t="shared" ref="K50:K53" si="20">IF(ISNUMBER(J50), (J50 - $B50) / $B50, "")</f>
        <v>-1.4545454545454493E-2</v>
      </c>
      <c r="L50" s="18">
        <f>IF(ISNUMBER(J50), $B64 * K50, "")</f>
        <v>-2181.8181818181738</v>
      </c>
      <c r="M50" s="31">
        <v>27.1</v>
      </c>
      <c r="N50" s="32">
        <f t="shared" ref="N50:N53" si="21">IF(ISNUMBER(M50), (M50 - $B50) / $B50, "")</f>
        <v>-1.4545454545454493E-2</v>
      </c>
      <c r="O50" s="18">
        <f>IF(ISNUMBER(M50), $B64 * N50, "")</f>
        <v>-2181.8181818181738</v>
      </c>
      <c r="Q50" s="146"/>
      <c r="R50" s="146"/>
      <c r="S50" s="146"/>
    </row>
    <row r="51" spans="1:19" ht="17.25" customHeight="1" thickBot="1">
      <c r="A51" s="109" t="s">
        <v>221</v>
      </c>
      <c r="B51" s="110">
        <v>17.8</v>
      </c>
      <c r="C51" s="70">
        <v>0</v>
      </c>
      <c r="D51" s="15">
        <v>17.5</v>
      </c>
      <c r="E51" s="32">
        <f t="shared" si="18"/>
        <v>-1.6853932584269701E-2</v>
      </c>
      <c r="F51" s="18">
        <f>IF(ISNUMBER(D51), $B64 * E51, "")</f>
        <v>-2528.0898876404549</v>
      </c>
      <c r="G51" s="31">
        <v>17.2</v>
      </c>
      <c r="H51" s="32">
        <f t="shared" si="19"/>
        <v>-3.3707865168539401E-2</v>
      </c>
      <c r="I51" s="91">
        <f>IF(ISNUMBER(G51), $B64 * H51, "")</f>
        <v>-5056.1797752809098</v>
      </c>
      <c r="J51" s="15">
        <v>17.2</v>
      </c>
      <c r="K51" s="32">
        <f t="shared" si="20"/>
        <v>-3.3707865168539401E-2</v>
      </c>
      <c r="L51" s="18">
        <f>IF(ISNUMBER(J51), $B64 * K51, "")</f>
        <v>-5056.1797752809098</v>
      </c>
      <c r="M51" s="31">
        <v>17.399999999999999</v>
      </c>
      <c r="N51" s="32">
        <f t="shared" si="21"/>
        <v>-2.2471910112359668E-2</v>
      </c>
      <c r="O51" s="18">
        <f>IF(ISNUMBER(M51), $B64 * N51, "")</f>
        <v>-3370.7865168539502</v>
      </c>
      <c r="Q51" s="146"/>
      <c r="R51" s="146"/>
      <c r="S51" s="146"/>
    </row>
    <row r="52" spans="1:19" ht="17.25" customHeight="1" thickBot="1">
      <c r="A52" s="109" t="s">
        <v>195</v>
      </c>
      <c r="B52" s="110">
        <v>5.57</v>
      </c>
      <c r="C52" s="70">
        <v>-1.7921147000000001E-3</v>
      </c>
      <c r="D52" s="15">
        <v>5.6</v>
      </c>
      <c r="E52" s="32">
        <f t="shared" si="18"/>
        <v>5.3859964093356119E-3</v>
      </c>
      <c r="F52" s="18">
        <f>IF(ISNUMBER(D52), $B64 * E52, "")</f>
        <v>807.89946140034181</v>
      </c>
      <c r="G52" s="31">
        <v>5.6</v>
      </c>
      <c r="H52" s="32">
        <f t="shared" si="19"/>
        <v>5.3859964093356119E-3</v>
      </c>
      <c r="I52" s="91">
        <f>IF(ISNUMBER(G52), $B64 * H52, "")</f>
        <v>807.89946140034181</v>
      </c>
      <c r="J52" s="15">
        <v>5.57</v>
      </c>
      <c r="K52" s="32">
        <f t="shared" si="20"/>
        <v>0</v>
      </c>
      <c r="L52" s="18">
        <f>IF(ISNUMBER(J52), $B64 * K52, "")</f>
        <v>0</v>
      </c>
      <c r="M52" s="31">
        <v>5.58</v>
      </c>
      <c r="N52" s="32">
        <f t="shared" si="21"/>
        <v>1.7953321364452041E-3</v>
      </c>
      <c r="O52" s="18">
        <f>IF(ISNUMBER(M52), $B64 * N52, "")</f>
        <v>269.2998204667806</v>
      </c>
      <c r="Q52" s="33"/>
      <c r="R52" s="33"/>
    </row>
    <row r="53" spans="1:19" ht="17.25" customHeight="1" thickBot="1">
      <c r="A53" s="114" t="s">
        <v>185</v>
      </c>
      <c r="B53" s="115">
        <v>23.3</v>
      </c>
      <c r="C53" s="72">
        <v>-4.2735042999999997E-3</v>
      </c>
      <c r="D53" s="24">
        <v>23.2</v>
      </c>
      <c r="E53" s="25">
        <f t="shared" si="18"/>
        <v>-4.2918454935622925E-3</v>
      </c>
      <c r="F53" s="94">
        <f>IF(ISNUMBER(D53), $B64 * E53, "")</f>
        <v>-643.77682403434392</v>
      </c>
      <c r="G53" s="92">
        <v>22.8</v>
      </c>
      <c r="H53" s="25">
        <f t="shared" si="19"/>
        <v>-2.1459227467811159E-2</v>
      </c>
      <c r="I53" s="93">
        <f>IF(ISNUMBER(G53), $B64 * H53, "")</f>
        <v>-3218.8841201716737</v>
      </c>
      <c r="J53" s="24">
        <v>22.6</v>
      </c>
      <c r="K53" s="25">
        <f t="shared" si="20"/>
        <v>-3.0042918454935591E-2</v>
      </c>
      <c r="L53" s="94">
        <f>IF(ISNUMBER(J53), $B64 * K53, "")</f>
        <v>-4506.4377682403383</v>
      </c>
      <c r="M53" s="92">
        <v>22.9</v>
      </c>
      <c r="N53" s="25">
        <f t="shared" si="21"/>
        <v>-1.7167381974249017E-2</v>
      </c>
      <c r="O53" s="94">
        <f>IF(ISNUMBER(M53), $B64 * N53, "")</f>
        <v>-2575.1072961373525</v>
      </c>
      <c r="Q53" s="147"/>
      <c r="R53" s="148"/>
      <c r="S53" s="149"/>
    </row>
    <row r="54" spans="1:19" ht="17.25" customHeight="1">
      <c r="A54" s="107" t="s">
        <v>181</v>
      </c>
      <c r="B54" s="108">
        <v>3.9</v>
      </c>
      <c r="C54" s="69">
        <v>-5.1020407999999998E-3</v>
      </c>
      <c r="D54" s="13">
        <v>3.85</v>
      </c>
      <c r="E54" s="14">
        <f>IF(ISNUMBER(D54), (D54 - $B54) / $B54, "")</f>
        <v>-1.2820512820512775E-2</v>
      </c>
      <c r="F54" s="16">
        <f>IF(ISNUMBER(D54), $B64 * E54, "")</f>
        <v>-1923.0769230769163</v>
      </c>
      <c r="G54" s="29">
        <v>3.86</v>
      </c>
      <c r="H54" s="14">
        <f>IF(ISNUMBER(G54), (G54 - $B54) / $B54, "")</f>
        <v>-1.0256410256410265E-2</v>
      </c>
      <c r="I54" s="90">
        <f>IF(ISNUMBER(G54), $B64 * H54, "")</f>
        <v>-1538.4615384615397</v>
      </c>
      <c r="J54" s="13">
        <v>3.81</v>
      </c>
      <c r="K54" s="14">
        <f>IF(ISNUMBER(J54), (J54 - $B54) / $B54, "")</f>
        <v>-2.307692307692304E-2</v>
      </c>
      <c r="L54" s="16">
        <f>IF(ISNUMBER(J54), $B64 * K54, "")</f>
        <v>-3461.538461538456</v>
      </c>
      <c r="M54" s="29">
        <v>3.83</v>
      </c>
      <c r="N54" s="14">
        <f>IF(ISNUMBER(M54), (M54 - $B54) / $B54, "")</f>
        <v>-1.7948717948717909E-2</v>
      </c>
      <c r="O54" s="16">
        <f>IF(ISNUMBER(M54), $B64 * N54, "")</f>
        <v>-2692.3076923076865</v>
      </c>
      <c r="Q54" s="150"/>
      <c r="R54" s="151"/>
      <c r="S54" s="152"/>
    </row>
    <row r="55" spans="1:19" ht="17.25" customHeight="1" thickBot="1">
      <c r="A55" s="109" t="s">
        <v>141</v>
      </c>
      <c r="B55" s="110">
        <v>2.97</v>
      </c>
      <c r="C55" s="70">
        <v>-6.6889632000000001E-3</v>
      </c>
      <c r="D55" s="15">
        <v>2.94</v>
      </c>
      <c r="E55" s="32">
        <f t="shared" ref="E55:E58" si="22">IF(ISNUMBER(D55), (D55 - $B55) / $B55, "")</f>
        <v>-1.0101010101010183E-2</v>
      </c>
      <c r="F55" s="18">
        <f>IF(ISNUMBER(D55), $B64 * E55, "")</f>
        <v>-1515.1515151515275</v>
      </c>
      <c r="G55" s="31">
        <v>2.94</v>
      </c>
      <c r="H55" s="32">
        <f t="shared" ref="H55:H58" si="23">IF(ISNUMBER(G55), (G55 - $B55) / $B55, "")</f>
        <v>-1.0101010101010183E-2</v>
      </c>
      <c r="I55" s="91">
        <f>IF(ISNUMBER(G55), $B64 * H55, "")</f>
        <v>-1515.1515151515275</v>
      </c>
      <c r="J55" s="15">
        <v>2.91</v>
      </c>
      <c r="K55" s="32">
        <f t="shared" ref="K55:K58" si="24">IF(ISNUMBER(J55), (J55 - $B55) / $B55, "")</f>
        <v>-2.0202020202020218E-2</v>
      </c>
      <c r="L55" s="18">
        <f>IF(ISNUMBER(J55), $B64 * K55, "")</f>
        <v>-3030.3030303030328</v>
      </c>
      <c r="M55" s="31">
        <v>2.92</v>
      </c>
      <c r="N55" s="32">
        <f t="shared" ref="N55:N58" si="25">IF(ISNUMBER(M55), (M55 - $B55) / $B55, "")</f>
        <v>-1.6835016835016925E-2</v>
      </c>
      <c r="O55" s="18">
        <f>IF(ISNUMBER(M55), $B64 * N55, "")</f>
        <v>-2525.2525252525388</v>
      </c>
      <c r="Q55" s="153"/>
      <c r="R55" s="154"/>
      <c r="S55" s="155"/>
    </row>
    <row r="56" spans="1:19" ht="17.25" customHeight="1" thickBot="1">
      <c r="A56" s="109" t="s">
        <v>197</v>
      </c>
      <c r="B56" s="110">
        <v>5.61</v>
      </c>
      <c r="C56" s="70">
        <v>-7.0796460000000002E-3</v>
      </c>
      <c r="D56" s="15">
        <v>5.56</v>
      </c>
      <c r="E56" s="32">
        <f t="shared" si="22"/>
        <v>-8.9126559714796279E-3</v>
      </c>
      <c r="F56" s="18">
        <f>IF(ISNUMBER(D56), $B64 * E56, "")</f>
        <v>-1336.8983957219441</v>
      </c>
      <c r="G56" s="31">
        <v>5.54</v>
      </c>
      <c r="H56" s="32">
        <f t="shared" si="23"/>
        <v>-1.2477718360071352E-2</v>
      </c>
      <c r="I56" s="91">
        <f>IF(ISNUMBER(G56), $B64 * H56, "")</f>
        <v>-1871.6577540107028</v>
      </c>
      <c r="J56" s="15">
        <v>5.49</v>
      </c>
      <c r="K56" s="32">
        <f t="shared" si="24"/>
        <v>-2.1390374331550818E-2</v>
      </c>
      <c r="L56" s="18">
        <f>IF(ISNUMBER(J56), $B64 * K56, "")</f>
        <v>-3208.5561497326225</v>
      </c>
      <c r="M56" s="31">
        <v>5.52</v>
      </c>
      <c r="N56" s="32">
        <f t="shared" si="25"/>
        <v>-1.6042780748663235E-2</v>
      </c>
      <c r="O56" s="18">
        <f>IF(ISNUMBER(M56), $B64 * N56, "")</f>
        <v>-2406.4171122994853</v>
      </c>
      <c r="Q56" s="146"/>
      <c r="R56" s="146"/>
      <c r="S56" s="146"/>
    </row>
    <row r="57" spans="1:19" ht="17.25" customHeight="1" thickBot="1">
      <c r="A57" s="109" t="s">
        <v>237</v>
      </c>
      <c r="B57" s="110">
        <v>25.8</v>
      </c>
      <c r="C57" s="70">
        <v>-7.6923076999999996E-3</v>
      </c>
      <c r="D57" s="15">
        <v>25.1</v>
      </c>
      <c r="E57" s="32">
        <f t="shared" si="22"/>
        <v>-2.7131782945736406E-2</v>
      </c>
      <c r="F57" s="18">
        <f>IF(ISNUMBER(D57), $B64 * E57, "")</f>
        <v>-4069.7674418604611</v>
      </c>
      <c r="G57" s="31">
        <v>25</v>
      </c>
      <c r="H57" s="32">
        <f t="shared" si="23"/>
        <v>-3.1007751937984523E-2</v>
      </c>
      <c r="I57" s="91">
        <f>IF(ISNUMBER(G57), $B64 * H57, "")</f>
        <v>-4651.1627906976782</v>
      </c>
      <c r="J57" s="15">
        <v>24.9</v>
      </c>
      <c r="K57" s="32">
        <f t="shared" si="24"/>
        <v>-3.4883720930232641E-2</v>
      </c>
      <c r="L57" s="18">
        <f>IF(ISNUMBER(J57), $B64 * K57, "")</f>
        <v>-5232.5581395348963</v>
      </c>
      <c r="M57" s="31">
        <v>25.1</v>
      </c>
      <c r="N57" s="32">
        <f t="shared" si="25"/>
        <v>-2.7131782945736406E-2</v>
      </c>
      <c r="O57" s="18">
        <f>IF(ISNUMBER(M57), $B64 * N57, "")</f>
        <v>-4069.7674418604611</v>
      </c>
      <c r="Q57" s="156"/>
      <c r="R57" s="156"/>
      <c r="S57" s="156"/>
    </row>
    <row r="58" spans="1:19" ht="17.25" customHeight="1" thickBot="1">
      <c r="A58" s="111" t="s">
        <v>155</v>
      </c>
      <c r="B58" s="112">
        <v>24.8</v>
      </c>
      <c r="C58" s="71">
        <v>-8.0000000000000002E-3</v>
      </c>
      <c r="D58" s="20">
        <v>24.4</v>
      </c>
      <c r="E58" s="21">
        <f t="shared" si="22"/>
        <v>-1.6129032258064602E-2</v>
      </c>
      <c r="F58" s="22">
        <f>IF(ISNUMBER(D58), $B64 * E58, "")</f>
        <v>-2419.3548387096903</v>
      </c>
      <c r="G58" s="30">
        <v>24.5</v>
      </c>
      <c r="H58" s="21">
        <f t="shared" si="23"/>
        <v>-1.2096774193548416E-2</v>
      </c>
      <c r="I58" s="95">
        <f>IF(ISNUMBER(G58), $B64 * H58, "")</f>
        <v>-1814.5161290322624</v>
      </c>
      <c r="J58" s="20">
        <v>24.1</v>
      </c>
      <c r="K58" s="21">
        <f t="shared" si="24"/>
        <v>-2.8225806451612875E-2</v>
      </c>
      <c r="L58" s="22">
        <f>IF(ISNUMBER(J58), $B64 * K58, "")</f>
        <v>-4233.8709677419311</v>
      </c>
      <c r="M58" s="30">
        <v>24.5</v>
      </c>
      <c r="N58" s="21">
        <f t="shared" si="25"/>
        <v>-1.2096774193548416E-2</v>
      </c>
      <c r="O58" s="22">
        <f>IF(ISNUMBER(M58), $B64 * N58, "")</f>
        <v>-1814.5161290322624</v>
      </c>
      <c r="Q58" s="156"/>
      <c r="R58" s="156"/>
      <c r="S58" s="156"/>
    </row>
    <row r="59" spans="1:19" ht="17.25" customHeight="1" thickBot="1">
      <c r="A59" s="109" t="s">
        <v>207</v>
      </c>
      <c r="B59" s="113">
        <v>59.3</v>
      </c>
      <c r="C59" s="73">
        <v>-8.3612040000000006E-3</v>
      </c>
      <c r="D59" s="96">
        <v>59.6</v>
      </c>
      <c r="E59" s="97">
        <f>IF(ISNUMBER(D59), (D59 - $B59) / $B59, "")</f>
        <v>5.0590219224284022E-3</v>
      </c>
      <c r="F59" s="98">
        <f>IF(ISNUMBER(D59), $B64 * E59, "")</f>
        <v>758.85328836426038</v>
      </c>
      <c r="G59" s="99">
        <v>59.3</v>
      </c>
      <c r="H59" s="97">
        <f>IF(ISNUMBER(G59), (G59 - $B59) / $B59, "")</f>
        <v>0</v>
      </c>
      <c r="I59" s="100">
        <f>IF(ISNUMBER(G59), $B64 * H59, "")</f>
        <v>0</v>
      </c>
      <c r="J59" s="96">
        <v>59</v>
      </c>
      <c r="K59" s="97">
        <f>IF(ISNUMBER(J59), (J59 - $B59) / $B59, "")</f>
        <v>-5.0590219224282825E-3</v>
      </c>
      <c r="L59" s="98">
        <f>IF(ISNUMBER(J59), $B64 * K59, "")</f>
        <v>-758.85328836424242</v>
      </c>
      <c r="M59" s="99">
        <v>59</v>
      </c>
      <c r="N59" s="97">
        <f>IF(ISNUMBER(M59), (M59 - $B59) / $B59, "")</f>
        <v>-5.0590219224282825E-3</v>
      </c>
      <c r="O59" s="98">
        <f>IF(ISNUMBER(M59), $B64 * N59, "")</f>
        <v>-758.85328836424242</v>
      </c>
      <c r="Q59" s="146"/>
      <c r="R59" s="146"/>
      <c r="S59" s="146"/>
    </row>
    <row r="60" spans="1:19" ht="17.25" customHeight="1" thickBot="1">
      <c r="A60" s="109" t="s">
        <v>64</v>
      </c>
      <c r="B60" s="110">
        <v>9.07</v>
      </c>
      <c r="C60" s="70">
        <v>-8.7431694000000004E-3</v>
      </c>
      <c r="D60" s="15">
        <v>8.9499999999999993</v>
      </c>
      <c r="E60" s="32">
        <f t="shared" ref="E60:E63" si="26">IF(ISNUMBER(D60), (D60 - $B60) / $B60, "")</f>
        <v>-1.3230429988974751E-2</v>
      </c>
      <c r="F60" s="18">
        <f>IF(ISNUMBER(D60), $B64 * E60, "")</f>
        <v>-1984.5644983462128</v>
      </c>
      <c r="G60" s="31">
        <v>8.92</v>
      </c>
      <c r="H60" s="32">
        <f t="shared" ref="H60:H63" si="27">IF(ISNUMBER(G60), (G60 - $B60) / $B60, "")</f>
        <v>-1.6538037486218342E-2</v>
      </c>
      <c r="I60" s="91">
        <f>IF(ISNUMBER(G60), $B64 * H60, "")</f>
        <v>-2480.7056229327513</v>
      </c>
      <c r="J60" s="15">
        <v>8.9</v>
      </c>
      <c r="K60" s="32">
        <f t="shared" ref="K60:K63" si="28">IF(ISNUMBER(J60), (J60 - $B60) / $B60, "")</f>
        <v>-1.8743109151047401E-2</v>
      </c>
      <c r="L60" s="18">
        <f>IF(ISNUMBER(J60), $B64 * K60, "")</f>
        <v>-2811.4663726571102</v>
      </c>
      <c r="M60" s="31">
        <v>8.9499999999999993</v>
      </c>
      <c r="N60" s="32">
        <f t="shared" ref="N60:N63" si="29">IF(ISNUMBER(M60), (M60 - $B60) / $B60, "")</f>
        <v>-1.3230429988974751E-2</v>
      </c>
      <c r="O60" s="18">
        <f>IF(ISNUMBER(M60), $B64 * N60, "")</f>
        <v>-1984.5644983462128</v>
      </c>
      <c r="Q60" s="146"/>
      <c r="R60" s="146"/>
      <c r="S60" s="146"/>
    </row>
    <row r="61" spans="1:19" ht="17.25" customHeight="1" thickBot="1">
      <c r="A61" s="109" t="s">
        <v>143</v>
      </c>
      <c r="B61" s="110">
        <v>3.37</v>
      </c>
      <c r="C61" s="70">
        <v>-8.8235294000000002E-3</v>
      </c>
      <c r="D61" s="15">
        <v>3.33</v>
      </c>
      <c r="E61" s="32">
        <f t="shared" si="26"/>
        <v>-1.1869436201780426E-2</v>
      </c>
      <c r="F61" s="18">
        <f>IF(ISNUMBER(D61), $B64 * E61, "")</f>
        <v>-1780.415430267064</v>
      </c>
      <c r="G61" s="31">
        <v>3.38</v>
      </c>
      <c r="H61" s="32">
        <f t="shared" si="27"/>
        <v>2.9673590504450406E-3</v>
      </c>
      <c r="I61" s="91">
        <f>IF(ISNUMBER(G61), $B64 * H61, "")</f>
        <v>445.10385756675612</v>
      </c>
      <c r="J61" s="15">
        <v>3.34</v>
      </c>
      <c r="K61" s="32">
        <f t="shared" si="28"/>
        <v>-8.9020771513353848E-3</v>
      </c>
      <c r="L61" s="18">
        <f>IF(ISNUMBER(J61), $B64 * K61, "")</f>
        <v>-1335.3115727003078</v>
      </c>
      <c r="M61" s="31">
        <v>3.32</v>
      </c>
      <c r="N61" s="32">
        <f t="shared" si="29"/>
        <v>-1.4836795252225598E-2</v>
      </c>
      <c r="O61" s="18">
        <f>IF(ISNUMBER(M61), $B64 * N61, "")</f>
        <v>-2225.5192878338398</v>
      </c>
      <c r="Q61" s="146"/>
      <c r="R61" s="146"/>
      <c r="S61" s="146"/>
    </row>
    <row r="62" spans="1:19" ht="17.25" customHeight="1">
      <c r="A62" s="109" t="s">
        <v>349</v>
      </c>
      <c r="B62" s="110">
        <v>20.7</v>
      </c>
      <c r="C62" s="70">
        <v>-9.5693779999999999E-3</v>
      </c>
      <c r="D62" s="15">
        <v>20.399999999999999</v>
      </c>
      <c r="E62" s="32">
        <f t="shared" si="26"/>
        <v>-1.4492753623188441E-2</v>
      </c>
      <c r="F62" s="18">
        <f>IF(ISNUMBER(D62), $B64 * E62, "")</f>
        <v>-2173.913043478266</v>
      </c>
      <c r="G62" s="31">
        <v>20.3</v>
      </c>
      <c r="H62" s="32">
        <f t="shared" si="27"/>
        <v>-1.9323671497584474E-2</v>
      </c>
      <c r="I62" s="91">
        <f>IF(ISNUMBER(G62), $B64 * H62, "")</f>
        <v>-2898.550724637671</v>
      </c>
      <c r="J62" s="15">
        <v>20.2</v>
      </c>
      <c r="K62" s="32">
        <f t="shared" si="28"/>
        <v>-2.4154589371980676E-2</v>
      </c>
      <c r="L62" s="18">
        <f>IF(ISNUMBER(J62), $B64 * K62, "")</f>
        <v>-3623.1884057971015</v>
      </c>
      <c r="M62" s="31">
        <v>20.2</v>
      </c>
      <c r="N62" s="32">
        <f t="shared" si="29"/>
        <v>-2.4154589371980676E-2</v>
      </c>
      <c r="O62" s="18">
        <f>IF(ISNUMBER(M62), $B64 * N62, "")</f>
        <v>-3623.1884057971015</v>
      </c>
      <c r="Q62" s="135"/>
      <c r="R62" s="136"/>
      <c r="S62" s="137"/>
    </row>
    <row r="63" spans="1:19" ht="17.25" customHeight="1" thickBot="1">
      <c r="A63" s="114" t="s">
        <v>253</v>
      </c>
      <c r="B63" s="115">
        <v>92.8</v>
      </c>
      <c r="C63" s="72">
        <v>-9.6051226999999996E-3</v>
      </c>
      <c r="D63" s="24">
        <v>90.6</v>
      </c>
      <c r="E63" s="25">
        <f t="shared" si="26"/>
        <v>-2.3706896551724168E-2</v>
      </c>
      <c r="F63" s="94">
        <f>IF(ISNUMBER(D63), $B64 * E63, "")</f>
        <v>-3556.034482758625</v>
      </c>
      <c r="G63" s="92">
        <v>90.5</v>
      </c>
      <c r="H63" s="25">
        <f t="shared" si="27"/>
        <v>-2.4784482758620659E-2</v>
      </c>
      <c r="I63" s="93">
        <f>IF(ISNUMBER(G63), $B64 * H63, "")</f>
        <v>-3717.6724137930987</v>
      </c>
      <c r="J63" s="24">
        <v>89.8</v>
      </c>
      <c r="K63" s="25">
        <f t="shared" si="28"/>
        <v>-3.2327586206896554E-2</v>
      </c>
      <c r="L63" s="94">
        <f>IF(ISNUMBER(J63), $B64 * K63, "")</f>
        <v>-4849.1379310344828</v>
      </c>
      <c r="M63" s="92">
        <v>90.3</v>
      </c>
      <c r="N63" s="25">
        <f t="shared" si="29"/>
        <v>-2.6939655172413795E-2</v>
      </c>
      <c r="O63" s="94">
        <f>IF(ISNUMBER(M63), $B64 * N63, "")</f>
        <v>-4040.9482758620693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-1.6010142611417751E-2</v>
      </c>
      <c r="F64" s="28">
        <f>SUM(F44:F63)</f>
        <v>-48030.427834253249</v>
      </c>
      <c r="G64" s="26" t="s">
        <v>258</v>
      </c>
      <c r="H64" s="27">
        <f>IF(COUNT(H44:H63), SUM(H44:H63) / COUNT(H44:H63), 0)</f>
        <v>-2.1349429619538125E-2</v>
      </c>
      <c r="I64" s="28">
        <f>SUM(I44:I63)</f>
        <v>-64048.288858614396</v>
      </c>
      <c r="J64" s="26" t="s">
        <v>258</v>
      </c>
      <c r="K64" s="27">
        <f>IF(COUNT(K44:K63), SUM(K44:K63) / COUNT(K44:K63), 0)</f>
        <v>-2.1300765990768328E-2</v>
      </c>
      <c r="L64" s="28">
        <f>SUM(L44:L63)</f>
        <v>-63902.297972304972</v>
      </c>
      <c r="M64" s="26" t="s">
        <v>258</v>
      </c>
      <c r="N64" s="27">
        <f>IF(COUNT(N44:N63), SUM(N44:N63) / COUNT(N44:N63), 0)</f>
        <v>-2.5256702959138077E-2</v>
      </c>
      <c r="O64" s="28">
        <f>SUM(O44:O63)</f>
        <v>-75770.108877414241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2023-01-06(금) 오전 00:00</v>
      </c>
      <c r="C69" s="198"/>
      <c r="D69" s="170" t="str">
        <f>TEXT($G$1, "[$-ko-KR]yyyy-mm-dd(ddd) ") &amp; "오후 14:00"</f>
        <v>2023-01-06(금) 오후 14:00</v>
      </c>
      <c r="E69" s="171"/>
      <c r="F69" s="172"/>
      <c r="G69" s="170" t="str">
        <f>TEXT($G$1, "[$-ko-KR]yyyy-mm-dd(ddd) ") &amp; "오후 19:00"</f>
        <v>2023-01-06(금) 오후 19:00</v>
      </c>
      <c r="H69" s="171"/>
      <c r="I69" s="172"/>
      <c r="J69" s="170" t="str">
        <f>TEXT($G$1, "[$-ko-KR]yyyy-mm-dd(ddd) ") &amp; "오후 21:00"</f>
        <v>2023-01-06(금) 오후 21:00</v>
      </c>
      <c r="K69" s="171"/>
      <c r="L69" s="172"/>
      <c r="M69" s="170" t="str">
        <f>TEXT($G$1+1, "[$-ko-KR]yyyy-mm-dd(ddd) ") &amp; "오전 00:00"</f>
        <v>2023-01-07(토)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85</v>
      </c>
      <c r="B71" s="108">
        <v>141</v>
      </c>
      <c r="C71" s="69">
        <v>5.2238805999999999E-2</v>
      </c>
      <c r="D71" s="13">
        <v>138</v>
      </c>
      <c r="E71" s="14">
        <f>IF(ISNUMBER(D71), (D71 - $B71) / $B71, "")</f>
        <v>-2.1276595744680851E-2</v>
      </c>
      <c r="F71" s="16">
        <f>IF(ISNUMBER(D71), $B91 * E71, "")</f>
        <v>-3191.4893617021276</v>
      </c>
      <c r="G71" s="29">
        <v>137</v>
      </c>
      <c r="H71" s="14">
        <f>IF(ISNUMBER(G71), (G71 - $B71) / $B71, "")</f>
        <v>-2.8368794326241134E-2</v>
      </c>
      <c r="I71" s="90">
        <f>IF(ISNUMBER(G71), $B91 * H71, "")</f>
        <v>-4255.3191489361698</v>
      </c>
      <c r="J71" s="13">
        <v>135</v>
      </c>
      <c r="K71" s="14">
        <f>IF(ISNUMBER(J71), (J71 - $B71) / $B71, "")</f>
        <v>-4.2553191489361701E-2</v>
      </c>
      <c r="L71" s="16">
        <f>IF(ISNUMBER(J71), $B91 * K71, "")</f>
        <v>-6382.9787234042551</v>
      </c>
      <c r="M71" s="29">
        <v>136</v>
      </c>
      <c r="N71" s="14">
        <f>IF(ISNUMBER(M71), (M71 - $B71) / $B71, "")</f>
        <v>-3.5460992907801421E-2</v>
      </c>
      <c r="O71" s="16">
        <f>IF(ISNUMBER(M71), $B91 * N71, "")</f>
        <v>-5319.1489361702133</v>
      </c>
      <c r="Q71" s="156"/>
      <c r="R71" s="156"/>
      <c r="S71" s="156"/>
    </row>
    <row r="72" spans="1:19" ht="17.25" thickBot="1">
      <c r="A72" s="109" t="s">
        <v>211</v>
      </c>
      <c r="B72" s="110">
        <v>938</v>
      </c>
      <c r="C72" s="70">
        <v>1.62513543E-2</v>
      </c>
      <c r="D72" s="15">
        <v>911</v>
      </c>
      <c r="E72" s="32">
        <f t="shared" ref="E72:E75" si="30">IF(ISNUMBER(D72), (D72 - $B72) / $B72, "")</f>
        <v>-2.8784648187633263E-2</v>
      </c>
      <c r="F72" s="18">
        <f>IF(ISNUMBER(D72), $B91 * E72, "")</f>
        <v>-4317.6972281449898</v>
      </c>
      <c r="G72" s="31">
        <v>905</v>
      </c>
      <c r="H72" s="32">
        <f t="shared" ref="H72:H75" si="31">IF(ISNUMBER(G72), (G72 - $B72) / $B72, "")</f>
        <v>-3.5181236673773986E-2</v>
      </c>
      <c r="I72" s="91">
        <f>IF(ISNUMBER(G72), $B91 * H72, "")</f>
        <v>-5277.1855010660975</v>
      </c>
      <c r="J72" s="15">
        <v>904</v>
      </c>
      <c r="K72" s="32">
        <f t="shared" ref="K72:K75" si="32">IF(ISNUMBER(J72), (J72 - $B72) / $B72, "")</f>
        <v>-3.6247334754797439E-2</v>
      </c>
      <c r="L72" s="18">
        <f>IF(ISNUMBER(J72), $B91 * K72, "")</f>
        <v>-5437.1002132196154</v>
      </c>
      <c r="M72" s="31">
        <v>903</v>
      </c>
      <c r="N72" s="32">
        <f t="shared" ref="N72:N75" si="33">IF(ISNUMBER(M72), (M72 - $B72) / $B72, "")</f>
        <v>-3.7313432835820892E-2</v>
      </c>
      <c r="O72" s="18">
        <f>IF(ISNUMBER(M72), $B91 * N72, "")</f>
        <v>-5597.0149253731342</v>
      </c>
      <c r="Q72" s="156"/>
      <c r="R72" s="156"/>
      <c r="S72" s="156"/>
    </row>
    <row r="73" spans="1:19" ht="17.25" thickBot="1">
      <c r="A73" s="109" t="s">
        <v>235</v>
      </c>
      <c r="B73" s="110">
        <v>521</v>
      </c>
      <c r="C73" s="70">
        <v>7.7369439000000003E-3</v>
      </c>
      <c r="D73" s="15">
        <v>508</v>
      </c>
      <c r="E73" s="32">
        <f t="shared" si="30"/>
        <v>-2.4952015355086371E-2</v>
      </c>
      <c r="F73" s="18">
        <f>IF(ISNUMBER(D73), $B91 * E73, "")</f>
        <v>-3742.8023032629558</v>
      </c>
      <c r="G73" s="31">
        <v>507</v>
      </c>
      <c r="H73" s="32">
        <f t="shared" si="31"/>
        <v>-2.6871401151631478E-2</v>
      </c>
      <c r="I73" s="91">
        <f>IF(ISNUMBER(G73), $B91 * H73, "")</f>
        <v>-4030.7101727447216</v>
      </c>
      <c r="J73" s="15">
        <v>502</v>
      </c>
      <c r="K73" s="32">
        <f t="shared" si="32"/>
        <v>-3.6468330134357005E-2</v>
      </c>
      <c r="L73" s="18">
        <f>IF(ISNUMBER(J73), $B91 * K73, "")</f>
        <v>-5470.2495201535503</v>
      </c>
      <c r="M73" s="31">
        <v>506</v>
      </c>
      <c r="N73" s="32">
        <f t="shared" si="33"/>
        <v>-2.8790786948176585E-2</v>
      </c>
      <c r="O73" s="18">
        <f>IF(ISNUMBER(M73), $B91 * N73, "")</f>
        <v>-4318.6180422264879</v>
      </c>
      <c r="Q73" s="146"/>
      <c r="R73" s="146"/>
      <c r="S73" s="146"/>
    </row>
    <row r="74" spans="1:19" ht="17.25" thickBot="1">
      <c r="A74" s="109" t="s">
        <v>321</v>
      </c>
      <c r="B74" s="110">
        <v>158</v>
      </c>
      <c r="C74" s="70">
        <v>6.3694268000000004E-3</v>
      </c>
      <c r="D74" s="15">
        <v>155</v>
      </c>
      <c r="E74" s="32">
        <f t="shared" si="30"/>
        <v>-1.8987341772151899E-2</v>
      </c>
      <c r="F74" s="18">
        <f>IF(ISNUMBER(D74), $B91 * E74, "")</f>
        <v>-2848.1012658227851</v>
      </c>
      <c r="G74" s="31">
        <v>154</v>
      </c>
      <c r="H74" s="32">
        <f t="shared" si="31"/>
        <v>-2.5316455696202531E-2</v>
      </c>
      <c r="I74" s="91">
        <f>IF(ISNUMBER(G74), $B91 * H74, "")</f>
        <v>-3797.4683544303798</v>
      </c>
      <c r="J74" s="15">
        <v>152</v>
      </c>
      <c r="K74" s="32">
        <f t="shared" si="32"/>
        <v>-3.7974683544303799E-2</v>
      </c>
      <c r="L74" s="18">
        <f>IF(ISNUMBER(J74), $B91 * K74, "")</f>
        <v>-5696.2025316455702</v>
      </c>
      <c r="M74" s="31">
        <v>153</v>
      </c>
      <c r="N74" s="32">
        <f t="shared" si="33"/>
        <v>-3.1645569620253167E-2</v>
      </c>
      <c r="O74" s="18">
        <f>IF(ISNUMBER(M74), $B91 * N74, "")</f>
        <v>-4746.835443037975</v>
      </c>
      <c r="Q74" s="146"/>
      <c r="R74" s="146"/>
      <c r="S74" s="146"/>
    </row>
    <row r="75" spans="1:19" ht="17.25" thickBot="1">
      <c r="A75" s="111" t="s">
        <v>330</v>
      </c>
      <c r="B75" s="112">
        <v>266</v>
      </c>
      <c r="C75" s="71">
        <v>3.7735848999999998E-3</v>
      </c>
      <c r="D75" s="20">
        <v>264</v>
      </c>
      <c r="E75" s="21">
        <f t="shared" si="30"/>
        <v>-7.5187969924812026E-3</v>
      </c>
      <c r="F75" s="22">
        <f>IF(ISNUMBER(D75), $B91 * E75, "")</f>
        <v>-1127.8195488721803</v>
      </c>
      <c r="G75" s="30">
        <v>262</v>
      </c>
      <c r="H75" s="21">
        <f t="shared" si="31"/>
        <v>-1.5037593984962405E-2</v>
      </c>
      <c r="I75" s="95">
        <f>IF(ISNUMBER(G75), $B91 * H75, "")</f>
        <v>-2255.6390977443607</v>
      </c>
      <c r="J75" s="20">
        <v>261</v>
      </c>
      <c r="K75" s="21">
        <f t="shared" si="32"/>
        <v>-1.8796992481203006E-2</v>
      </c>
      <c r="L75" s="22">
        <f>IF(ISNUMBER(J75), $B91 * K75, "")</f>
        <v>-2819.5488721804509</v>
      </c>
      <c r="M75" s="30">
        <v>262</v>
      </c>
      <c r="N75" s="21">
        <f t="shared" si="33"/>
        <v>-1.5037593984962405E-2</v>
      </c>
      <c r="O75" s="22">
        <f>IF(ISNUMBER(M75), $B91 * N75, "")</f>
        <v>-2255.6390977443607</v>
      </c>
      <c r="Q75" s="146"/>
      <c r="R75" s="146"/>
      <c r="S75" s="146"/>
    </row>
    <row r="76" spans="1:19" ht="17.25" thickBot="1">
      <c r="A76" s="109" t="s">
        <v>109</v>
      </c>
      <c r="B76" s="113">
        <v>967</v>
      </c>
      <c r="C76" s="73">
        <v>2.0725388999999999E-3</v>
      </c>
      <c r="D76" s="96">
        <v>942</v>
      </c>
      <c r="E76" s="97">
        <f>IF(ISNUMBER(D76), (D76 - $B76) / $B76, "")</f>
        <v>-2.5853154084798345E-2</v>
      </c>
      <c r="F76" s="98">
        <f>IF(ISNUMBER(D76), $B91 * E76, "")</f>
        <v>-3877.973112719752</v>
      </c>
      <c r="G76" s="99">
        <v>944</v>
      </c>
      <c r="H76" s="97">
        <f>IF(ISNUMBER(G76), (G76 - $B76) / $B76, "")</f>
        <v>-2.3784901758014478E-2</v>
      </c>
      <c r="I76" s="100">
        <f>IF(ISNUMBER(G76), $B91 * H76, "")</f>
        <v>-3567.7352637021718</v>
      </c>
      <c r="J76" s="96">
        <v>941</v>
      </c>
      <c r="K76" s="97">
        <f>IF(ISNUMBER(J76), (J76 - $B76) / $B76, "")</f>
        <v>-2.688728024819028E-2</v>
      </c>
      <c r="L76" s="98">
        <f>IF(ISNUMBER(J76), $B91 * K76, "")</f>
        <v>-4033.0920372285423</v>
      </c>
      <c r="M76" s="99">
        <v>945</v>
      </c>
      <c r="N76" s="97">
        <f>IF(ISNUMBER(M76), (M76 - $B76) / $B76, "")</f>
        <v>-2.2750775594622543E-2</v>
      </c>
      <c r="O76" s="98">
        <f>IF(ISNUMBER(M76), $B91 * N76, "")</f>
        <v>-3412.6163391933815</v>
      </c>
      <c r="Q76" s="146"/>
      <c r="R76" s="146"/>
      <c r="S76" s="146"/>
    </row>
    <row r="77" spans="1:19" ht="17.25" thickBot="1">
      <c r="A77" s="109" t="s">
        <v>66</v>
      </c>
      <c r="B77" s="110">
        <v>592</v>
      </c>
      <c r="C77" s="70">
        <v>1.6920474E-3</v>
      </c>
      <c r="D77" s="15">
        <v>601</v>
      </c>
      <c r="E77" s="32">
        <f t="shared" ref="E77:E80" si="34">IF(ISNUMBER(D77), (D77 - $B77) / $B77, "")</f>
        <v>1.5202702702702704E-2</v>
      </c>
      <c r="F77" s="18">
        <f>IF(ISNUMBER(D77), $B91 * E77, "")</f>
        <v>2280.4054054054054</v>
      </c>
      <c r="G77" s="31">
        <v>611</v>
      </c>
      <c r="H77" s="32">
        <f t="shared" ref="H77:H80" si="35">IF(ISNUMBER(G77), (G77 - $B77) / $B77, "")</f>
        <v>3.2094594594594593E-2</v>
      </c>
      <c r="I77" s="91">
        <f>IF(ISNUMBER(G77), $B91 * H77, "")</f>
        <v>4814.1891891891892</v>
      </c>
      <c r="J77" s="15">
        <v>607</v>
      </c>
      <c r="K77" s="32">
        <f t="shared" ref="K77:K80" si="36">IF(ISNUMBER(J77), (J77 - $B77) / $B77, "")</f>
        <v>2.5337837837837839E-2</v>
      </c>
      <c r="L77" s="18">
        <f>IF(ISNUMBER(J77), $B91 * K77, "")</f>
        <v>3800.6756756756758</v>
      </c>
      <c r="M77" s="31">
        <v>604</v>
      </c>
      <c r="N77" s="32">
        <f t="shared" ref="N77:N80" si="37">IF(ISNUMBER(M77), (M77 - $B77) / $B77, "")</f>
        <v>2.0270270270270271E-2</v>
      </c>
      <c r="O77" s="18">
        <f>IF(ISNUMBER(M77), $B91 * N77, "")</f>
        <v>3040.5405405405409</v>
      </c>
      <c r="Q77" s="146"/>
      <c r="R77" s="146"/>
      <c r="S77" s="146"/>
    </row>
    <row r="78" spans="1:19" ht="17.25" thickBot="1">
      <c r="A78" s="109" t="s">
        <v>183</v>
      </c>
      <c r="B78" s="110">
        <v>116</v>
      </c>
      <c r="C78" s="70">
        <v>0</v>
      </c>
      <c r="D78" s="15">
        <v>113</v>
      </c>
      <c r="E78" s="32">
        <f t="shared" si="34"/>
        <v>-2.5862068965517241E-2</v>
      </c>
      <c r="F78" s="18">
        <f>IF(ISNUMBER(D78), $B91 * E78, "")</f>
        <v>-3879.3103448275861</v>
      </c>
      <c r="G78" s="31">
        <v>112</v>
      </c>
      <c r="H78" s="32">
        <f t="shared" si="35"/>
        <v>-3.4482758620689655E-2</v>
      </c>
      <c r="I78" s="91">
        <f>IF(ISNUMBER(G78), $B91 * H78, "")</f>
        <v>-5172.4137931034484</v>
      </c>
      <c r="J78" s="15">
        <v>112</v>
      </c>
      <c r="K78" s="32">
        <f t="shared" si="36"/>
        <v>-3.4482758620689655E-2</v>
      </c>
      <c r="L78" s="18">
        <f>IF(ISNUMBER(J78), $B91 * K78, "")</f>
        <v>-5172.4137931034484</v>
      </c>
      <c r="M78" s="31">
        <v>112</v>
      </c>
      <c r="N78" s="32">
        <f t="shared" si="37"/>
        <v>-3.4482758620689655E-2</v>
      </c>
      <c r="O78" s="18">
        <f>IF(ISNUMBER(M78), $B91 * N78, "")</f>
        <v>-5172.4137931034484</v>
      </c>
      <c r="Q78" s="146"/>
      <c r="R78" s="146"/>
      <c r="S78" s="146"/>
    </row>
    <row r="79" spans="1:19" ht="17.25" thickBot="1">
      <c r="A79" s="109" t="s">
        <v>167</v>
      </c>
      <c r="B79" s="110">
        <v>162</v>
      </c>
      <c r="C79" s="70">
        <v>0</v>
      </c>
      <c r="D79" s="15">
        <v>161</v>
      </c>
      <c r="E79" s="32">
        <f t="shared" si="34"/>
        <v>-6.1728395061728392E-3</v>
      </c>
      <c r="F79" s="18">
        <f>IF(ISNUMBER(D79), $B91 * E79, "")</f>
        <v>-925.92592592592587</v>
      </c>
      <c r="G79" s="31">
        <v>158</v>
      </c>
      <c r="H79" s="32">
        <f t="shared" si="35"/>
        <v>-2.4691358024691357E-2</v>
      </c>
      <c r="I79" s="91">
        <f>IF(ISNUMBER(G79), $B91 * H79, "")</f>
        <v>-3703.7037037037035</v>
      </c>
      <c r="J79" s="15">
        <v>157</v>
      </c>
      <c r="K79" s="32">
        <f t="shared" si="36"/>
        <v>-3.0864197530864196E-2</v>
      </c>
      <c r="L79" s="18">
        <f>IF(ISNUMBER(J79), $B91 * K79, "")</f>
        <v>-4629.6296296296296</v>
      </c>
      <c r="M79" s="31">
        <v>159</v>
      </c>
      <c r="N79" s="32">
        <f t="shared" si="37"/>
        <v>-1.8518518518518517E-2</v>
      </c>
      <c r="O79" s="18">
        <f>IF(ISNUMBER(M79), $B91 * N79, "")</f>
        <v>-2777.7777777777778</v>
      </c>
      <c r="Q79" s="33"/>
      <c r="R79" s="33"/>
    </row>
    <row r="80" spans="1:19" ht="17.25" thickBot="1">
      <c r="A80" s="114" t="s">
        <v>223</v>
      </c>
      <c r="B80" s="115">
        <v>191</v>
      </c>
      <c r="C80" s="72">
        <v>0</v>
      </c>
      <c r="D80" s="24">
        <v>190</v>
      </c>
      <c r="E80" s="25">
        <f t="shared" si="34"/>
        <v>-5.235602094240838E-3</v>
      </c>
      <c r="F80" s="94">
        <f>IF(ISNUMBER(D80), $B91 * E80, "")</f>
        <v>-785.3403141361257</v>
      </c>
      <c r="G80" s="92">
        <v>190</v>
      </c>
      <c r="H80" s="25">
        <f t="shared" si="35"/>
        <v>-5.235602094240838E-3</v>
      </c>
      <c r="I80" s="93">
        <f>IF(ISNUMBER(G80), $B91 * H80, "")</f>
        <v>-785.3403141361257</v>
      </c>
      <c r="J80" s="24">
        <v>188</v>
      </c>
      <c r="K80" s="25">
        <f t="shared" si="36"/>
        <v>-1.5706806282722512E-2</v>
      </c>
      <c r="L80" s="94">
        <f>IF(ISNUMBER(J80), $B91 * K80, "")</f>
        <v>-2356.0209424083769</v>
      </c>
      <c r="M80" s="92">
        <v>189</v>
      </c>
      <c r="N80" s="25">
        <f t="shared" si="37"/>
        <v>-1.0471204188481676E-2</v>
      </c>
      <c r="O80" s="94">
        <f>IF(ISNUMBER(M80), $B91 * N80, "")</f>
        <v>-1570.6806282722514</v>
      </c>
      <c r="Q80" s="147"/>
      <c r="R80" s="148"/>
      <c r="S80" s="149"/>
    </row>
    <row r="81" spans="1:19">
      <c r="A81" s="107" t="s">
        <v>213</v>
      </c>
      <c r="B81" s="108">
        <v>414</v>
      </c>
      <c r="C81" s="69">
        <v>-2.4096386000000002E-3</v>
      </c>
      <c r="D81" s="13">
        <v>406</v>
      </c>
      <c r="E81" s="14">
        <f>IF(ISNUMBER(D81), (D81 - $B81) / $B81, "")</f>
        <v>-1.932367149758454E-2</v>
      </c>
      <c r="F81" s="16">
        <f>IF(ISNUMBER(D81), $B91 * E81, "")</f>
        <v>-2898.550724637681</v>
      </c>
      <c r="G81" s="29">
        <v>403</v>
      </c>
      <c r="H81" s="14">
        <f>IF(ISNUMBER(G81), (G81 - $B81) / $B81, "")</f>
        <v>-2.6570048309178744E-2</v>
      </c>
      <c r="I81" s="90">
        <f>IF(ISNUMBER(G81), $B91 * H81, "")</f>
        <v>-3985.5072463768115</v>
      </c>
      <c r="J81" s="13">
        <v>401</v>
      </c>
      <c r="K81" s="14">
        <f>IF(ISNUMBER(J81), (J81 - $B81) / $B81, "")</f>
        <v>-3.140096618357488E-2</v>
      </c>
      <c r="L81" s="16">
        <f>IF(ISNUMBER(J81), $B91 * K81, "")</f>
        <v>-4710.144927536232</v>
      </c>
      <c r="M81" s="29">
        <v>402</v>
      </c>
      <c r="N81" s="14">
        <f>IF(ISNUMBER(M81), (M81 - $B81) / $B81, "")</f>
        <v>-2.8985507246376812E-2</v>
      </c>
      <c r="O81" s="16">
        <f>IF(ISNUMBER(M81), $B91 * N81, "")</f>
        <v>-4347.826086956522</v>
      </c>
      <c r="Q81" s="150"/>
      <c r="R81" s="151"/>
      <c r="S81" s="152"/>
    </row>
    <row r="82" spans="1:19" ht="17.25" thickBot="1">
      <c r="A82" s="109" t="s">
        <v>199</v>
      </c>
      <c r="B82" s="110">
        <v>270</v>
      </c>
      <c r="C82" s="70">
        <v>-3.6900369000000001E-3</v>
      </c>
      <c r="D82" s="15">
        <v>266</v>
      </c>
      <c r="E82" s="32">
        <f t="shared" ref="E82:E85" si="38">IF(ISNUMBER(D82), (D82 - $B82) / $B82, "")</f>
        <v>-1.4814814814814815E-2</v>
      </c>
      <c r="F82" s="18">
        <f>IF(ISNUMBER(D82), $B91 * E82, "")</f>
        <v>-2222.2222222222222</v>
      </c>
      <c r="G82" s="31">
        <v>263</v>
      </c>
      <c r="H82" s="32">
        <f t="shared" ref="H82:H85" si="39">IF(ISNUMBER(G82), (G82 - $B82) / $B82, "")</f>
        <v>-2.5925925925925925E-2</v>
      </c>
      <c r="I82" s="91">
        <f>IF(ISNUMBER(G82), $B91 * H82, "")</f>
        <v>-3888.8888888888887</v>
      </c>
      <c r="J82" s="15">
        <v>262</v>
      </c>
      <c r="K82" s="32">
        <f t="shared" ref="K82:K85" si="40">IF(ISNUMBER(J82), (J82 - $B82) / $B82, "")</f>
        <v>-2.9629629629629631E-2</v>
      </c>
      <c r="L82" s="18">
        <f>IF(ISNUMBER(J82), $B91 * K82, "")</f>
        <v>-4444.4444444444443</v>
      </c>
      <c r="M82" s="31">
        <v>262</v>
      </c>
      <c r="N82" s="32">
        <f t="shared" ref="N82:N85" si="41">IF(ISNUMBER(M82), (M82 - $B82) / $B82, "")</f>
        <v>-2.9629629629629631E-2</v>
      </c>
      <c r="O82" s="18">
        <f>IF(ISNUMBER(M82), $B91 * N82, "")</f>
        <v>-4444.4444444444443</v>
      </c>
      <c r="Q82" s="153"/>
      <c r="R82" s="154"/>
      <c r="S82" s="155"/>
    </row>
    <row r="83" spans="1:19" ht="17.25" thickBot="1">
      <c r="A83" s="109" t="s">
        <v>81</v>
      </c>
      <c r="B83" s="110">
        <v>340</v>
      </c>
      <c r="C83" s="70">
        <v>-5.8479532000000004E-3</v>
      </c>
      <c r="D83" s="15">
        <v>346</v>
      </c>
      <c r="E83" s="32">
        <f t="shared" si="38"/>
        <v>1.7647058823529412E-2</v>
      </c>
      <c r="F83" s="18">
        <f>IF(ISNUMBER(D83), $B91 * E83, "")</f>
        <v>2647.0588235294117</v>
      </c>
      <c r="G83" s="31">
        <v>347</v>
      </c>
      <c r="H83" s="32">
        <f t="shared" si="39"/>
        <v>2.0588235294117647E-2</v>
      </c>
      <c r="I83" s="91">
        <f>IF(ISNUMBER(G83), $B91 * H83, "")</f>
        <v>3088.2352941176468</v>
      </c>
      <c r="J83" s="15">
        <v>345</v>
      </c>
      <c r="K83" s="32">
        <f t="shared" si="40"/>
        <v>1.4705882352941176E-2</v>
      </c>
      <c r="L83" s="18">
        <f>IF(ISNUMBER(J83), $B91 * K83, "")</f>
        <v>2205.8823529411766</v>
      </c>
      <c r="M83" s="31">
        <v>343</v>
      </c>
      <c r="N83" s="32">
        <f t="shared" si="41"/>
        <v>8.8235294117647058E-3</v>
      </c>
      <c r="O83" s="18">
        <f>IF(ISNUMBER(M83), $B91 * N83, "")</f>
        <v>1323.5294117647059</v>
      </c>
      <c r="Q83" s="146"/>
      <c r="R83" s="146"/>
      <c r="S83" s="146"/>
    </row>
    <row r="84" spans="1:19" ht="17.25" thickBot="1">
      <c r="A84" s="109" t="s">
        <v>165</v>
      </c>
      <c r="B84" s="110">
        <v>892</v>
      </c>
      <c r="C84" s="70">
        <v>-6.6815145000000001E-3</v>
      </c>
      <c r="D84" s="15">
        <v>881</v>
      </c>
      <c r="E84" s="32">
        <f t="shared" si="38"/>
        <v>-1.2331838565022421E-2</v>
      </c>
      <c r="F84" s="18">
        <f>IF(ISNUMBER(D84), $B91 * E84, "")</f>
        <v>-1849.775784753363</v>
      </c>
      <c r="G84" s="31">
        <v>869</v>
      </c>
      <c r="H84" s="32">
        <f t="shared" si="39"/>
        <v>-2.5784753363228701E-2</v>
      </c>
      <c r="I84" s="91">
        <f>IF(ISNUMBER(G84), $B91 * H84, "")</f>
        <v>-3867.7130044843052</v>
      </c>
      <c r="J84" s="15">
        <v>868</v>
      </c>
      <c r="K84" s="32">
        <f t="shared" si="40"/>
        <v>-2.6905829596412557E-2</v>
      </c>
      <c r="L84" s="18">
        <f>IF(ISNUMBER(J84), $B91 * K84, "")</f>
        <v>-4035.8744394618834</v>
      </c>
      <c r="M84" s="31">
        <v>873</v>
      </c>
      <c r="N84" s="32">
        <f t="shared" si="41"/>
        <v>-2.1300448430493273E-2</v>
      </c>
      <c r="O84" s="18">
        <f>IF(ISNUMBER(M84), $B91 * N84, "")</f>
        <v>-3195.067264573991</v>
      </c>
      <c r="Q84" s="156"/>
      <c r="R84" s="156"/>
      <c r="S84" s="156"/>
    </row>
    <row r="85" spans="1:19" ht="17.25" thickBot="1">
      <c r="A85" s="111" t="s">
        <v>215</v>
      </c>
      <c r="B85" s="112">
        <v>287</v>
      </c>
      <c r="C85" s="71">
        <v>-6.9204152000000001E-3</v>
      </c>
      <c r="D85" s="20">
        <v>283</v>
      </c>
      <c r="E85" s="21">
        <f t="shared" si="38"/>
        <v>-1.3937282229965157E-2</v>
      </c>
      <c r="F85" s="22">
        <f>IF(ISNUMBER(D85), $B91 * E85, "")</f>
        <v>-2090.5923344947737</v>
      </c>
      <c r="G85" s="30">
        <v>281</v>
      </c>
      <c r="H85" s="21">
        <f t="shared" si="39"/>
        <v>-2.0905923344947737E-2</v>
      </c>
      <c r="I85" s="95">
        <f>IF(ISNUMBER(G85), $B91 * H85, "")</f>
        <v>-3135.8885017421603</v>
      </c>
      <c r="J85" s="20">
        <v>280</v>
      </c>
      <c r="K85" s="21">
        <f t="shared" si="40"/>
        <v>-2.4390243902439025E-2</v>
      </c>
      <c r="L85" s="22">
        <f>IF(ISNUMBER(J85), $B91 * K85, "")</f>
        <v>-3658.5365853658536</v>
      </c>
      <c r="M85" s="30">
        <v>281</v>
      </c>
      <c r="N85" s="21">
        <f t="shared" si="41"/>
        <v>-2.0905923344947737E-2</v>
      </c>
      <c r="O85" s="22">
        <f>IF(ISNUMBER(M85), $B91 * N85, "")</f>
        <v>-3135.8885017421603</v>
      </c>
      <c r="Q85" s="156"/>
      <c r="R85" s="156"/>
      <c r="S85" s="156"/>
    </row>
    <row r="86" spans="1:19" ht="17.25" thickBot="1">
      <c r="A86" s="109" t="s">
        <v>239</v>
      </c>
      <c r="B86" s="113">
        <v>411</v>
      </c>
      <c r="C86" s="73">
        <v>-7.2463768E-3</v>
      </c>
      <c r="D86" s="96">
        <v>409</v>
      </c>
      <c r="E86" s="97">
        <f>IF(ISNUMBER(D86), (D86 - $B86) / $B86, "")</f>
        <v>-4.8661800486618006E-3</v>
      </c>
      <c r="F86" s="98">
        <f>IF(ISNUMBER(D86), $B91 * E86, "")</f>
        <v>-729.92700729927014</v>
      </c>
      <c r="G86" s="99">
        <v>407</v>
      </c>
      <c r="H86" s="97">
        <f>IF(ISNUMBER(G86), (G86 - $B86) / $B86, "")</f>
        <v>-9.7323600973236012E-3</v>
      </c>
      <c r="I86" s="100">
        <f>IF(ISNUMBER(G86), $B91 * H86, "")</f>
        <v>-1459.8540145985403</v>
      </c>
      <c r="J86" s="96">
        <v>407</v>
      </c>
      <c r="K86" s="97">
        <f>IF(ISNUMBER(J86), (J86 - $B86) / $B86, "")</f>
        <v>-9.7323600973236012E-3</v>
      </c>
      <c r="L86" s="98">
        <f>IF(ISNUMBER(J86), $B91 * K86, "")</f>
        <v>-1459.8540145985403</v>
      </c>
      <c r="M86" s="99">
        <v>406</v>
      </c>
      <c r="N86" s="97">
        <f>IF(ISNUMBER(M86), (M86 - $B86) / $B86, "")</f>
        <v>-1.2165450121654502E-2</v>
      </c>
      <c r="O86" s="98">
        <f>IF(ISNUMBER(M86), $B91 * N86, "")</f>
        <v>-1824.8175182481752</v>
      </c>
      <c r="Q86" s="146"/>
      <c r="R86" s="146"/>
      <c r="S86" s="146"/>
    </row>
    <row r="87" spans="1:19" ht="17.25" thickBot="1">
      <c r="A87" s="109" t="s">
        <v>60</v>
      </c>
      <c r="B87" s="110">
        <v>410</v>
      </c>
      <c r="C87" s="70">
        <v>-7.2639224999999997E-3</v>
      </c>
      <c r="D87" s="15">
        <v>403</v>
      </c>
      <c r="E87" s="32">
        <f t="shared" ref="E87:E90" si="42">IF(ISNUMBER(D87), (D87 - $B87) / $B87, "")</f>
        <v>-1.7073170731707318E-2</v>
      </c>
      <c r="F87" s="18">
        <f>IF(ISNUMBER(D87), $B91 * E87, "")</f>
        <v>-2560.9756097560976</v>
      </c>
      <c r="G87" s="31">
        <v>400</v>
      </c>
      <c r="H87" s="32">
        <f t="shared" ref="H87:H90" si="43">IF(ISNUMBER(G87), (G87 - $B87) / $B87, "")</f>
        <v>-2.4390243902439025E-2</v>
      </c>
      <c r="I87" s="91">
        <f>IF(ISNUMBER(G87), $B91 * H87, "")</f>
        <v>-3658.5365853658536</v>
      </c>
      <c r="J87" s="15">
        <v>399</v>
      </c>
      <c r="K87" s="32">
        <f t="shared" ref="K87:K90" si="44">IF(ISNUMBER(J87), (J87 - $B87) / $B87, "")</f>
        <v>-2.6829268292682926E-2</v>
      </c>
      <c r="L87" s="18">
        <f>IF(ISNUMBER(J87), $B91 * K87, "")</f>
        <v>-4024.3902439024391</v>
      </c>
      <c r="M87" s="31">
        <v>404</v>
      </c>
      <c r="N87" s="32">
        <f t="shared" ref="N87:N90" si="45">IF(ISNUMBER(M87), (M87 - $B87) / $B87, "")</f>
        <v>-1.4634146341463415E-2</v>
      </c>
      <c r="O87" s="18">
        <f>IF(ISNUMBER(M87), $B91 * N87, "")</f>
        <v>-2195.1219512195125</v>
      </c>
      <c r="Q87" s="146"/>
      <c r="R87" s="146"/>
      <c r="S87" s="146"/>
    </row>
    <row r="88" spans="1:19" ht="17.25" thickBot="1">
      <c r="A88" s="109" t="s">
        <v>229</v>
      </c>
      <c r="B88" s="110">
        <v>234</v>
      </c>
      <c r="C88" s="70">
        <v>-8.4745762999999998E-3</v>
      </c>
      <c r="D88" s="15">
        <v>232</v>
      </c>
      <c r="E88" s="32">
        <f t="shared" si="42"/>
        <v>-8.5470085470085479E-3</v>
      </c>
      <c r="F88" s="18">
        <f>IF(ISNUMBER(D88), $B91 * E88, "")</f>
        <v>-1282.0512820512822</v>
      </c>
      <c r="G88" s="31">
        <v>231</v>
      </c>
      <c r="H88" s="32">
        <f t="shared" si="43"/>
        <v>-1.282051282051282E-2</v>
      </c>
      <c r="I88" s="91">
        <f>IF(ISNUMBER(G88), $B91 * H88, "")</f>
        <v>-1923.0769230769231</v>
      </c>
      <c r="J88" s="15">
        <v>229</v>
      </c>
      <c r="K88" s="32">
        <f t="shared" si="44"/>
        <v>-2.1367521367521368E-2</v>
      </c>
      <c r="L88" s="18">
        <f>IF(ISNUMBER(J88), $B91 * K88, "")</f>
        <v>-3205.1282051282051</v>
      </c>
      <c r="M88" s="31">
        <v>230</v>
      </c>
      <c r="N88" s="32">
        <f t="shared" si="45"/>
        <v>-1.7094017094017096E-2</v>
      </c>
      <c r="O88" s="18">
        <f>IF(ISNUMBER(M88), $B91 * N88, "")</f>
        <v>-2564.1025641025644</v>
      </c>
      <c r="Q88" s="146"/>
      <c r="R88" s="146"/>
      <c r="S88" s="146"/>
    </row>
    <row r="89" spans="1:19">
      <c r="A89" s="109" t="s">
        <v>169</v>
      </c>
      <c r="B89" s="110">
        <v>228</v>
      </c>
      <c r="C89" s="70">
        <v>-8.6956522000000008E-3</v>
      </c>
      <c r="D89" s="15">
        <v>227</v>
      </c>
      <c r="E89" s="32">
        <f t="shared" si="42"/>
        <v>-4.3859649122807015E-3</v>
      </c>
      <c r="F89" s="18">
        <f>IF(ISNUMBER(D89), $B91 * E89, "")</f>
        <v>-657.8947368421052</v>
      </c>
      <c r="G89" s="31">
        <v>225</v>
      </c>
      <c r="H89" s="32">
        <f t="shared" si="43"/>
        <v>-1.3157894736842105E-2</v>
      </c>
      <c r="I89" s="91">
        <f>IF(ISNUMBER(G89), $B91 * H89, "")</f>
        <v>-1973.6842105263156</v>
      </c>
      <c r="J89" s="15">
        <v>223</v>
      </c>
      <c r="K89" s="32">
        <f t="shared" si="44"/>
        <v>-2.1929824561403508E-2</v>
      </c>
      <c r="L89" s="18">
        <f>IF(ISNUMBER(J89), $B91 * K89, "")</f>
        <v>-3289.4736842105262</v>
      </c>
      <c r="M89" s="31">
        <v>226</v>
      </c>
      <c r="N89" s="32">
        <f t="shared" si="45"/>
        <v>-8.771929824561403E-3</v>
      </c>
      <c r="O89" s="18">
        <f>IF(ISNUMBER(M89), $B91 * N89, "")</f>
        <v>-1315.7894736842104</v>
      </c>
      <c r="Q89" s="135"/>
      <c r="R89" s="136"/>
      <c r="S89" s="137"/>
    </row>
    <row r="90" spans="1:19" ht="17.25" thickBot="1">
      <c r="A90" s="114" t="s">
        <v>319</v>
      </c>
      <c r="B90" s="115">
        <v>325</v>
      </c>
      <c r="C90" s="72">
        <v>-9.1463415000000003E-3</v>
      </c>
      <c r="D90" s="24">
        <v>320</v>
      </c>
      <c r="E90" s="25">
        <f t="shared" si="42"/>
        <v>-1.5384615384615385E-2</v>
      </c>
      <c r="F90" s="94">
        <f>IF(ISNUMBER(D90), $B91 * E90, "")</f>
        <v>-2307.6923076923076</v>
      </c>
      <c r="G90" s="92">
        <v>316</v>
      </c>
      <c r="H90" s="25">
        <f t="shared" si="43"/>
        <v>-2.7692307692307693E-2</v>
      </c>
      <c r="I90" s="93">
        <f>IF(ISNUMBER(G90), $B91 * H90, "")</f>
        <v>-4153.8461538461543</v>
      </c>
      <c r="J90" s="24">
        <v>315</v>
      </c>
      <c r="K90" s="25">
        <f t="shared" si="44"/>
        <v>-3.0769230769230771E-2</v>
      </c>
      <c r="L90" s="94">
        <f>IF(ISNUMBER(J90), $B91 * K90, "")</f>
        <v>-4615.3846153846152</v>
      </c>
      <c r="M90" s="92">
        <v>315</v>
      </c>
      <c r="N90" s="25">
        <f t="shared" si="45"/>
        <v>-3.0769230769230771E-2</v>
      </c>
      <c r="O90" s="94">
        <f>IF(ISNUMBER(M90), $B91 * N90, "")</f>
        <v>-4615.3846153846152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-1.2122892395409571E-2</v>
      </c>
      <c r="F91" s="28">
        <f>SUM(F71:F90)</f>
        <v>-36368.677186228713</v>
      </c>
      <c r="G91" s="26" t="s">
        <v>258</v>
      </c>
      <c r="H91" s="27">
        <f>IF(COUNT(H71:H90), SUM(H71:H90) / COUNT(H71:H90), 0)</f>
        <v>-1.76633621317221E-2</v>
      </c>
      <c r="I91" s="28">
        <f>SUM(I71:I90)</f>
        <v>-52990.086395166305</v>
      </c>
      <c r="J91" s="26" t="s">
        <v>258</v>
      </c>
      <c r="K91" s="27">
        <f>IF(COUNT(K71:K90), SUM(K71:K90) / COUNT(K71:K90), 0)</f>
        <v>-2.3144636464796444E-2</v>
      </c>
      <c r="L91" s="28">
        <f>SUM(L71:L90)</f>
        <v>-69433.909394389324</v>
      </c>
      <c r="M91" s="26" t="s">
        <v>258</v>
      </c>
      <c r="N91" s="27">
        <f>IF(COUNT(N71:N90), SUM(N71:N90) / COUNT(N71:N90), 0)</f>
        <v>-1.9481705816983323E-2</v>
      </c>
      <c r="O91" s="28">
        <f>SUM(O71:O90)</f>
        <v>-58445.117450949976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2023-01-06(금) 오전 00:00</v>
      </c>
      <c r="C96" s="198"/>
      <c r="D96" s="170" t="str">
        <f>TEXT($G$1, "[$-ko-KR]yyyy-mm-dd(ddd) ") &amp; "오후 14:00"</f>
        <v>2023-01-06(금) 오후 14:00</v>
      </c>
      <c r="E96" s="171"/>
      <c r="F96" s="172"/>
      <c r="G96" s="170" t="str">
        <f>TEXT($G$1, "[$-ko-KR]yyyy-mm-dd(ddd) ") &amp; "오후 19:00"</f>
        <v>2023-01-06(금) 오후 19:00</v>
      </c>
      <c r="H96" s="171"/>
      <c r="I96" s="172"/>
      <c r="J96" s="170" t="str">
        <f>TEXT($G$1, "[$-ko-KR]yyyy-mm-dd(ddd) ") &amp; "오후 21:00"</f>
        <v>2023-01-06(금) 오후 21:00</v>
      </c>
      <c r="K96" s="171"/>
      <c r="L96" s="172"/>
      <c r="M96" s="170" t="str">
        <f>TEXT($G$1+1, "[$-ko-KR]yyyy-mm-dd(ddd) ") &amp; "오전 00:00"</f>
        <v>2023-01-07(토)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174</v>
      </c>
      <c r="B98" s="108">
        <v>13250</v>
      </c>
      <c r="C98" s="69">
        <v>0.105087573</v>
      </c>
      <c r="D98" s="13">
        <v>11910</v>
      </c>
      <c r="E98" s="14">
        <f>IF(ISNUMBER(D98), (D98 - $B98) / $B98, "")</f>
        <v>-0.10113207547169811</v>
      </c>
      <c r="F98" s="16">
        <f>IF(ISNUMBER(D98), $B118 * E98, "")</f>
        <v>-15169.811320754718</v>
      </c>
      <c r="G98" s="29">
        <v>11940</v>
      </c>
      <c r="H98" s="14">
        <f>IF(ISNUMBER(G98), (G98 - $B98) / $B98, "")</f>
        <v>-9.8867924528301884E-2</v>
      </c>
      <c r="I98" s="90">
        <f>IF(ISNUMBER(G98), $B118 * H98, "")</f>
        <v>-14830.188679245282</v>
      </c>
      <c r="J98" s="13">
        <v>11800</v>
      </c>
      <c r="K98" s="14">
        <f>IF(ISNUMBER(J98), (J98 - $B98) / $B98, "")</f>
        <v>-0.10943396226415095</v>
      </c>
      <c r="L98" s="16">
        <f>IF(ISNUMBER(J98), $B118 * K98, "")</f>
        <v>-16415.094339622643</v>
      </c>
      <c r="M98" s="29">
        <v>11740</v>
      </c>
      <c r="N98" s="14">
        <f>IF(ISNUMBER(M98), (M98 - $B98) / $B98, "")</f>
        <v>-0.11396226415094339</v>
      </c>
      <c r="O98" s="16">
        <f>IF(ISNUMBER(M98), $B118 * N98, "")</f>
        <v>-17094.33962264151</v>
      </c>
      <c r="Q98" s="156"/>
      <c r="R98" s="156"/>
      <c r="S98" s="156"/>
    </row>
    <row r="99" spans="1:19" ht="17.25" thickBot="1">
      <c r="A99" s="109" t="s">
        <v>85</v>
      </c>
      <c r="B99" s="110">
        <v>141</v>
      </c>
      <c r="C99" s="70">
        <v>5.2238805999999999E-2</v>
      </c>
      <c r="D99" s="15">
        <v>138</v>
      </c>
      <c r="E99" s="32">
        <f t="shared" ref="E99:E102" si="46">IF(ISNUMBER(D99), (D99 - $B99) / $B99, "")</f>
        <v>-2.1276595744680851E-2</v>
      </c>
      <c r="F99" s="18">
        <f>IF(ISNUMBER(D99), $B118 * E99, "")</f>
        <v>-3191.4893617021276</v>
      </c>
      <c r="G99" s="31">
        <v>137</v>
      </c>
      <c r="H99" s="32">
        <f t="shared" ref="H99:H102" si="47">IF(ISNUMBER(G99), (G99 - $B99) / $B99, "")</f>
        <v>-2.8368794326241134E-2</v>
      </c>
      <c r="I99" s="91">
        <f>IF(ISNUMBER(G99), $B118 * H99, "")</f>
        <v>-4255.3191489361698</v>
      </c>
      <c r="J99" s="15">
        <v>135</v>
      </c>
      <c r="K99" s="32">
        <f t="shared" ref="K99:K102" si="48">IF(ISNUMBER(J99), (J99 - $B99) / $B99, "")</f>
        <v>-4.2553191489361701E-2</v>
      </c>
      <c r="L99" s="18">
        <f>IF(ISNUMBER(J99), $B118 * K99, "")</f>
        <v>-6382.9787234042551</v>
      </c>
      <c r="M99" s="31">
        <v>136</v>
      </c>
      <c r="N99" s="32">
        <f t="shared" ref="N99:N102" si="49">IF(ISNUMBER(M99), (M99 - $B99) / $B99, "")</f>
        <v>-3.5460992907801421E-2</v>
      </c>
      <c r="O99" s="18">
        <f>IF(ISNUMBER(M99), $B118 * N99, "")</f>
        <v>-5319.1489361702133</v>
      </c>
      <c r="Q99" s="156"/>
      <c r="R99" s="156"/>
      <c r="S99" s="156"/>
    </row>
    <row r="100" spans="1:19" ht="17.25" thickBot="1">
      <c r="A100" s="109" t="s">
        <v>91</v>
      </c>
      <c r="B100" s="110">
        <v>17320</v>
      </c>
      <c r="C100" s="70">
        <v>3.8992201599999998E-2</v>
      </c>
      <c r="D100" s="15">
        <v>16760</v>
      </c>
      <c r="E100" s="32">
        <f t="shared" si="46"/>
        <v>-3.2332563510392612E-2</v>
      </c>
      <c r="F100" s="18">
        <f>IF(ISNUMBER(D100), $B118 * E100, "")</f>
        <v>-4849.8845265588916</v>
      </c>
      <c r="G100" s="31">
        <v>16580</v>
      </c>
      <c r="H100" s="32">
        <f t="shared" si="47"/>
        <v>-4.2725173210161664E-2</v>
      </c>
      <c r="I100" s="91">
        <f>IF(ISNUMBER(G100), $B118 * H100, "")</f>
        <v>-6408.7759815242498</v>
      </c>
      <c r="J100" s="15">
        <v>16430</v>
      </c>
      <c r="K100" s="32">
        <f t="shared" si="48"/>
        <v>-5.1385681293302538E-2</v>
      </c>
      <c r="L100" s="18">
        <f>IF(ISNUMBER(J100), $B118 * K100, "")</f>
        <v>-7707.8521939953807</v>
      </c>
      <c r="M100" s="31">
        <v>16470</v>
      </c>
      <c r="N100" s="32">
        <f t="shared" si="49"/>
        <v>-4.9076212471131642E-2</v>
      </c>
      <c r="O100" s="18">
        <f>IF(ISNUMBER(M100), $B118 * N100, "")</f>
        <v>-7361.4318706697459</v>
      </c>
      <c r="Q100" s="146"/>
      <c r="R100" s="146"/>
      <c r="S100" s="146"/>
    </row>
    <row r="101" spans="1:19" ht="17.25" thickBot="1">
      <c r="A101" s="109" t="s">
        <v>323</v>
      </c>
      <c r="B101" s="110">
        <v>3.1300000000000001E-2</v>
      </c>
      <c r="C101" s="70">
        <v>3.64238411E-2</v>
      </c>
      <c r="D101" s="15">
        <v>3.04E-2</v>
      </c>
      <c r="E101" s="32">
        <f t="shared" si="46"/>
        <v>-2.875399361022369E-2</v>
      </c>
      <c r="F101" s="18">
        <f>IF(ISNUMBER(D101), $B118 * E101, "")</f>
        <v>-4313.0990415335536</v>
      </c>
      <c r="G101" s="31">
        <v>3.0099999999999998E-2</v>
      </c>
      <c r="H101" s="32">
        <f t="shared" si="47"/>
        <v>-3.8338658146964952E-2</v>
      </c>
      <c r="I101" s="91">
        <f>IF(ISNUMBER(G101), $B118 * H101, "")</f>
        <v>-5750.798722044743</v>
      </c>
      <c r="J101" s="15">
        <v>0.03</v>
      </c>
      <c r="K101" s="32">
        <f t="shared" si="48"/>
        <v>-4.1533546325878676E-2</v>
      </c>
      <c r="L101" s="18">
        <f>IF(ISNUMBER(J101), $B118 * K101, "")</f>
        <v>-6230.0319488818013</v>
      </c>
      <c r="M101" s="31">
        <v>3.0300000000000001E-2</v>
      </c>
      <c r="N101" s="32">
        <f t="shared" si="49"/>
        <v>-3.1948881789137407E-2</v>
      </c>
      <c r="O101" s="18">
        <f>IF(ISNUMBER(M101), $B118 * N101, "")</f>
        <v>-4792.332268370611</v>
      </c>
      <c r="Q101" s="146"/>
      <c r="R101" s="146"/>
      <c r="S101" s="146"/>
    </row>
    <row r="102" spans="1:19" ht="17.25" thickBot="1">
      <c r="A102" s="111" t="s">
        <v>227</v>
      </c>
      <c r="B102" s="112">
        <v>35</v>
      </c>
      <c r="C102" s="71">
        <v>1.74418605E-2</v>
      </c>
      <c r="D102" s="20">
        <v>34</v>
      </c>
      <c r="E102" s="21">
        <f t="shared" si="46"/>
        <v>-2.8571428571428571E-2</v>
      </c>
      <c r="F102" s="22">
        <f>IF(ISNUMBER(D102), $B118 * E102, "")</f>
        <v>-4285.7142857142853</v>
      </c>
      <c r="G102" s="30">
        <v>34.4</v>
      </c>
      <c r="H102" s="21">
        <f t="shared" si="47"/>
        <v>-1.7142857142857182E-2</v>
      </c>
      <c r="I102" s="95">
        <f>IF(ISNUMBER(G102), $B118 * H102, "")</f>
        <v>-2571.4285714285775</v>
      </c>
      <c r="J102" s="20">
        <v>34.299999999999997</v>
      </c>
      <c r="K102" s="21">
        <f t="shared" si="48"/>
        <v>-2.000000000000008E-2</v>
      </c>
      <c r="L102" s="22">
        <f>IF(ISNUMBER(J102), $B118 * K102, "")</f>
        <v>-3000.0000000000118</v>
      </c>
      <c r="M102" s="30">
        <v>34.299999999999997</v>
      </c>
      <c r="N102" s="21">
        <f t="shared" si="49"/>
        <v>-2.000000000000008E-2</v>
      </c>
      <c r="O102" s="22">
        <f>IF(ISNUMBER(M102), $B118 * N102, "")</f>
        <v>-3000.0000000000118</v>
      </c>
      <c r="Q102" s="146"/>
      <c r="R102" s="146"/>
      <c r="S102" s="146"/>
    </row>
    <row r="103" spans="1:19" ht="17.25" thickBot="1">
      <c r="A103" s="109" t="s">
        <v>211</v>
      </c>
      <c r="B103" s="113">
        <v>938</v>
      </c>
      <c r="C103" s="73">
        <v>1.62513543E-2</v>
      </c>
      <c r="D103" s="96">
        <v>911</v>
      </c>
      <c r="E103" s="97">
        <f>IF(ISNUMBER(D103), (D103 - $B103) / $B103, "")</f>
        <v>-2.8784648187633263E-2</v>
      </c>
      <c r="F103" s="98">
        <f>IF(ISNUMBER(D103), $B118 * E103, "")</f>
        <v>-4317.6972281449898</v>
      </c>
      <c r="G103" s="99">
        <v>905</v>
      </c>
      <c r="H103" s="97">
        <f>IF(ISNUMBER(G103), (G103 - $B103) / $B103, "")</f>
        <v>-3.5181236673773986E-2</v>
      </c>
      <c r="I103" s="100">
        <f>IF(ISNUMBER(G103), $B118 * H103, "")</f>
        <v>-5277.1855010660975</v>
      </c>
      <c r="J103" s="96">
        <v>904</v>
      </c>
      <c r="K103" s="97">
        <f>IF(ISNUMBER(J103), (J103 - $B103) / $B103, "")</f>
        <v>-3.6247334754797439E-2</v>
      </c>
      <c r="L103" s="98">
        <f>IF(ISNUMBER(J103), $B118 * K103, "")</f>
        <v>-5437.1002132196154</v>
      </c>
      <c r="M103" s="99">
        <v>903</v>
      </c>
      <c r="N103" s="97">
        <f>IF(ISNUMBER(M103), (M103 - $B103) / $B103, "")</f>
        <v>-3.7313432835820892E-2</v>
      </c>
      <c r="O103" s="98">
        <f>IF(ISNUMBER(M103), $B118 * N103, "")</f>
        <v>-5597.0149253731342</v>
      </c>
      <c r="Q103" s="146"/>
      <c r="R103" s="146"/>
      <c r="S103" s="146"/>
    </row>
    <row r="104" spans="1:19" ht="17.25" thickBot="1">
      <c r="A104" s="109" t="s">
        <v>333</v>
      </c>
      <c r="B104" s="110">
        <v>4.07</v>
      </c>
      <c r="C104" s="70">
        <v>9.9255582999999998E-3</v>
      </c>
      <c r="D104" s="15">
        <v>4</v>
      </c>
      <c r="E104" s="32">
        <f t="shared" ref="E104:E107" si="50">IF(ISNUMBER(D104), (D104 - $B104) / $B104, "")</f>
        <v>-1.7199017199017268E-2</v>
      </c>
      <c r="F104" s="18">
        <f>IF(ISNUMBER(D104), $B118 * E104, "")</f>
        <v>-2579.8525798525902</v>
      </c>
      <c r="G104" s="31">
        <v>4.0199999999999996</v>
      </c>
      <c r="H104" s="32">
        <f t="shared" ref="H104:H107" si="51">IF(ISNUMBER(G104), (G104 - $B104) / $B104, "")</f>
        <v>-1.2285012285012459E-2</v>
      </c>
      <c r="I104" s="91">
        <f>IF(ISNUMBER(G104), $B118 * H104, "")</f>
        <v>-1842.7518427518689</v>
      </c>
      <c r="J104" s="15">
        <v>3.97</v>
      </c>
      <c r="K104" s="32">
        <f t="shared" ref="K104:K107" si="52">IF(ISNUMBER(J104), (J104 - $B104) / $B104, "")</f>
        <v>-2.4570024570024589E-2</v>
      </c>
      <c r="L104" s="18">
        <f>IF(ISNUMBER(J104), $B118 * K104, "")</f>
        <v>-3685.5036855036883</v>
      </c>
      <c r="M104" s="31">
        <v>3.96</v>
      </c>
      <c r="N104" s="32">
        <f t="shared" ref="N104:N107" si="53">IF(ISNUMBER(M104), (M104 - $B104) / $B104, "")</f>
        <v>-2.7027027027027105E-2</v>
      </c>
      <c r="O104" s="18">
        <f>IF(ISNUMBER(M104), $B118 * N104, "")</f>
        <v>-4054.0540540540655</v>
      </c>
      <c r="Q104" s="146"/>
      <c r="R104" s="146"/>
      <c r="S104" s="146"/>
    </row>
    <row r="105" spans="1:19" ht="17.25" thickBot="1">
      <c r="A105" s="109" t="s">
        <v>163</v>
      </c>
      <c r="B105" s="110">
        <v>5615</v>
      </c>
      <c r="C105" s="70">
        <v>9.8920863000000001E-3</v>
      </c>
      <c r="D105" s="15">
        <v>5465</v>
      </c>
      <c r="E105" s="32">
        <f t="shared" si="50"/>
        <v>-2.6714158504007122E-2</v>
      </c>
      <c r="F105" s="18">
        <f>IF(ISNUMBER(D105), $B118 * E105, "")</f>
        <v>-4007.1237756010682</v>
      </c>
      <c r="G105" s="31">
        <v>5440</v>
      </c>
      <c r="H105" s="32">
        <f t="shared" si="51"/>
        <v>-3.1166518254674976E-2</v>
      </c>
      <c r="I105" s="91">
        <f>IF(ISNUMBER(G105), $B118 * H105, "")</f>
        <v>-4674.9777382012462</v>
      </c>
      <c r="J105" s="15">
        <v>5415</v>
      </c>
      <c r="K105" s="32">
        <f t="shared" si="52"/>
        <v>-3.561887800534283E-2</v>
      </c>
      <c r="L105" s="18">
        <f>IF(ISNUMBER(J105), $B118 * K105, "")</f>
        <v>-5342.8317008014246</v>
      </c>
      <c r="M105" s="31">
        <v>5410</v>
      </c>
      <c r="N105" s="32">
        <f t="shared" si="53"/>
        <v>-3.6509349955476403E-2</v>
      </c>
      <c r="O105" s="18">
        <f>IF(ISNUMBER(M105), $B118 * N105, "")</f>
        <v>-5476.4024933214605</v>
      </c>
      <c r="Q105" s="146"/>
      <c r="R105" s="146"/>
      <c r="S105" s="146"/>
    </row>
    <row r="106" spans="1:19" ht="17.25" thickBot="1">
      <c r="A106" s="109" t="s">
        <v>235</v>
      </c>
      <c r="B106" s="110">
        <v>521</v>
      </c>
      <c r="C106" s="70">
        <v>7.7369439000000003E-3</v>
      </c>
      <c r="D106" s="15">
        <v>508</v>
      </c>
      <c r="E106" s="32">
        <f t="shared" si="50"/>
        <v>-2.4952015355086371E-2</v>
      </c>
      <c r="F106" s="18">
        <f>IF(ISNUMBER(D106), $B118 * E106, "")</f>
        <v>-3742.8023032629558</v>
      </c>
      <c r="G106" s="31">
        <v>507</v>
      </c>
      <c r="H106" s="32">
        <f t="shared" si="51"/>
        <v>-2.6871401151631478E-2</v>
      </c>
      <c r="I106" s="91">
        <f>IF(ISNUMBER(G106), $B118 * H106, "")</f>
        <v>-4030.7101727447216</v>
      </c>
      <c r="J106" s="15">
        <v>502</v>
      </c>
      <c r="K106" s="32">
        <f t="shared" si="52"/>
        <v>-3.6468330134357005E-2</v>
      </c>
      <c r="L106" s="18">
        <f>IF(ISNUMBER(J106), $B118 * K106, "")</f>
        <v>-5470.2495201535503</v>
      </c>
      <c r="M106" s="31">
        <v>506</v>
      </c>
      <c r="N106" s="32">
        <f t="shared" si="53"/>
        <v>-2.8790786948176585E-2</v>
      </c>
      <c r="O106" s="18">
        <f>IF(ISNUMBER(M106), $B118 * N106, "")</f>
        <v>-4318.6180422264879</v>
      </c>
      <c r="Q106" s="33"/>
      <c r="R106" s="33"/>
    </row>
    <row r="107" spans="1:19" ht="17.25" thickBot="1">
      <c r="A107" s="114" t="s">
        <v>321</v>
      </c>
      <c r="B107" s="115">
        <v>158</v>
      </c>
      <c r="C107" s="72">
        <v>6.3694268000000004E-3</v>
      </c>
      <c r="D107" s="24">
        <v>155</v>
      </c>
      <c r="E107" s="25">
        <f t="shared" si="50"/>
        <v>-1.8987341772151899E-2</v>
      </c>
      <c r="F107" s="94">
        <f>IF(ISNUMBER(D107), $B118 * E107, "")</f>
        <v>-2848.1012658227851</v>
      </c>
      <c r="G107" s="92">
        <v>154</v>
      </c>
      <c r="H107" s="25">
        <f t="shared" si="51"/>
        <v>-2.5316455696202531E-2</v>
      </c>
      <c r="I107" s="93">
        <f>IF(ISNUMBER(G107), $B118 * H107, "")</f>
        <v>-3797.4683544303798</v>
      </c>
      <c r="J107" s="24">
        <v>152</v>
      </c>
      <c r="K107" s="25">
        <f t="shared" si="52"/>
        <v>-3.7974683544303799E-2</v>
      </c>
      <c r="L107" s="94">
        <f>IF(ISNUMBER(J107), $B118 * K107, "")</f>
        <v>-5696.2025316455702</v>
      </c>
      <c r="M107" s="92">
        <v>153</v>
      </c>
      <c r="N107" s="25">
        <f t="shared" si="53"/>
        <v>-3.1645569620253167E-2</v>
      </c>
      <c r="O107" s="94">
        <f>IF(ISNUMBER(M107), $B118 * N107, "")</f>
        <v>-4746.835443037975</v>
      </c>
      <c r="Q107" s="147"/>
      <c r="R107" s="148"/>
      <c r="S107" s="149"/>
    </row>
    <row r="108" spans="1:19">
      <c r="A108" s="107" t="s">
        <v>330</v>
      </c>
      <c r="B108" s="108">
        <v>266</v>
      </c>
      <c r="C108" s="69">
        <v>3.7735848999999998E-3</v>
      </c>
      <c r="D108" s="13">
        <v>264</v>
      </c>
      <c r="E108" s="14">
        <f>IF(ISNUMBER(D108), (D108 - $B108) / $B108, "")</f>
        <v>-7.5187969924812026E-3</v>
      </c>
      <c r="F108" s="16">
        <f>IF(ISNUMBER(D108), $B118 * E108, "")</f>
        <v>-1127.8195488721803</v>
      </c>
      <c r="G108" s="29">
        <v>262</v>
      </c>
      <c r="H108" s="14">
        <f>IF(ISNUMBER(G108), (G108 - $B108) / $B108, "")</f>
        <v>-1.5037593984962405E-2</v>
      </c>
      <c r="I108" s="90">
        <f>IF(ISNUMBER(G108), $B118 * H108, "")</f>
        <v>-2255.6390977443607</v>
      </c>
      <c r="J108" s="13">
        <v>261</v>
      </c>
      <c r="K108" s="14">
        <f>IF(ISNUMBER(J108), (J108 - $B108) / $B108, "")</f>
        <v>-1.8796992481203006E-2</v>
      </c>
      <c r="L108" s="16">
        <f>IF(ISNUMBER(J108), $B118 * K108, "")</f>
        <v>-2819.5488721804509</v>
      </c>
      <c r="M108" s="29">
        <v>262</v>
      </c>
      <c r="N108" s="14">
        <f>IF(ISNUMBER(M108), (M108 - $B108) / $B108, "")</f>
        <v>-1.5037593984962405E-2</v>
      </c>
      <c r="O108" s="16">
        <f>IF(ISNUMBER(M108), $B118 * N108, "")</f>
        <v>-2255.6390977443607</v>
      </c>
      <c r="Q108" s="150"/>
      <c r="R108" s="151"/>
      <c r="S108" s="152"/>
    </row>
    <row r="109" spans="1:19" ht="17.25" thickBot="1">
      <c r="A109" s="109" t="s">
        <v>109</v>
      </c>
      <c r="B109" s="110">
        <v>967</v>
      </c>
      <c r="C109" s="70">
        <v>2.0725388999999999E-3</v>
      </c>
      <c r="D109" s="15">
        <v>942</v>
      </c>
      <c r="E109" s="32">
        <f t="shared" ref="E109:E112" si="54">IF(ISNUMBER(D109), (D109 - $B109) / $B109, "")</f>
        <v>-2.5853154084798345E-2</v>
      </c>
      <c r="F109" s="18">
        <f>IF(ISNUMBER(D109), $B118 * E109, "")</f>
        <v>-3877.973112719752</v>
      </c>
      <c r="G109" s="31">
        <v>944</v>
      </c>
      <c r="H109" s="32">
        <f t="shared" ref="H109:H112" si="55">IF(ISNUMBER(G109), (G109 - $B109) / $B109, "")</f>
        <v>-2.3784901758014478E-2</v>
      </c>
      <c r="I109" s="91">
        <f>IF(ISNUMBER(G109), $B118 * H109, "")</f>
        <v>-3567.7352637021718</v>
      </c>
      <c r="J109" s="15">
        <v>941</v>
      </c>
      <c r="K109" s="32">
        <f t="shared" ref="K109:K112" si="56">IF(ISNUMBER(J109), (J109 - $B109) / $B109, "")</f>
        <v>-2.688728024819028E-2</v>
      </c>
      <c r="L109" s="18">
        <f>IF(ISNUMBER(J109), $B118 * K109, "")</f>
        <v>-4033.0920372285423</v>
      </c>
      <c r="M109" s="31">
        <v>945</v>
      </c>
      <c r="N109" s="32">
        <f t="shared" ref="N109:N112" si="57">IF(ISNUMBER(M109), (M109 - $B109) / $B109, "")</f>
        <v>-2.2750775594622543E-2</v>
      </c>
      <c r="O109" s="18">
        <f>IF(ISNUMBER(M109), $B118 * N109, "")</f>
        <v>-3412.6163391933815</v>
      </c>
      <c r="Q109" s="153"/>
      <c r="R109" s="154"/>
      <c r="S109" s="155"/>
    </row>
    <row r="110" spans="1:19" ht="17.25" thickBot="1">
      <c r="A110" s="109" t="s">
        <v>217</v>
      </c>
      <c r="B110" s="110">
        <v>55.9</v>
      </c>
      <c r="C110" s="70">
        <v>1.7921147000000001E-3</v>
      </c>
      <c r="D110" s="15">
        <v>55</v>
      </c>
      <c r="E110" s="32">
        <f t="shared" si="54"/>
        <v>-1.6100178890876539E-2</v>
      </c>
      <c r="F110" s="18">
        <f>IF(ISNUMBER(D110), $B118 * E110, "")</f>
        <v>-2415.0268336314807</v>
      </c>
      <c r="G110" s="31">
        <v>54.5</v>
      </c>
      <c r="H110" s="32">
        <f t="shared" si="55"/>
        <v>-2.50447227191413E-2</v>
      </c>
      <c r="I110" s="91">
        <f>IF(ISNUMBER(G110), $B118 * H110, "")</f>
        <v>-3756.708407871195</v>
      </c>
      <c r="J110" s="15">
        <v>54.4</v>
      </c>
      <c r="K110" s="32">
        <f t="shared" si="56"/>
        <v>-2.6833631484794278E-2</v>
      </c>
      <c r="L110" s="18">
        <f>IF(ISNUMBER(J110), $B118 * K110, "")</f>
        <v>-4025.0447227191416</v>
      </c>
      <c r="M110" s="31">
        <v>54.4</v>
      </c>
      <c r="N110" s="32">
        <f t="shared" si="57"/>
        <v>-2.6833631484794278E-2</v>
      </c>
      <c r="O110" s="18">
        <f>IF(ISNUMBER(M110), $B118 * N110, "")</f>
        <v>-4025.0447227191416</v>
      </c>
      <c r="Q110" s="146"/>
      <c r="R110" s="146"/>
      <c r="S110" s="146"/>
    </row>
    <row r="111" spans="1:19" ht="17.25" thickBot="1">
      <c r="A111" s="109" t="s">
        <v>66</v>
      </c>
      <c r="B111" s="110">
        <v>592</v>
      </c>
      <c r="C111" s="70">
        <v>1.6920474E-3</v>
      </c>
      <c r="D111" s="15">
        <v>601</v>
      </c>
      <c r="E111" s="32">
        <f t="shared" si="54"/>
        <v>1.5202702702702704E-2</v>
      </c>
      <c r="F111" s="18">
        <f>IF(ISNUMBER(D111), $B118 * E111, "")</f>
        <v>2280.4054054054054</v>
      </c>
      <c r="G111" s="31">
        <v>611</v>
      </c>
      <c r="H111" s="32">
        <f t="shared" si="55"/>
        <v>3.2094594594594593E-2</v>
      </c>
      <c r="I111" s="91">
        <f>IF(ISNUMBER(G111), $B118 * H111, "")</f>
        <v>4814.1891891891892</v>
      </c>
      <c r="J111" s="15">
        <v>607</v>
      </c>
      <c r="K111" s="32">
        <f t="shared" si="56"/>
        <v>2.5337837837837839E-2</v>
      </c>
      <c r="L111" s="18">
        <f>IF(ISNUMBER(J111), $B118 * K111, "")</f>
        <v>3800.6756756756758</v>
      </c>
      <c r="M111" s="31">
        <v>604</v>
      </c>
      <c r="N111" s="32">
        <f t="shared" si="57"/>
        <v>2.0270270270270271E-2</v>
      </c>
      <c r="O111" s="18">
        <f>IF(ISNUMBER(M111), $B118 * N111, "")</f>
        <v>3040.5405405405409</v>
      </c>
      <c r="Q111" s="156"/>
      <c r="R111" s="156"/>
      <c r="S111" s="156"/>
    </row>
    <row r="112" spans="1:19" ht="17.25" thickBot="1">
      <c r="A112" s="111" t="s">
        <v>183</v>
      </c>
      <c r="B112" s="112">
        <v>116</v>
      </c>
      <c r="C112" s="71">
        <v>0</v>
      </c>
      <c r="D112" s="20">
        <v>113</v>
      </c>
      <c r="E112" s="21">
        <f t="shared" si="54"/>
        <v>-2.5862068965517241E-2</v>
      </c>
      <c r="F112" s="22">
        <f>IF(ISNUMBER(D112), $B118 * E112, "")</f>
        <v>-3879.3103448275861</v>
      </c>
      <c r="G112" s="30">
        <v>112</v>
      </c>
      <c r="H112" s="21">
        <f t="shared" si="55"/>
        <v>-3.4482758620689655E-2</v>
      </c>
      <c r="I112" s="95">
        <f>IF(ISNUMBER(G112), $B118 * H112, "")</f>
        <v>-5172.4137931034484</v>
      </c>
      <c r="J112" s="20">
        <v>112</v>
      </c>
      <c r="K112" s="21">
        <f t="shared" si="56"/>
        <v>-3.4482758620689655E-2</v>
      </c>
      <c r="L112" s="22">
        <f>IF(ISNUMBER(J112), $B118 * K112, "")</f>
        <v>-5172.4137931034484</v>
      </c>
      <c r="M112" s="30">
        <v>112</v>
      </c>
      <c r="N112" s="21">
        <f t="shared" si="57"/>
        <v>-3.4482758620689655E-2</v>
      </c>
      <c r="O112" s="22">
        <f>IF(ISNUMBER(M112), $B118 * N112, "")</f>
        <v>-5172.4137931034484</v>
      </c>
      <c r="Q112" s="156"/>
      <c r="R112" s="156"/>
      <c r="S112" s="156"/>
    </row>
    <row r="113" spans="1:19" ht="17.25" thickBot="1">
      <c r="A113" s="109" t="s">
        <v>97</v>
      </c>
      <c r="B113" s="113">
        <v>8.9999999999999998E-4</v>
      </c>
      <c r="C113" s="73">
        <v>0</v>
      </c>
      <c r="D113" s="96">
        <v>8.0000000000000004E-4</v>
      </c>
      <c r="E113" s="97">
        <f>IF(ISNUMBER(D113), (D113 - $B113) / $B113, "")</f>
        <v>-0.11111111111111105</v>
      </c>
      <c r="F113" s="98">
        <f>IF(ISNUMBER(D113), $B118 * E113, "")</f>
        <v>-16666.666666666657</v>
      </c>
      <c r="G113" s="99">
        <v>6.9999999999999999E-4</v>
      </c>
      <c r="H113" s="97">
        <f>IF(ISNUMBER(G113), (G113 - $B113) / $B113, "")</f>
        <v>-0.22222222222222221</v>
      </c>
      <c r="I113" s="100">
        <f>IF(ISNUMBER(G113), $B118 * H113, "")</f>
        <v>-33333.333333333328</v>
      </c>
      <c r="J113" s="96">
        <v>8.0000000000000004E-4</v>
      </c>
      <c r="K113" s="97">
        <f>IF(ISNUMBER(J113), (J113 - $B113) / $B113, "")</f>
        <v>-0.11111111111111105</v>
      </c>
      <c r="L113" s="98">
        <f>IF(ISNUMBER(J113), $B118 * K113, "")</f>
        <v>-16666.666666666657</v>
      </c>
      <c r="M113" s="99">
        <v>6.9999999999999999E-4</v>
      </c>
      <c r="N113" s="97">
        <f>IF(ISNUMBER(M113), (M113 - $B113) / $B113, "")</f>
        <v>-0.22222222222222221</v>
      </c>
      <c r="O113" s="98">
        <f>IF(ISNUMBER(M113), $B118 * N113, "")</f>
        <v>-33333.333333333328</v>
      </c>
      <c r="Q113" s="146"/>
      <c r="R113" s="146"/>
      <c r="S113" s="146"/>
    </row>
    <row r="114" spans="1:19" ht="17.25" thickBot="1">
      <c r="A114" s="109" t="s">
        <v>107</v>
      </c>
      <c r="B114" s="110">
        <v>34.299999999999997</v>
      </c>
      <c r="C114" s="70">
        <v>0</v>
      </c>
      <c r="D114" s="15">
        <v>35.6</v>
      </c>
      <c r="E114" s="32">
        <f t="shared" ref="E114:E117" si="58">IF(ISNUMBER(D114), (D114 - $B114) / $B114, "")</f>
        <v>3.790087463556864E-2</v>
      </c>
      <c r="F114" s="18">
        <f>IF(ISNUMBER(D114), $B118 * E114, "")</f>
        <v>5685.1311953352961</v>
      </c>
      <c r="G114" s="31">
        <v>37</v>
      </c>
      <c r="H114" s="32">
        <f t="shared" ref="H114:H117" si="59">IF(ISNUMBER(G114), (G114 - $B114) / $B114, "")</f>
        <v>7.8717201166180847E-2</v>
      </c>
      <c r="I114" s="91">
        <f>IF(ISNUMBER(G114), $B118 * H114, "")</f>
        <v>11807.580174927127</v>
      </c>
      <c r="J114" s="15">
        <v>37.5</v>
      </c>
      <c r="K114" s="32">
        <f t="shared" ref="K114:K117" si="60">IF(ISNUMBER(J114), (J114 - $B114) / $B114, "")</f>
        <v>9.3294460641399513E-2</v>
      </c>
      <c r="L114" s="18">
        <f>IF(ISNUMBER(J114), $B118 * K114, "")</f>
        <v>13994.169096209927</v>
      </c>
      <c r="M114" s="31">
        <v>36</v>
      </c>
      <c r="N114" s="32">
        <f t="shared" ref="N114:N117" si="61">IF(ISNUMBER(M114), (M114 - $B114) / $B114, "")</f>
        <v>4.9562682215743524E-2</v>
      </c>
      <c r="O114" s="18">
        <f>IF(ISNUMBER(M114), $B118 * N114, "")</f>
        <v>7434.4023323615284</v>
      </c>
      <c r="Q114" s="146"/>
      <c r="R114" s="146"/>
      <c r="S114" s="146"/>
    </row>
    <row r="115" spans="1:19" ht="17.25" thickBot="1">
      <c r="A115" s="109" t="s">
        <v>124</v>
      </c>
      <c r="B115" s="110">
        <v>27.5</v>
      </c>
      <c r="C115" s="70">
        <v>0</v>
      </c>
      <c r="D115" s="15">
        <v>27.3</v>
      </c>
      <c r="E115" s="32">
        <f t="shared" si="58"/>
        <v>-7.2727272727272467E-3</v>
      </c>
      <c r="F115" s="18">
        <f>IF(ISNUMBER(D115), $B118 * E115, "")</f>
        <v>-1090.9090909090869</v>
      </c>
      <c r="G115" s="31">
        <v>27.3</v>
      </c>
      <c r="H115" s="32">
        <f t="shared" si="59"/>
        <v>-7.2727272727272467E-3</v>
      </c>
      <c r="I115" s="91">
        <f>IF(ISNUMBER(G115), $B118 * H115, "")</f>
        <v>-1090.9090909090869</v>
      </c>
      <c r="J115" s="15">
        <v>27.1</v>
      </c>
      <c r="K115" s="32">
        <f t="shared" si="60"/>
        <v>-1.4545454545454493E-2</v>
      </c>
      <c r="L115" s="18">
        <f>IF(ISNUMBER(J115), $B118 * K115, "")</f>
        <v>-2181.8181818181738</v>
      </c>
      <c r="M115" s="31">
        <v>27.1</v>
      </c>
      <c r="N115" s="32">
        <f t="shared" si="61"/>
        <v>-1.4545454545454493E-2</v>
      </c>
      <c r="O115" s="18">
        <f>IF(ISNUMBER(M115), $B118 * N115, "")</f>
        <v>-2181.8181818181738</v>
      </c>
      <c r="Q115" s="146"/>
      <c r="R115" s="146"/>
      <c r="S115" s="146"/>
    </row>
    <row r="116" spans="1:19">
      <c r="A116" s="109" t="s">
        <v>167</v>
      </c>
      <c r="B116" s="110">
        <v>162</v>
      </c>
      <c r="C116" s="70">
        <v>0</v>
      </c>
      <c r="D116" s="15">
        <v>161</v>
      </c>
      <c r="E116" s="32">
        <f t="shared" si="58"/>
        <v>-6.1728395061728392E-3</v>
      </c>
      <c r="F116" s="18">
        <f>IF(ISNUMBER(D116), $B118 * E116, "")</f>
        <v>-925.92592592592587</v>
      </c>
      <c r="G116" s="31">
        <v>158</v>
      </c>
      <c r="H116" s="32">
        <f t="shared" si="59"/>
        <v>-2.4691358024691357E-2</v>
      </c>
      <c r="I116" s="91">
        <f>IF(ISNUMBER(G116), $B118 * H116, "")</f>
        <v>-3703.7037037037035</v>
      </c>
      <c r="J116" s="15">
        <v>157</v>
      </c>
      <c r="K116" s="32">
        <f t="shared" si="60"/>
        <v>-3.0864197530864196E-2</v>
      </c>
      <c r="L116" s="18">
        <f>IF(ISNUMBER(J116), $B118 * K116, "")</f>
        <v>-4629.6296296296296</v>
      </c>
      <c r="M116" s="31">
        <v>159</v>
      </c>
      <c r="N116" s="32">
        <f t="shared" si="61"/>
        <v>-1.8518518518518517E-2</v>
      </c>
      <c r="O116" s="18">
        <f>IF(ISNUMBER(M116), $B118 * N116, "")</f>
        <v>-2777.7777777777778</v>
      </c>
      <c r="Q116" s="135"/>
      <c r="R116" s="136"/>
      <c r="S116" s="137"/>
    </row>
    <row r="117" spans="1:19" ht="17.25" thickBot="1">
      <c r="A117" s="114" t="s">
        <v>221</v>
      </c>
      <c r="B117" s="115">
        <v>17.8</v>
      </c>
      <c r="C117" s="72">
        <v>0</v>
      </c>
      <c r="D117" s="24">
        <v>17.5</v>
      </c>
      <c r="E117" s="25">
        <f t="shared" si="58"/>
        <v>-1.6853932584269701E-2</v>
      </c>
      <c r="F117" s="94">
        <f>IF(ISNUMBER(D117), $B118 * E117, "")</f>
        <v>-2528.0898876404549</v>
      </c>
      <c r="G117" s="92">
        <v>17.2</v>
      </c>
      <c r="H117" s="25">
        <f t="shared" si="59"/>
        <v>-3.3707865168539401E-2</v>
      </c>
      <c r="I117" s="93">
        <f>IF(ISNUMBER(G117), $B118 * H117, "")</f>
        <v>-5056.1797752809098</v>
      </c>
      <c r="J117" s="24">
        <v>17.2</v>
      </c>
      <c r="K117" s="25">
        <f t="shared" si="60"/>
        <v>-3.3707865168539401E-2</v>
      </c>
      <c r="L117" s="94">
        <f>IF(ISNUMBER(J117), $B118 * K117, "")</f>
        <v>-5056.1797752809098</v>
      </c>
      <c r="M117" s="92">
        <v>17.399999999999999</v>
      </c>
      <c r="N117" s="25">
        <f t="shared" si="61"/>
        <v>-2.2471910112359668E-2</v>
      </c>
      <c r="O117" s="94">
        <f>IF(ISNUMBER(M117), $B118 * N117, "")</f>
        <v>-3370.7865168539502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-2.4617253499800131E-2</v>
      </c>
      <c r="F118" s="28">
        <f>SUM(F98:F117)</f>
        <v>-73851.760499400392</v>
      </c>
      <c r="G118" s="26" t="s">
        <v>258</v>
      </c>
      <c r="H118" s="27">
        <f>IF(COUNT(H98:H117), SUM(H98:H117) / COUNT(H98:H117), 0)</f>
        <v>-3.1584819271301745E-2</v>
      </c>
      <c r="I118" s="28">
        <f>SUM(I98:I117)</f>
        <v>-94754.457813905203</v>
      </c>
      <c r="J118" s="26" t="s">
        <v>258</v>
      </c>
      <c r="K118" s="27">
        <f>IF(COUNT(K98:K117), SUM(K98:K117) / COUNT(K98:K117), 0)</f>
        <v>-3.0719131254656439E-2</v>
      </c>
      <c r="L118" s="28">
        <f>SUM(L98:L117)</f>
        <v>-92157.393763969318</v>
      </c>
      <c r="M118" s="26" t="s">
        <v>258</v>
      </c>
      <c r="N118" s="27">
        <f>IF(COUNT(N98:N117), SUM(N98:N117) / COUNT(N98:N117), 0)</f>
        <v>-3.5938221515168907E-2</v>
      </c>
      <c r="O118" s="28">
        <f>SUM(O98:O117)</f>
        <v>-107814.66454550673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2023-01-06(금) 오전 00:00</v>
      </c>
      <c r="C123" s="198"/>
      <c r="D123" s="170" t="str">
        <f>TEXT($G$1, "[$-ko-KR]yyyy-mm-dd(ddd) ") &amp; "오후 14:00"</f>
        <v>2023-01-06(금) 오후 14:00</v>
      </c>
      <c r="E123" s="171"/>
      <c r="F123" s="172"/>
      <c r="G123" s="170" t="str">
        <f>TEXT($G$1, "[$-ko-KR]yyyy-mm-dd(ddd) ") &amp; "오후 19:00"</f>
        <v>2023-01-06(금) 오후 19:00</v>
      </c>
      <c r="H123" s="171"/>
      <c r="I123" s="172"/>
      <c r="J123" s="170" t="str">
        <f>TEXT($G$1, "[$-ko-KR]yyyy-mm-dd(ddd) ") &amp; "오후 21:00"</f>
        <v>2023-01-06(금) 오후 21:00</v>
      </c>
      <c r="K123" s="171"/>
      <c r="L123" s="172"/>
      <c r="M123" s="170" t="str">
        <f>TEXT($G$1+1, "[$-ko-KR]yyyy-mm-dd(ddd) ") &amp; "오전 00:00"</f>
        <v>2023-01-07(토)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203</v>
      </c>
      <c r="B125" s="108">
        <v>2.98</v>
      </c>
      <c r="C125" s="69">
        <v>-9.9667773999999997E-3</v>
      </c>
      <c r="D125" s="13">
        <v>2.99</v>
      </c>
      <c r="E125" s="14">
        <f>IF(ISNUMBER(D125), (D125 - $B125) / $B125, "")</f>
        <v>3.3557046979866547E-3</v>
      </c>
      <c r="F125" s="16">
        <f>IF(ISNUMBER(D125), $B145 * E125, "")</f>
        <v>503.35570469799819</v>
      </c>
      <c r="G125" s="29">
        <v>2.97</v>
      </c>
      <c r="H125" s="14">
        <f>IF(ISNUMBER(G125), (G125 - $B125) / $B125, "")</f>
        <v>-3.3557046979865056E-3</v>
      </c>
      <c r="I125" s="90">
        <f>IF(ISNUMBER(G125), $B145 * H125, "")</f>
        <v>-503.35570469797585</v>
      </c>
      <c r="J125" s="13">
        <v>2.95</v>
      </c>
      <c r="K125" s="14">
        <f>IF(ISNUMBER(J125), (J125 - $B125) / $B125, "")</f>
        <v>-1.0067114093959667E-2</v>
      </c>
      <c r="L125" s="16">
        <f>IF(ISNUMBER(J125), $B145 * K125, "")</f>
        <v>-1510.0671140939501</v>
      </c>
      <c r="M125" s="29">
        <v>2.94</v>
      </c>
      <c r="N125" s="14">
        <f>IF(ISNUMBER(M125), (M125 - $B125) / $B125, "")</f>
        <v>-1.3422818791946321E-2</v>
      </c>
      <c r="O125" s="16">
        <f>IF(ISNUMBER(M125), $B145 * N125, "")</f>
        <v>-2013.422818791948</v>
      </c>
      <c r="Q125" s="156"/>
      <c r="R125" s="156"/>
      <c r="S125" s="156"/>
    </row>
    <row r="126" spans="1:19" ht="17.25" thickBot="1">
      <c r="A126" s="109" t="s">
        <v>350</v>
      </c>
      <c r="B126" s="110">
        <v>5.63</v>
      </c>
      <c r="C126" s="70">
        <v>-1.0544815500000001E-2</v>
      </c>
      <c r="D126" s="15">
        <v>5.48</v>
      </c>
      <c r="E126" s="32">
        <f t="shared" ref="E126:E129" si="62">IF(ISNUMBER(D126), (D126 - $B126) / $B126, "")</f>
        <v>-2.6642984014209496E-2</v>
      </c>
      <c r="F126" s="18">
        <f>IF(ISNUMBER(D126), $B145 * E126, "")</f>
        <v>-3996.4476021314244</v>
      </c>
      <c r="G126" s="31">
        <v>5.5</v>
      </c>
      <c r="H126" s="32">
        <f t="shared" ref="H126:H129" si="63">IF(ISNUMBER(G126), (G126 - $B126) / $B126, "")</f>
        <v>-2.3090586145648295E-2</v>
      </c>
      <c r="I126" s="91">
        <f>IF(ISNUMBER(G126), $B145 * H126, "")</f>
        <v>-3463.5879218472442</v>
      </c>
      <c r="J126" s="15">
        <v>5.49</v>
      </c>
      <c r="K126" s="32">
        <f t="shared" ref="K126:K129" si="64">IF(ISNUMBER(J126), (J126 - $B126) / $B126, "")</f>
        <v>-2.4866785079928896E-2</v>
      </c>
      <c r="L126" s="18">
        <f>IF(ISNUMBER(J126), $B145 * K126, "")</f>
        <v>-3730.0177619893343</v>
      </c>
      <c r="M126" s="31">
        <v>5.46</v>
      </c>
      <c r="N126" s="32">
        <f t="shared" ref="N126:N129" si="65">IF(ISNUMBER(M126), (M126 - $B126) / $B126, "")</f>
        <v>-3.0195381882770857E-2</v>
      </c>
      <c r="O126" s="18">
        <f>IF(ISNUMBER(M126), $B145 * N126, "")</f>
        <v>-4529.3072824156288</v>
      </c>
      <c r="Q126" s="156"/>
      <c r="R126" s="156"/>
      <c r="S126" s="156"/>
    </row>
    <row r="127" spans="1:19" ht="17.25" thickBot="1">
      <c r="A127" s="109" t="s">
        <v>56</v>
      </c>
      <c r="B127" s="110">
        <v>37</v>
      </c>
      <c r="C127" s="70">
        <v>-1.0695187199999999E-2</v>
      </c>
      <c r="D127" s="15">
        <v>36.5</v>
      </c>
      <c r="E127" s="32">
        <f t="shared" si="62"/>
        <v>-1.3513513513513514E-2</v>
      </c>
      <c r="F127" s="18">
        <f>IF(ISNUMBER(D127), $B145 * E127, "")</f>
        <v>-2027.0270270270271</v>
      </c>
      <c r="G127" s="31">
        <v>36.6</v>
      </c>
      <c r="H127" s="32">
        <f t="shared" si="63"/>
        <v>-1.0810810810810773E-2</v>
      </c>
      <c r="I127" s="91">
        <f>IF(ISNUMBER(G127), $B145 * H127, "")</f>
        <v>-1621.621621621616</v>
      </c>
      <c r="J127" s="15">
        <v>36.200000000000003</v>
      </c>
      <c r="K127" s="32">
        <f t="shared" si="64"/>
        <v>-2.1621621621621546E-2</v>
      </c>
      <c r="L127" s="18">
        <f>IF(ISNUMBER(J127), $B145 * K127, "")</f>
        <v>-3243.243243243232</v>
      </c>
      <c r="M127" s="31">
        <v>36.299999999999997</v>
      </c>
      <c r="N127" s="32">
        <f t="shared" si="65"/>
        <v>-1.8918918918918996E-2</v>
      </c>
      <c r="O127" s="18">
        <f>IF(ISNUMBER(M127), $B145 * N127, "")</f>
        <v>-2837.8378378378493</v>
      </c>
      <c r="Q127" s="146"/>
      <c r="R127" s="146"/>
      <c r="S127" s="146"/>
    </row>
    <row r="128" spans="1:19" ht="17.25" thickBot="1">
      <c r="A128" s="109" t="s">
        <v>225</v>
      </c>
      <c r="B128" s="110">
        <v>52.4</v>
      </c>
      <c r="C128" s="70">
        <v>-1.13207547E-2</v>
      </c>
      <c r="D128" s="15">
        <v>51.3</v>
      </c>
      <c r="E128" s="32">
        <f t="shared" si="62"/>
        <v>-2.0992366412213768E-2</v>
      </c>
      <c r="F128" s="18">
        <f>IF(ISNUMBER(D128), $B145 * E128, "")</f>
        <v>-3148.8549618320653</v>
      </c>
      <c r="G128" s="31">
        <v>50.8</v>
      </c>
      <c r="H128" s="32">
        <f t="shared" si="63"/>
        <v>-3.0534351145038195E-2</v>
      </c>
      <c r="I128" s="91">
        <f>IF(ISNUMBER(G128), $B145 * H128, "")</f>
        <v>-4580.152671755729</v>
      </c>
      <c r="J128" s="15">
        <v>50.7</v>
      </c>
      <c r="K128" s="32">
        <f t="shared" si="64"/>
        <v>-3.2442748091602976E-2</v>
      </c>
      <c r="L128" s="18">
        <f>IF(ISNUMBER(J128), $B145 * K128, "")</f>
        <v>-4866.4122137404465</v>
      </c>
      <c r="M128" s="31">
        <v>50.7</v>
      </c>
      <c r="N128" s="32">
        <f t="shared" si="65"/>
        <v>-3.2442748091602976E-2</v>
      </c>
      <c r="O128" s="18">
        <f>IF(ISNUMBER(M128), $B145 * N128, "")</f>
        <v>-4866.4122137404465</v>
      </c>
      <c r="Q128" s="146"/>
      <c r="R128" s="146"/>
      <c r="S128" s="146"/>
    </row>
    <row r="129" spans="1:19" ht="17.25" thickBot="1">
      <c r="A129" s="111" t="s">
        <v>145</v>
      </c>
      <c r="B129" s="112">
        <v>69.400000000000006</v>
      </c>
      <c r="C129" s="71">
        <v>-1.1396011399999999E-2</v>
      </c>
      <c r="D129" s="20">
        <v>64.5</v>
      </c>
      <c r="E129" s="21">
        <f t="shared" si="62"/>
        <v>-7.0605187319884799E-2</v>
      </c>
      <c r="F129" s="22">
        <f>IF(ISNUMBER(D129), $B145 * E129, "")</f>
        <v>-10590.77809798272</v>
      </c>
      <c r="G129" s="30">
        <v>64.599999999999994</v>
      </c>
      <c r="H129" s="21">
        <f t="shared" si="63"/>
        <v>-6.9164265129683156E-2</v>
      </c>
      <c r="I129" s="95">
        <f>IF(ISNUMBER(G129), $B145 * H129, "")</f>
        <v>-10374.639769452473</v>
      </c>
      <c r="J129" s="20">
        <v>64.599999999999994</v>
      </c>
      <c r="K129" s="21">
        <f t="shared" si="64"/>
        <v>-6.9164265129683156E-2</v>
      </c>
      <c r="L129" s="22">
        <f>IF(ISNUMBER(J129), $B145 * K129, "")</f>
        <v>-10374.639769452473</v>
      </c>
      <c r="M129" s="30">
        <v>64.599999999999994</v>
      </c>
      <c r="N129" s="21">
        <f t="shared" si="65"/>
        <v>-6.9164265129683156E-2</v>
      </c>
      <c r="O129" s="22">
        <f>IF(ISNUMBER(M129), $B145 * N129, "")</f>
        <v>-10374.639769452473</v>
      </c>
      <c r="Q129" s="146"/>
      <c r="R129" s="146"/>
      <c r="S129" s="146"/>
    </row>
    <row r="130" spans="1:19" ht="17.25" thickBot="1">
      <c r="A130" s="109" t="s">
        <v>324</v>
      </c>
      <c r="B130" s="113">
        <v>75.099999999999994</v>
      </c>
      <c r="C130" s="73">
        <v>-1.1842105299999999E-2</v>
      </c>
      <c r="D130" s="96">
        <v>74.900000000000006</v>
      </c>
      <c r="E130" s="97">
        <f>IF(ISNUMBER(D130), (D130 - $B130) / $B130, "")</f>
        <v>-2.6631158455391298E-3</v>
      </c>
      <c r="F130" s="98">
        <f>IF(ISNUMBER(D130), $B145 * E130, "")</f>
        <v>-399.46737683086945</v>
      </c>
      <c r="G130" s="99">
        <v>76.5</v>
      </c>
      <c r="H130" s="97">
        <f>IF(ISNUMBER(G130), (G130 - $B130) / $B130, "")</f>
        <v>1.8641810918775044E-2</v>
      </c>
      <c r="I130" s="100">
        <f>IF(ISNUMBER(G130), $B145 * H130, "")</f>
        <v>2796.2716378162568</v>
      </c>
      <c r="J130" s="96">
        <v>76.2</v>
      </c>
      <c r="K130" s="97">
        <f>IF(ISNUMBER(J130), (J130 - $B130) / $B130, "")</f>
        <v>1.464713715046616E-2</v>
      </c>
      <c r="L130" s="98">
        <f>IF(ISNUMBER(J130), $B145 * K130, "")</f>
        <v>2197.070572569924</v>
      </c>
      <c r="M130" s="99">
        <v>75.3</v>
      </c>
      <c r="N130" s="97">
        <f>IF(ISNUMBER(M130), (M130 - $B130) / $B130, "")</f>
        <v>2.6631158455393189E-3</v>
      </c>
      <c r="O130" s="98">
        <f>IF(ISNUMBER(M130), $B145 * N130, "")</f>
        <v>399.46737683089782</v>
      </c>
      <c r="Q130" s="146"/>
      <c r="R130" s="146"/>
      <c r="S130" s="146"/>
    </row>
    <row r="131" spans="1:19" ht="17.25" thickBot="1">
      <c r="A131" s="109" t="s">
        <v>193</v>
      </c>
      <c r="B131" s="110">
        <v>15.4</v>
      </c>
      <c r="C131" s="70">
        <v>-1.2820512799999999E-2</v>
      </c>
      <c r="D131" s="15">
        <v>15.2</v>
      </c>
      <c r="E131" s="32">
        <f t="shared" ref="E131:E134" si="66">IF(ISNUMBER(D131), (D131 - $B131) / $B131, "")</f>
        <v>-1.2987012987013056E-2</v>
      </c>
      <c r="F131" s="18">
        <f>IF(ISNUMBER(D131), $B145 * E131, "")</f>
        <v>-1948.0519480519583</v>
      </c>
      <c r="G131" s="31">
        <v>15.2</v>
      </c>
      <c r="H131" s="32">
        <f t="shared" ref="H131:H134" si="67">IF(ISNUMBER(G131), (G131 - $B131) / $B131, "")</f>
        <v>-1.2987012987013056E-2</v>
      </c>
      <c r="I131" s="91">
        <f>IF(ISNUMBER(G131), $B145 * H131, "")</f>
        <v>-1948.0519480519583</v>
      </c>
      <c r="J131" s="15">
        <v>14.9</v>
      </c>
      <c r="K131" s="32">
        <f t="shared" ref="K131:K134" si="68">IF(ISNUMBER(J131), (J131 - $B131) / $B131, "")</f>
        <v>-3.2467532467532464E-2</v>
      </c>
      <c r="L131" s="18">
        <f>IF(ISNUMBER(J131), $B145 * K131, "")</f>
        <v>-4870.1298701298692</v>
      </c>
      <c r="M131" s="31">
        <v>15.1</v>
      </c>
      <c r="N131" s="32">
        <f t="shared" ref="N131:N134" si="69">IF(ISNUMBER(M131), (M131 - $B131) / $B131, "")</f>
        <v>-1.9480519480519525E-2</v>
      </c>
      <c r="O131" s="18">
        <f>IF(ISNUMBER(M131), $B145 * N131, "")</f>
        <v>-2922.0779220779286</v>
      </c>
      <c r="Q131" s="146"/>
      <c r="R131" s="146"/>
      <c r="S131" s="146"/>
    </row>
    <row r="132" spans="1:19" ht="17.25" thickBot="1">
      <c r="A132" s="109" t="s">
        <v>126</v>
      </c>
      <c r="B132" s="110">
        <v>21.4</v>
      </c>
      <c r="C132" s="70">
        <v>-1.3824884799999999E-2</v>
      </c>
      <c r="D132" s="15">
        <v>21.4</v>
      </c>
      <c r="E132" s="32">
        <f t="shared" si="66"/>
        <v>0</v>
      </c>
      <c r="F132" s="18">
        <f>IF(ISNUMBER(D132), $B145 * E132, "")</f>
        <v>0</v>
      </c>
      <c r="G132" s="31">
        <v>21.3</v>
      </c>
      <c r="H132" s="32">
        <f t="shared" si="67"/>
        <v>-4.672897196261583E-3</v>
      </c>
      <c r="I132" s="91">
        <f>IF(ISNUMBER(G132), $B145 * H132, "")</f>
        <v>-700.9345794392375</v>
      </c>
      <c r="J132" s="15">
        <v>21.2</v>
      </c>
      <c r="K132" s="32">
        <f t="shared" si="68"/>
        <v>-9.3457943925233326E-3</v>
      </c>
      <c r="L132" s="18">
        <f>IF(ISNUMBER(J132), $B145 * K132, "")</f>
        <v>-1401.8691588784998</v>
      </c>
      <c r="M132" s="31">
        <v>21.4</v>
      </c>
      <c r="N132" s="32">
        <f t="shared" si="69"/>
        <v>0</v>
      </c>
      <c r="O132" s="18">
        <f>IF(ISNUMBER(M132), $B145 * N132, "")</f>
        <v>0</v>
      </c>
      <c r="Q132" s="146"/>
      <c r="R132" s="146"/>
      <c r="S132" s="146"/>
    </row>
    <row r="133" spans="1:19" ht="17.25" thickBot="1">
      <c r="A133" s="109" t="s">
        <v>329</v>
      </c>
      <c r="B133" s="110">
        <v>48.6</v>
      </c>
      <c r="C133" s="70">
        <v>-1.4198783E-2</v>
      </c>
      <c r="D133" s="15">
        <v>48.1</v>
      </c>
      <c r="E133" s="32">
        <f t="shared" si="66"/>
        <v>-1.0288065843621399E-2</v>
      </c>
      <c r="F133" s="18">
        <f>IF(ISNUMBER(D133), $B145 * E133, "")</f>
        <v>-1543.2098765432099</v>
      </c>
      <c r="G133" s="31">
        <v>47.4</v>
      </c>
      <c r="H133" s="32">
        <f t="shared" si="67"/>
        <v>-2.4691358024691416E-2</v>
      </c>
      <c r="I133" s="91">
        <f>IF(ISNUMBER(G133), $B145 * H133, "")</f>
        <v>-3703.7037037037126</v>
      </c>
      <c r="J133" s="15">
        <v>47.3</v>
      </c>
      <c r="K133" s="32">
        <f t="shared" si="68"/>
        <v>-2.6748971193415724E-2</v>
      </c>
      <c r="L133" s="18">
        <f>IF(ISNUMBER(J133), $B145 * K133, "")</f>
        <v>-4012.3456790123587</v>
      </c>
      <c r="M133" s="31">
        <v>47.6</v>
      </c>
      <c r="N133" s="32">
        <f t="shared" si="69"/>
        <v>-2.0576131687242798E-2</v>
      </c>
      <c r="O133" s="18">
        <f>IF(ISNUMBER(M133), $B145 * N133, "")</f>
        <v>-3086.4197530864199</v>
      </c>
      <c r="Q133" s="33"/>
      <c r="R133" s="33"/>
    </row>
    <row r="134" spans="1:19" ht="17.25" thickBot="1">
      <c r="A134" s="114" t="s">
        <v>138</v>
      </c>
      <c r="B134" s="115">
        <v>20.6</v>
      </c>
      <c r="C134" s="72">
        <v>-1.4354067E-2</v>
      </c>
      <c r="D134" s="24">
        <v>20.399999999999999</v>
      </c>
      <c r="E134" s="25">
        <f t="shared" si="66"/>
        <v>-9.7087378640778078E-3</v>
      </c>
      <c r="F134" s="94">
        <f>IF(ISNUMBER(D134), $B145 * E134, "")</f>
        <v>-1456.3106796116713</v>
      </c>
      <c r="G134" s="92">
        <v>20.3</v>
      </c>
      <c r="H134" s="25">
        <f t="shared" si="67"/>
        <v>-1.4563106796116538E-2</v>
      </c>
      <c r="I134" s="93">
        <f>IF(ISNUMBER(G134), $B145 * H134, "")</f>
        <v>-2184.4660194174808</v>
      </c>
      <c r="J134" s="24">
        <v>20.2</v>
      </c>
      <c r="K134" s="25">
        <f t="shared" si="68"/>
        <v>-1.9417475728155442E-2</v>
      </c>
      <c r="L134" s="94">
        <f>IF(ISNUMBER(J134), $B145 * K134, "")</f>
        <v>-2912.6213592233162</v>
      </c>
      <c r="M134" s="92">
        <v>20.2</v>
      </c>
      <c r="N134" s="25">
        <f t="shared" si="69"/>
        <v>-1.9417475728155442E-2</v>
      </c>
      <c r="O134" s="94">
        <f>IF(ISNUMBER(M134), $B145 * N134, "")</f>
        <v>-2912.6213592233162</v>
      </c>
      <c r="Q134" s="147"/>
      <c r="R134" s="148"/>
      <c r="S134" s="149"/>
    </row>
    <row r="135" spans="1:19">
      <c r="A135" s="107" t="s">
        <v>241</v>
      </c>
      <c r="B135" s="108">
        <v>85.3</v>
      </c>
      <c r="C135" s="69">
        <v>-1.5011547300000001E-2</v>
      </c>
      <c r="D135" s="13">
        <v>84.3</v>
      </c>
      <c r="E135" s="14">
        <f>IF(ISNUMBER(D135), (D135 - $B135) / $B135, "")</f>
        <v>-1.1723329425556858E-2</v>
      </c>
      <c r="F135" s="16">
        <f>IF(ISNUMBER(D135), $B145 * E135, "")</f>
        <v>-1758.4994138335287</v>
      </c>
      <c r="G135" s="29">
        <v>83.7</v>
      </c>
      <c r="H135" s="14">
        <f>IF(ISNUMBER(G135), (G135 - $B135) / $B135, "")</f>
        <v>-1.8757327080890906E-2</v>
      </c>
      <c r="I135" s="90">
        <f>IF(ISNUMBER(G135), $B145 * H135, "")</f>
        <v>-2813.5990621336359</v>
      </c>
      <c r="J135" s="13">
        <v>83.4</v>
      </c>
      <c r="K135" s="14">
        <f>IF(ISNUMBER(J135), (J135 - $B135) / $B135, "")</f>
        <v>-2.2274325908557931E-2</v>
      </c>
      <c r="L135" s="16">
        <f>IF(ISNUMBER(J135), $B145 * K135, "")</f>
        <v>-3341.1488862836895</v>
      </c>
      <c r="M135" s="29">
        <v>83.6</v>
      </c>
      <c r="N135" s="14">
        <f>IF(ISNUMBER(M135), (M135 - $B135) / $B135, "")</f>
        <v>-1.9929660023446694E-2</v>
      </c>
      <c r="O135" s="16">
        <f>IF(ISNUMBER(M135), $B145 * N135, "")</f>
        <v>-2989.4490035170043</v>
      </c>
      <c r="Q135" s="150"/>
      <c r="R135" s="151"/>
      <c r="S135" s="152"/>
    </row>
    <row r="136" spans="1:19" ht="17.25" thickBot="1">
      <c r="A136" s="109" t="s">
        <v>51</v>
      </c>
      <c r="B136" s="110">
        <v>93.1</v>
      </c>
      <c r="C136" s="70">
        <v>-1.58562368E-2</v>
      </c>
      <c r="D136" s="15">
        <v>92.3</v>
      </c>
      <c r="E136" s="32">
        <f t="shared" ref="E136:E139" si="70">IF(ISNUMBER(D136), (D136 - $B136) / $B136, "")</f>
        <v>-8.5929108485499166E-3</v>
      </c>
      <c r="F136" s="18">
        <f>IF(ISNUMBER(D136), $B145 * E136, "")</f>
        <v>-1288.9366272824875</v>
      </c>
      <c r="G136" s="31">
        <v>92.3</v>
      </c>
      <c r="H136" s="32">
        <f t="shared" ref="H136:H139" si="71">IF(ISNUMBER(G136), (G136 - $B136) / $B136, "")</f>
        <v>-8.5929108485499166E-3</v>
      </c>
      <c r="I136" s="91">
        <f>IF(ISNUMBER(G136), $B145 * H136, "")</f>
        <v>-1288.9366272824875</v>
      </c>
      <c r="J136" s="15">
        <v>92.3</v>
      </c>
      <c r="K136" s="32">
        <f t="shared" ref="K136:K139" si="72">IF(ISNUMBER(J136), (J136 - $B136) / $B136, "")</f>
        <v>-8.5929108485499166E-3</v>
      </c>
      <c r="L136" s="18">
        <f>IF(ISNUMBER(J136), $B145 * K136, "")</f>
        <v>-1288.9366272824875</v>
      </c>
      <c r="M136" s="31">
        <v>94.6</v>
      </c>
      <c r="N136" s="32">
        <f t="shared" ref="N136:N139" si="73">IF(ISNUMBER(M136), (M136 - $B136) / $B136, "")</f>
        <v>1.611170784103115E-2</v>
      </c>
      <c r="O136" s="18">
        <f>IF(ISNUMBER(M136), $B145 * N136, "")</f>
        <v>2416.7561761546726</v>
      </c>
      <c r="Q136" s="153"/>
      <c r="R136" s="154"/>
      <c r="S136" s="155"/>
    </row>
    <row r="137" spans="1:19" ht="17.25" thickBot="1">
      <c r="A137" s="109" t="s">
        <v>71</v>
      </c>
      <c r="B137" s="110">
        <v>9.6300000000000008</v>
      </c>
      <c r="C137" s="70">
        <v>-1.73469388E-2</v>
      </c>
      <c r="D137" s="15">
        <v>9.52</v>
      </c>
      <c r="E137" s="32">
        <f t="shared" si="70"/>
        <v>-1.1422637590862015E-2</v>
      </c>
      <c r="F137" s="18">
        <f>IF(ISNUMBER(D137), $B145 * E137, "")</f>
        <v>-1713.3956386293023</v>
      </c>
      <c r="G137" s="31">
        <v>9.5</v>
      </c>
      <c r="H137" s="32">
        <f t="shared" si="71"/>
        <v>-1.3499480789200496E-2</v>
      </c>
      <c r="I137" s="91">
        <f>IF(ISNUMBER(G137), $B145 * H137, "")</f>
        <v>-2024.9221183800744</v>
      </c>
      <c r="J137" s="15">
        <v>9.4</v>
      </c>
      <c r="K137" s="32">
        <f t="shared" si="72"/>
        <v>-2.3883696780893086E-2</v>
      </c>
      <c r="L137" s="18">
        <f>IF(ISNUMBER(J137), $B145 * K137, "")</f>
        <v>-3582.5545171339627</v>
      </c>
      <c r="M137" s="31">
        <v>9.44</v>
      </c>
      <c r="N137" s="32">
        <f t="shared" si="73"/>
        <v>-1.9730010384216123E-2</v>
      </c>
      <c r="O137" s="18">
        <f>IF(ISNUMBER(M137), $B145 * N137, "")</f>
        <v>-2959.5015576324186</v>
      </c>
      <c r="Q137" s="146"/>
      <c r="R137" s="146"/>
      <c r="S137" s="146"/>
    </row>
    <row r="138" spans="1:19" ht="17.25" thickBot="1">
      <c r="A138" s="109" t="s">
        <v>118</v>
      </c>
      <c r="B138" s="110">
        <v>4.8</v>
      </c>
      <c r="C138" s="70">
        <v>-1.8404908000000001E-2</v>
      </c>
      <c r="D138" s="15">
        <v>4.75</v>
      </c>
      <c r="E138" s="32">
        <f t="shared" si="70"/>
        <v>-1.041666666666663E-2</v>
      </c>
      <c r="F138" s="18">
        <f>IF(ISNUMBER(D138), $B145 * E138, "")</f>
        <v>-1562.4999999999945</v>
      </c>
      <c r="G138" s="31">
        <v>4.71</v>
      </c>
      <c r="H138" s="32">
        <f t="shared" si="71"/>
        <v>-1.8749999999999972E-2</v>
      </c>
      <c r="I138" s="91">
        <f>IF(ISNUMBER(G138), $B145 * H138, "")</f>
        <v>-2812.4999999999959</v>
      </c>
      <c r="J138" s="15">
        <v>4.67</v>
      </c>
      <c r="K138" s="32">
        <f t="shared" si="72"/>
        <v>-2.7083333333333313E-2</v>
      </c>
      <c r="L138" s="18">
        <f>IF(ISNUMBER(J138), $B145 * K138, "")</f>
        <v>-4062.4999999999968</v>
      </c>
      <c r="M138" s="31">
        <v>4.67</v>
      </c>
      <c r="N138" s="32">
        <f t="shared" si="73"/>
        <v>-2.7083333333333313E-2</v>
      </c>
      <c r="O138" s="18">
        <f>IF(ISNUMBER(M138), $B145 * N138, "")</f>
        <v>-4062.4999999999968</v>
      </c>
      <c r="Q138" s="156"/>
      <c r="R138" s="156"/>
      <c r="S138" s="156"/>
    </row>
    <row r="139" spans="1:19" ht="17.25" thickBot="1">
      <c r="A139" s="111" t="s">
        <v>132</v>
      </c>
      <c r="B139" s="112">
        <v>41.6</v>
      </c>
      <c r="C139" s="71">
        <v>-1.8867924500000001E-2</v>
      </c>
      <c r="D139" s="20">
        <v>41.1</v>
      </c>
      <c r="E139" s="21">
        <f t="shared" si="70"/>
        <v>-1.2019230769230768E-2</v>
      </c>
      <c r="F139" s="22">
        <f>IF(ISNUMBER(D139), $B145 * E139, "")</f>
        <v>-1802.8846153846152</v>
      </c>
      <c r="G139" s="30">
        <v>40.799999999999997</v>
      </c>
      <c r="H139" s="21">
        <f t="shared" si="71"/>
        <v>-1.9230769230769332E-2</v>
      </c>
      <c r="I139" s="95">
        <f>IF(ISNUMBER(G139), $B145 * H139, "")</f>
        <v>-2884.6153846153998</v>
      </c>
      <c r="J139" s="20">
        <v>40.6</v>
      </c>
      <c r="K139" s="21">
        <f t="shared" si="72"/>
        <v>-2.4038461538461536E-2</v>
      </c>
      <c r="L139" s="22">
        <f>IF(ISNUMBER(J139), $B145 * K139, "")</f>
        <v>-3605.7692307692305</v>
      </c>
      <c r="M139" s="30">
        <v>40.5</v>
      </c>
      <c r="N139" s="21">
        <f t="shared" si="73"/>
        <v>-2.6442307692307727E-2</v>
      </c>
      <c r="O139" s="22">
        <f>IF(ISNUMBER(M139), $B145 * N139, "")</f>
        <v>-3966.3461538461588</v>
      </c>
      <c r="Q139" s="156"/>
      <c r="R139" s="156"/>
      <c r="S139" s="156"/>
    </row>
    <row r="140" spans="1:19" ht="17.25" thickBot="1">
      <c r="A140" s="109" t="s">
        <v>122</v>
      </c>
      <c r="B140" s="113">
        <v>20.8</v>
      </c>
      <c r="C140" s="73">
        <v>-1.8867924500000001E-2</v>
      </c>
      <c r="D140" s="96">
        <v>20.6</v>
      </c>
      <c r="E140" s="97">
        <f>IF(ISNUMBER(D140), (D140 - $B140) / $B140, "")</f>
        <v>-9.6153846153845812E-3</v>
      </c>
      <c r="F140" s="98">
        <f>IF(ISNUMBER(D140), $B145 * E140, "")</f>
        <v>-1442.3076923076871</v>
      </c>
      <c r="G140" s="99">
        <v>20.5</v>
      </c>
      <c r="H140" s="97">
        <f>IF(ISNUMBER(G140), (G140 - $B140) / $B140, "")</f>
        <v>-1.4423076923076957E-2</v>
      </c>
      <c r="I140" s="100">
        <f>IF(ISNUMBER(G140), $B145 * H140, "")</f>
        <v>-2163.4615384615436</v>
      </c>
      <c r="J140" s="96">
        <v>20.2</v>
      </c>
      <c r="K140" s="97">
        <f>IF(ISNUMBER(J140), (J140 - $B140) / $B140, "")</f>
        <v>-2.8846153846153914E-2</v>
      </c>
      <c r="L140" s="98">
        <f>IF(ISNUMBER(J140), $B145 * K140, "")</f>
        <v>-4326.9230769230871</v>
      </c>
      <c r="M140" s="99">
        <v>20.399999999999999</v>
      </c>
      <c r="N140" s="97">
        <f>IF(ISNUMBER(M140), (M140 - $B140) / $B140, "")</f>
        <v>-1.9230769230769332E-2</v>
      </c>
      <c r="O140" s="98">
        <f>IF(ISNUMBER(M140), $B145 * N140, "")</f>
        <v>-2884.6153846153998</v>
      </c>
      <c r="Q140" s="146"/>
      <c r="R140" s="146"/>
      <c r="S140" s="146"/>
    </row>
    <row r="141" spans="1:19" ht="17.25" thickBot="1">
      <c r="A141" s="109" t="s">
        <v>209</v>
      </c>
      <c r="B141" s="110">
        <v>70.5</v>
      </c>
      <c r="C141" s="70">
        <v>-1.9471488200000001E-2</v>
      </c>
      <c r="D141" s="15">
        <v>70.099999999999994</v>
      </c>
      <c r="E141" s="32">
        <f t="shared" ref="E141:E144" si="74">IF(ISNUMBER(D141), (D141 - $B141) / $B141, "")</f>
        <v>-5.673758865248308E-3</v>
      </c>
      <c r="F141" s="18">
        <f>IF(ISNUMBER(D141), $B145 * E141, "")</f>
        <v>-851.06382978724616</v>
      </c>
      <c r="G141" s="31">
        <v>69.599999999999994</v>
      </c>
      <c r="H141" s="32">
        <f t="shared" ref="H141:H144" si="75">IF(ISNUMBER(G141), (G141 - $B141) / $B141, "")</f>
        <v>-1.2765957446808592E-2</v>
      </c>
      <c r="I141" s="91">
        <f>IF(ISNUMBER(G141), $B145 * H141, "")</f>
        <v>-1914.8936170212887</v>
      </c>
      <c r="J141" s="15">
        <v>69.099999999999994</v>
      </c>
      <c r="K141" s="32">
        <f t="shared" ref="K141:K144" si="76">IF(ISNUMBER(J141), (J141 - $B141) / $B141, "")</f>
        <v>-1.9858156028368875E-2</v>
      </c>
      <c r="L141" s="18">
        <f>IF(ISNUMBER(J141), $B145 * K141, "")</f>
        <v>-2978.7234042553314</v>
      </c>
      <c r="M141" s="31">
        <v>69.3</v>
      </c>
      <c r="N141" s="32">
        <f t="shared" ref="N141:N144" si="77">IF(ISNUMBER(M141), (M141 - $B141) / $B141, "")</f>
        <v>-1.7021276595744723E-2</v>
      </c>
      <c r="O141" s="18">
        <f>IF(ISNUMBER(M141), $B145 * N141, "")</f>
        <v>-2553.1914893617086</v>
      </c>
      <c r="Q141" s="146"/>
      <c r="R141" s="146"/>
      <c r="S141" s="146"/>
    </row>
    <row r="142" spans="1:19" ht="17.25" thickBot="1">
      <c r="A142" s="109" t="s">
        <v>205</v>
      </c>
      <c r="B142" s="110">
        <v>90.7</v>
      </c>
      <c r="C142" s="70">
        <v>-2.36813778E-2</v>
      </c>
      <c r="D142" s="15">
        <v>94.2</v>
      </c>
      <c r="E142" s="32">
        <f t="shared" si="74"/>
        <v>3.8588754134509372E-2</v>
      </c>
      <c r="F142" s="18">
        <f>IF(ISNUMBER(D142), $B145 * E142, "")</f>
        <v>5788.3131201764054</v>
      </c>
      <c r="G142" s="31">
        <v>93.5</v>
      </c>
      <c r="H142" s="32">
        <f t="shared" si="75"/>
        <v>3.0871003307607465E-2</v>
      </c>
      <c r="I142" s="91">
        <f>IF(ISNUMBER(G142), $B145 * H142, "")</f>
        <v>4630.6504961411201</v>
      </c>
      <c r="J142" s="15">
        <v>95</v>
      </c>
      <c r="K142" s="32">
        <f t="shared" si="76"/>
        <v>4.7409040793825769E-2</v>
      </c>
      <c r="L142" s="18">
        <f>IF(ISNUMBER(J142), $B145 * K142, "")</f>
        <v>7111.3561190738656</v>
      </c>
      <c r="M142" s="31">
        <v>93.2</v>
      </c>
      <c r="N142" s="32">
        <f t="shared" si="77"/>
        <v>2.7563395810363836E-2</v>
      </c>
      <c r="O142" s="18">
        <f>IF(ISNUMBER(M142), $B145 * N142, "")</f>
        <v>4134.5093715545754</v>
      </c>
      <c r="Q142" s="146"/>
      <c r="R142" s="146"/>
      <c r="S142" s="146"/>
    </row>
    <row r="143" spans="1:19">
      <c r="A143" s="109" t="s">
        <v>191</v>
      </c>
      <c r="B143" s="110">
        <v>50.3</v>
      </c>
      <c r="C143" s="70">
        <v>-2.5193798399999998E-2</v>
      </c>
      <c r="D143" s="15">
        <v>48.8</v>
      </c>
      <c r="E143" s="32">
        <f t="shared" si="74"/>
        <v>-2.9821073558648114E-2</v>
      </c>
      <c r="F143" s="18">
        <f>IF(ISNUMBER(D143), $B145 * E143, "")</f>
        <v>-4473.161033797217</v>
      </c>
      <c r="G143" s="31">
        <v>49</v>
      </c>
      <c r="H143" s="32">
        <f t="shared" si="75"/>
        <v>-2.5844930417494975E-2</v>
      </c>
      <c r="I143" s="91">
        <f>IF(ISNUMBER(G143), $B145 * H143, "")</f>
        <v>-3876.739562624246</v>
      </c>
      <c r="J143" s="15">
        <v>48.7</v>
      </c>
      <c r="K143" s="32">
        <f t="shared" si="76"/>
        <v>-3.1809145129224538E-2</v>
      </c>
      <c r="L143" s="18">
        <f>IF(ISNUMBER(J143), $B145 * K143, "")</f>
        <v>-4771.3717693836807</v>
      </c>
      <c r="M143" s="31">
        <v>49.1</v>
      </c>
      <c r="N143" s="32">
        <f t="shared" si="77"/>
        <v>-2.3856858846918405E-2</v>
      </c>
      <c r="O143" s="18">
        <f>IF(ISNUMBER(M143), $B145 * N143, "")</f>
        <v>-3578.5288270377609</v>
      </c>
      <c r="Q143" s="135"/>
      <c r="R143" s="136"/>
      <c r="S143" s="137"/>
    </row>
    <row r="144" spans="1:19" ht="17.25" thickBot="1">
      <c r="A144" s="114" t="s">
        <v>120</v>
      </c>
      <c r="B144" s="115">
        <v>99.2</v>
      </c>
      <c r="C144" s="72">
        <v>-2.7450980400000002E-2</v>
      </c>
      <c r="D144" s="24">
        <v>97.9</v>
      </c>
      <c r="E144" s="25">
        <f t="shared" si="74"/>
        <v>-1.310483870967739E-2</v>
      </c>
      <c r="F144" s="94">
        <f>IF(ISNUMBER(D144), $B145 * E144, "")</f>
        <v>-1965.7258064516086</v>
      </c>
      <c r="G144" s="92">
        <v>96.8</v>
      </c>
      <c r="H144" s="25">
        <f t="shared" si="75"/>
        <v>-2.4193548387096833E-2</v>
      </c>
      <c r="I144" s="93">
        <f>IF(ISNUMBER(G144), $B145 * H144, "")</f>
        <v>-3629.0322580645247</v>
      </c>
      <c r="J144" s="24">
        <v>95.3</v>
      </c>
      <c r="K144" s="25">
        <f t="shared" si="76"/>
        <v>-3.9314516129032313E-2</v>
      </c>
      <c r="L144" s="94">
        <f>IF(ISNUMBER(J144), $B145 * K144, "")</f>
        <v>-5897.1774193548472</v>
      </c>
      <c r="M144" s="92">
        <v>95.8</v>
      </c>
      <c r="N144" s="25">
        <f t="shared" si="77"/>
        <v>-3.4274193548387157E-2</v>
      </c>
      <c r="O144" s="94">
        <f>IF(ISNUMBER(M144), $B145 * N144, "")</f>
        <v>-5141.1290322580735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-1.1892317800870073E-2</v>
      </c>
      <c r="F145" s="28">
        <f>SUM(F125:F144)</f>
        <v>-35676.953402610226</v>
      </c>
      <c r="G145" s="26" t="s">
        <v>258</v>
      </c>
      <c r="H145" s="27">
        <f>IF(COUNT(H125:H144), SUM(H125:H144) / COUNT(H125:H144), 0)</f>
        <v>-1.5020763991537747E-2</v>
      </c>
      <c r="I145" s="28">
        <f>SUM(I125:I144)</f>
        <v>-45062.291974613232</v>
      </c>
      <c r="J145" s="26" t="s">
        <v>258</v>
      </c>
      <c r="K145" s="27">
        <f>IF(COUNT(K125:K144), SUM(K125:K144) / COUNT(K125:K144), 0)</f>
        <v>-2.0489341469835332E-2</v>
      </c>
      <c r="L145" s="28">
        <f>SUM(L125:L144)</f>
        <v>-61468.024409506004</v>
      </c>
      <c r="M145" s="26" t="s">
        <v>258</v>
      </c>
      <c r="N145" s="27">
        <f>IF(COUNT(N125:N144), SUM(N125:N144) / COUNT(N125:N144), 0)</f>
        <v>-1.8242422493451461E-2</v>
      </c>
      <c r="O145" s="28">
        <f>SUM(O125:O144)</f>
        <v>-54727.267480354378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2023-01-06(금) 오전 00:00</v>
      </c>
      <c r="C150" s="198"/>
      <c r="D150" s="170" t="str">
        <f>TEXT($G$1, "[$-ko-KR]yyyy-mm-dd(ddd) ") &amp; "오후 14:00"</f>
        <v>2023-01-06(금) 오후 14:00</v>
      </c>
      <c r="E150" s="171"/>
      <c r="F150" s="172"/>
      <c r="G150" s="170" t="str">
        <f>TEXT($G$1, "[$-ko-KR]yyyy-mm-dd(ddd) ") &amp; "오후 19:00"</f>
        <v>2023-01-06(금) 오후 19:00</v>
      </c>
      <c r="H150" s="171"/>
      <c r="I150" s="172"/>
      <c r="J150" s="170" t="str">
        <f>TEXT($G$1, "[$-ko-KR]yyyy-mm-dd(ddd) ") &amp; "오후 21:00"</f>
        <v>2023-01-06(금) 오후 21:00</v>
      </c>
      <c r="K150" s="171"/>
      <c r="L150" s="172"/>
      <c r="M150" s="170" t="str">
        <f>TEXT($G$1+1, "[$-ko-KR]yyyy-mm-dd(ddd) ") &amp; "오전 00:00"</f>
        <v>2023-01-07(토)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187</v>
      </c>
      <c r="B152" s="108">
        <v>720</v>
      </c>
      <c r="C152" s="69">
        <v>-1.3698630099999999E-2</v>
      </c>
      <c r="D152" s="13">
        <v>710</v>
      </c>
      <c r="E152" s="14">
        <f>IF(ISNUMBER(D152), (D152 - $B152) / $B152, "")</f>
        <v>-1.3888888888888888E-2</v>
      </c>
      <c r="F152" s="16">
        <f>IF(ISNUMBER(D152), $B172 * E152, "")</f>
        <v>-2083.333333333333</v>
      </c>
      <c r="G152" s="29">
        <v>706</v>
      </c>
      <c r="H152" s="14">
        <f>IF(ISNUMBER(G152), (G152 - $B152) / $B152, "")</f>
        <v>-1.9444444444444445E-2</v>
      </c>
      <c r="I152" s="90">
        <f>IF(ISNUMBER(G152), $B172 * H152, "")</f>
        <v>-2916.6666666666665</v>
      </c>
      <c r="J152" s="13">
        <v>702</v>
      </c>
      <c r="K152" s="14">
        <f>IF(ISNUMBER(J152), (J152 - $B152) / $B152, "")</f>
        <v>-2.5000000000000001E-2</v>
      </c>
      <c r="L152" s="16">
        <f>IF(ISNUMBER(J152), $B172 * K152, "")</f>
        <v>-3750</v>
      </c>
      <c r="M152" s="29">
        <v>705</v>
      </c>
      <c r="N152" s="14">
        <f>IF(ISNUMBER(M152), (M152 - $B152) / $B152, "")</f>
        <v>-2.0833333333333332E-2</v>
      </c>
      <c r="O152" s="16">
        <f>IF(ISNUMBER(M152), $B172 * N152, "")</f>
        <v>-3125</v>
      </c>
      <c r="Q152" s="156"/>
      <c r="R152" s="156"/>
      <c r="S152" s="156"/>
    </row>
    <row r="153" spans="1:19" ht="17.25" thickBot="1">
      <c r="A153" s="109" t="s">
        <v>101</v>
      </c>
      <c r="B153" s="110">
        <v>201</v>
      </c>
      <c r="C153" s="70">
        <v>-1.47058824E-2</v>
      </c>
      <c r="D153" s="15">
        <v>199</v>
      </c>
      <c r="E153" s="32">
        <f t="shared" ref="E153:E156" si="78">IF(ISNUMBER(D153), (D153 - $B153) / $B153, "")</f>
        <v>-9.9502487562189053E-3</v>
      </c>
      <c r="F153" s="18">
        <f>IF(ISNUMBER(D153), $B172 * E153, "")</f>
        <v>-1492.5373134328358</v>
      </c>
      <c r="G153" s="31">
        <v>200</v>
      </c>
      <c r="H153" s="32">
        <f t="shared" ref="H153:H156" si="79">IF(ISNUMBER(G153), (G153 - $B153) / $B153, "")</f>
        <v>-4.9751243781094526E-3</v>
      </c>
      <c r="I153" s="91">
        <f>IF(ISNUMBER(G153), $B172 * H153, "")</f>
        <v>-746.26865671641792</v>
      </c>
      <c r="J153" s="15">
        <v>198</v>
      </c>
      <c r="K153" s="32">
        <f t="shared" ref="K153:K156" si="80">IF(ISNUMBER(J153), (J153 - $B153) / $B153, "")</f>
        <v>-1.4925373134328358E-2</v>
      </c>
      <c r="L153" s="18">
        <f>IF(ISNUMBER(J153), $B172 * K153, "")</f>
        <v>-2238.8059701492539</v>
      </c>
      <c r="M153" s="31">
        <v>202</v>
      </c>
      <c r="N153" s="32">
        <f t="shared" ref="N153:N156" si="81">IF(ISNUMBER(M153), (M153 - $B153) / $B153, "")</f>
        <v>4.9751243781094526E-3</v>
      </c>
      <c r="O153" s="18">
        <f>IF(ISNUMBER(M153), $B172 * N153, "")</f>
        <v>746.26865671641792</v>
      </c>
      <c r="Q153" s="156"/>
      <c r="R153" s="156"/>
      <c r="S153" s="156"/>
    </row>
    <row r="154" spans="1:19" ht="17.25" thickBot="1">
      <c r="A154" s="109" t="s">
        <v>153</v>
      </c>
      <c r="B154" s="110">
        <v>326</v>
      </c>
      <c r="C154" s="70">
        <v>-1.51057402E-2</v>
      </c>
      <c r="D154" s="15">
        <v>322</v>
      </c>
      <c r="E154" s="32">
        <f t="shared" si="78"/>
        <v>-1.2269938650306749E-2</v>
      </c>
      <c r="F154" s="18">
        <f>IF(ISNUMBER(D154), $B172 * E154, "")</f>
        <v>-1840.4907975460123</v>
      </c>
      <c r="G154" s="31">
        <v>320</v>
      </c>
      <c r="H154" s="32">
        <f t="shared" si="79"/>
        <v>-1.8404907975460124E-2</v>
      </c>
      <c r="I154" s="91">
        <f>IF(ISNUMBER(G154), $B172 * H154, "")</f>
        <v>-2760.7361963190187</v>
      </c>
      <c r="J154" s="15">
        <v>318</v>
      </c>
      <c r="K154" s="32">
        <f t="shared" si="80"/>
        <v>-2.4539877300613498E-2</v>
      </c>
      <c r="L154" s="18">
        <f>IF(ISNUMBER(J154), $B172 * K154, "")</f>
        <v>-3680.9815950920247</v>
      </c>
      <c r="M154" s="31">
        <v>320</v>
      </c>
      <c r="N154" s="32">
        <f t="shared" si="81"/>
        <v>-1.8404907975460124E-2</v>
      </c>
      <c r="O154" s="18">
        <f>IF(ISNUMBER(M154), $B172 * N154, "")</f>
        <v>-2760.7361963190187</v>
      </c>
      <c r="Q154" s="146"/>
      <c r="R154" s="146"/>
      <c r="S154" s="146"/>
    </row>
    <row r="155" spans="1:19" ht="17.25" thickBot="1">
      <c r="A155" s="109" t="s">
        <v>231</v>
      </c>
      <c r="B155" s="110">
        <v>306</v>
      </c>
      <c r="C155" s="70">
        <v>-1.60771704E-2</v>
      </c>
      <c r="D155" s="15">
        <v>303</v>
      </c>
      <c r="E155" s="32">
        <f t="shared" si="78"/>
        <v>-9.8039215686274508E-3</v>
      </c>
      <c r="F155" s="18">
        <f>IF(ISNUMBER(D155), $B172 * E155, "")</f>
        <v>-1470.5882352941176</v>
      </c>
      <c r="G155" s="31">
        <v>300</v>
      </c>
      <c r="H155" s="32">
        <f t="shared" si="79"/>
        <v>-1.9607843137254902E-2</v>
      </c>
      <c r="I155" s="91">
        <f>IF(ISNUMBER(G155), $B172 * H155, "")</f>
        <v>-2941.1764705882351</v>
      </c>
      <c r="J155" s="15">
        <v>299</v>
      </c>
      <c r="K155" s="32">
        <f t="shared" si="80"/>
        <v>-2.2875816993464051E-2</v>
      </c>
      <c r="L155" s="18">
        <f>IF(ISNUMBER(J155), $B172 * K155, "")</f>
        <v>-3431.3725490196075</v>
      </c>
      <c r="M155" s="31">
        <v>298</v>
      </c>
      <c r="N155" s="32">
        <f t="shared" si="81"/>
        <v>-2.6143790849673203E-2</v>
      </c>
      <c r="O155" s="18">
        <f>IF(ISNUMBER(M155), $B172 * N155, "")</f>
        <v>-3921.5686274509803</v>
      </c>
      <c r="Q155" s="146"/>
      <c r="R155" s="146"/>
      <c r="S155" s="146"/>
    </row>
    <row r="156" spans="1:19" ht="17.25" thickBot="1">
      <c r="A156" s="111" t="s">
        <v>201</v>
      </c>
      <c r="B156" s="112">
        <v>183</v>
      </c>
      <c r="C156" s="71">
        <v>-1.6129032299999999E-2</v>
      </c>
      <c r="D156" s="20">
        <v>181</v>
      </c>
      <c r="E156" s="21">
        <f t="shared" si="78"/>
        <v>-1.092896174863388E-2</v>
      </c>
      <c r="F156" s="22">
        <f>IF(ISNUMBER(D156), $B172 * E156, "")</f>
        <v>-1639.344262295082</v>
      </c>
      <c r="G156" s="30">
        <v>177</v>
      </c>
      <c r="H156" s="21">
        <f t="shared" si="79"/>
        <v>-3.2786885245901641E-2</v>
      </c>
      <c r="I156" s="95">
        <f>IF(ISNUMBER(G156), $B172 * H156, "")</f>
        <v>-4918.0327868852464</v>
      </c>
      <c r="J156" s="20">
        <v>176</v>
      </c>
      <c r="K156" s="21">
        <f t="shared" si="80"/>
        <v>-3.825136612021858E-2</v>
      </c>
      <c r="L156" s="22">
        <f>IF(ISNUMBER(J156), $B172 * K156, "")</f>
        <v>-5737.7049180327867</v>
      </c>
      <c r="M156" s="30">
        <v>176</v>
      </c>
      <c r="N156" s="21">
        <f t="shared" si="81"/>
        <v>-3.825136612021858E-2</v>
      </c>
      <c r="O156" s="22">
        <f>IF(ISNUMBER(M156), $B172 * N156, "")</f>
        <v>-5737.7049180327867</v>
      </c>
      <c r="Q156" s="146"/>
      <c r="R156" s="146"/>
      <c r="S156" s="146"/>
    </row>
    <row r="157" spans="1:19" ht="17.25" thickBot="1">
      <c r="A157" s="109" t="s">
        <v>219</v>
      </c>
      <c r="B157" s="113">
        <v>344</v>
      </c>
      <c r="C157" s="73">
        <v>-1.7142857099999999E-2</v>
      </c>
      <c r="D157" s="96">
        <v>336</v>
      </c>
      <c r="E157" s="97">
        <f>IF(ISNUMBER(D157), (D157 - $B157) / $B157, "")</f>
        <v>-2.3255813953488372E-2</v>
      </c>
      <c r="F157" s="98">
        <f>IF(ISNUMBER(D157), $B172 * E157, "")</f>
        <v>-3488.3720930232557</v>
      </c>
      <c r="G157" s="99">
        <v>333</v>
      </c>
      <c r="H157" s="97">
        <f>IF(ISNUMBER(G157), (G157 - $B157) / $B157, "")</f>
        <v>-3.1976744186046513E-2</v>
      </c>
      <c r="I157" s="100">
        <f>IF(ISNUMBER(G157), $B172 * H157, "")</f>
        <v>-4796.5116279069771</v>
      </c>
      <c r="J157" s="96">
        <v>333</v>
      </c>
      <c r="K157" s="97">
        <f>IF(ISNUMBER(J157), (J157 - $B157) / $B157, "")</f>
        <v>-3.1976744186046513E-2</v>
      </c>
      <c r="L157" s="98">
        <f>IF(ISNUMBER(J157), $B172 * K157, "")</f>
        <v>-4796.5116279069771</v>
      </c>
      <c r="M157" s="99">
        <v>333</v>
      </c>
      <c r="N157" s="97">
        <f>IF(ISNUMBER(M157), (M157 - $B157) / $B157, "")</f>
        <v>-3.1976744186046513E-2</v>
      </c>
      <c r="O157" s="98">
        <f>IF(ISNUMBER(M157), $B172 * N157, "")</f>
        <v>-4796.5116279069771</v>
      </c>
      <c r="Q157" s="146"/>
      <c r="R157" s="146"/>
      <c r="S157" s="146"/>
    </row>
    <row r="158" spans="1:19" ht="17.25" thickBot="1">
      <c r="A158" s="109" t="s">
        <v>79</v>
      </c>
      <c r="B158" s="110">
        <v>226</v>
      </c>
      <c r="C158" s="70">
        <v>-1.73913043E-2</v>
      </c>
      <c r="D158" s="15">
        <v>222</v>
      </c>
      <c r="E158" s="32">
        <f t="shared" ref="E158:E161" si="82">IF(ISNUMBER(D158), (D158 - $B158) / $B158, "")</f>
        <v>-1.7699115044247787E-2</v>
      </c>
      <c r="F158" s="18">
        <f>IF(ISNUMBER(D158), $B172 * E158, "")</f>
        <v>-2654.8672566371679</v>
      </c>
      <c r="G158" s="31">
        <v>220</v>
      </c>
      <c r="H158" s="32">
        <f t="shared" ref="H158:H161" si="83">IF(ISNUMBER(G158), (G158 - $B158) / $B158, "")</f>
        <v>-2.6548672566371681E-2</v>
      </c>
      <c r="I158" s="91">
        <f>IF(ISNUMBER(G158), $B172 * H158, "")</f>
        <v>-3982.3008849557523</v>
      </c>
      <c r="J158" s="15">
        <v>218</v>
      </c>
      <c r="K158" s="32">
        <f t="shared" ref="K158:K161" si="84">IF(ISNUMBER(J158), (J158 - $B158) / $B158, "")</f>
        <v>-3.5398230088495575E-2</v>
      </c>
      <c r="L158" s="18">
        <f>IF(ISNUMBER(J158), $B172 * K158, "")</f>
        <v>-5309.7345132743358</v>
      </c>
      <c r="M158" s="31">
        <v>219</v>
      </c>
      <c r="N158" s="32">
        <f t="shared" ref="N158:N161" si="85">IF(ISNUMBER(M158), (M158 - $B158) / $B158, "")</f>
        <v>-3.0973451327433628E-2</v>
      </c>
      <c r="O158" s="18">
        <f>IF(ISNUMBER(M158), $B172 * N158, "")</f>
        <v>-4646.0176991150438</v>
      </c>
      <c r="Q158" s="146"/>
      <c r="R158" s="146"/>
      <c r="S158" s="146"/>
    </row>
    <row r="159" spans="1:19" ht="17.25" thickBot="1">
      <c r="A159" s="109" t="s">
        <v>176</v>
      </c>
      <c r="B159" s="110">
        <v>278</v>
      </c>
      <c r="C159" s="70">
        <v>-1.7667844500000002E-2</v>
      </c>
      <c r="D159" s="15">
        <v>276</v>
      </c>
      <c r="E159" s="32">
        <f t="shared" si="82"/>
        <v>-7.1942446043165471E-3</v>
      </c>
      <c r="F159" s="18">
        <f>IF(ISNUMBER(D159), $B172 * E159, "")</f>
        <v>-1079.1366906474821</v>
      </c>
      <c r="G159" s="31">
        <v>273</v>
      </c>
      <c r="H159" s="32">
        <f t="shared" si="83"/>
        <v>-1.7985611510791366E-2</v>
      </c>
      <c r="I159" s="91">
        <f>IF(ISNUMBER(G159), $B172 * H159, "")</f>
        <v>-2697.8417266187048</v>
      </c>
      <c r="J159" s="15">
        <v>274</v>
      </c>
      <c r="K159" s="32">
        <f t="shared" si="84"/>
        <v>-1.4388489208633094E-2</v>
      </c>
      <c r="L159" s="18">
        <f>IF(ISNUMBER(J159), $B172 * K159, "")</f>
        <v>-2158.2733812949641</v>
      </c>
      <c r="M159" s="31">
        <v>274</v>
      </c>
      <c r="N159" s="32">
        <f t="shared" si="85"/>
        <v>-1.4388489208633094E-2</v>
      </c>
      <c r="O159" s="18">
        <f>IF(ISNUMBER(M159), $B172 * N159, "")</f>
        <v>-2158.2733812949641</v>
      </c>
      <c r="Q159" s="146"/>
      <c r="R159" s="146"/>
      <c r="S159" s="146"/>
    </row>
    <row r="160" spans="1:19" ht="17.25" thickBot="1">
      <c r="A160" s="109" t="s">
        <v>161</v>
      </c>
      <c r="B160" s="110">
        <v>278</v>
      </c>
      <c r="C160" s="70">
        <v>-1.7667844500000002E-2</v>
      </c>
      <c r="D160" s="15">
        <v>273</v>
      </c>
      <c r="E160" s="32">
        <f t="shared" si="82"/>
        <v>-1.7985611510791366E-2</v>
      </c>
      <c r="F160" s="18">
        <f>IF(ISNUMBER(D160), $B172 * E160, "")</f>
        <v>-2697.8417266187048</v>
      </c>
      <c r="G160" s="31">
        <v>274</v>
      </c>
      <c r="H160" s="32">
        <f t="shared" si="83"/>
        <v>-1.4388489208633094E-2</v>
      </c>
      <c r="I160" s="91">
        <f>IF(ISNUMBER(G160), $B172 * H160, "")</f>
        <v>-2158.2733812949641</v>
      </c>
      <c r="J160" s="15">
        <v>271</v>
      </c>
      <c r="K160" s="32">
        <f t="shared" si="84"/>
        <v>-2.5179856115107913E-2</v>
      </c>
      <c r="L160" s="18">
        <f>IF(ISNUMBER(J160), $B172 * K160, "")</f>
        <v>-3776.9784172661871</v>
      </c>
      <c r="M160" s="31">
        <v>273</v>
      </c>
      <c r="N160" s="32">
        <f t="shared" si="85"/>
        <v>-1.7985611510791366E-2</v>
      </c>
      <c r="O160" s="18">
        <f>IF(ISNUMBER(M160), $B172 * N160, "")</f>
        <v>-2697.8417266187048</v>
      </c>
      <c r="Q160" s="33"/>
      <c r="R160" s="33"/>
    </row>
    <row r="161" spans="1:19" ht="17.25" thickBot="1">
      <c r="A161" s="114" t="s">
        <v>345</v>
      </c>
      <c r="B161" s="115">
        <v>108</v>
      </c>
      <c r="C161" s="72">
        <v>-1.8181818200000002E-2</v>
      </c>
      <c r="D161" s="24">
        <v>109</v>
      </c>
      <c r="E161" s="25">
        <f t="shared" si="82"/>
        <v>9.2592592592592587E-3</v>
      </c>
      <c r="F161" s="94">
        <f>IF(ISNUMBER(D161), $B172 * E161, "")</f>
        <v>1388.8888888888889</v>
      </c>
      <c r="G161" s="92">
        <v>107</v>
      </c>
      <c r="H161" s="25">
        <f t="shared" si="83"/>
        <v>-9.2592592592592587E-3</v>
      </c>
      <c r="I161" s="93">
        <f>IF(ISNUMBER(G161), $B172 * H161, "")</f>
        <v>-1388.8888888888889</v>
      </c>
      <c r="J161" s="24">
        <v>106</v>
      </c>
      <c r="K161" s="25">
        <f t="shared" si="84"/>
        <v>-1.8518518518518517E-2</v>
      </c>
      <c r="L161" s="94">
        <f>IF(ISNUMBER(J161), $B172 * K161, "")</f>
        <v>-2777.7777777777778</v>
      </c>
      <c r="M161" s="92">
        <v>108</v>
      </c>
      <c r="N161" s="25">
        <f t="shared" si="85"/>
        <v>0</v>
      </c>
      <c r="O161" s="94">
        <f>IF(ISNUMBER(M161), $B172 * N161, "")</f>
        <v>0</v>
      </c>
      <c r="Q161" s="147"/>
      <c r="R161" s="148"/>
      <c r="S161" s="149"/>
    </row>
    <row r="162" spans="1:19">
      <c r="A162" s="107" t="s">
        <v>116</v>
      </c>
      <c r="B162" s="108">
        <v>909</v>
      </c>
      <c r="C162" s="69">
        <v>-1.8358531300000001E-2</v>
      </c>
      <c r="D162" s="13">
        <v>906</v>
      </c>
      <c r="E162" s="14">
        <f>IF(ISNUMBER(D162), (D162 - $B162) / $B162, "")</f>
        <v>-3.3003300330033004E-3</v>
      </c>
      <c r="F162" s="16">
        <f>IF(ISNUMBER(D162), $B172 * E162, "")</f>
        <v>-495.04950495049508</v>
      </c>
      <c r="G162" s="29">
        <v>899</v>
      </c>
      <c r="H162" s="14">
        <f>IF(ISNUMBER(G162), (G162 - $B162) / $B162, "")</f>
        <v>-1.1001100110011002E-2</v>
      </c>
      <c r="I162" s="90">
        <f>IF(ISNUMBER(G162), $B172 * H162, "")</f>
        <v>-1650.1650165016504</v>
      </c>
      <c r="J162" s="13">
        <v>893</v>
      </c>
      <c r="K162" s="14">
        <f>IF(ISNUMBER(J162), (J162 - $B162) / $B162, "")</f>
        <v>-1.7601760176017601E-2</v>
      </c>
      <c r="L162" s="16">
        <f>IF(ISNUMBER(J162), $B172 * K162, "")</f>
        <v>-2640.26402640264</v>
      </c>
      <c r="M162" s="29">
        <v>893</v>
      </c>
      <c r="N162" s="14">
        <f>IF(ISNUMBER(M162), (M162 - $B162) / $B162, "")</f>
        <v>-1.7601760176017601E-2</v>
      </c>
      <c r="O162" s="16">
        <f>IF(ISNUMBER(M162), $B172 * N162, "")</f>
        <v>-2640.26402640264</v>
      </c>
      <c r="Q162" s="150"/>
      <c r="R162" s="151"/>
      <c r="S162" s="152"/>
    </row>
    <row r="163" spans="1:19" ht="17.25" thickBot="1">
      <c r="A163" s="109" t="s">
        <v>103</v>
      </c>
      <c r="B163" s="110">
        <v>199</v>
      </c>
      <c r="C163" s="70">
        <v>-1.97044335E-2</v>
      </c>
      <c r="D163" s="15">
        <v>199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196</v>
      </c>
      <c r="H163" s="32">
        <f t="shared" ref="H163:H166" si="87">IF(ISNUMBER(G163), (G163 - $B163) / $B163, "")</f>
        <v>-1.507537688442211E-2</v>
      </c>
      <c r="I163" s="91">
        <f>IF(ISNUMBER(G163), $B172 * H163, "")</f>
        <v>-2261.3065326633164</v>
      </c>
      <c r="J163" s="15">
        <v>195</v>
      </c>
      <c r="K163" s="32">
        <f t="shared" ref="K163:K166" si="88">IF(ISNUMBER(J163), (J163 - $B163) / $B163, "")</f>
        <v>-2.0100502512562814E-2</v>
      </c>
      <c r="L163" s="18">
        <f>IF(ISNUMBER(J163), $B172 * K163, "")</f>
        <v>-3015.075376884422</v>
      </c>
      <c r="M163" s="31">
        <v>195</v>
      </c>
      <c r="N163" s="32">
        <f t="shared" ref="N163:N166" si="89">IF(ISNUMBER(M163), (M163 - $B163) / $B163, "")</f>
        <v>-2.0100502512562814E-2</v>
      </c>
      <c r="O163" s="18">
        <f>IF(ISNUMBER(M163), $B172 * N163, "")</f>
        <v>-3015.075376884422</v>
      </c>
      <c r="Q163" s="153"/>
      <c r="R163" s="154"/>
      <c r="S163" s="155"/>
    </row>
    <row r="164" spans="1:19" ht="17.25" thickBot="1">
      <c r="A164" s="109" t="s">
        <v>332</v>
      </c>
      <c r="B164" s="110">
        <v>497</v>
      </c>
      <c r="C164" s="70">
        <v>-1.9723865899999998E-2</v>
      </c>
      <c r="D164" s="15">
        <v>491</v>
      </c>
      <c r="E164" s="32">
        <f t="shared" si="86"/>
        <v>-1.2072434607645875E-2</v>
      </c>
      <c r="F164" s="18">
        <f>IF(ISNUMBER(D164), $B172 * E164, "")</f>
        <v>-1810.8651911468812</v>
      </c>
      <c r="G164" s="31">
        <v>491</v>
      </c>
      <c r="H164" s="32">
        <f t="shared" si="87"/>
        <v>-1.2072434607645875E-2</v>
      </c>
      <c r="I164" s="91">
        <f>IF(ISNUMBER(G164), $B172 * H164, "")</f>
        <v>-1810.8651911468812</v>
      </c>
      <c r="J164" s="15">
        <v>487</v>
      </c>
      <c r="K164" s="32">
        <f t="shared" si="88"/>
        <v>-2.0120724346076459E-2</v>
      </c>
      <c r="L164" s="18">
        <f>IF(ISNUMBER(J164), $B172 * K164, "")</f>
        <v>-3018.1086519114688</v>
      </c>
      <c r="M164" s="31">
        <v>492</v>
      </c>
      <c r="N164" s="32">
        <f t="shared" si="89"/>
        <v>-1.0060362173038229E-2</v>
      </c>
      <c r="O164" s="18">
        <f>IF(ISNUMBER(M164), $B172 * N164, "")</f>
        <v>-1509.0543259557344</v>
      </c>
      <c r="Q164" s="146"/>
      <c r="R164" s="146"/>
      <c r="S164" s="146"/>
    </row>
    <row r="165" spans="1:19" ht="17.25" thickBot="1">
      <c r="A165" s="109" t="s">
        <v>89</v>
      </c>
      <c r="B165" s="110">
        <v>436</v>
      </c>
      <c r="C165" s="70">
        <v>-2.02247191E-2</v>
      </c>
      <c r="D165" s="15">
        <v>429</v>
      </c>
      <c r="E165" s="32">
        <f t="shared" si="86"/>
        <v>-1.6055045871559634E-2</v>
      </c>
      <c r="F165" s="18">
        <f>IF(ISNUMBER(D165), $B172 * E165, "")</f>
        <v>-2408.2568807339453</v>
      </c>
      <c r="G165" s="31">
        <v>428</v>
      </c>
      <c r="H165" s="32">
        <f t="shared" si="87"/>
        <v>-1.834862385321101E-2</v>
      </c>
      <c r="I165" s="91">
        <f>IF(ISNUMBER(G165), $B172 * H165, "")</f>
        <v>-2752.2935779816517</v>
      </c>
      <c r="J165" s="15">
        <v>426</v>
      </c>
      <c r="K165" s="32">
        <f t="shared" si="88"/>
        <v>-2.2935779816513763E-2</v>
      </c>
      <c r="L165" s="18">
        <f>IF(ISNUMBER(J165), $B172 * K165, "")</f>
        <v>-3440.3669724770643</v>
      </c>
      <c r="M165" s="31">
        <v>429</v>
      </c>
      <c r="N165" s="32">
        <f t="shared" si="89"/>
        <v>-1.6055045871559634E-2</v>
      </c>
      <c r="O165" s="18">
        <f>IF(ISNUMBER(M165), $B172 * N165, "")</f>
        <v>-2408.2568807339453</v>
      </c>
      <c r="Q165" s="156"/>
      <c r="R165" s="156"/>
      <c r="S165" s="156"/>
    </row>
    <row r="166" spans="1:19" ht="17.25" thickBot="1">
      <c r="A166" s="111" t="s">
        <v>159</v>
      </c>
      <c r="B166" s="112">
        <v>140</v>
      </c>
      <c r="C166" s="71">
        <v>-2.0979021E-2</v>
      </c>
      <c r="D166" s="20">
        <v>139</v>
      </c>
      <c r="E166" s="21">
        <f t="shared" si="86"/>
        <v>-7.1428571428571426E-3</v>
      </c>
      <c r="F166" s="22">
        <f>IF(ISNUMBER(D166), $B172 * E166, "")</f>
        <v>-1071.4285714285713</v>
      </c>
      <c r="G166" s="30">
        <v>136</v>
      </c>
      <c r="H166" s="21">
        <f t="shared" si="87"/>
        <v>-2.8571428571428571E-2</v>
      </c>
      <c r="I166" s="95">
        <f>IF(ISNUMBER(G166), $B172 * H166, "")</f>
        <v>-4285.7142857142853</v>
      </c>
      <c r="J166" s="20">
        <v>135</v>
      </c>
      <c r="K166" s="21">
        <f t="shared" si="88"/>
        <v>-3.5714285714285712E-2</v>
      </c>
      <c r="L166" s="22">
        <f>IF(ISNUMBER(J166), $B172 * K166, "")</f>
        <v>-5357.1428571428569</v>
      </c>
      <c r="M166" s="30">
        <v>136</v>
      </c>
      <c r="N166" s="21">
        <f t="shared" si="89"/>
        <v>-2.8571428571428571E-2</v>
      </c>
      <c r="O166" s="22">
        <f>IF(ISNUMBER(M166), $B172 * N166, "")</f>
        <v>-4285.7142857142853</v>
      </c>
      <c r="Q166" s="156"/>
      <c r="R166" s="156"/>
      <c r="S166" s="156"/>
    </row>
    <row r="167" spans="1:19" ht="17.25" thickBot="1">
      <c r="A167" s="109" t="s">
        <v>95</v>
      </c>
      <c r="B167" s="113">
        <v>963</v>
      </c>
      <c r="C167" s="73">
        <v>-2.23350254E-2</v>
      </c>
      <c r="D167" s="96">
        <v>963</v>
      </c>
      <c r="E167" s="97">
        <f>IF(ISNUMBER(D167), (D167 - $B167) / $B167, "")</f>
        <v>0</v>
      </c>
      <c r="F167" s="98">
        <f>IF(ISNUMBER(D167), $B172 * E167, "")</f>
        <v>0</v>
      </c>
      <c r="G167" s="99">
        <v>967</v>
      </c>
      <c r="H167" s="97">
        <f>IF(ISNUMBER(G167), (G167 - $B167) / $B167, "")</f>
        <v>4.1536863966770508E-3</v>
      </c>
      <c r="I167" s="100">
        <f>IF(ISNUMBER(G167), $B172 * H167, "")</f>
        <v>623.05295950155767</v>
      </c>
      <c r="J167" s="96">
        <v>961</v>
      </c>
      <c r="K167" s="97">
        <f>IF(ISNUMBER(J167), (J167 - $B167) / $B167, "")</f>
        <v>-2.0768431983385254E-3</v>
      </c>
      <c r="L167" s="98">
        <f>IF(ISNUMBER(J167), $B172 * K167, "")</f>
        <v>-311.52647975077883</v>
      </c>
      <c r="M167" s="99">
        <v>953</v>
      </c>
      <c r="N167" s="97">
        <f>IF(ISNUMBER(M167), (M167 - $B167) / $B167, "")</f>
        <v>-1.0384215991692628E-2</v>
      </c>
      <c r="O167" s="98">
        <f>IF(ISNUMBER(M167), $B172 * N167, "")</f>
        <v>-1557.6323987538942</v>
      </c>
      <c r="Q167" s="146"/>
      <c r="R167" s="146"/>
      <c r="S167" s="146"/>
    </row>
    <row r="168" spans="1:19" ht="17.25" thickBot="1">
      <c r="A168" s="109" t="s">
        <v>317</v>
      </c>
      <c r="B168" s="110">
        <v>560</v>
      </c>
      <c r="C168" s="70">
        <v>-2.2687609099999999E-2</v>
      </c>
      <c r="D168" s="15">
        <v>546</v>
      </c>
      <c r="E168" s="32">
        <f t="shared" ref="E168:E171" si="90">IF(ISNUMBER(D168), (D168 - $B168) / $B168, "")</f>
        <v>-2.5000000000000001E-2</v>
      </c>
      <c r="F168" s="18">
        <f>IF(ISNUMBER(D168), $B172 * E168, "")</f>
        <v>-3750</v>
      </c>
      <c r="G168" s="31">
        <v>546</v>
      </c>
      <c r="H168" s="32">
        <f t="shared" ref="H168:H171" si="91">IF(ISNUMBER(G168), (G168 - $B168) / $B168, "")</f>
        <v>-2.5000000000000001E-2</v>
      </c>
      <c r="I168" s="91">
        <f>IF(ISNUMBER(G168), $B172 * H168, "")</f>
        <v>-3750</v>
      </c>
      <c r="J168" s="15">
        <v>542</v>
      </c>
      <c r="K168" s="32">
        <f t="shared" ref="K168:K171" si="92">IF(ISNUMBER(J168), (J168 - $B168) / $B168, "")</f>
        <v>-3.214285714285714E-2</v>
      </c>
      <c r="L168" s="18">
        <f>IF(ISNUMBER(J168), $B172 * K168, "")</f>
        <v>-4821.4285714285706</v>
      </c>
      <c r="M168" s="31">
        <v>541</v>
      </c>
      <c r="N168" s="32">
        <f t="shared" ref="N168:N171" si="93">IF(ISNUMBER(M168), (M168 - $B168) / $B168, "")</f>
        <v>-3.3928571428571426E-2</v>
      </c>
      <c r="O168" s="18">
        <f>IF(ISNUMBER(M168), $B172 * N168, "")</f>
        <v>-5089.2857142857138</v>
      </c>
      <c r="Q168" s="146"/>
      <c r="R168" s="146"/>
      <c r="S168" s="146"/>
    </row>
    <row r="169" spans="1:19" ht="17.25" thickBot="1">
      <c r="A169" s="109" t="s">
        <v>341</v>
      </c>
      <c r="B169" s="110">
        <v>632</v>
      </c>
      <c r="C169" s="70">
        <v>-3.06748466E-2</v>
      </c>
      <c r="D169" s="15">
        <v>618</v>
      </c>
      <c r="E169" s="32">
        <f t="shared" si="90"/>
        <v>-2.2151898734177215E-2</v>
      </c>
      <c r="F169" s="18">
        <f>IF(ISNUMBER(D169), $B172 * E169, "")</f>
        <v>-3322.7848101265822</v>
      </c>
      <c r="G169" s="31">
        <v>612</v>
      </c>
      <c r="H169" s="32">
        <f t="shared" si="91"/>
        <v>-3.1645569620253167E-2</v>
      </c>
      <c r="I169" s="91">
        <f>IF(ISNUMBER(G169), $B172 * H169, "")</f>
        <v>-4746.835443037975</v>
      </c>
      <c r="J169" s="15">
        <v>611</v>
      </c>
      <c r="K169" s="32">
        <f t="shared" si="92"/>
        <v>-3.3227848101265819E-2</v>
      </c>
      <c r="L169" s="18">
        <f>IF(ISNUMBER(J169), $B172 * K169, "")</f>
        <v>-4984.1772151898731</v>
      </c>
      <c r="M169" s="31">
        <v>613</v>
      </c>
      <c r="N169" s="32">
        <f t="shared" si="93"/>
        <v>-3.0063291139240507E-2</v>
      </c>
      <c r="O169" s="18">
        <f>IF(ISNUMBER(M169), $B172 * N169, "")</f>
        <v>-4509.493670886076</v>
      </c>
      <c r="Q169" s="146"/>
      <c r="R169" s="146"/>
      <c r="S169" s="146"/>
    </row>
    <row r="170" spans="1:19">
      <c r="A170" s="109" t="s">
        <v>189</v>
      </c>
      <c r="B170" s="110">
        <v>903</v>
      </c>
      <c r="C170" s="70">
        <v>-3.21543408E-2</v>
      </c>
      <c r="D170" s="15">
        <v>879</v>
      </c>
      <c r="E170" s="32">
        <f t="shared" si="90"/>
        <v>-2.6578073089700997E-2</v>
      </c>
      <c r="F170" s="18">
        <f>IF(ISNUMBER(D170), $B172 * E170, "")</f>
        <v>-3986.7109634551498</v>
      </c>
      <c r="G170" s="31">
        <v>872</v>
      </c>
      <c r="H170" s="32">
        <f t="shared" si="91"/>
        <v>-3.4330011074197121E-2</v>
      </c>
      <c r="I170" s="91">
        <f>IF(ISNUMBER(G170), $B172 * H170, "")</f>
        <v>-5149.5016611295678</v>
      </c>
      <c r="J170" s="15">
        <v>862</v>
      </c>
      <c r="K170" s="32">
        <f t="shared" si="92"/>
        <v>-4.5404208194905871E-2</v>
      </c>
      <c r="L170" s="18">
        <f>IF(ISNUMBER(J170), $B172 * K170, "")</f>
        <v>-6810.6312292358807</v>
      </c>
      <c r="M170" s="31">
        <v>868</v>
      </c>
      <c r="N170" s="32">
        <f t="shared" si="93"/>
        <v>-3.875968992248062E-2</v>
      </c>
      <c r="O170" s="18">
        <f>IF(ISNUMBER(M170), $B172 * N170, "")</f>
        <v>-5813.9534883720926</v>
      </c>
      <c r="Q170" s="135"/>
      <c r="R170" s="136"/>
      <c r="S170" s="137"/>
    </row>
    <row r="171" spans="1:19" ht="17.25" thickBot="1">
      <c r="A171" s="114" t="s">
        <v>68</v>
      </c>
      <c r="B171" s="115">
        <v>253</v>
      </c>
      <c r="C171" s="72">
        <v>-5.2434456900000002E-2</v>
      </c>
      <c r="D171" s="24">
        <v>248</v>
      </c>
      <c r="E171" s="25">
        <f t="shared" si="90"/>
        <v>-1.9762845849802372E-2</v>
      </c>
      <c r="F171" s="94">
        <f>IF(ISNUMBER(D171), $B172 * E171, "")</f>
        <v>-2964.426877470356</v>
      </c>
      <c r="G171" s="92">
        <v>248</v>
      </c>
      <c r="H171" s="25">
        <f t="shared" si="91"/>
        <v>-1.9762845849802372E-2</v>
      </c>
      <c r="I171" s="93">
        <f>IF(ISNUMBER(G171), $B172 * H171, "")</f>
        <v>-2964.426877470356</v>
      </c>
      <c r="J171" s="24">
        <v>246</v>
      </c>
      <c r="K171" s="25">
        <f t="shared" si="92"/>
        <v>-2.766798418972332E-2</v>
      </c>
      <c r="L171" s="94">
        <f>IF(ISNUMBER(J171), $B172 * K171, "")</f>
        <v>-4150.197628458498</v>
      </c>
      <c r="M171" s="92">
        <v>246</v>
      </c>
      <c r="N171" s="25">
        <f t="shared" si="93"/>
        <v>-2.766798418972332E-2</v>
      </c>
      <c r="O171" s="94">
        <f>IF(ISNUMBER(M171), $B172 * N171, "")</f>
        <v>-4150.197628458498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-1.2289048539750361E-2</v>
      </c>
      <c r="F172" s="28">
        <f>SUM(F152:F171)</f>
        <v>-36867.145619251081</v>
      </c>
      <c r="G172" s="26" t="s">
        <v>258</v>
      </c>
      <c r="H172" s="27">
        <f>IF(COUNT(H152:H171), SUM(H152:H171) / COUNT(H152:H171), 0)</f>
        <v>-1.9351584304328335E-2</v>
      </c>
      <c r="I172" s="28">
        <f>SUM(I152:I171)</f>
        <v>-58054.752912985001</v>
      </c>
      <c r="J172" s="26" t="s">
        <v>258</v>
      </c>
      <c r="K172" s="27">
        <f>IF(COUNT(K152:K171), SUM(K152:K171) / COUNT(K152:K171), 0)</f>
        <v>-2.5402353252898652E-2</v>
      </c>
      <c r="L172" s="28">
        <f>SUM(L152:L171)</f>
        <v>-76207.059758695963</v>
      </c>
      <c r="M172" s="26" t="s">
        <v>258</v>
      </c>
      <c r="N172" s="27">
        <f>IF(COUNT(N152:N171), SUM(N152:N171) / COUNT(N152:N171), 0)</f>
        <v>-2.1358771105489789E-2</v>
      </c>
      <c r="O172" s="28">
        <f>SUM(O152:O171)</f>
        <v>-64076.313316469357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2023-01-06(금) 오전 00:00</v>
      </c>
      <c r="C177" s="198"/>
      <c r="D177" s="170" t="str">
        <f>TEXT($G$1, "[$-ko-KR]yyyy-mm-dd(ddd) ") &amp; "오후 14:00"</f>
        <v>2023-01-06(금) 오후 14:00</v>
      </c>
      <c r="E177" s="171"/>
      <c r="F177" s="172"/>
      <c r="G177" s="170" t="str">
        <f>TEXT($G$1, "[$-ko-KR]yyyy-mm-dd(ddd) ") &amp; "오후 19:00"</f>
        <v>2023-01-06(금) 오후 19:00</v>
      </c>
      <c r="H177" s="171"/>
      <c r="I177" s="172"/>
      <c r="J177" s="170" t="str">
        <f>TEXT($G$1, "[$-ko-KR]yyyy-mm-dd(ddd) ") &amp; "오후 21:00"</f>
        <v>2023-01-06(금) 오후 21:00</v>
      </c>
      <c r="K177" s="171"/>
      <c r="L177" s="172"/>
      <c r="M177" s="170" t="str">
        <f>TEXT($G$1+1, "[$-ko-KR]yyyy-mm-dd(ddd) ") &amp; "오전 00:00"</f>
        <v>2023-01-07(토)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332</v>
      </c>
      <c r="B179" s="108">
        <v>497</v>
      </c>
      <c r="C179" s="69">
        <v>-1.9723865899999998E-2</v>
      </c>
      <c r="D179" s="13">
        <v>491</v>
      </c>
      <c r="E179" s="14">
        <f>IF(ISNUMBER(D179), (D179 - $B179) / $B179, "")</f>
        <v>-1.2072434607645875E-2</v>
      </c>
      <c r="F179" s="16">
        <f>IF(ISNUMBER(D179), $B199 * E179, "")</f>
        <v>-1810.8651911468812</v>
      </c>
      <c r="G179" s="29">
        <v>491</v>
      </c>
      <c r="H179" s="14">
        <f>IF(ISNUMBER(G179), (G179 - $B179) / $B179, "")</f>
        <v>-1.2072434607645875E-2</v>
      </c>
      <c r="I179" s="90">
        <f>IF(ISNUMBER(G179), $B199 * H179, "")</f>
        <v>-1810.8651911468812</v>
      </c>
      <c r="J179" s="13">
        <v>487</v>
      </c>
      <c r="K179" s="14">
        <f>IF(ISNUMBER(J179), (J179 - $B179) / $B179, "")</f>
        <v>-2.0120724346076459E-2</v>
      </c>
      <c r="L179" s="16">
        <f>IF(ISNUMBER(J179), $B199 * K179, "")</f>
        <v>-3018.1086519114688</v>
      </c>
      <c r="M179" s="29">
        <v>492</v>
      </c>
      <c r="N179" s="14">
        <f>IF(ISNUMBER(M179), (M179 - $B179) / $B179, "")</f>
        <v>-1.0060362173038229E-2</v>
      </c>
      <c r="O179" s="16">
        <f>IF(ISNUMBER(M179), $B199 * N179, "")</f>
        <v>-1509.0543259557344</v>
      </c>
      <c r="Q179" s="156"/>
      <c r="R179" s="156"/>
      <c r="S179" s="156"/>
    </row>
    <row r="180" spans="1:19" ht="17.25" thickBot="1">
      <c r="A180" s="109" t="s">
        <v>89</v>
      </c>
      <c r="B180" s="110">
        <v>436</v>
      </c>
      <c r="C180" s="70">
        <v>-2.02247191E-2</v>
      </c>
      <c r="D180" s="15">
        <v>429</v>
      </c>
      <c r="E180" s="32">
        <f t="shared" ref="E180:E183" si="94">IF(ISNUMBER(D180), (D180 - $B180) / $B180, "")</f>
        <v>-1.6055045871559634E-2</v>
      </c>
      <c r="F180" s="18">
        <f>IF(ISNUMBER(D180), $B199 * E180, "")</f>
        <v>-2408.2568807339453</v>
      </c>
      <c r="G180" s="31">
        <v>428</v>
      </c>
      <c r="H180" s="32">
        <f t="shared" ref="H180:H183" si="95">IF(ISNUMBER(G180), (G180 - $B180) / $B180, "")</f>
        <v>-1.834862385321101E-2</v>
      </c>
      <c r="I180" s="91">
        <f>IF(ISNUMBER(G180), $B199 * H180, "")</f>
        <v>-2752.2935779816517</v>
      </c>
      <c r="J180" s="15">
        <v>426</v>
      </c>
      <c r="K180" s="32">
        <f t="shared" ref="K180:K183" si="96">IF(ISNUMBER(J180), (J180 - $B180) / $B180, "")</f>
        <v>-2.2935779816513763E-2</v>
      </c>
      <c r="L180" s="18">
        <f>IF(ISNUMBER(J180), $B199 * K180, "")</f>
        <v>-3440.3669724770643</v>
      </c>
      <c r="M180" s="31">
        <v>429</v>
      </c>
      <c r="N180" s="32">
        <f t="shared" ref="N180:N183" si="97">IF(ISNUMBER(M180), (M180 - $B180) / $B180, "")</f>
        <v>-1.6055045871559634E-2</v>
      </c>
      <c r="O180" s="18">
        <f>IF(ISNUMBER(M180), $B199 * N180, "")</f>
        <v>-2408.2568807339453</v>
      </c>
      <c r="Q180" s="156"/>
      <c r="R180" s="156"/>
      <c r="S180" s="156"/>
    </row>
    <row r="181" spans="1:19" ht="17.25" thickBot="1">
      <c r="A181" s="109" t="s">
        <v>159</v>
      </c>
      <c r="B181" s="110">
        <v>140</v>
      </c>
      <c r="C181" s="70">
        <v>-2.0979021E-2</v>
      </c>
      <c r="D181" s="15">
        <v>139</v>
      </c>
      <c r="E181" s="32">
        <f t="shared" si="94"/>
        <v>-7.1428571428571426E-3</v>
      </c>
      <c r="F181" s="18">
        <f>IF(ISNUMBER(D181), $B199 * E181, "")</f>
        <v>-1071.4285714285713</v>
      </c>
      <c r="G181" s="31">
        <v>136</v>
      </c>
      <c r="H181" s="32">
        <f t="shared" si="95"/>
        <v>-2.8571428571428571E-2</v>
      </c>
      <c r="I181" s="91">
        <f>IF(ISNUMBER(G181), $B199 * H181, "")</f>
        <v>-4285.7142857142853</v>
      </c>
      <c r="J181" s="15">
        <v>135</v>
      </c>
      <c r="K181" s="32">
        <f t="shared" si="96"/>
        <v>-3.5714285714285712E-2</v>
      </c>
      <c r="L181" s="18">
        <f>IF(ISNUMBER(J181), $B199 * K181, "")</f>
        <v>-5357.1428571428569</v>
      </c>
      <c r="M181" s="31">
        <v>136</v>
      </c>
      <c r="N181" s="32">
        <f t="shared" si="97"/>
        <v>-2.8571428571428571E-2</v>
      </c>
      <c r="O181" s="18">
        <f>IF(ISNUMBER(M181), $B199 * N181, "")</f>
        <v>-4285.7142857142853</v>
      </c>
      <c r="Q181" s="146"/>
      <c r="R181" s="146"/>
      <c r="S181" s="146"/>
    </row>
    <row r="182" spans="1:19" ht="17.25" thickBot="1">
      <c r="A182" s="109" t="s">
        <v>83</v>
      </c>
      <c r="B182" s="110">
        <v>1140</v>
      </c>
      <c r="C182" s="70">
        <v>-2.1459227500000001E-2</v>
      </c>
      <c r="D182" s="15">
        <v>1130</v>
      </c>
      <c r="E182" s="32">
        <f t="shared" si="94"/>
        <v>-8.771929824561403E-3</v>
      </c>
      <c r="F182" s="18">
        <f>IF(ISNUMBER(D182), $B199 * E182, "")</f>
        <v>-1315.7894736842104</v>
      </c>
      <c r="G182" s="31">
        <v>1115</v>
      </c>
      <c r="H182" s="32">
        <f t="shared" si="95"/>
        <v>-2.1929824561403508E-2</v>
      </c>
      <c r="I182" s="91">
        <f>IF(ISNUMBER(G182), $B199 * H182, "")</f>
        <v>-3289.4736842105262</v>
      </c>
      <c r="J182" s="15">
        <v>1115</v>
      </c>
      <c r="K182" s="32">
        <f t="shared" si="96"/>
        <v>-2.1929824561403508E-2</v>
      </c>
      <c r="L182" s="18">
        <f>IF(ISNUMBER(J182), $B199 * K182, "")</f>
        <v>-3289.4736842105262</v>
      </c>
      <c r="M182" s="31">
        <v>1115</v>
      </c>
      <c r="N182" s="32">
        <f t="shared" si="97"/>
        <v>-2.1929824561403508E-2</v>
      </c>
      <c r="O182" s="18">
        <f>IF(ISNUMBER(M182), $B199 * N182, "")</f>
        <v>-3289.4736842105262</v>
      </c>
      <c r="Q182" s="146"/>
      <c r="R182" s="146"/>
      <c r="S182" s="146"/>
    </row>
    <row r="183" spans="1:19" ht="17.25" thickBot="1">
      <c r="A183" s="111" t="s">
        <v>343</v>
      </c>
      <c r="B183" s="112">
        <v>16830</v>
      </c>
      <c r="C183" s="71">
        <v>-2.20801859E-2</v>
      </c>
      <c r="D183" s="20">
        <v>16850</v>
      </c>
      <c r="E183" s="21">
        <f t="shared" si="94"/>
        <v>1.1883541295306002E-3</v>
      </c>
      <c r="F183" s="22">
        <f>IF(ISNUMBER(D183), $B199 * E183, "")</f>
        <v>178.25311942959001</v>
      </c>
      <c r="G183" s="30">
        <v>16780</v>
      </c>
      <c r="H183" s="21">
        <f t="shared" si="95"/>
        <v>-2.9708853238265003E-3</v>
      </c>
      <c r="I183" s="95">
        <f>IF(ISNUMBER(G183), $B199 * H183, "")</f>
        <v>-445.63279857397504</v>
      </c>
      <c r="J183" s="20">
        <v>16530</v>
      </c>
      <c r="K183" s="21">
        <f t="shared" si="96"/>
        <v>-1.7825311942959002E-2</v>
      </c>
      <c r="L183" s="22">
        <f>IF(ISNUMBER(J183), $B199 * K183, "")</f>
        <v>-2673.7967914438505</v>
      </c>
      <c r="M183" s="30">
        <v>16600</v>
      </c>
      <c r="N183" s="21">
        <f t="shared" si="97"/>
        <v>-1.3666072489601902E-2</v>
      </c>
      <c r="O183" s="22">
        <f>IF(ISNUMBER(M183), $B199 * N183, "")</f>
        <v>-2049.9108734402853</v>
      </c>
      <c r="Q183" s="146"/>
      <c r="R183" s="146"/>
      <c r="S183" s="146"/>
    </row>
    <row r="184" spans="1:19" ht="17.25" thickBot="1">
      <c r="A184" s="109" t="s">
        <v>95</v>
      </c>
      <c r="B184" s="113">
        <v>963</v>
      </c>
      <c r="C184" s="73">
        <v>-2.23350254E-2</v>
      </c>
      <c r="D184" s="96">
        <v>963</v>
      </c>
      <c r="E184" s="97">
        <f>IF(ISNUMBER(D184), (D184 - $B184) / $B184, "")</f>
        <v>0</v>
      </c>
      <c r="F184" s="98">
        <f>IF(ISNUMBER(D184), $B199 * E184, "")</f>
        <v>0</v>
      </c>
      <c r="G184" s="99">
        <v>967</v>
      </c>
      <c r="H184" s="97">
        <f>IF(ISNUMBER(G184), (G184 - $B184) / $B184, "")</f>
        <v>4.1536863966770508E-3</v>
      </c>
      <c r="I184" s="100">
        <f>IF(ISNUMBER(G184), $B199 * H184, "")</f>
        <v>623.05295950155767</v>
      </c>
      <c r="J184" s="96">
        <v>961</v>
      </c>
      <c r="K184" s="97">
        <f>IF(ISNUMBER(J184), (J184 - $B184) / $B184, "")</f>
        <v>-2.0768431983385254E-3</v>
      </c>
      <c r="L184" s="98">
        <f>IF(ISNUMBER(J184), $B199 * K184, "")</f>
        <v>-311.52647975077883</v>
      </c>
      <c r="M184" s="99">
        <v>953</v>
      </c>
      <c r="N184" s="97">
        <f>IF(ISNUMBER(M184), (M184 - $B184) / $B184, "")</f>
        <v>-1.0384215991692628E-2</v>
      </c>
      <c r="O184" s="98">
        <f>IF(ISNUMBER(M184), $B199 * N184, "")</f>
        <v>-1557.6323987538942</v>
      </c>
      <c r="Q184" s="146"/>
      <c r="R184" s="146"/>
      <c r="S184" s="146"/>
    </row>
    <row r="185" spans="1:19" ht="17.25" thickBot="1">
      <c r="A185" s="109" t="s">
        <v>317</v>
      </c>
      <c r="B185" s="110">
        <v>560</v>
      </c>
      <c r="C185" s="70">
        <v>-2.2687609099999999E-2</v>
      </c>
      <c r="D185" s="15">
        <v>546</v>
      </c>
      <c r="E185" s="32">
        <f t="shared" ref="E185:E188" si="98">IF(ISNUMBER(D185), (D185 - $B185) / $B185, "")</f>
        <v>-2.5000000000000001E-2</v>
      </c>
      <c r="F185" s="18">
        <f>IF(ISNUMBER(D185), $B199 * E185, "")</f>
        <v>-3750</v>
      </c>
      <c r="G185" s="31">
        <v>546</v>
      </c>
      <c r="H185" s="32">
        <f t="shared" ref="H185:H188" si="99">IF(ISNUMBER(G185), (G185 - $B185) / $B185, "")</f>
        <v>-2.5000000000000001E-2</v>
      </c>
      <c r="I185" s="91">
        <f>IF(ISNUMBER(G185), $B199 * H185, "")</f>
        <v>-3750</v>
      </c>
      <c r="J185" s="15">
        <v>542</v>
      </c>
      <c r="K185" s="32">
        <f t="shared" ref="K185:K188" si="100">IF(ISNUMBER(J185), (J185 - $B185) / $B185, "")</f>
        <v>-3.214285714285714E-2</v>
      </c>
      <c r="L185" s="18">
        <f>IF(ISNUMBER(J185), $B199 * K185, "")</f>
        <v>-4821.4285714285706</v>
      </c>
      <c r="M185" s="31">
        <v>541</v>
      </c>
      <c r="N185" s="32">
        <f t="shared" ref="N185:N188" si="101">IF(ISNUMBER(M185), (M185 - $B185) / $B185, "")</f>
        <v>-3.3928571428571426E-2</v>
      </c>
      <c r="O185" s="18">
        <f>IF(ISNUMBER(M185), $B199 * N185, "")</f>
        <v>-5089.2857142857138</v>
      </c>
      <c r="Q185" s="146"/>
      <c r="R185" s="146"/>
      <c r="S185" s="146"/>
    </row>
    <row r="186" spans="1:19" ht="17.25" thickBot="1">
      <c r="A186" s="109" t="s">
        <v>205</v>
      </c>
      <c r="B186" s="110">
        <v>90.7</v>
      </c>
      <c r="C186" s="70">
        <v>-2.36813778E-2</v>
      </c>
      <c r="D186" s="15">
        <v>94.2</v>
      </c>
      <c r="E186" s="32">
        <f t="shared" si="98"/>
        <v>3.8588754134509372E-2</v>
      </c>
      <c r="F186" s="18">
        <f>IF(ISNUMBER(D186), $B199 * E186, "")</f>
        <v>5788.3131201764054</v>
      </c>
      <c r="G186" s="31">
        <v>93.5</v>
      </c>
      <c r="H186" s="32">
        <f t="shared" si="99"/>
        <v>3.0871003307607465E-2</v>
      </c>
      <c r="I186" s="91">
        <f>IF(ISNUMBER(G186), $B199 * H186, "")</f>
        <v>4630.6504961411201</v>
      </c>
      <c r="J186" s="15">
        <v>95</v>
      </c>
      <c r="K186" s="32">
        <f t="shared" si="100"/>
        <v>4.7409040793825769E-2</v>
      </c>
      <c r="L186" s="18">
        <f>IF(ISNUMBER(J186), $B199 * K186, "")</f>
        <v>7111.3561190738656</v>
      </c>
      <c r="M186" s="31">
        <v>93.2</v>
      </c>
      <c r="N186" s="32">
        <f t="shared" si="101"/>
        <v>2.7563395810363836E-2</v>
      </c>
      <c r="O186" s="18">
        <f>IF(ISNUMBER(M186), $B199 * N186, "")</f>
        <v>4134.5093715545754</v>
      </c>
      <c r="Q186" s="146"/>
      <c r="R186" s="146"/>
      <c r="S186" s="146"/>
    </row>
    <row r="187" spans="1:19" ht="17.25" thickBot="1">
      <c r="A187" s="109" t="s">
        <v>339</v>
      </c>
      <c r="B187" s="110">
        <v>1010</v>
      </c>
      <c r="C187" s="70">
        <v>-2.4154589399999999E-2</v>
      </c>
      <c r="D187" s="15">
        <v>997</v>
      </c>
      <c r="E187" s="32">
        <f t="shared" si="98"/>
        <v>-1.2871287128712871E-2</v>
      </c>
      <c r="F187" s="18">
        <f>IF(ISNUMBER(D187), $B199 * E187, "")</f>
        <v>-1930.6930693069305</v>
      </c>
      <c r="G187" s="31">
        <v>992</v>
      </c>
      <c r="H187" s="32">
        <f t="shared" si="99"/>
        <v>-1.782178217821782E-2</v>
      </c>
      <c r="I187" s="91">
        <f>IF(ISNUMBER(G187), $B199 * H187, "")</f>
        <v>-2673.2673267326732</v>
      </c>
      <c r="J187" s="15">
        <v>990</v>
      </c>
      <c r="K187" s="32">
        <f t="shared" si="100"/>
        <v>-1.9801980198019802E-2</v>
      </c>
      <c r="L187" s="18">
        <f>IF(ISNUMBER(J187), $B199 * K187, "")</f>
        <v>-2970.2970297029701</v>
      </c>
      <c r="M187" s="31">
        <v>990</v>
      </c>
      <c r="N187" s="32">
        <f t="shared" si="101"/>
        <v>-1.9801980198019802E-2</v>
      </c>
      <c r="O187" s="18">
        <f>IF(ISNUMBER(M187), $B199 * N187, "")</f>
        <v>-2970.2970297029701</v>
      </c>
      <c r="Q187" s="33"/>
      <c r="R187" s="33"/>
    </row>
    <row r="188" spans="1:19" ht="17.25" thickBot="1">
      <c r="A188" s="114" t="s">
        <v>337</v>
      </c>
      <c r="B188" s="115">
        <v>70860</v>
      </c>
      <c r="C188" s="72">
        <v>-2.45044053E-2</v>
      </c>
      <c r="D188" s="24">
        <v>70330</v>
      </c>
      <c r="E188" s="25">
        <f t="shared" si="98"/>
        <v>-7.4795371154388933E-3</v>
      </c>
      <c r="F188" s="94">
        <f>IF(ISNUMBER(D188), $B199 * E188, "")</f>
        <v>-1121.930567315834</v>
      </c>
      <c r="G188" s="92">
        <v>69770</v>
      </c>
      <c r="H188" s="25">
        <f t="shared" si="99"/>
        <v>-1.5382444256279989E-2</v>
      </c>
      <c r="I188" s="93">
        <f>IF(ISNUMBER(G188), $B199 * H188, "")</f>
        <v>-2307.3666384419985</v>
      </c>
      <c r="J188" s="24">
        <v>69450</v>
      </c>
      <c r="K188" s="25">
        <f t="shared" si="100"/>
        <v>-1.9898391193903471E-2</v>
      </c>
      <c r="L188" s="94">
        <f>IF(ISNUMBER(J188), $B199 * K188, "")</f>
        <v>-2984.7586790855207</v>
      </c>
      <c r="M188" s="92">
        <v>69870</v>
      </c>
      <c r="N188" s="25">
        <f t="shared" si="101"/>
        <v>-1.397121083827265E-2</v>
      </c>
      <c r="O188" s="94">
        <f>IF(ISNUMBER(M188), $B199 * N188, "")</f>
        <v>-2095.6816257408977</v>
      </c>
      <c r="Q188" s="147"/>
      <c r="R188" s="148"/>
      <c r="S188" s="149"/>
    </row>
    <row r="189" spans="1:19">
      <c r="A189" s="107" t="s">
        <v>191</v>
      </c>
      <c r="B189" s="108">
        <v>50.3</v>
      </c>
      <c r="C189" s="69">
        <v>-2.5193798399999998E-2</v>
      </c>
      <c r="D189" s="13">
        <v>48.8</v>
      </c>
      <c r="E189" s="14">
        <f>IF(ISNUMBER(D189), (D189 - $B189) / $B189, "")</f>
        <v>-2.9821073558648114E-2</v>
      </c>
      <c r="F189" s="16">
        <f>IF(ISNUMBER(D189), $B199 * E189, "")</f>
        <v>-4473.161033797217</v>
      </c>
      <c r="G189" s="29">
        <v>49</v>
      </c>
      <c r="H189" s="14">
        <f>IF(ISNUMBER(G189), (G189 - $B189) / $B189, "")</f>
        <v>-2.5844930417494975E-2</v>
      </c>
      <c r="I189" s="90">
        <f>IF(ISNUMBER(G189), $B199 * H189, "")</f>
        <v>-3876.739562624246</v>
      </c>
      <c r="J189" s="13">
        <v>48.7</v>
      </c>
      <c r="K189" s="14">
        <f>IF(ISNUMBER(J189), (J189 - $B189) / $B189, "")</f>
        <v>-3.1809145129224538E-2</v>
      </c>
      <c r="L189" s="16">
        <f>IF(ISNUMBER(J189), $B199 * K189, "")</f>
        <v>-4771.3717693836807</v>
      </c>
      <c r="M189" s="29">
        <v>49.1</v>
      </c>
      <c r="N189" s="14">
        <f>IF(ISNUMBER(M189), (M189 - $B189) / $B189, "")</f>
        <v>-2.3856858846918405E-2</v>
      </c>
      <c r="O189" s="16">
        <f>IF(ISNUMBER(M189), $B199 * N189, "")</f>
        <v>-3578.5288270377609</v>
      </c>
      <c r="Q189" s="150"/>
      <c r="R189" s="151"/>
      <c r="S189" s="152"/>
    </row>
    <row r="190" spans="1:19" ht="17.25" thickBot="1">
      <c r="A190" s="109" t="s">
        <v>134</v>
      </c>
      <c r="B190" s="110">
        <v>1350</v>
      </c>
      <c r="C190" s="70">
        <v>-2.5270758099999999E-2</v>
      </c>
      <c r="D190" s="15">
        <v>1330</v>
      </c>
      <c r="E190" s="32">
        <f t="shared" ref="E190:E193" si="102">IF(ISNUMBER(D190), (D190 - $B190) / $B190, "")</f>
        <v>-1.4814814814814815E-2</v>
      </c>
      <c r="F190" s="18">
        <f>IF(ISNUMBER(D190), $B199 * E190, "")</f>
        <v>-2222.2222222222222</v>
      </c>
      <c r="G190" s="31">
        <v>1325</v>
      </c>
      <c r="H190" s="32">
        <f t="shared" ref="H190:H193" si="103">IF(ISNUMBER(G190), (G190 - $B190) / $B190, "")</f>
        <v>-1.8518518518518517E-2</v>
      </c>
      <c r="I190" s="91">
        <f>IF(ISNUMBER(G190), $B199 * H190, "")</f>
        <v>-2777.7777777777778</v>
      </c>
      <c r="J190" s="15">
        <v>1320</v>
      </c>
      <c r="K190" s="32">
        <f t="shared" ref="K190:K193" si="104">IF(ISNUMBER(J190), (J190 - $B190) / $B190, "")</f>
        <v>-2.2222222222222223E-2</v>
      </c>
      <c r="L190" s="18">
        <f>IF(ISNUMBER(J190), $B199 * K190, "")</f>
        <v>-3333.3333333333335</v>
      </c>
      <c r="M190" s="31">
        <v>1325</v>
      </c>
      <c r="N190" s="32">
        <f t="shared" ref="N190:N193" si="105">IF(ISNUMBER(M190), (M190 - $B190) / $B190, "")</f>
        <v>-1.8518518518518517E-2</v>
      </c>
      <c r="O190" s="18">
        <f>IF(ISNUMBER(M190), $B199 * N190, "")</f>
        <v>-2777.7777777777778</v>
      </c>
      <c r="Q190" s="153"/>
      <c r="R190" s="154"/>
      <c r="S190" s="155"/>
    </row>
    <row r="191" spans="1:19" ht="17.25" thickBot="1">
      <c r="A191" s="109" t="s">
        <v>347</v>
      </c>
      <c r="B191" s="110">
        <v>15050</v>
      </c>
      <c r="C191" s="70">
        <v>-2.7149321300000001E-2</v>
      </c>
      <c r="D191" s="15">
        <v>14790</v>
      </c>
      <c r="E191" s="32">
        <f t="shared" si="102"/>
        <v>-1.7275747508305649E-2</v>
      </c>
      <c r="F191" s="18">
        <f>IF(ISNUMBER(D191), $B199 * E191, "")</f>
        <v>-2591.3621262458473</v>
      </c>
      <c r="G191" s="31">
        <v>14690</v>
      </c>
      <c r="H191" s="32">
        <f t="shared" si="103"/>
        <v>-2.3920265780730896E-2</v>
      </c>
      <c r="I191" s="91">
        <f>IF(ISNUMBER(G191), $B199 * H191, "")</f>
        <v>-3588.0398671096345</v>
      </c>
      <c r="J191" s="15">
        <v>14600</v>
      </c>
      <c r="K191" s="32">
        <f t="shared" si="104"/>
        <v>-2.9900332225913623E-2</v>
      </c>
      <c r="L191" s="18">
        <f>IF(ISNUMBER(J191), $B199 * K191, "")</f>
        <v>-4485.0498338870439</v>
      </c>
      <c r="M191" s="31">
        <v>14650</v>
      </c>
      <c r="N191" s="32">
        <f t="shared" si="105"/>
        <v>-2.6578073089700997E-2</v>
      </c>
      <c r="O191" s="18">
        <f>IF(ISNUMBER(M191), $B199 * N191, "")</f>
        <v>-3986.7109634551498</v>
      </c>
      <c r="Q191" s="146"/>
      <c r="R191" s="146"/>
      <c r="S191" s="146"/>
    </row>
    <row r="192" spans="1:19" ht="17.25" thickBot="1">
      <c r="A192" s="109" t="s">
        <v>120</v>
      </c>
      <c r="B192" s="110">
        <v>99.2</v>
      </c>
      <c r="C192" s="70">
        <v>-2.7450980400000002E-2</v>
      </c>
      <c r="D192" s="15">
        <v>97.9</v>
      </c>
      <c r="E192" s="32">
        <f t="shared" si="102"/>
        <v>-1.310483870967739E-2</v>
      </c>
      <c r="F192" s="18">
        <f>IF(ISNUMBER(D192), $B199 * E192, "")</f>
        <v>-1965.7258064516086</v>
      </c>
      <c r="G192" s="31">
        <v>96.8</v>
      </c>
      <c r="H192" s="32">
        <f t="shared" si="103"/>
        <v>-2.4193548387096833E-2</v>
      </c>
      <c r="I192" s="91">
        <f>IF(ISNUMBER(G192), $B199 * H192, "")</f>
        <v>-3629.0322580645247</v>
      </c>
      <c r="J192" s="15">
        <v>95.3</v>
      </c>
      <c r="K192" s="32">
        <f t="shared" si="104"/>
        <v>-3.9314516129032313E-2</v>
      </c>
      <c r="L192" s="18">
        <f>IF(ISNUMBER(J192), $B199 * K192, "")</f>
        <v>-5897.1774193548472</v>
      </c>
      <c r="M192" s="31">
        <v>95.8</v>
      </c>
      <c r="N192" s="32">
        <f t="shared" si="105"/>
        <v>-3.4274193548387157E-2</v>
      </c>
      <c r="O192" s="18">
        <f>IF(ISNUMBER(M192), $B199 * N192, "")</f>
        <v>-5141.1290322580735</v>
      </c>
      <c r="Q192" s="156"/>
      <c r="R192" s="156"/>
      <c r="S192" s="156"/>
    </row>
    <row r="193" spans="1:19" ht="17.25" thickBot="1">
      <c r="A193" s="111" t="s">
        <v>341</v>
      </c>
      <c r="B193" s="112">
        <v>632</v>
      </c>
      <c r="C193" s="71">
        <v>-3.06748466E-2</v>
      </c>
      <c r="D193" s="20">
        <v>618</v>
      </c>
      <c r="E193" s="21">
        <f t="shared" si="102"/>
        <v>-2.2151898734177215E-2</v>
      </c>
      <c r="F193" s="22">
        <f>IF(ISNUMBER(D193), $B199 * E193, "")</f>
        <v>-3322.7848101265822</v>
      </c>
      <c r="G193" s="30">
        <v>612</v>
      </c>
      <c r="H193" s="21">
        <f t="shared" si="103"/>
        <v>-3.1645569620253167E-2</v>
      </c>
      <c r="I193" s="95">
        <f>IF(ISNUMBER(G193), $B199 * H193, "")</f>
        <v>-4746.835443037975</v>
      </c>
      <c r="J193" s="20">
        <v>611</v>
      </c>
      <c r="K193" s="21">
        <f t="shared" si="104"/>
        <v>-3.3227848101265819E-2</v>
      </c>
      <c r="L193" s="22">
        <f>IF(ISNUMBER(J193), $B199 * K193, "")</f>
        <v>-4984.1772151898731</v>
      </c>
      <c r="M193" s="30">
        <v>613</v>
      </c>
      <c r="N193" s="21">
        <f t="shared" si="105"/>
        <v>-3.0063291139240507E-2</v>
      </c>
      <c r="O193" s="22">
        <f>IF(ISNUMBER(M193), $B199 * N193, "")</f>
        <v>-4509.493670886076</v>
      </c>
      <c r="Q193" s="156"/>
      <c r="R193" s="156"/>
      <c r="S193" s="156"/>
    </row>
    <row r="194" spans="1:19" ht="17.25" thickBot="1">
      <c r="A194" s="109" t="s">
        <v>113</v>
      </c>
      <c r="B194" s="113">
        <v>1100</v>
      </c>
      <c r="C194" s="73">
        <v>-3.08370044E-2</v>
      </c>
      <c r="D194" s="96">
        <v>1125</v>
      </c>
      <c r="E194" s="97">
        <f>IF(ISNUMBER(D194), (D194 - $B194) / $B194, "")</f>
        <v>2.2727272727272728E-2</v>
      </c>
      <c r="F194" s="98">
        <f>IF(ISNUMBER(D194), $B199 * E194, "")</f>
        <v>3409.090909090909</v>
      </c>
      <c r="G194" s="99">
        <v>1090</v>
      </c>
      <c r="H194" s="97">
        <f>IF(ISNUMBER(G194), (G194 - $B194) / $B194, "")</f>
        <v>-9.0909090909090905E-3</v>
      </c>
      <c r="I194" s="100">
        <f>IF(ISNUMBER(G194), $B199 * H194, "")</f>
        <v>-1363.6363636363635</v>
      </c>
      <c r="J194" s="96">
        <v>1085</v>
      </c>
      <c r="K194" s="97">
        <f>IF(ISNUMBER(J194), (J194 - $B194) / $B194, "")</f>
        <v>-1.3636363636363636E-2</v>
      </c>
      <c r="L194" s="98">
        <f>IF(ISNUMBER(J194), $B199 * K194, "")</f>
        <v>-2045.4545454545453</v>
      </c>
      <c r="M194" s="99">
        <v>1090</v>
      </c>
      <c r="N194" s="97">
        <f>IF(ISNUMBER(M194), (M194 - $B194) / $B194, "")</f>
        <v>-9.0909090909090905E-3</v>
      </c>
      <c r="O194" s="98">
        <f>IF(ISNUMBER(M194), $B199 * N194, "")</f>
        <v>-1363.6363636363635</v>
      </c>
      <c r="Q194" s="146"/>
      <c r="R194" s="146"/>
      <c r="S194" s="146"/>
    </row>
    <row r="195" spans="1:19" ht="17.25" thickBot="1">
      <c r="A195" s="109" t="s">
        <v>189</v>
      </c>
      <c r="B195" s="110">
        <v>903</v>
      </c>
      <c r="C195" s="70">
        <v>-3.21543408E-2</v>
      </c>
      <c r="D195" s="15">
        <v>879</v>
      </c>
      <c r="E195" s="32">
        <f t="shared" ref="E195:E198" si="106">IF(ISNUMBER(D195), (D195 - $B195) / $B195, "")</f>
        <v>-2.6578073089700997E-2</v>
      </c>
      <c r="F195" s="18">
        <f>IF(ISNUMBER(D195), $B199 * E195, "")</f>
        <v>-3986.7109634551498</v>
      </c>
      <c r="G195" s="31">
        <v>872</v>
      </c>
      <c r="H195" s="32">
        <f t="shared" ref="H195:H198" si="107">IF(ISNUMBER(G195), (G195 - $B195) / $B195, "")</f>
        <v>-3.4330011074197121E-2</v>
      </c>
      <c r="I195" s="91">
        <f>IF(ISNUMBER(G195), $B199 * H195, "")</f>
        <v>-5149.5016611295678</v>
      </c>
      <c r="J195" s="15">
        <v>862</v>
      </c>
      <c r="K195" s="32">
        <f t="shared" ref="K195:K198" si="108">IF(ISNUMBER(J195), (J195 - $B195) / $B195, "")</f>
        <v>-4.5404208194905871E-2</v>
      </c>
      <c r="L195" s="18">
        <f>IF(ISNUMBER(J195), $B199 * K195, "")</f>
        <v>-6810.6312292358807</v>
      </c>
      <c r="M195" s="31">
        <v>868</v>
      </c>
      <c r="N195" s="32">
        <f t="shared" ref="N195:N198" si="109">IF(ISNUMBER(M195), (M195 - $B195) / $B195, "")</f>
        <v>-3.875968992248062E-2</v>
      </c>
      <c r="O195" s="18">
        <f>IF(ISNUMBER(M195), $B199 * N195, "")</f>
        <v>-5813.9534883720926</v>
      </c>
      <c r="Q195" s="146"/>
      <c r="R195" s="146"/>
      <c r="S195" s="146"/>
    </row>
    <row r="196" spans="1:19" ht="17.25" thickBot="1">
      <c r="A196" s="109" t="s">
        <v>328</v>
      </c>
      <c r="B196" s="110">
        <v>4730</v>
      </c>
      <c r="C196" s="70">
        <v>-3.3707865199999999E-2</v>
      </c>
      <c r="D196" s="15">
        <v>4720</v>
      </c>
      <c r="E196" s="32">
        <f t="shared" si="106"/>
        <v>-2.1141649048625794E-3</v>
      </c>
      <c r="F196" s="18">
        <f>IF(ISNUMBER(D196), $B199 * E196, "")</f>
        <v>-317.12473572938688</v>
      </c>
      <c r="G196" s="31">
        <v>4665</v>
      </c>
      <c r="H196" s="32">
        <f t="shared" si="107"/>
        <v>-1.3742071881606765E-2</v>
      </c>
      <c r="I196" s="91">
        <f>IF(ISNUMBER(G196), $B199 * H196, "")</f>
        <v>-2061.3107822410147</v>
      </c>
      <c r="J196" s="15">
        <v>4605</v>
      </c>
      <c r="K196" s="32">
        <f t="shared" si="108"/>
        <v>-2.6427061310782242E-2</v>
      </c>
      <c r="L196" s="18">
        <f>IF(ISNUMBER(J196), $B199 * K196, "")</f>
        <v>-3964.0591966173365</v>
      </c>
      <c r="M196" s="31">
        <v>4645</v>
      </c>
      <c r="N196" s="32">
        <f t="shared" si="109"/>
        <v>-1.7970401691331923E-2</v>
      </c>
      <c r="O196" s="18">
        <f>IF(ISNUMBER(M196), $B199 * N196, "")</f>
        <v>-2695.5602536997885</v>
      </c>
      <c r="Q196" s="146"/>
      <c r="R196" s="146"/>
      <c r="S196" s="146"/>
    </row>
    <row r="197" spans="1:19">
      <c r="A197" s="109" t="s">
        <v>99</v>
      </c>
      <c r="B197" s="110">
        <v>23640</v>
      </c>
      <c r="C197" s="70">
        <v>-4.0973630800000001E-2</v>
      </c>
      <c r="D197" s="15">
        <v>23120</v>
      </c>
      <c r="E197" s="32">
        <f t="shared" si="106"/>
        <v>-2.1996615905245348E-2</v>
      </c>
      <c r="F197" s="18">
        <f>IF(ISNUMBER(D197), $B199 * E197, "")</f>
        <v>-3299.4923857868021</v>
      </c>
      <c r="G197" s="31">
        <v>23230</v>
      </c>
      <c r="H197" s="32">
        <f t="shared" si="107"/>
        <v>-1.7343485617597292E-2</v>
      </c>
      <c r="I197" s="91">
        <f>IF(ISNUMBER(G197), $B199 * H197, "")</f>
        <v>-2601.5228426395938</v>
      </c>
      <c r="J197" s="15">
        <v>23120</v>
      </c>
      <c r="K197" s="32">
        <f t="shared" si="108"/>
        <v>-2.1996615905245348E-2</v>
      </c>
      <c r="L197" s="18">
        <f>IF(ISNUMBER(J197), $B199 * K197, "")</f>
        <v>-3299.4923857868021</v>
      </c>
      <c r="M197" s="31">
        <v>23200</v>
      </c>
      <c r="N197" s="32">
        <f t="shared" si="109"/>
        <v>-1.8612521150592216E-2</v>
      </c>
      <c r="O197" s="18">
        <f>IF(ISNUMBER(M197), $B199 * N197, "")</f>
        <v>-2791.8781725888325</v>
      </c>
      <c r="Q197" s="135"/>
      <c r="R197" s="136"/>
      <c r="S197" s="137"/>
    </row>
    <row r="198" spans="1:19" ht="17.25" thickBot="1">
      <c r="A198" s="114" t="s">
        <v>68</v>
      </c>
      <c r="B198" s="115">
        <v>253</v>
      </c>
      <c r="C198" s="72">
        <v>-5.2434456900000002E-2</v>
      </c>
      <c r="D198" s="24">
        <v>248</v>
      </c>
      <c r="E198" s="25">
        <f t="shared" si="106"/>
        <v>-1.9762845849802372E-2</v>
      </c>
      <c r="F198" s="94">
        <f>IF(ISNUMBER(D198), $B199 * E198, "")</f>
        <v>-2964.426877470356</v>
      </c>
      <c r="G198" s="92">
        <v>248</v>
      </c>
      <c r="H198" s="25">
        <f t="shared" si="107"/>
        <v>-1.9762845849802372E-2</v>
      </c>
      <c r="I198" s="93">
        <f>IF(ISNUMBER(G198), $B199 * H198, "")</f>
        <v>-2964.426877470356</v>
      </c>
      <c r="J198" s="24">
        <v>246</v>
      </c>
      <c r="K198" s="25">
        <f t="shared" si="108"/>
        <v>-2.766798418972332E-2</v>
      </c>
      <c r="L198" s="94">
        <f>IF(ISNUMBER(J198), $B199 * K198, "")</f>
        <v>-4150.197628458498</v>
      </c>
      <c r="M198" s="92">
        <v>246</v>
      </c>
      <c r="N198" s="25">
        <f t="shared" si="109"/>
        <v>-2.766798418972332E-2</v>
      </c>
      <c r="O198" s="94">
        <f>IF(ISNUMBER(M198), $B199 * N198, "")</f>
        <v>-4150.197628458498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-9.7254391887348808E-3</v>
      </c>
      <c r="F199" s="28">
        <f>SUM(F179:F198)</f>
        <v>-29176.317566204641</v>
      </c>
      <c r="G199" s="26" t="s">
        <v>258</v>
      </c>
      <c r="H199" s="27">
        <f>IF(COUNT(H179:H198), SUM(H179:H198) / COUNT(H179:H198), 0)</f>
        <v>-1.627324449429679E-2</v>
      </c>
      <c r="I199" s="28">
        <f>SUM(I179:I198)</f>
        <v>-48819.733482890355</v>
      </c>
      <c r="J199" s="26" t="s">
        <v>258</v>
      </c>
      <c r="K199" s="27">
        <f>IF(COUNT(K179:K198), SUM(K179:K198) / COUNT(K179:K198), 0)</f>
        <v>-2.1832162718260526E-2</v>
      </c>
      <c r="L199" s="28">
        <f>SUM(L179:L198)</f>
        <v>-65496.488154781582</v>
      </c>
      <c r="M199" s="26" t="s">
        <v>258</v>
      </c>
      <c r="N199" s="27">
        <f>IF(COUNT(N179:N198), SUM(N179:N198) / COUNT(N179:N198), 0)</f>
        <v>-1.9309887875051363E-2</v>
      </c>
      <c r="O199" s="28">
        <f>SUM(O179:O198)</f>
        <v>-57929.663625154084</v>
      </c>
      <c r="Q199" s="141"/>
      <c r="R199" s="142"/>
      <c r="S199" s="14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13E5-09E7-4191-A87E-6F844B834800}">
  <sheetPr codeName="Sheet13"/>
  <dimension ref="A1:S199"/>
  <sheetViews>
    <sheetView topLeftCell="A15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44933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52,009 KRW (1.73%)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53,598 KRW (1.79%)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77,160 KRW (2.57%)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123,283 KRW (4.11%)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2023-01-07(토) 오전 00:00</v>
      </c>
      <c r="C15" s="196"/>
      <c r="D15" s="170" t="str">
        <f>TEXT($G$1, "[$-ko-KR]yyyy-mm-dd(ddd) ") &amp; "오후 14:00"</f>
        <v>2023-01-07(토) 오후 14:00</v>
      </c>
      <c r="E15" s="171"/>
      <c r="F15" s="172"/>
      <c r="G15" s="170" t="str">
        <f>TEXT($G$1, "[$-ko-KR]yyyy-mm-dd(ddd) ") &amp; "오후 19:00"</f>
        <v>2023-01-07(토) 오후 19:00</v>
      </c>
      <c r="H15" s="171"/>
      <c r="I15" s="172"/>
      <c r="J15" s="170" t="str">
        <f>TEXT($G$1, "[$-ko-KR]yyyy-mm-dd(ddd) ") &amp; "오후 21:00"</f>
        <v>2023-01-07(토) 오후 21:00</v>
      </c>
      <c r="K15" s="171"/>
      <c r="L15" s="172"/>
      <c r="M15" s="170" t="str">
        <f>TEXT($G$1+1, "[$-ko-KR]yyyy-mm-dd(ddd) ") &amp; "오전 00:00"</f>
        <v>2023-01-08(일)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2023-01-07(토) 오전 00:00</v>
      </c>
      <c r="C42" s="198"/>
      <c r="D42" s="170" t="str">
        <f>TEXT($G$1, "[$-ko-KR]yyyy-mm-dd(ddd) ") &amp; "오후 14:00"</f>
        <v>2023-01-07(토) 오후 14:00</v>
      </c>
      <c r="E42" s="171"/>
      <c r="F42" s="172"/>
      <c r="G42" s="170" t="str">
        <f>TEXT($G$1, "[$-ko-KR]yyyy-mm-dd(ddd) ") &amp; "오후 19:00"</f>
        <v>2023-01-07(토) 오후 19:00</v>
      </c>
      <c r="H42" s="171"/>
      <c r="I42" s="172"/>
      <c r="J42" s="170" t="str">
        <f>TEXT($G$1, "[$-ko-KR]yyyy-mm-dd(ddd) ") &amp; "오후 21:00"</f>
        <v>2023-01-07(토) 오후 21:00</v>
      </c>
      <c r="K42" s="171"/>
      <c r="L42" s="172"/>
      <c r="M42" s="170" t="str">
        <f>TEXT($G$1+1, "[$-ko-KR]yyyy-mm-dd(ddd) ") &amp; "오전 00:00"</f>
        <v>2023-01-08(일)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107</v>
      </c>
      <c r="B44" s="108">
        <v>36</v>
      </c>
      <c r="C44" s="69">
        <v>3.1518624600000003E-2</v>
      </c>
      <c r="D44" s="13">
        <v>35.5</v>
      </c>
      <c r="E44" s="14">
        <f>IF(ISNUMBER(D44), (D44 - $B44) / $B44, "")</f>
        <v>-1.3888888888888888E-2</v>
      </c>
      <c r="F44" s="16">
        <f>IF(ISNUMBER(D44), $B64 * E44, "")</f>
        <v>-2083.333333333333</v>
      </c>
      <c r="G44" s="29">
        <v>35.299999999999997</v>
      </c>
      <c r="H44" s="14">
        <f>IF(ISNUMBER(G44), (G44 - $B44) / $B44, "")</f>
        <v>-1.9444444444444525E-2</v>
      </c>
      <c r="I44" s="90">
        <f>IF(ISNUMBER(G44), $B64 * H44, "")</f>
        <v>-2916.6666666666788</v>
      </c>
      <c r="J44" s="13">
        <v>35.4</v>
      </c>
      <c r="K44" s="14">
        <f>IF(ISNUMBER(J44), (J44 - $B44) / $B44, "")</f>
        <v>-1.6666666666666705E-2</v>
      </c>
      <c r="L44" s="16">
        <f>IF(ISNUMBER(J44), $B64 * K44, "")</f>
        <v>-2500.0000000000059</v>
      </c>
      <c r="M44" s="29">
        <v>35.4</v>
      </c>
      <c r="N44" s="14">
        <f>IF(ISNUMBER(M44), (M44 - $B44) / $B44, "")</f>
        <v>-1.6666666666666705E-2</v>
      </c>
      <c r="O44" s="16">
        <f>IF(ISNUMBER(M44), $B64 * N44, "")</f>
        <v>-2500.0000000000059</v>
      </c>
      <c r="Q44" s="156"/>
      <c r="R44" s="156"/>
      <c r="S44" s="156"/>
    </row>
    <row r="45" spans="1:19" ht="17.25" customHeight="1" thickBot="1">
      <c r="A45" s="109" t="s">
        <v>205</v>
      </c>
      <c r="B45" s="110">
        <v>93.2</v>
      </c>
      <c r="C45" s="70">
        <v>2.1929824600000002E-2</v>
      </c>
      <c r="D45" s="15">
        <v>93.2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93</v>
      </c>
      <c r="H45" s="32">
        <f t="shared" ref="H45:H48" si="15">IF(ISNUMBER(G45), (G45 - $B45) / $B45, "")</f>
        <v>-2.1459227467811462E-3</v>
      </c>
      <c r="I45" s="91">
        <f>IF(ISNUMBER(G45), $B64 * H45, "")</f>
        <v>-321.88841201717196</v>
      </c>
      <c r="J45" s="15">
        <v>93.1</v>
      </c>
      <c r="K45" s="32">
        <f t="shared" ref="K45:K48" si="16">IF(ISNUMBER(J45), (J45 - $B45) / $B45, "")</f>
        <v>-1.0729613733906494E-3</v>
      </c>
      <c r="L45" s="18">
        <f>IF(ISNUMBER(J45), $B64 * K45, "")</f>
        <v>-160.9442060085974</v>
      </c>
      <c r="M45" s="31">
        <v>93.2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56"/>
      <c r="R45" s="156"/>
      <c r="S45" s="156"/>
    </row>
    <row r="46" spans="1:19" ht="17.25" customHeight="1" thickBot="1">
      <c r="A46" s="109" t="s">
        <v>51</v>
      </c>
      <c r="B46" s="110">
        <v>94.6</v>
      </c>
      <c r="C46" s="70">
        <v>1.28479657E-2</v>
      </c>
      <c r="D46" s="15">
        <v>94.7</v>
      </c>
      <c r="E46" s="32">
        <f t="shared" si="14"/>
        <v>1.0570824524313799E-3</v>
      </c>
      <c r="F46" s="18">
        <f>IF(ISNUMBER(D46), $B64 * E46, "")</f>
        <v>158.56236786470697</v>
      </c>
      <c r="G46" s="31">
        <v>95.4</v>
      </c>
      <c r="H46" s="32">
        <f t="shared" si="15"/>
        <v>8.4566596194504372E-3</v>
      </c>
      <c r="I46" s="91">
        <f>IF(ISNUMBER(G46), $B64 * H46, "")</f>
        <v>1268.4989429175655</v>
      </c>
      <c r="J46" s="15">
        <v>95.3</v>
      </c>
      <c r="K46" s="32">
        <f t="shared" si="16"/>
        <v>7.3995771670190584E-3</v>
      </c>
      <c r="L46" s="18">
        <f>IF(ISNUMBER(J46), $B64 * K46, "")</f>
        <v>1109.9365750528586</v>
      </c>
      <c r="M46" s="31">
        <v>96.1</v>
      </c>
      <c r="N46" s="32">
        <f t="shared" si="17"/>
        <v>1.5856236786469347E-2</v>
      </c>
      <c r="O46" s="18">
        <f>IF(ISNUMBER(M46), $B64 * N46, "")</f>
        <v>2378.4355179704021</v>
      </c>
      <c r="Q46" s="146"/>
      <c r="R46" s="146"/>
      <c r="S46" s="146"/>
    </row>
    <row r="47" spans="1:19" ht="17.25" customHeight="1" thickBot="1">
      <c r="A47" s="109" t="s">
        <v>195</v>
      </c>
      <c r="B47" s="110">
        <v>5.58</v>
      </c>
      <c r="C47" s="70">
        <v>1.7953321E-3</v>
      </c>
      <c r="D47" s="15">
        <v>5.63</v>
      </c>
      <c r="E47" s="32">
        <f t="shared" si="14"/>
        <v>8.9605734767024773E-3</v>
      </c>
      <c r="F47" s="18">
        <f>IF(ISNUMBER(D47), $B64 * E47, "")</f>
        <v>1344.0860215053715</v>
      </c>
      <c r="G47" s="31">
        <v>5.6</v>
      </c>
      <c r="H47" s="32">
        <f t="shared" si="15"/>
        <v>3.5842293906809273E-3</v>
      </c>
      <c r="I47" s="91">
        <f>IF(ISNUMBER(G47), $B64 * H47, "")</f>
        <v>537.63440860213905</v>
      </c>
      <c r="J47" s="15">
        <v>5.6</v>
      </c>
      <c r="K47" s="32">
        <f t="shared" si="16"/>
        <v>3.5842293906809273E-3</v>
      </c>
      <c r="L47" s="18">
        <f>IF(ISNUMBER(J47), $B64 * K47, "")</f>
        <v>537.63440860213905</v>
      </c>
      <c r="M47" s="31">
        <v>5.68</v>
      </c>
      <c r="N47" s="32">
        <f t="shared" si="17"/>
        <v>1.7921146953404955E-2</v>
      </c>
      <c r="O47" s="18">
        <f>IF(ISNUMBER(M47), $B64 * N47, "")</f>
        <v>2688.172043010743</v>
      </c>
      <c r="Q47" s="146"/>
      <c r="R47" s="146"/>
      <c r="S47" s="146"/>
    </row>
    <row r="48" spans="1:19" ht="17.25" customHeight="1" thickBot="1">
      <c r="A48" s="111" t="s">
        <v>324</v>
      </c>
      <c r="B48" s="112">
        <v>75.3</v>
      </c>
      <c r="C48" s="71">
        <v>-1.3262599000000001E-3</v>
      </c>
      <c r="D48" s="20">
        <v>76.7</v>
      </c>
      <c r="E48" s="21">
        <f t="shared" si="14"/>
        <v>1.8592297476759705E-2</v>
      </c>
      <c r="F48" s="22">
        <f>IF(ISNUMBER(D48), $B64 * E48, "")</f>
        <v>2788.8446215139556</v>
      </c>
      <c r="G48" s="30">
        <v>77.3</v>
      </c>
      <c r="H48" s="21">
        <f t="shared" si="15"/>
        <v>2.6560424966799469E-2</v>
      </c>
      <c r="I48" s="95">
        <f>IF(ISNUMBER(G48), $B64 * H48, "")</f>
        <v>3984.0637450199206</v>
      </c>
      <c r="J48" s="20">
        <v>77.400000000000006</v>
      </c>
      <c r="K48" s="21">
        <f t="shared" si="16"/>
        <v>2.7888446215139556E-2</v>
      </c>
      <c r="L48" s="22">
        <f>IF(ISNUMBER(J48), $B64 * K48, "")</f>
        <v>4183.2669322709335</v>
      </c>
      <c r="M48" s="30">
        <v>78.7</v>
      </c>
      <c r="N48" s="21">
        <f t="shared" si="17"/>
        <v>4.5152722443559175E-2</v>
      </c>
      <c r="O48" s="22">
        <f>IF(ISNUMBER(M48), $B64 * N48, "")</f>
        <v>6772.9083665338758</v>
      </c>
      <c r="Q48" s="146"/>
      <c r="R48" s="146"/>
      <c r="S48" s="146"/>
    </row>
    <row r="49" spans="1:19" ht="17.25" customHeight="1" thickBot="1">
      <c r="A49" s="109" t="s">
        <v>126</v>
      </c>
      <c r="B49" s="113">
        <v>21.4</v>
      </c>
      <c r="C49" s="73">
        <v>-1.3824884799999999E-2</v>
      </c>
      <c r="D49" s="96">
        <v>22.2</v>
      </c>
      <c r="E49" s="97">
        <f>IF(ISNUMBER(D49), (D49 - $B49) / $B49, "")</f>
        <v>3.7383177570093497E-2</v>
      </c>
      <c r="F49" s="98">
        <f>IF(ISNUMBER(D49), $B64 * E49, "")</f>
        <v>5607.4766355140246</v>
      </c>
      <c r="G49" s="99">
        <v>22.1</v>
      </c>
      <c r="H49" s="97">
        <f>IF(ISNUMBER(G49), (G49 - $B49) / $B49, "")</f>
        <v>3.2710280373831911E-2</v>
      </c>
      <c r="I49" s="100">
        <f>IF(ISNUMBER(G49), $B64 * H49, "")</f>
        <v>4906.5420560747871</v>
      </c>
      <c r="J49" s="96">
        <v>22</v>
      </c>
      <c r="K49" s="97">
        <f>IF(ISNUMBER(J49), (J49 - $B49) / $B49, "")</f>
        <v>2.8037383177570162E-2</v>
      </c>
      <c r="L49" s="98">
        <f>IF(ISNUMBER(J49), $B64 * K49, "")</f>
        <v>4205.6074766355241</v>
      </c>
      <c r="M49" s="99">
        <v>22.1</v>
      </c>
      <c r="N49" s="97">
        <f>IF(ISNUMBER(M49), (M49 - $B49) / $B49, "")</f>
        <v>3.2710280373831911E-2</v>
      </c>
      <c r="O49" s="98">
        <f>IF(ISNUMBER(M49), $B64 * N49, "")</f>
        <v>4906.5420560747871</v>
      </c>
      <c r="Q49" s="146"/>
      <c r="R49" s="146"/>
      <c r="S49" s="146"/>
    </row>
    <row r="50" spans="1:19" ht="17.25" customHeight="1" thickBot="1">
      <c r="A50" s="109" t="s">
        <v>253</v>
      </c>
      <c r="B50" s="110">
        <v>90.3</v>
      </c>
      <c r="C50" s="70">
        <v>-1.63398693E-2</v>
      </c>
      <c r="D50" s="15">
        <v>91.8</v>
      </c>
      <c r="E50" s="32">
        <f t="shared" ref="E50:E53" si="18">IF(ISNUMBER(D50), (D50 - $B50) / $B50, "")</f>
        <v>1.6611295681063124E-2</v>
      </c>
      <c r="F50" s="18">
        <f>IF(ISNUMBER(D50), $B64 * E50, "")</f>
        <v>2491.6943521594685</v>
      </c>
      <c r="G50" s="31">
        <v>92</v>
      </c>
      <c r="H50" s="32">
        <f t="shared" ref="H50:H53" si="19">IF(ISNUMBER(G50), (G50 - $B50) / $B50, "")</f>
        <v>1.8826135105204905E-2</v>
      </c>
      <c r="I50" s="91">
        <f>IF(ISNUMBER(G50), $B64 * H50, "")</f>
        <v>2823.9202657807359</v>
      </c>
      <c r="J50" s="15">
        <v>91.7</v>
      </c>
      <c r="K50" s="32">
        <f t="shared" ref="K50:K53" si="20">IF(ISNUMBER(J50), (J50 - $B50) / $B50, "")</f>
        <v>1.5503875968992312E-2</v>
      </c>
      <c r="L50" s="18">
        <f>IF(ISNUMBER(J50), $B64 * K50, "")</f>
        <v>2325.5813953488469</v>
      </c>
      <c r="M50" s="31">
        <v>91.8</v>
      </c>
      <c r="N50" s="32">
        <f t="shared" ref="N50:N53" si="21">IF(ISNUMBER(M50), (M50 - $B50) / $B50, "")</f>
        <v>1.6611295681063124E-2</v>
      </c>
      <c r="O50" s="18">
        <f>IF(ISNUMBER(M50), $B64 * N50, "")</f>
        <v>2491.6943521594685</v>
      </c>
      <c r="Q50" s="146"/>
      <c r="R50" s="146"/>
      <c r="S50" s="146"/>
    </row>
    <row r="51" spans="1:19" ht="17.25" customHeight="1" thickBot="1">
      <c r="A51" s="109" t="s">
        <v>64</v>
      </c>
      <c r="B51" s="110">
        <v>8.9499999999999993</v>
      </c>
      <c r="C51" s="70">
        <v>-1.97152245E-2</v>
      </c>
      <c r="D51" s="15">
        <v>9.2200000000000006</v>
      </c>
      <c r="E51" s="32">
        <f t="shared" si="18"/>
        <v>3.0167597765363281E-2</v>
      </c>
      <c r="F51" s="18">
        <f>IF(ISNUMBER(D51), $B64 * E51, "")</f>
        <v>4525.139664804492</v>
      </c>
      <c r="G51" s="31">
        <v>9.16</v>
      </c>
      <c r="H51" s="32">
        <f t="shared" si="19"/>
        <v>2.3463687150838086E-2</v>
      </c>
      <c r="I51" s="91">
        <f>IF(ISNUMBER(G51), $B64 * H51, "")</f>
        <v>3519.553072625713</v>
      </c>
      <c r="J51" s="15">
        <v>9.14</v>
      </c>
      <c r="K51" s="32">
        <f t="shared" si="20"/>
        <v>2.1229050279329753E-2</v>
      </c>
      <c r="L51" s="18">
        <f>IF(ISNUMBER(J51), $B64 * K51, "")</f>
        <v>3184.3575418994628</v>
      </c>
      <c r="M51" s="31">
        <v>9.14</v>
      </c>
      <c r="N51" s="32">
        <f t="shared" si="21"/>
        <v>2.1229050279329753E-2</v>
      </c>
      <c r="O51" s="18">
        <f>IF(ISNUMBER(M51), $B64 * N51, "")</f>
        <v>3184.3575418994628</v>
      </c>
      <c r="Q51" s="146"/>
      <c r="R51" s="146"/>
      <c r="S51" s="146"/>
    </row>
    <row r="52" spans="1:19" ht="17.25" customHeight="1" thickBot="1">
      <c r="A52" s="109" t="s">
        <v>155</v>
      </c>
      <c r="B52" s="110">
        <v>24.5</v>
      </c>
      <c r="C52" s="70">
        <v>-0.02</v>
      </c>
      <c r="D52" s="15">
        <v>24.8</v>
      </c>
      <c r="E52" s="32">
        <f t="shared" si="18"/>
        <v>1.2244897959183702E-2</v>
      </c>
      <c r="F52" s="18">
        <f>IF(ISNUMBER(D52), $B64 * E52, "")</f>
        <v>1836.7346938775554</v>
      </c>
      <c r="G52" s="31">
        <v>24.8</v>
      </c>
      <c r="H52" s="32">
        <f t="shared" si="19"/>
        <v>1.2244897959183702E-2</v>
      </c>
      <c r="I52" s="91">
        <f>IF(ISNUMBER(G52), $B64 * H52, "")</f>
        <v>1836.7346938775554</v>
      </c>
      <c r="J52" s="15">
        <v>24.8</v>
      </c>
      <c r="K52" s="32">
        <f t="shared" si="20"/>
        <v>1.2244897959183702E-2</v>
      </c>
      <c r="L52" s="18">
        <f>IF(ISNUMBER(J52), $B64 * K52, "")</f>
        <v>1836.7346938775554</v>
      </c>
      <c r="M52" s="31">
        <v>24.8</v>
      </c>
      <c r="N52" s="32">
        <f t="shared" si="21"/>
        <v>1.2244897959183702E-2</v>
      </c>
      <c r="O52" s="18">
        <f>IF(ISNUMBER(M52), $B64 * N52, "")</f>
        <v>1836.7346938775554</v>
      </c>
      <c r="Q52" s="33"/>
      <c r="R52" s="33"/>
    </row>
    <row r="53" spans="1:19" ht="17.25" customHeight="1" thickBot="1">
      <c r="A53" s="114" t="s">
        <v>181</v>
      </c>
      <c r="B53" s="115">
        <v>3.83</v>
      </c>
      <c r="C53" s="72">
        <v>-2.0460358099999999E-2</v>
      </c>
      <c r="D53" s="24">
        <v>3.88</v>
      </c>
      <c r="E53" s="25">
        <f t="shared" si="18"/>
        <v>1.3054830287206221E-2</v>
      </c>
      <c r="F53" s="94">
        <f>IF(ISNUMBER(D53), $B64 * E53, "")</f>
        <v>1958.224543080933</v>
      </c>
      <c r="G53" s="92">
        <v>3.87</v>
      </c>
      <c r="H53" s="25">
        <f t="shared" si="19"/>
        <v>1.0443864229765022E-2</v>
      </c>
      <c r="I53" s="93">
        <f>IF(ISNUMBER(G53), $B64 * H53, "")</f>
        <v>1566.5796344647533</v>
      </c>
      <c r="J53" s="24">
        <v>3.86</v>
      </c>
      <c r="K53" s="25">
        <f t="shared" si="20"/>
        <v>7.8328981723237087E-3</v>
      </c>
      <c r="L53" s="94">
        <f>IF(ISNUMBER(J53), $B64 * K53, "")</f>
        <v>1174.9347258485564</v>
      </c>
      <c r="M53" s="92">
        <v>3.85</v>
      </c>
      <c r="N53" s="25">
        <f t="shared" si="21"/>
        <v>5.2219321148825109E-3</v>
      </c>
      <c r="O53" s="94">
        <f>IF(ISNUMBER(M53), $B64 * N53, "")</f>
        <v>783.28981723237666</v>
      </c>
      <c r="Q53" s="147"/>
      <c r="R53" s="148"/>
      <c r="S53" s="149"/>
    </row>
    <row r="54" spans="1:19" ht="17.25" customHeight="1">
      <c r="A54" s="107" t="s">
        <v>221</v>
      </c>
      <c r="B54" s="108">
        <v>17.399999999999999</v>
      </c>
      <c r="C54" s="69">
        <v>-2.2471910099999999E-2</v>
      </c>
      <c r="D54" s="13">
        <v>17.600000000000001</v>
      </c>
      <c r="E54" s="14">
        <f>IF(ISNUMBER(D54), (D54 - $B54) / $B54, "")</f>
        <v>1.1494252873563383E-2</v>
      </c>
      <c r="F54" s="16">
        <f>IF(ISNUMBER(D54), $B64 * E54, "")</f>
        <v>1724.1379310345073</v>
      </c>
      <c r="G54" s="29">
        <v>17.600000000000001</v>
      </c>
      <c r="H54" s="14">
        <f>IF(ISNUMBER(G54), (G54 - $B54) / $B54, "")</f>
        <v>1.1494252873563383E-2</v>
      </c>
      <c r="I54" s="90">
        <f>IF(ISNUMBER(G54), $B64 * H54, "")</f>
        <v>1724.1379310345073</v>
      </c>
      <c r="J54" s="13">
        <v>17.600000000000001</v>
      </c>
      <c r="K54" s="14">
        <f>IF(ISNUMBER(J54), (J54 - $B54) / $B54, "")</f>
        <v>1.1494252873563383E-2</v>
      </c>
      <c r="L54" s="16">
        <f>IF(ISNUMBER(J54), $B64 * K54, "")</f>
        <v>1724.1379310345073</v>
      </c>
      <c r="M54" s="29">
        <v>17.600000000000001</v>
      </c>
      <c r="N54" s="14">
        <f>IF(ISNUMBER(M54), (M54 - $B54) / $B54, "")</f>
        <v>1.1494252873563383E-2</v>
      </c>
      <c r="O54" s="16">
        <f>IF(ISNUMBER(M54), $B64 * N54, "")</f>
        <v>1724.1379310345073</v>
      </c>
      <c r="Q54" s="150"/>
      <c r="R54" s="151"/>
      <c r="S54" s="152"/>
    </row>
    <row r="55" spans="1:19" ht="17.25" customHeight="1" thickBot="1">
      <c r="A55" s="109" t="s">
        <v>203</v>
      </c>
      <c r="B55" s="110">
        <v>2.94</v>
      </c>
      <c r="C55" s="70">
        <v>-2.3255814E-2</v>
      </c>
      <c r="D55" s="15">
        <v>3</v>
      </c>
      <c r="E55" s="32">
        <f t="shared" ref="E55:E58" si="22">IF(ISNUMBER(D55), (D55 - $B55) / $B55, "")</f>
        <v>2.0408163265306142E-2</v>
      </c>
      <c r="F55" s="18">
        <f>IF(ISNUMBER(D55), $B64 * E55, "")</f>
        <v>3061.2244897959213</v>
      </c>
      <c r="G55" s="31">
        <v>3</v>
      </c>
      <c r="H55" s="32">
        <f t="shared" ref="H55:H58" si="23">IF(ISNUMBER(G55), (G55 - $B55) / $B55, "")</f>
        <v>2.0408163265306142E-2</v>
      </c>
      <c r="I55" s="91">
        <f>IF(ISNUMBER(G55), $B64 * H55, "")</f>
        <v>3061.2244897959213</v>
      </c>
      <c r="J55" s="15">
        <v>3</v>
      </c>
      <c r="K55" s="32">
        <f t="shared" ref="K55:K58" si="24">IF(ISNUMBER(J55), (J55 - $B55) / $B55, "")</f>
        <v>2.0408163265306142E-2</v>
      </c>
      <c r="L55" s="18">
        <f>IF(ISNUMBER(J55), $B64 * K55, "")</f>
        <v>3061.2244897959213</v>
      </c>
      <c r="M55" s="31">
        <v>3</v>
      </c>
      <c r="N55" s="32">
        <f t="shared" ref="N55:N58" si="25">IF(ISNUMBER(M55), (M55 - $B55) / $B55, "")</f>
        <v>2.0408163265306142E-2</v>
      </c>
      <c r="O55" s="18">
        <f>IF(ISNUMBER(M55), $B64 * N55, "")</f>
        <v>3061.2244897959213</v>
      </c>
      <c r="Q55" s="153"/>
      <c r="R55" s="154"/>
      <c r="S55" s="155"/>
    </row>
    <row r="56" spans="1:19" ht="17.25" customHeight="1" thickBot="1">
      <c r="A56" s="109" t="s">
        <v>143</v>
      </c>
      <c r="B56" s="110">
        <v>3.32</v>
      </c>
      <c r="C56" s="70">
        <v>-2.35294118E-2</v>
      </c>
      <c r="D56" s="15">
        <v>3.38</v>
      </c>
      <c r="E56" s="32">
        <f t="shared" si="22"/>
        <v>1.8072289156626523E-2</v>
      </c>
      <c r="F56" s="18">
        <f>IF(ISNUMBER(D56), $B64 * E56, "")</f>
        <v>2710.8433734939786</v>
      </c>
      <c r="G56" s="31">
        <v>3.37</v>
      </c>
      <c r="H56" s="32">
        <f t="shared" si="23"/>
        <v>1.5060240963855503E-2</v>
      </c>
      <c r="I56" s="91">
        <f>IF(ISNUMBER(G56), $B64 * H56, "")</f>
        <v>2259.0361445783255</v>
      </c>
      <c r="J56" s="15">
        <v>3.37</v>
      </c>
      <c r="K56" s="32">
        <f t="shared" si="24"/>
        <v>1.5060240963855503E-2</v>
      </c>
      <c r="L56" s="18">
        <f>IF(ISNUMBER(J56), $B64 * K56, "")</f>
        <v>2259.0361445783255</v>
      </c>
      <c r="M56" s="31">
        <v>3.38</v>
      </c>
      <c r="N56" s="32">
        <f t="shared" si="25"/>
        <v>1.8072289156626523E-2</v>
      </c>
      <c r="O56" s="18">
        <f>IF(ISNUMBER(M56), $B64 * N56, "")</f>
        <v>2710.8433734939786</v>
      </c>
      <c r="Q56" s="146"/>
      <c r="R56" s="146"/>
      <c r="S56" s="146"/>
    </row>
    <row r="57" spans="1:19" ht="17.25" customHeight="1" thickBot="1">
      <c r="A57" s="109" t="s">
        <v>122</v>
      </c>
      <c r="B57" s="110">
        <v>20.399999999999999</v>
      </c>
      <c r="C57" s="70">
        <v>-2.3923445000000002E-2</v>
      </c>
      <c r="D57" s="15">
        <v>21</v>
      </c>
      <c r="E57" s="32">
        <f t="shared" si="22"/>
        <v>2.9411764705882425E-2</v>
      </c>
      <c r="F57" s="18">
        <f>IF(ISNUMBER(D57), $B64 * E57, "")</f>
        <v>4411.7647058823641</v>
      </c>
      <c r="G57" s="31">
        <v>20.7</v>
      </c>
      <c r="H57" s="32">
        <f t="shared" si="23"/>
        <v>1.4705882352941213E-2</v>
      </c>
      <c r="I57" s="91">
        <f>IF(ISNUMBER(G57), $B64 * H57, "")</f>
        <v>2205.882352941182</v>
      </c>
      <c r="J57" s="15">
        <v>20.7</v>
      </c>
      <c r="K57" s="32">
        <f t="shared" si="24"/>
        <v>1.4705882352941213E-2</v>
      </c>
      <c r="L57" s="18">
        <f>IF(ISNUMBER(J57), $B64 * K57, "")</f>
        <v>2205.882352941182</v>
      </c>
      <c r="M57" s="31">
        <v>20.7</v>
      </c>
      <c r="N57" s="32">
        <f t="shared" si="25"/>
        <v>1.4705882352941213E-2</v>
      </c>
      <c r="O57" s="18">
        <f>IF(ISNUMBER(M57), $B64 * N57, "")</f>
        <v>2205.882352941182</v>
      </c>
      <c r="Q57" s="156"/>
      <c r="R57" s="156"/>
      <c r="S57" s="156"/>
    </row>
    <row r="58" spans="1:19" ht="17.25" customHeight="1" thickBot="1">
      <c r="A58" s="111" t="s">
        <v>138</v>
      </c>
      <c r="B58" s="112">
        <v>20.2</v>
      </c>
      <c r="C58" s="71">
        <v>-2.4154589399999999E-2</v>
      </c>
      <c r="D58" s="20">
        <v>21.2</v>
      </c>
      <c r="E58" s="21">
        <f t="shared" si="22"/>
        <v>4.9504950495049507E-2</v>
      </c>
      <c r="F58" s="22">
        <f>IF(ISNUMBER(D58), $B64 * E58, "")</f>
        <v>7425.742574257426</v>
      </c>
      <c r="G58" s="30">
        <v>21</v>
      </c>
      <c r="H58" s="21">
        <f t="shared" si="23"/>
        <v>3.9603960396039639E-2</v>
      </c>
      <c r="I58" s="95">
        <f>IF(ISNUMBER(G58), $B64 * H58, "")</f>
        <v>5940.5940594059457</v>
      </c>
      <c r="J58" s="20">
        <v>21.1</v>
      </c>
      <c r="K58" s="21">
        <f t="shared" si="24"/>
        <v>4.4554455445544663E-2</v>
      </c>
      <c r="L58" s="22">
        <f>IF(ISNUMBER(J58), $B64 * K58, "")</f>
        <v>6683.1683168316995</v>
      </c>
      <c r="M58" s="30">
        <v>21</v>
      </c>
      <c r="N58" s="21">
        <f t="shared" si="25"/>
        <v>3.9603960396039639E-2</v>
      </c>
      <c r="O58" s="22">
        <f>IF(ISNUMBER(M58), $B64 * N58, "")</f>
        <v>5940.5940594059457</v>
      </c>
      <c r="Q58" s="156"/>
      <c r="R58" s="156"/>
      <c r="S58" s="156"/>
    </row>
    <row r="59" spans="1:19" ht="17.25" customHeight="1" thickBot="1">
      <c r="A59" s="109" t="s">
        <v>56</v>
      </c>
      <c r="B59" s="113">
        <v>36.299999999999997</v>
      </c>
      <c r="C59" s="73">
        <v>-2.4193548400000001E-2</v>
      </c>
      <c r="D59" s="96">
        <v>37</v>
      </c>
      <c r="E59" s="97">
        <f>IF(ISNUMBER(D59), (D59 - $B59) / $B59, "")</f>
        <v>1.928374655647391E-2</v>
      </c>
      <c r="F59" s="98">
        <f>IF(ISNUMBER(D59), $B64 * E59, "")</f>
        <v>2892.5619834710865</v>
      </c>
      <c r="G59" s="99">
        <v>37</v>
      </c>
      <c r="H59" s="97">
        <f>IF(ISNUMBER(G59), (G59 - $B59) / $B59, "")</f>
        <v>1.928374655647391E-2</v>
      </c>
      <c r="I59" s="100">
        <f>IF(ISNUMBER(G59), $B64 * H59, "")</f>
        <v>2892.5619834710865</v>
      </c>
      <c r="J59" s="96">
        <v>37</v>
      </c>
      <c r="K59" s="97">
        <f>IF(ISNUMBER(J59), (J59 - $B59) / $B59, "")</f>
        <v>1.928374655647391E-2</v>
      </c>
      <c r="L59" s="98">
        <f>IF(ISNUMBER(J59), $B64 * K59, "")</f>
        <v>2892.5619834710865</v>
      </c>
      <c r="M59" s="99">
        <v>37</v>
      </c>
      <c r="N59" s="97">
        <f>IF(ISNUMBER(M59), (M59 - $B59) / $B59, "")</f>
        <v>1.928374655647391E-2</v>
      </c>
      <c r="O59" s="98">
        <f>IF(ISNUMBER(M59), $B64 * N59, "")</f>
        <v>2892.5619834710865</v>
      </c>
      <c r="Q59" s="146"/>
      <c r="R59" s="146"/>
      <c r="S59" s="146"/>
    </row>
    <row r="60" spans="1:19" ht="17.25" customHeight="1" thickBot="1">
      <c r="A60" s="109" t="s">
        <v>227</v>
      </c>
      <c r="B60" s="110">
        <v>34.299999999999997</v>
      </c>
      <c r="C60" s="70">
        <v>-2.5568181799999999E-2</v>
      </c>
      <c r="D60" s="15">
        <v>35.299999999999997</v>
      </c>
      <c r="E60" s="32">
        <f t="shared" ref="E60:E63" si="26">IF(ISNUMBER(D60), (D60 - $B60) / $B60, "")</f>
        <v>2.915451895043732E-2</v>
      </c>
      <c r="F60" s="18">
        <f>IF(ISNUMBER(D60), $B64 * E60, "")</f>
        <v>4373.1778425655984</v>
      </c>
      <c r="G60" s="31">
        <v>35.299999999999997</v>
      </c>
      <c r="H60" s="32">
        <f t="shared" ref="H60:H63" si="27">IF(ISNUMBER(G60), (G60 - $B60) / $B60, "")</f>
        <v>2.915451895043732E-2</v>
      </c>
      <c r="I60" s="91">
        <f>IF(ISNUMBER(G60), $B64 * H60, "")</f>
        <v>4373.1778425655984</v>
      </c>
      <c r="J60" s="15">
        <v>35.700000000000003</v>
      </c>
      <c r="K60" s="32">
        <f t="shared" ref="K60:K63" si="28">IF(ISNUMBER(J60), (J60 - $B60) / $B60, "")</f>
        <v>4.0816326530612415E-2</v>
      </c>
      <c r="L60" s="18">
        <f>IF(ISNUMBER(J60), $B64 * K60, "")</f>
        <v>6122.4489795918626</v>
      </c>
      <c r="M60" s="31">
        <v>35.5</v>
      </c>
      <c r="N60" s="32">
        <f t="shared" ref="N60:N63" si="29">IF(ISNUMBER(M60), (M60 - $B60) / $B60, "")</f>
        <v>3.4985422740524866E-2</v>
      </c>
      <c r="O60" s="18">
        <f>IF(ISNUMBER(M60), $B64 * N60, "")</f>
        <v>5247.8134110787296</v>
      </c>
      <c r="Q60" s="146"/>
      <c r="R60" s="146"/>
      <c r="S60" s="146"/>
    </row>
    <row r="61" spans="1:19" ht="17.25" customHeight="1" thickBot="1">
      <c r="A61" s="109" t="s">
        <v>193</v>
      </c>
      <c r="B61" s="110">
        <v>15.1</v>
      </c>
      <c r="C61" s="70">
        <v>-2.5806451599999999E-2</v>
      </c>
      <c r="D61" s="15">
        <v>15.3</v>
      </c>
      <c r="E61" s="32">
        <f t="shared" si="26"/>
        <v>1.3245033112582853E-2</v>
      </c>
      <c r="F61" s="18">
        <f>IF(ISNUMBER(D61), $B64 * E61, "")</f>
        <v>1986.7549668874278</v>
      </c>
      <c r="G61" s="31">
        <v>15.3</v>
      </c>
      <c r="H61" s="32">
        <f t="shared" si="27"/>
        <v>1.3245033112582853E-2</v>
      </c>
      <c r="I61" s="91">
        <f>IF(ISNUMBER(G61), $B64 * H61, "")</f>
        <v>1986.7549668874278</v>
      </c>
      <c r="J61" s="15">
        <v>15.3</v>
      </c>
      <c r="K61" s="32">
        <f t="shared" si="28"/>
        <v>1.3245033112582853E-2</v>
      </c>
      <c r="L61" s="18">
        <f>IF(ISNUMBER(J61), $B64 * K61, "")</f>
        <v>1986.7549668874278</v>
      </c>
      <c r="M61" s="31">
        <v>15.3</v>
      </c>
      <c r="N61" s="32">
        <f t="shared" si="29"/>
        <v>1.3245033112582853E-2</v>
      </c>
      <c r="O61" s="18">
        <f>IF(ISNUMBER(M61), $B64 * N61, "")</f>
        <v>1986.7549668874278</v>
      </c>
      <c r="Q61" s="146"/>
      <c r="R61" s="146"/>
      <c r="S61" s="146"/>
    </row>
    <row r="62" spans="1:19" ht="17.25" customHeight="1">
      <c r="A62" s="109" t="s">
        <v>197</v>
      </c>
      <c r="B62" s="110">
        <v>5.52</v>
      </c>
      <c r="C62" s="70">
        <v>-2.6455026499999999E-2</v>
      </c>
      <c r="D62" s="15">
        <v>5.61</v>
      </c>
      <c r="E62" s="32">
        <f t="shared" si="26"/>
        <v>1.6304347826087091E-2</v>
      </c>
      <c r="F62" s="18">
        <f>IF(ISNUMBER(D62), $B64 * E62, "")</f>
        <v>2445.6521739130635</v>
      </c>
      <c r="G62" s="31">
        <v>5.59</v>
      </c>
      <c r="H62" s="32">
        <f t="shared" si="27"/>
        <v>1.2681159420289908E-2</v>
      </c>
      <c r="I62" s="91">
        <f>IF(ISNUMBER(G62), $B64 * H62, "")</f>
        <v>1902.1739130434862</v>
      </c>
      <c r="J62" s="15">
        <v>5.59</v>
      </c>
      <c r="K62" s="32">
        <f t="shared" si="28"/>
        <v>1.2681159420289908E-2</v>
      </c>
      <c r="L62" s="18">
        <f>IF(ISNUMBER(J62), $B64 * K62, "")</f>
        <v>1902.1739130434862</v>
      </c>
      <c r="M62" s="31">
        <v>5.62</v>
      </c>
      <c r="N62" s="32">
        <f t="shared" si="29"/>
        <v>1.8115942028985605E-2</v>
      </c>
      <c r="O62" s="18">
        <f>IF(ISNUMBER(M62), $B64 * N62, "")</f>
        <v>2717.3913043478406</v>
      </c>
      <c r="Q62" s="135"/>
      <c r="R62" s="136"/>
      <c r="S62" s="137"/>
    </row>
    <row r="63" spans="1:19" ht="17.25" customHeight="1" thickBot="1">
      <c r="A63" s="114" t="s">
        <v>141</v>
      </c>
      <c r="B63" s="115">
        <v>2.92</v>
      </c>
      <c r="C63" s="72">
        <v>-2.6666666700000001E-2</v>
      </c>
      <c r="D63" s="24">
        <v>2.97</v>
      </c>
      <c r="E63" s="25">
        <f t="shared" si="26"/>
        <v>1.7123287671232969E-2</v>
      </c>
      <c r="F63" s="94">
        <f>IF(ISNUMBER(D63), $B64 * E63, "")</f>
        <v>2568.4931506849452</v>
      </c>
      <c r="G63" s="92">
        <v>2.97</v>
      </c>
      <c r="H63" s="25">
        <f t="shared" si="27"/>
        <v>1.7123287671232969E-2</v>
      </c>
      <c r="I63" s="93">
        <f>IF(ISNUMBER(G63), $B64 * H63, "")</f>
        <v>2568.4931506849452</v>
      </c>
      <c r="J63" s="24">
        <v>2.98</v>
      </c>
      <c r="K63" s="25">
        <f t="shared" si="28"/>
        <v>2.0547945205479472E-2</v>
      </c>
      <c r="L63" s="94">
        <f>IF(ISNUMBER(J63), $B64 * K63, "")</f>
        <v>3082.1917808219209</v>
      </c>
      <c r="M63" s="92">
        <v>2.97</v>
      </c>
      <c r="N63" s="25">
        <f t="shared" si="29"/>
        <v>1.7123287671232969E-2</v>
      </c>
      <c r="O63" s="94">
        <f>IF(ISNUMBER(M63), $B64 * N63, "")</f>
        <v>2568.4931506849452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1.7409260919657825E-2</v>
      </c>
      <c r="F64" s="28">
        <f>SUM(F44:F63)</f>
        <v>52227.782758973502</v>
      </c>
      <c r="G64" s="26" t="s">
        <v>258</v>
      </c>
      <c r="H64" s="27">
        <f>IF(COUNT(H44:H63), SUM(H44:H63) / COUNT(H44:H63), 0)</f>
        <v>1.5373002858362581E-2</v>
      </c>
      <c r="I64" s="28">
        <f>SUM(I44:I63)</f>
        <v>46119.008575087748</v>
      </c>
      <c r="J64" s="26" t="s">
        <v>258</v>
      </c>
      <c r="K64" s="27">
        <f>IF(COUNT(K44:K63), SUM(K44:K63) / COUNT(K44:K63), 0)</f>
        <v>1.5938896800841564E-2</v>
      </c>
      <c r="L64" s="28">
        <f>SUM(L44:L63)</f>
        <v>47816.690402524691</v>
      </c>
      <c r="M64" s="26" t="s">
        <v>258</v>
      </c>
      <c r="N64" s="27">
        <f>IF(COUNT(N44:N63), SUM(N44:N63) / COUNT(N44:N63), 0)</f>
        <v>1.7865943803966739E-2</v>
      </c>
      <c r="O64" s="28">
        <f>SUM(O44:O63)</f>
        <v>53597.831411900232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2023-01-07(토) 오전 00:00</v>
      </c>
      <c r="C69" s="198"/>
      <c r="D69" s="170" t="str">
        <f>TEXT($G$1, "[$-ko-KR]yyyy-mm-dd(ddd) ") &amp; "오후 14:00"</f>
        <v>2023-01-07(토) 오후 14:00</v>
      </c>
      <c r="E69" s="171"/>
      <c r="F69" s="172"/>
      <c r="G69" s="170" t="str">
        <f>TEXT($G$1, "[$-ko-KR]yyyy-mm-dd(ddd) ") &amp; "오후 19:00"</f>
        <v>2023-01-07(토) 오후 19:00</v>
      </c>
      <c r="H69" s="171"/>
      <c r="I69" s="172"/>
      <c r="J69" s="170" t="str">
        <f>TEXT($G$1, "[$-ko-KR]yyyy-mm-dd(ddd) ") &amp; "오후 21:00"</f>
        <v>2023-01-07(토) 오후 21:00</v>
      </c>
      <c r="K69" s="171"/>
      <c r="L69" s="172"/>
      <c r="M69" s="170" t="str">
        <f>TEXT($G$1+1, "[$-ko-KR]yyyy-mm-dd(ddd) ") &amp; "오전 00:00"</f>
        <v>2023-01-08(일)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157</v>
      </c>
      <c r="B71" s="108">
        <v>219</v>
      </c>
      <c r="C71" s="69">
        <v>2.3364486E-2</v>
      </c>
      <c r="D71" s="13">
        <v>214</v>
      </c>
      <c r="E71" s="14">
        <f>IF(ISNUMBER(D71), (D71 - $B71) / $B71, "")</f>
        <v>-2.2831050228310501E-2</v>
      </c>
      <c r="F71" s="16">
        <f>IF(ISNUMBER(D71), $B91 * E71, "")</f>
        <v>-3424.6575342465753</v>
      </c>
      <c r="G71" s="29">
        <v>212</v>
      </c>
      <c r="H71" s="14">
        <f>IF(ISNUMBER(G71), (G71 - $B71) / $B71, "")</f>
        <v>-3.1963470319634701E-2</v>
      </c>
      <c r="I71" s="90">
        <f>IF(ISNUMBER(G71), $B91 * H71, "")</f>
        <v>-4794.5205479452052</v>
      </c>
      <c r="J71" s="13">
        <v>211</v>
      </c>
      <c r="K71" s="14">
        <f>IF(ISNUMBER(J71), (J71 - $B71) / $B71, "")</f>
        <v>-3.6529680365296802E-2</v>
      </c>
      <c r="L71" s="16">
        <f>IF(ISNUMBER(J71), $B91 * K71, "")</f>
        <v>-5479.4520547945203</v>
      </c>
      <c r="M71" s="29">
        <v>212</v>
      </c>
      <c r="N71" s="14">
        <f>IF(ISNUMBER(M71), (M71 - $B71) / $B71, "")</f>
        <v>-3.1963470319634701E-2</v>
      </c>
      <c r="O71" s="16">
        <f>IF(ISNUMBER(M71), $B91 * N71, "")</f>
        <v>-4794.5205479452052</v>
      </c>
      <c r="Q71" s="156"/>
      <c r="R71" s="156"/>
      <c r="S71" s="156"/>
    </row>
    <row r="72" spans="1:19" ht="17.25" thickBot="1">
      <c r="A72" s="109" t="s">
        <v>66</v>
      </c>
      <c r="B72" s="110">
        <v>604</v>
      </c>
      <c r="C72" s="70">
        <v>1.0033444799999999E-2</v>
      </c>
      <c r="D72" s="15">
        <v>598</v>
      </c>
      <c r="E72" s="32">
        <f t="shared" ref="E72:E75" si="30">IF(ISNUMBER(D72), (D72 - $B72) / $B72, "")</f>
        <v>-9.9337748344370865E-3</v>
      </c>
      <c r="F72" s="18">
        <f>IF(ISNUMBER(D72), $B91 * E72, "")</f>
        <v>-1490.0662251655631</v>
      </c>
      <c r="G72" s="31">
        <v>597</v>
      </c>
      <c r="H72" s="32">
        <f t="shared" ref="H72:H75" si="31">IF(ISNUMBER(G72), (G72 - $B72) / $B72, "")</f>
        <v>-1.1589403973509934E-2</v>
      </c>
      <c r="I72" s="91">
        <f>IF(ISNUMBER(G72), $B91 * H72, "")</f>
        <v>-1738.4105960264901</v>
      </c>
      <c r="J72" s="15">
        <v>599</v>
      </c>
      <c r="K72" s="32">
        <f t="shared" ref="K72:K75" si="32">IF(ISNUMBER(J72), (J72 - $B72) / $B72, "")</f>
        <v>-8.2781456953642391E-3</v>
      </c>
      <c r="L72" s="18">
        <f>IF(ISNUMBER(J72), $B91 * K72, "")</f>
        <v>-1241.7218543046358</v>
      </c>
      <c r="M72" s="31">
        <v>599</v>
      </c>
      <c r="N72" s="32">
        <f t="shared" ref="N72:N75" si="33">IF(ISNUMBER(M72), (M72 - $B72) / $B72, "")</f>
        <v>-8.2781456953642391E-3</v>
      </c>
      <c r="O72" s="18">
        <f>IF(ISNUMBER(M72), $B91 * N72, "")</f>
        <v>-1241.7218543046358</v>
      </c>
      <c r="Q72" s="156"/>
      <c r="R72" s="156"/>
      <c r="S72" s="156"/>
    </row>
    <row r="73" spans="1:19" ht="17.25" thickBot="1">
      <c r="A73" s="109" t="s">
        <v>101</v>
      </c>
      <c r="B73" s="110">
        <v>202</v>
      </c>
      <c r="C73" s="70">
        <v>-4.9261084000000004E-3</v>
      </c>
      <c r="D73" s="15">
        <v>204</v>
      </c>
      <c r="E73" s="32">
        <f t="shared" si="30"/>
        <v>9.9009900990099011E-3</v>
      </c>
      <c r="F73" s="18">
        <f>IF(ISNUMBER(D73), $B91 * E73, "")</f>
        <v>1485.1485148514851</v>
      </c>
      <c r="G73" s="31">
        <v>204</v>
      </c>
      <c r="H73" s="32">
        <f t="shared" si="31"/>
        <v>9.9009900990099011E-3</v>
      </c>
      <c r="I73" s="91">
        <f>IF(ISNUMBER(G73), $B91 * H73, "")</f>
        <v>1485.1485148514851</v>
      </c>
      <c r="J73" s="15">
        <v>204</v>
      </c>
      <c r="K73" s="32">
        <f t="shared" si="32"/>
        <v>9.9009900990099011E-3</v>
      </c>
      <c r="L73" s="18">
        <f>IF(ISNUMBER(J73), $B91 * K73, "")</f>
        <v>1485.1485148514851</v>
      </c>
      <c r="M73" s="31">
        <v>203</v>
      </c>
      <c r="N73" s="32">
        <f t="shared" si="33"/>
        <v>4.9504950495049506E-3</v>
      </c>
      <c r="O73" s="18">
        <f>IF(ISNUMBER(M73), $B91 * N73, "")</f>
        <v>742.57425742574253</v>
      </c>
      <c r="Q73" s="146"/>
      <c r="R73" s="146"/>
      <c r="S73" s="146"/>
    </row>
    <row r="74" spans="1:19" ht="17.25" thickBot="1">
      <c r="A74" s="109" t="s">
        <v>223</v>
      </c>
      <c r="B74" s="110">
        <v>189</v>
      </c>
      <c r="C74" s="70">
        <v>-5.2631579E-3</v>
      </c>
      <c r="D74" s="15">
        <v>191</v>
      </c>
      <c r="E74" s="32">
        <f t="shared" si="30"/>
        <v>1.0582010582010581E-2</v>
      </c>
      <c r="F74" s="18">
        <f>IF(ISNUMBER(D74), $B91 * E74, "")</f>
        <v>1587.3015873015872</v>
      </c>
      <c r="G74" s="31">
        <v>191</v>
      </c>
      <c r="H74" s="32">
        <f t="shared" si="31"/>
        <v>1.0582010582010581E-2</v>
      </c>
      <c r="I74" s="91">
        <f>IF(ISNUMBER(G74), $B91 * H74, "")</f>
        <v>1587.3015873015872</v>
      </c>
      <c r="J74" s="15">
        <v>190</v>
      </c>
      <c r="K74" s="32">
        <f t="shared" si="32"/>
        <v>5.2910052910052907E-3</v>
      </c>
      <c r="L74" s="18">
        <f>IF(ISNUMBER(J74), $B91 * K74, "")</f>
        <v>793.65079365079362</v>
      </c>
      <c r="M74" s="31">
        <v>191</v>
      </c>
      <c r="N74" s="32">
        <f t="shared" si="33"/>
        <v>1.0582010582010581E-2</v>
      </c>
      <c r="O74" s="18">
        <f>IF(ISNUMBER(M74), $B91 * N74, "")</f>
        <v>1587.3015873015872</v>
      </c>
      <c r="Q74" s="146"/>
      <c r="R74" s="146"/>
      <c r="S74" s="146"/>
    </row>
    <row r="75" spans="1:19" ht="17.25" thickBot="1">
      <c r="A75" s="111" t="s">
        <v>81</v>
      </c>
      <c r="B75" s="112">
        <v>343</v>
      </c>
      <c r="C75" s="71">
        <v>-5.7971014E-3</v>
      </c>
      <c r="D75" s="20">
        <v>353</v>
      </c>
      <c r="E75" s="21">
        <f t="shared" si="30"/>
        <v>2.9154518950437316E-2</v>
      </c>
      <c r="F75" s="22">
        <f>IF(ISNUMBER(D75), $B91 * E75, "")</f>
        <v>4373.1778425655975</v>
      </c>
      <c r="G75" s="30">
        <v>349</v>
      </c>
      <c r="H75" s="21">
        <f t="shared" si="31"/>
        <v>1.7492711370262391E-2</v>
      </c>
      <c r="I75" s="95">
        <f>IF(ISNUMBER(G75), $B91 * H75, "")</f>
        <v>2623.9067055393589</v>
      </c>
      <c r="J75" s="20">
        <v>349</v>
      </c>
      <c r="K75" s="21">
        <f t="shared" si="32"/>
        <v>1.7492711370262391E-2</v>
      </c>
      <c r="L75" s="22">
        <f>IF(ISNUMBER(J75), $B91 * K75, "")</f>
        <v>2623.9067055393589</v>
      </c>
      <c r="M75" s="30">
        <v>348</v>
      </c>
      <c r="N75" s="21">
        <f t="shared" si="33"/>
        <v>1.4577259475218658E-2</v>
      </c>
      <c r="O75" s="22">
        <f>IF(ISNUMBER(M75), $B91 * N75, "")</f>
        <v>2186.5889212827988</v>
      </c>
      <c r="Q75" s="146"/>
      <c r="R75" s="146"/>
      <c r="S75" s="146"/>
    </row>
    <row r="76" spans="1:19" ht="17.25" thickBot="1">
      <c r="A76" s="109" t="s">
        <v>345</v>
      </c>
      <c r="B76" s="113">
        <v>108</v>
      </c>
      <c r="C76" s="73">
        <v>-9.1743119000000008E-3</v>
      </c>
      <c r="D76" s="96">
        <v>109</v>
      </c>
      <c r="E76" s="97">
        <f>IF(ISNUMBER(D76), (D76 - $B76) / $B76, "")</f>
        <v>9.2592592592592587E-3</v>
      </c>
      <c r="F76" s="98">
        <f>IF(ISNUMBER(D76), $B91 * E76, "")</f>
        <v>1388.8888888888889</v>
      </c>
      <c r="G76" s="99">
        <v>110</v>
      </c>
      <c r="H76" s="97">
        <f>IF(ISNUMBER(G76), (G76 - $B76) / $B76, "")</f>
        <v>1.8518518518518517E-2</v>
      </c>
      <c r="I76" s="100">
        <f>IF(ISNUMBER(G76), $B91 * H76, "")</f>
        <v>2777.7777777777778</v>
      </c>
      <c r="J76" s="96">
        <v>110</v>
      </c>
      <c r="K76" s="97">
        <f>IF(ISNUMBER(J76), (J76 - $B76) / $B76, "")</f>
        <v>1.8518518518518517E-2</v>
      </c>
      <c r="L76" s="98">
        <f>IF(ISNUMBER(J76), $B91 * K76, "")</f>
        <v>2777.7777777777778</v>
      </c>
      <c r="M76" s="99">
        <v>109</v>
      </c>
      <c r="N76" s="97">
        <f>IF(ISNUMBER(M76), (M76 - $B76) / $B76, "")</f>
        <v>9.2592592592592587E-3</v>
      </c>
      <c r="O76" s="98">
        <f>IF(ISNUMBER(M76), $B91 * N76, "")</f>
        <v>1388.8888888888889</v>
      </c>
      <c r="Q76" s="146"/>
      <c r="R76" s="146"/>
      <c r="S76" s="146"/>
    </row>
    <row r="77" spans="1:19" ht="17.25" thickBot="1">
      <c r="A77" s="109" t="s">
        <v>89</v>
      </c>
      <c r="B77" s="110">
        <v>429</v>
      </c>
      <c r="C77" s="70">
        <v>-9.2378753000000001E-3</v>
      </c>
      <c r="D77" s="15">
        <v>436</v>
      </c>
      <c r="E77" s="32">
        <f t="shared" ref="E77:E80" si="34">IF(ISNUMBER(D77), (D77 - $B77) / $B77, "")</f>
        <v>1.6317016317016316E-2</v>
      </c>
      <c r="F77" s="18">
        <f>IF(ISNUMBER(D77), $B91 * E77, "")</f>
        <v>2447.5524475524476</v>
      </c>
      <c r="G77" s="31">
        <v>435</v>
      </c>
      <c r="H77" s="32">
        <f t="shared" ref="H77:H80" si="35">IF(ISNUMBER(G77), (G77 - $B77) / $B77, "")</f>
        <v>1.3986013986013986E-2</v>
      </c>
      <c r="I77" s="91">
        <f>IF(ISNUMBER(G77), $B91 * H77, "")</f>
        <v>2097.9020979020979</v>
      </c>
      <c r="J77" s="15">
        <v>435</v>
      </c>
      <c r="K77" s="32">
        <f t="shared" ref="K77:K80" si="36">IF(ISNUMBER(J77), (J77 - $B77) / $B77, "")</f>
        <v>1.3986013986013986E-2</v>
      </c>
      <c r="L77" s="18">
        <f>IF(ISNUMBER(J77), $B91 * K77, "")</f>
        <v>2097.9020979020979</v>
      </c>
      <c r="M77" s="31">
        <v>439</v>
      </c>
      <c r="N77" s="32">
        <f t="shared" ref="N77:N80" si="37">IF(ISNUMBER(M77), (M77 - $B77) / $B77, "")</f>
        <v>2.3310023310023312E-2</v>
      </c>
      <c r="O77" s="18">
        <f>IF(ISNUMBER(M77), $B91 * N77, "")</f>
        <v>3496.5034965034965</v>
      </c>
      <c r="Q77" s="146"/>
      <c r="R77" s="146"/>
      <c r="S77" s="146"/>
    </row>
    <row r="78" spans="1:19" ht="17.25" thickBot="1">
      <c r="A78" s="109" t="s">
        <v>149</v>
      </c>
      <c r="B78" s="110">
        <v>317</v>
      </c>
      <c r="C78" s="70">
        <v>-1.2461059199999999E-2</v>
      </c>
      <c r="D78" s="15">
        <v>336</v>
      </c>
      <c r="E78" s="32">
        <f t="shared" si="34"/>
        <v>5.993690851735016E-2</v>
      </c>
      <c r="F78" s="18">
        <f>IF(ISNUMBER(D78), $B91 * E78, "")</f>
        <v>8990.5362776025231</v>
      </c>
      <c r="G78" s="31">
        <v>339</v>
      </c>
      <c r="H78" s="32">
        <f t="shared" si="35"/>
        <v>6.9400630914826497E-2</v>
      </c>
      <c r="I78" s="91">
        <f>IF(ISNUMBER(G78), $B91 * H78, "")</f>
        <v>10410.094637223974</v>
      </c>
      <c r="J78" s="15">
        <v>340</v>
      </c>
      <c r="K78" s="32">
        <f t="shared" si="36"/>
        <v>7.2555205047318619E-2</v>
      </c>
      <c r="L78" s="18">
        <f>IF(ISNUMBER(J78), $B91 * K78, "")</f>
        <v>10883.280757097793</v>
      </c>
      <c r="M78" s="31">
        <v>334</v>
      </c>
      <c r="N78" s="32">
        <f t="shared" si="37"/>
        <v>5.362776025236593E-2</v>
      </c>
      <c r="O78" s="18">
        <f>IF(ISNUMBER(M78), $B91 * N78, "")</f>
        <v>8044.1640378548891</v>
      </c>
      <c r="Q78" s="146"/>
      <c r="R78" s="146"/>
      <c r="S78" s="146"/>
    </row>
    <row r="79" spans="1:19" ht="17.25" thickBot="1">
      <c r="A79" s="109" t="s">
        <v>332</v>
      </c>
      <c r="B79" s="110">
        <v>492</v>
      </c>
      <c r="C79" s="70">
        <v>-1.6E-2</v>
      </c>
      <c r="D79" s="15">
        <v>505</v>
      </c>
      <c r="E79" s="32">
        <f t="shared" si="34"/>
        <v>2.6422764227642278E-2</v>
      </c>
      <c r="F79" s="18">
        <f>IF(ISNUMBER(D79), $B91 * E79, "")</f>
        <v>3963.4146341463415</v>
      </c>
      <c r="G79" s="31">
        <v>504</v>
      </c>
      <c r="H79" s="32">
        <f t="shared" si="35"/>
        <v>2.4390243902439025E-2</v>
      </c>
      <c r="I79" s="91">
        <f>IF(ISNUMBER(G79), $B91 * H79, "")</f>
        <v>3658.5365853658536</v>
      </c>
      <c r="J79" s="15">
        <v>502</v>
      </c>
      <c r="K79" s="32">
        <f t="shared" si="36"/>
        <v>2.032520325203252E-2</v>
      </c>
      <c r="L79" s="18">
        <f>IF(ISNUMBER(J79), $B91 * K79, "")</f>
        <v>3048.7804878048778</v>
      </c>
      <c r="M79" s="31">
        <v>505</v>
      </c>
      <c r="N79" s="32">
        <f t="shared" si="37"/>
        <v>2.6422764227642278E-2</v>
      </c>
      <c r="O79" s="18">
        <f>IF(ISNUMBER(M79), $B91 * N79, "")</f>
        <v>3963.4146341463415</v>
      </c>
      <c r="Q79" s="33"/>
      <c r="R79" s="33"/>
    </row>
    <row r="80" spans="1:19" ht="17.25" thickBot="1">
      <c r="A80" s="114" t="s">
        <v>326</v>
      </c>
      <c r="B80" s="115">
        <v>231</v>
      </c>
      <c r="C80" s="72">
        <v>-1.7021276599999999E-2</v>
      </c>
      <c r="D80" s="24">
        <v>241</v>
      </c>
      <c r="E80" s="25">
        <f t="shared" si="34"/>
        <v>4.3290043290043288E-2</v>
      </c>
      <c r="F80" s="94">
        <f>IF(ISNUMBER(D80), $B91 * E80, "")</f>
        <v>6493.5064935064929</v>
      </c>
      <c r="G80" s="92">
        <v>242</v>
      </c>
      <c r="H80" s="25">
        <f t="shared" si="35"/>
        <v>4.7619047619047616E-2</v>
      </c>
      <c r="I80" s="93">
        <f>IF(ISNUMBER(G80), $B91 * H80, "")</f>
        <v>7142.8571428571422</v>
      </c>
      <c r="J80" s="24">
        <v>241</v>
      </c>
      <c r="K80" s="25">
        <f t="shared" si="36"/>
        <v>4.3290043290043288E-2</v>
      </c>
      <c r="L80" s="94">
        <f>IF(ISNUMBER(J80), $B91 * K80, "")</f>
        <v>6493.5064935064929</v>
      </c>
      <c r="M80" s="92">
        <v>245</v>
      </c>
      <c r="N80" s="25">
        <f t="shared" si="37"/>
        <v>6.0606060606060608E-2</v>
      </c>
      <c r="O80" s="94">
        <f>IF(ISNUMBER(M80), $B91 * N80, "")</f>
        <v>9090.9090909090919</v>
      </c>
      <c r="Q80" s="147"/>
      <c r="R80" s="148"/>
      <c r="S80" s="149"/>
    </row>
    <row r="81" spans="1:19">
      <c r="A81" s="107" t="s">
        <v>130</v>
      </c>
      <c r="B81" s="108">
        <v>609</v>
      </c>
      <c r="C81" s="69">
        <v>-1.77419355E-2</v>
      </c>
      <c r="D81" s="13">
        <v>630</v>
      </c>
      <c r="E81" s="14">
        <f>IF(ISNUMBER(D81), (D81 - $B81) / $B81, "")</f>
        <v>3.4482758620689655E-2</v>
      </c>
      <c r="F81" s="16">
        <f>IF(ISNUMBER(D81), $B91 * E81, "")</f>
        <v>5172.4137931034484</v>
      </c>
      <c r="G81" s="29">
        <v>634</v>
      </c>
      <c r="H81" s="14">
        <f>IF(ISNUMBER(G81), (G81 - $B81) / $B81, "")</f>
        <v>4.1050903119868636E-2</v>
      </c>
      <c r="I81" s="90">
        <f>IF(ISNUMBER(G81), $B91 * H81, "")</f>
        <v>6157.6354679802953</v>
      </c>
      <c r="J81" s="13">
        <v>633</v>
      </c>
      <c r="K81" s="14">
        <f>IF(ISNUMBER(J81), (J81 - $B81) / $B81, "")</f>
        <v>3.9408866995073892E-2</v>
      </c>
      <c r="L81" s="16">
        <f>IF(ISNUMBER(J81), $B91 * K81, "")</f>
        <v>5911.3300492610842</v>
      </c>
      <c r="M81" s="29">
        <v>635</v>
      </c>
      <c r="N81" s="14">
        <f>IF(ISNUMBER(M81), (M81 - $B81) / $B81, "")</f>
        <v>4.2692939244663386E-2</v>
      </c>
      <c r="O81" s="16">
        <f>IF(ISNUMBER(M81), $B91 * N81, "")</f>
        <v>6403.9408866995082</v>
      </c>
      <c r="Q81" s="150"/>
      <c r="R81" s="151"/>
      <c r="S81" s="152"/>
    </row>
    <row r="82" spans="1:19" ht="17.25" thickBot="1">
      <c r="A82" s="109" t="s">
        <v>161</v>
      </c>
      <c r="B82" s="110">
        <v>273</v>
      </c>
      <c r="C82" s="70">
        <v>-1.7985611499999998E-2</v>
      </c>
      <c r="D82" s="15">
        <v>279</v>
      </c>
      <c r="E82" s="32">
        <f t="shared" ref="E82:E85" si="38">IF(ISNUMBER(D82), (D82 - $B82) / $B82, "")</f>
        <v>2.197802197802198E-2</v>
      </c>
      <c r="F82" s="18">
        <f>IF(ISNUMBER(D82), $B91 * E82, "")</f>
        <v>3296.7032967032969</v>
      </c>
      <c r="G82" s="31">
        <v>278</v>
      </c>
      <c r="H82" s="32">
        <f t="shared" ref="H82:H85" si="39">IF(ISNUMBER(G82), (G82 - $B82) / $B82, "")</f>
        <v>1.8315018315018316E-2</v>
      </c>
      <c r="I82" s="91">
        <f>IF(ISNUMBER(G82), $B91 * H82, "")</f>
        <v>2747.2527472527472</v>
      </c>
      <c r="J82" s="15">
        <v>280</v>
      </c>
      <c r="K82" s="32">
        <f t="shared" ref="K82:K85" si="40">IF(ISNUMBER(J82), (J82 - $B82) / $B82, "")</f>
        <v>2.564102564102564E-2</v>
      </c>
      <c r="L82" s="18">
        <f>IF(ISNUMBER(J82), $B91 * K82, "")</f>
        <v>3846.1538461538462</v>
      </c>
      <c r="M82" s="31">
        <v>279</v>
      </c>
      <c r="N82" s="32">
        <f t="shared" ref="N82:N85" si="41">IF(ISNUMBER(M82), (M82 - $B82) / $B82, "")</f>
        <v>2.197802197802198E-2</v>
      </c>
      <c r="O82" s="18">
        <f>IF(ISNUMBER(M82), $B91 * N82, "")</f>
        <v>3296.7032967032969</v>
      </c>
      <c r="Q82" s="153"/>
      <c r="R82" s="154"/>
      <c r="S82" s="155"/>
    </row>
    <row r="83" spans="1:19" ht="17.25" thickBot="1">
      <c r="A83" s="109" t="s">
        <v>167</v>
      </c>
      <c r="B83" s="110">
        <v>159</v>
      </c>
      <c r="C83" s="70">
        <v>-1.8518518500000001E-2</v>
      </c>
      <c r="D83" s="15">
        <v>161</v>
      </c>
      <c r="E83" s="32">
        <f t="shared" si="38"/>
        <v>1.2578616352201259E-2</v>
      </c>
      <c r="F83" s="18">
        <f>IF(ISNUMBER(D83), $B91 * E83, "")</f>
        <v>1886.7924528301887</v>
      </c>
      <c r="G83" s="31">
        <v>161</v>
      </c>
      <c r="H83" s="32">
        <f t="shared" si="39"/>
        <v>1.2578616352201259E-2</v>
      </c>
      <c r="I83" s="91">
        <f>IF(ISNUMBER(G83), $B91 * H83, "")</f>
        <v>1886.7924528301887</v>
      </c>
      <c r="J83" s="15">
        <v>161</v>
      </c>
      <c r="K83" s="32">
        <f t="shared" si="40"/>
        <v>1.2578616352201259E-2</v>
      </c>
      <c r="L83" s="18">
        <f>IF(ISNUMBER(J83), $B91 * K83, "")</f>
        <v>1886.7924528301887</v>
      </c>
      <c r="M83" s="31">
        <v>161</v>
      </c>
      <c r="N83" s="32">
        <f t="shared" si="41"/>
        <v>1.2578616352201259E-2</v>
      </c>
      <c r="O83" s="18">
        <f>IF(ISNUMBER(M83), $B91 * N83, "")</f>
        <v>1886.7924528301887</v>
      </c>
      <c r="Q83" s="146"/>
      <c r="R83" s="146"/>
      <c r="S83" s="146"/>
    </row>
    <row r="84" spans="1:19" ht="17.25" thickBot="1">
      <c r="A84" s="109" t="s">
        <v>109</v>
      </c>
      <c r="B84" s="110">
        <v>945</v>
      </c>
      <c r="C84" s="70">
        <v>-1.8691588799999999E-2</v>
      </c>
      <c r="D84" s="15">
        <v>969</v>
      </c>
      <c r="E84" s="32">
        <f t="shared" si="38"/>
        <v>2.5396825396825397E-2</v>
      </c>
      <c r="F84" s="18">
        <f>IF(ISNUMBER(D84), $B91 * E84, "")</f>
        <v>3809.5238095238096</v>
      </c>
      <c r="G84" s="31">
        <v>976</v>
      </c>
      <c r="H84" s="32">
        <f t="shared" si="39"/>
        <v>3.2804232804232801E-2</v>
      </c>
      <c r="I84" s="91">
        <f>IF(ISNUMBER(G84), $B91 * H84, "")</f>
        <v>4920.6349206349205</v>
      </c>
      <c r="J84" s="15">
        <v>973</v>
      </c>
      <c r="K84" s="32">
        <f t="shared" si="40"/>
        <v>2.9629629629629631E-2</v>
      </c>
      <c r="L84" s="18">
        <f>IF(ISNUMBER(J84), $B91 * K84, "")</f>
        <v>4444.4444444444443</v>
      </c>
      <c r="M84" s="31">
        <v>977</v>
      </c>
      <c r="N84" s="32">
        <f t="shared" si="41"/>
        <v>3.3862433862433865E-2</v>
      </c>
      <c r="O84" s="18">
        <f>IF(ISNUMBER(M84), $B91 * N84, "")</f>
        <v>5079.3650793650795</v>
      </c>
      <c r="Q84" s="156"/>
      <c r="R84" s="156"/>
      <c r="S84" s="156"/>
    </row>
    <row r="85" spans="1:19" ht="17.25" thickBot="1">
      <c r="A85" s="111" t="s">
        <v>165</v>
      </c>
      <c r="B85" s="112">
        <v>873</v>
      </c>
      <c r="C85" s="71">
        <v>-1.9101123599999999E-2</v>
      </c>
      <c r="D85" s="20">
        <v>889</v>
      </c>
      <c r="E85" s="21">
        <f t="shared" si="38"/>
        <v>1.8327605956471937E-2</v>
      </c>
      <c r="F85" s="22">
        <f>IF(ISNUMBER(D85), $B91 * E85, "")</f>
        <v>2749.1408934707906</v>
      </c>
      <c r="G85" s="30">
        <v>885</v>
      </c>
      <c r="H85" s="21">
        <f t="shared" si="39"/>
        <v>1.3745704467353952E-2</v>
      </c>
      <c r="I85" s="95">
        <f>IF(ISNUMBER(G85), $B91 * H85, "")</f>
        <v>2061.855670103093</v>
      </c>
      <c r="J85" s="20">
        <v>888</v>
      </c>
      <c r="K85" s="21">
        <f t="shared" si="40"/>
        <v>1.7182130584192441E-2</v>
      </c>
      <c r="L85" s="22">
        <f>IF(ISNUMBER(J85), $B91 * K85, "")</f>
        <v>2577.319587628866</v>
      </c>
      <c r="M85" s="30">
        <v>888</v>
      </c>
      <c r="N85" s="21">
        <f t="shared" si="41"/>
        <v>1.7182130584192441E-2</v>
      </c>
      <c r="O85" s="22">
        <f>IF(ISNUMBER(M85), $B91 * N85, "")</f>
        <v>2577.319587628866</v>
      </c>
      <c r="Q85" s="156"/>
      <c r="R85" s="156"/>
      <c r="S85" s="156"/>
    </row>
    <row r="86" spans="1:19" ht="17.25" thickBot="1">
      <c r="A86" s="109" t="s">
        <v>60</v>
      </c>
      <c r="B86" s="113">
        <v>404</v>
      </c>
      <c r="C86" s="73">
        <v>-1.9417475699999999E-2</v>
      </c>
      <c r="D86" s="96">
        <v>443</v>
      </c>
      <c r="E86" s="97">
        <f>IF(ISNUMBER(D86), (D86 - $B86) / $B86, "")</f>
        <v>9.6534653465346537E-2</v>
      </c>
      <c r="F86" s="98">
        <f>IF(ISNUMBER(D86), $B91 * E86, "")</f>
        <v>14480.198019801981</v>
      </c>
      <c r="G86" s="99">
        <v>452</v>
      </c>
      <c r="H86" s="97">
        <f>IF(ISNUMBER(G86), (G86 - $B86) / $B86, "")</f>
        <v>0.11881188118811881</v>
      </c>
      <c r="I86" s="100">
        <f>IF(ISNUMBER(G86), $B91 * H86, "")</f>
        <v>17821.782178217822</v>
      </c>
      <c r="J86" s="96">
        <v>449</v>
      </c>
      <c r="K86" s="97">
        <f>IF(ISNUMBER(J86), (J86 - $B86) / $B86, "")</f>
        <v>0.11138613861386139</v>
      </c>
      <c r="L86" s="98">
        <f>IF(ISNUMBER(J86), $B91 * K86, "")</f>
        <v>16707.920792079207</v>
      </c>
      <c r="M86" s="99">
        <v>446</v>
      </c>
      <c r="N86" s="97">
        <f>IF(ISNUMBER(M86), (M86 - $B86) / $B86, "")</f>
        <v>0.10396039603960396</v>
      </c>
      <c r="O86" s="98">
        <f>IF(ISNUMBER(M86), $B91 * N86, "")</f>
        <v>15594.059405940594</v>
      </c>
      <c r="Q86" s="146"/>
      <c r="R86" s="146"/>
      <c r="S86" s="146"/>
    </row>
    <row r="87" spans="1:19" ht="17.25" thickBot="1">
      <c r="A87" s="109" t="s">
        <v>339</v>
      </c>
      <c r="B87" s="110">
        <v>990</v>
      </c>
      <c r="C87" s="70">
        <v>-1.9801980199999999E-2</v>
      </c>
      <c r="D87" s="15">
        <v>1020</v>
      </c>
      <c r="E87" s="32">
        <f t="shared" ref="E87:E90" si="42">IF(ISNUMBER(D87), (D87 - $B87) / $B87, "")</f>
        <v>3.0303030303030304E-2</v>
      </c>
      <c r="F87" s="18">
        <f>IF(ISNUMBER(D87), $B91 * E87, "")</f>
        <v>4545.454545454546</v>
      </c>
      <c r="G87" s="31">
        <v>1020</v>
      </c>
      <c r="H87" s="32">
        <f t="shared" ref="H87:H90" si="43">IF(ISNUMBER(G87), (G87 - $B87) / $B87, "")</f>
        <v>3.0303030303030304E-2</v>
      </c>
      <c r="I87" s="91">
        <f>IF(ISNUMBER(G87), $B91 * H87, "")</f>
        <v>4545.454545454546</v>
      </c>
      <c r="J87" s="15">
        <v>1015</v>
      </c>
      <c r="K87" s="32">
        <f t="shared" ref="K87:K90" si="44">IF(ISNUMBER(J87), (J87 - $B87) / $B87, "")</f>
        <v>2.5252525252525252E-2</v>
      </c>
      <c r="L87" s="18">
        <f>IF(ISNUMBER(J87), $B91 * K87, "")</f>
        <v>3787.878787878788</v>
      </c>
      <c r="M87" s="31">
        <v>1025</v>
      </c>
      <c r="N87" s="32">
        <f t="shared" ref="N87:N90" si="45">IF(ISNUMBER(M87), (M87 - $B87) / $B87, "")</f>
        <v>3.5353535353535352E-2</v>
      </c>
      <c r="O87" s="18">
        <f>IF(ISNUMBER(M87), $B91 * N87, "")</f>
        <v>5303.030303030303</v>
      </c>
      <c r="Q87" s="146"/>
      <c r="R87" s="146"/>
      <c r="S87" s="146"/>
    </row>
    <row r="88" spans="1:19" ht="17.25" thickBot="1">
      <c r="A88" s="109" t="s">
        <v>229</v>
      </c>
      <c r="B88" s="110">
        <v>230</v>
      </c>
      <c r="C88" s="70">
        <v>-2.1276595700000001E-2</v>
      </c>
      <c r="D88" s="15">
        <v>232</v>
      </c>
      <c r="E88" s="32">
        <f t="shared" si="42"/>
        <v>8.6956521739130436E-3</v>
      </c>
      <c r="F88" s="18">
        <f>IF(ISNUMBER(D88), $B91 * E88, "")</f>
        <v>1304.3478260869565</v>
      </c>
      <c r="G88" s="31">
        <v>234</v>
      </c>
      <c r="H88" s="32">
        <f t="shared" si="43"/>
        <v>1.7391304347826087E-2</v>
      </c>
      <c r="I88" s="91">
        <f>IF(ISNUMBER(G88), $B91 * H88, "")</f>
        <v>2608.695652173913</v>
      </c>
      <c r="J88" s="15">
        <v>233</v>
      </c>
      <c r="K88" s="32">
        <f t="shared" si="44"/>
        <v>1.3043478260869565E-2</v>
      </c>
      <c r="L88" s="18">
        <f>IF(ISNUMBER(J88), $B91 * K88, "")</f>
        <v>1956.5217391304348</v>
      </c>
      <c r="M88" s="31">
        <v>234</v>
      </c>
      <c r="N88" s="32">
        <f t="shared" si="45"/>
        <v>1.7391304347826087E-2</v>
      </c>
      <c r="O88" s="18">
        <f>IF(ISNUMBER(M88), $B91 * N88, "")</f>
        <v>2608.695652173913</v>
      </c>
      <c r="Q88" s="146"/>
      <c r="R88" s="146"/>
      <c r="S88" s="146"/>
    </row>
    <row r="89" spans="1:19">
      <c r="A89" s="109" t="s">
        <v>330</v>
      </c>
      <c r="B89" s="110">
        <v>262</v>
      </c>
      <c r="C89" s="70">
        <v>-2.2388059700000001E-2</v>
      </c>
      <c r="D89" s="15">
        <v>268</v>
      </c>
      <c r="E89" s="32">
        <f t="shared" si="42"/>
        <v>2.2900763358778626E-2</v>
      </c>
      <c r="F89" s="18">
        <f>IF(ISNUMBER(D89), $B91 * E89, "")</f>
        <v>3435.1145038167938</v>
      </c>
      <c r="G89" s="31">
        <v>269</v>
      </c>
      <c r="H89" s="32">
        <f t="shared" si="43"/>
        <v>2.6717557251908396E-2</v>
      </c>
      <c r="I89" s="91">
        <f>IF(ISNUMBER(G89), $B91 * H89, "")</f>
        <v>4007.6335877862593</v>
      </c>
      <c r="J89" s="15">
        <v>267</v>
      </c>
      <c r="K89" s="32">
        <f t="shared" si="44"/>
        <v>1.9083969465648856E-2</v>
      </c>
      <c r="L89" s="18">
        <f>IF(ISNUMBER(J89), $B91 * K89, "")</f>
        <v>2862.5954198473282</v>
      </c>
      <c r="M89" s="31">
        <v>267</v>
      </c>
      <c r="N89" s="32">
        <f t="shared" si="45"/>
        <v>1.9083969465648856E-2</v>
      </c>
      <c r="O89" s="18">
        <f>IF(ISNUMBER(M89), $B91 * N89, "")</f>
        <v>2862.5954198473282</v>
      </c>
      <c r="Q89" s="135"/>
      <c r="R89" s="136"/>
      <c r="S89" s="137"/>
    </row>
    <row r="90" spans="1:19" ht="17.25" thickBot="1">
      <c r="A90" s="114" t="s">
        <v>95</v>
      </c>
      <c r="B90" s="115">
        <v>953</v>
      </c>
      <c r="C90" s="72">
        <v>-2.35655738E-2</v>
      </c>
      <c r="D90" s="24">
        <v>995</v>
      </c>
      <c r="E90" s="25">
        <f t="shared" si="42"/>
        <v>4.4071353620146907E-2</v>
      </c>
      <c r="F90" s="94">
        <f>IF(ISNUMBER(D90), $B91 * E90, "")</f>
        <v>6610.7030430220357</v>
      </c>
      <c r="G90" s="92">
        <v>1000</v>
      </c>
      <c r="H90" s="25">
        <f t="shared" si="43"/>
        <v>4.9317943336831059E-2</v>
      </c>
      <c r="I90" s="93">
        <f>IF(ISNUMBER(G90), $B91 * H90, "")</f>
        <v>7397.6915005246592</v>
      </c>
      <c r="J90" s="24">
        <v>998</v>
      </c>
      <c r="K90" s="25">
        <f t="shared" si="44"/>
        <v>4.7219307450157399E-2</v>
      </c>
      <c r="L90" s="94">
        <f>IF(ISNUMBER(J90), $B91 * K90, "")</f>
        <v>7082.89611752361</v>
      </c>
      <c r="M90" s="92">
        <v>998</v>
      </c>
      <c r="N90" s="25">
        <f t="shared" si="45"/>
        <v>4.7219307450157399E-2</v>
      </c>
      <c r="O90" s="94">
        <f>IF(ISNUMBER(M90), $B91 * N90, "")</f>
        <v>7082.89611752361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2.4368398370272354E-2</v>
      </c>
      <c r="F91" s="28">
        <f>SUM(F71:F90)</f>
        <v>73105.195110817076</v>
      </c>
      <c r="G91" s="26" t="s">
        <v>258</v>
      </c>
      <c r="H91" s="27">
        <f>IF(COUNT(H71:H90), SUM(H71:H90) / COUNT(H71:H90), 0)</f>
        <v>2.6468674209268673E-2</v>
      </c>
      <c r="I91" s="28">
        <f>SUM(I71:I90)</f>
        <v>79406.022627806014</v>
      </c>
      <c r="J91" s="26" t="s">
        <v>258</v>
      </c>
      <c r="K91" s="27">
        <f>IF(COUNT(K71:K90), SUM(K71:K90) / COUNT(K71:K90), 0)</f>
        <v>2.4848877651936434E-2</v>
      </c>
      <c r="L91" s="28">
        <f>SUM(L71:L90)</f>
        <v>74546.632955809313</v>
      </c>
      <c r="M91" s="26" t="s">
        <v>258</v>
      </c>
      <c r="N91" s="27">
        <f>IF(COUNT(N71:N90), SUM(N71:N90) / COUNT(N71:N90), 0)</f>
        <v>2.5719833571268558E-2</v>
      </c>
      <c r="O91" s="28">
        <f>SUM(O71:O90)</f>
        <v>77159.500713805683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2023-01-07(토) 오전 00:00</v>
      </c>
      <c r="C96" s="198"/>
      <c r="D96" s="170" t="str">
        <f>TEXT($G$1, "[$-ko-KR]yyyy-mm-dd(ddd) ") &amp; "오후 14:00"</f>
        <v>2023-01-07(토) 오후 14:00</v>
      </c>
      <c r="E96" s="171"/>
      <c r="F96" s="172"/>
      <c r="G96" s="170" t="str">
        <f>TEXT($G$1, "[$-ko-KR]yyyy-mm-dd(ddd) ") &amp; "오후 19:00"</f>
        <v>2023-01-07(토) 오후 19:00</v>
      </c>
      <c r="H96" s="171"/>
      <c r="I96" s="172"/>
      <c r="J96" s="170" t="str">
        <f>TEXT($G$1, "[$-ko-KR]yyyy-mm-dd(ddd) ") &amp; "오후 21:00"</f>
        <v>2023-01-07(토) 오후 21:00</v>
      </c>
      <c r="K96" s="171"/>
      <c r="L96" s="172"/>
      <c r="M96" s="170" t="str">
        <f>TEXT($G$1+1, "[$-ko-KR]yyyy-mm-dd(ddd) ") &amp; "오전 00:00"</f>
        <v>2023-01-08(일)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107</v>
      </c>
      <c r="B98" s="108">
        <v>36</v>
      </c>
      <c r="C98" s="69">
        <v>3.1518624600000003E-2</v>
      </c>
      <c r="D98" s="13">
        <v>35.5</v>
      </c>
      <c r="E98" s="14">
        <f>IF(ISNUMBER(D98), (D98 - $B98) / $B98, "")</f>
        <v>-1.3888888888888888E-2</v>
      </c>
      <c r="F98" s="16">
        <f>IF(ISNUMBER(D98), $B118 * E98, "")</f>
        <v>-2083.333333333333</v>
      </c>
      <c r="G98" s="29">
        <v>35.299999999999997</v>
      </c>
      <c r="H98" s="14">
        <f>IF(ISNUMBER(G98), (G98 - $B98) / $B98, "")</f>
        <v>-1.9444444444444525E-2</v>
      </c>
      <c r="I98" s="90">
        <f>IF(ISNUMBER(G98), $B118 * H98, "")</f>
        <v>-2916.6666666666788</v>
      </c>
      <c r="J98" s="13">
        <v>35.4</v>
      </c>
      <c r="K98" s="14">
        <f>IF(ISNUMBER(J98), (J98 - $B98) / $B98, "")</f>
        <v>-1.6666666666666705E-2</v>
      </c>
      <c r="L98" s="16">
        <f>IF(ISNUMBER(J98), $B118 * K98, "")</f>
        <v>-2500.0000000000059</v>
      </c>
      <c r="M98" s="29">
        <v>35.4</v>
      </c>
      <c r="N98" s="14">
        <f>IF(ISNUMBER(M98), (M98 - $B98) / $B98, "")</f>
        <v>-1.6666666666666705E-2</v>
      </c>
      <c r="O98" s="16">
        <f>IF(ISNUMBER(M98), $B118 * N98, "")</f>
        <v>-2500.0000000000059</v>
      </c>
      <c r="Q98" s="156"/>
      <c r="R98" s="156"/>
      <c r="S98" s="156"/>
    </row>
    <row r="99" spans="1:19" ht="17.25" thickBot="1">
      <c r="A99" s="109" t="s">
        <v>157</v>
      </c>
      <c r="B99" s="110">
        <v>219</v>
      </c>
      <c r="C99" s="70">
        <v>2.3364486E-2</v>
      </c>
      <c r="D99" s="15">
        <v>214</v>
      </c>
      <c r="E99" s="32">
        <f t="shared" ref="E99:E102" si="46">IF(ISNUMBER(D99), (D99 - $B99) / $B99, "")</f>
        <v>-2.2831050228310501E-2</v>
      </c>
      <c r="F99" s="18">
        <f>IF(ISNUMBER(D99), $B118 * E99, "")</f>
        <v>-3424.6575342465753</v>
      </c>
      <c r="G99" s="31">
        <v>212</v>
      </c>
      <c r="H99" s="32">
        <f t="shared" ref="H99:H102" si="47">IF(ISNUMBER(G99), (G99 - $B99) / $B99, "")</f>
        <v>-3.1963470319634701E-2</v>
      </c>
      <c r="I99" s="91">
        <f>IF(ISNUMBER(G99), $B118 * H99, "")</f>
        <v>-4794.5205479452052</v>
      </c>
      <c r="J99" s="15">
        <v>211</v>
      </c>
      <c r="K99" s="32">
        <f t="shared" ref="K99:K102" si="48">IF(ISNUMBER(J99), (J99 - $B99) / $B99, "")</f>
        <v>-3.6529680365296802E-2</v>
      </c>
      <c r="L99" s="18">
        <f>IF(ISNUMBER(J99), $B118 * K99, "")</f>
        <v>-5479.4520547945203</v>
      </c>
      <c r="M99" s="31">
        <v>212</v>
      </c>
      <c r="N99" s="32">
        <f t="shared" ref="N99:N102" si="49">IF(ISNUMBER(M99), (M99 - $B99) / $B99, "")</f>
        <v>-3.1963470319634701E-2</v>
      </c>
      <c r="O99" s="18">
        <f>IF(ISNUMBER(M99), $B118 * N99, "")</f>
        <v>-4794.5205479452052</v>
      </c>
      <c r="Q99" s="156"/>
      <c r="R99" s="156"/>
      <c r="S99" s="156"/>
    </row>
    <row r="100" spans="1:19" ht="17.25" thickBot="1">
      <c r="A100" s="109" t="s">
        <v>205</v>
      </c>
      <c r="B100" s="110">
        <v>93.2</v>
      </c>
      <c r="C100" s="70">
        <v>2.1929824600000002E-2</v>
      </c>
      <c r="D100" s="15">
        <v>93.2</v>
      </c>
      <c r="E100" s="32">
        <f t="shared" si="46"/>
        <v>0</v>
      </c>
      <c r="F100" s="18">
        <f>IF(ISNUMBER(D100), $B118 * E100, "")</f>
        <v>0</v>
      </c>
      <c r="G100" s="31">
        <v>93</v>
      </c>
      <c r="H100" s="32">
        <f t="shared" si="47"/>
        <v>-2.1459227467811462E-3</v>
      </c>
      <c r="I100" s="91">
        <f>IF(ISNUMBER(G100), $B118 * H100, "")</f>
        <v>-321.88841201717196</v>
      </c>
      <c r="J100" s="15">
        <v>93.1</v>
      </c>
      <c r="K100" s="32">
        <f t="shared" si="48"/>
        <v>-1.0729613733906494E-3</v>
      </c>
      <c r="L100" s="18">
        <f>IF(ISNUMBER(J100), $B118 * K100, "")</f>
        <v>-160.9442060085974</v>
      </c>
      <c r="M100" s="31">
        <v>93.2</v>
      </c>
      <c r="N100" s="32">
        <f t="shared" si="49"/>
        <v>0</v>
      </c>
      <c r="O100" s="18">
        <f>IF(ISNUMBER(M100), $B118 * N100, "")</f>
        <v>0</v>
      </c>
      <c r="Q100" s="146"/>
      <c r="R100" s="146"/>
      <c r="S100" s="146"/>
    </row>
    <row r="101" spans="1:19" ht="17.25" thickBot="1">
      <c r="A101" s="109" t="s">
        <v>51</v>
      </c>
      <c r="B101" s="110">
        <v>94.6</v>
      </c>
      <c r="C101" s="70">
        <v>1.28479657E-2</v>
      </c>
      <c r="D101" s="15">
        <v>94.7</v>
      </c>
      <c r="E101" s="32">
        <f t="shared" si="46"/>
        <v>1.0570824524313799E-3</v>
      </c>
      <c r="F101" s="18">
        <f>IF(ISNUMBER(D101), $B118 * E101, "")</f>
        <v>158.56236786470697</v>
      </c>
      <c r="G101" s="31">
        <v>95.4</v>
      </c>
      <c r="H101" s="32">
        <f t="shared" si="47"/>
        <v>8.4566596194504372E-3</v>
      </c>
      <c r="I101" s="91">
        <f>IF(ISNUMBER(G101), $B118 * H101, "")</f>
        <v>1268.4989429175655</v>
      </c>
      <c r="J101" s="15">
        <v>95.3</v>
      </c>
      <c r="K101" s="32">
        <f t="shared" si="48"/>
        <v>7.3995771670190584E-3</v>
      </c>
      <c r="L101" s="18">
        <f>IF(ISNUMBER(J101), $B118 * K101, "")</f>
        <v>1109.9365750528586</v>
      </c>
      <c r="M101" s="31">
        <v>96.1</v>
      </c>
      <c r="N101" s="32">
        <f t="shared" si="49"/>
        <v>1.5856236786469347E-2</v>
      </c>
      <c r="O101" s="18">
        <f>IF(ISNUMBER(M101), $B118 * N101, "")</f>
        <v>2378.4355179704021</v>
      </c>
      <c r="Q101" s="146"/>
      <c r="R101" s="146"/>
      <c r="S101" s="146"/>
    </row>
    <row r="102" spans="1:19" ht="17.25" thickBot="1">
      <c r="A102" s="111" t="s">
        <v>178</v>
      </c>
      <c r="B102" s="112">
        <v>1385</v>
      </c>
      <c r="C102" s="71">
        <v>1.09489051E-2</v>
      </c>
      <c r="D102" s="20">
        <v>1395</v>
      </c>
      <c r="E102" s="21">
        <f t="shared" si="46"/>
        <v>7.2202166064981952E-3</v>
      </c>
      <c r="F102" s="22">
        <f>IF(ISNUMBER(D102), $B118 * E102, "")</f>
        <v>1083.0324909747292</v>
      </c>
      <c r="G102" s="30">
        <v>1390</v>
      </c>
      <c r="H102" s="21">
        <f t="shared" si="47"/>
        <v>3.6101083032490976E-3</v>
      </c>
      <c r="I102" s="95">
        <f>IF(ISNUMBER(G102), $B118 * H102, "")</f>
        <v>541.51624548736459</v>
      </c>
      <c r="J102" s="20">
        <v>1395</v>
      </c>
      <c r="K102" s="21">
        <f t="shared" si="48"/>
        <v>7.2202166064981952E-3</v>
      </c>
      <c r="L102" s="22">
        <f>IF(ISNUMBER(J102), $B118 * K102, "")</f>
        <v>1083.0324909747292</v>
      </c>
      <c r="M102" s="30">
        <v>1400</v>
      </c>
      <c r="N102" s="21">
        <f t="shared" si="49"/>
        <v>1.0830324909747292E-2</v>
      </c>
      <c r="O102" s="22">
        <f>IF(ISNUMBER(M102), $B118 * N102, "")</f>
        <v>1624.5487364620938</v>
      </c>
      <c r="Q102" s="146"/>
      <c r="R102" s="146"/>
      <c r="S102" s="146"/>
    </row>
    <row r="103" spans="1:19" ht="17.25" thickBot="1">
      <c r="A103" s="109" t="s">
        <v>66</v>
      </c>
      <c r="B103" s="113">
        <v>604</v>
      </c>
      <c r="C103" s="73">
        <v>1.0033444799999999E-2</v>
      </c>
      <c r="D103" s="96">
        <v>598</v>
      </c>
      <c r="E103" s="97">
        <f>IF(ISNUMBER(D103), (D103 - $B103) / $B103, "")</f>
        <v>-9.9337748344370865E-3</v>
      </c>
      <c r="F103" s="98">
        <f>IF(ISNUMBER(D103), $B118 * E103, "")</f>
        <v>-1490.0662251655631</v>
      </c>
      <c r="G103" s="99">
        <v>597</v>
      </c>
      <c r="H103" s="97">
        <f>IF(ISNUMBER(G103), (G103 - $B103) / $B103, "")</f>
        <v>-1.1589403973509934E-2</v>
      </c>
      <c r="I103" s="100">
        <f>IF(ISNUMBER(G103), $B118 * H103, "")</f>
        <v>-1738.4105960264901</v>
      </c>
      <c r="J103" s="96">
        <v>599</v>
      </c>
      <c r="K103" s="97">
        <f>IF(ISNUMBER(J103), (J103 - $B103) / $B103, "")</f>
        <v>-8.2781456953642391E-3</v>
      </c>
      <c r="L103" s="98">
        <f>IF(ISNUMBER(J103), $B118 * K103, "")</f>
        <v>-1241.7218543046358</v>
      </c>
      <c r="M103" s="99">
        <v>599</v>
      </c>
      <c r="N103" s="97">
        <f>IF(ISNUMBER(M103), (M103 - $B103) / $B103, "")</f>
        <v>-8.2781456953642391E-3</v>
      </c>
      <c r="O103" s="98">
        <f>IF(ISNUMBER(M103), $B118 * N103, "")</f>
        <v>-1241.7218543046358</v>
      </c>
      <c r="Q103" s="146"/>
      <c r="R103" s="146"/>
      <c r="S103" s="146"/>
    </row>
    <row r="104" spans="1:19" ht="17.25" thickBot="1">
      <c r="A104" s="109" t="s">
        <v>195</v>
      </c>
      <c r="B104" s="110">
        <v>5.58</v>
      </c>
      <c r="C104" s="70">
        <v>1.7953321E-3</v>
      </c>
      <c r="D104" s="15">
        <v>5.63</v>
      </c>
      <c r="E104" s="32">
        <f t="shared" ref="E104:E107" si="50">IF(ISNUMBER(D104), (D104 - $B104) / $B104, "")</f>
        <v>8.9605734767024773E-3</v>
      </c>
      <c r="F104" s="18">
        <f>IF(ISNUMBER(D104), $B118 * E104, "")</f>
        <v>1344.0860215053715</v>
      </c>
      <c r="G104" s="31">
        <v>5.6</v>
      </c>
      <c r="H104" s="32">
        <f t="shared" ref="H104:H107" si="51">IF(ISNUMBER(G104), (G104 - $B104) / $B104, "")</f>
        <v>3.5842293906809273E-3</v>
      </c>
      <c r="I104" s="91">
        <f>IF(ISNUMBER(G104), $B118 * H104, "")</f>
        <v>537.63440860213905</v>
      </c>
      <c r="J104" s="15">
        <v>5.6</v>
      </c>
      <c r="K104" s="32">
        <f t="shared" ref="K104:K107" si="52">IF(ISNUMBER(J104), (J104 - $B104) / $B104, "")</f>
        <v>3.5842293906809273E-3</v>
      </c>
      <c r="L104" s="18">
        <f>IF(ISNUMBER(J104), $B118 * K104, "")</f>
        <v>537.63440860213905</v>
      </c>
      <c r="M104" s="31">
        <v>5.68</v>
      </c>
      <c r="N104" s="32">
        <f t="shared" ref="N104:N107" si="53">IF(ISNUMBER(M104), (M104 - $B104) / $B104, "")</f>
        <v>1.7921146953404955E-2</v>
      </c>
      <c r="O104" s="18">
        <f>IF(ISNUMBER(M104), $B118 * N104, "")</f>
        <v>2688.172043010743</v>
      </c>
      <c r="Q104" s="146"/>
      <c r="R104" s="146"/>
      <c r="S104" s="146"/>
    </row>
    <row r="105" spans="1:19" ht="17.25" thickBot="1">
      <c r="A105" s="109" t="s">
        <v>324</v>
      </c>
      <c r="B105" s="110">
        <v>75.3</v>
      </c>
      <c r="C105" s="70">
        <v>-1.3262599000000001E-3</v>
      </c>
      <c r="D105" s="15">
        <v>76.7</v>
      </c>
      <c r="E105" s="32">
        <f t="shared" si="50"/>
        <v>1.8592297476759705E-2</v>
      </c>
      <c r="F105" s="18">
        <f>IF(ISNUMBER(D105), $B118 * E105, "")</f>
        <v>2788.8446215139556</v>
      </c>
      <c r="G105" s="31">
        <v>77.3</v>
      </c>
      <c r="H105" s="32">
        <f t="shared" si="51"/>
        <v>2.6560424966799469E-2</v>
      </c>
      <c r="I105" s="91">
        <f>IF(ISNUMBER(G105), $B118 * H105, "")</f>
        <v>3984.0637450199206</v>
      </c>
      <c r="J105" s="15">
        <v>77.400000000000006</v>
      </c>
      <c r="K105" s="32">
        <f t="shared" si="52"/>
        <v>2.7888446215139556E-2</v>
      </c>
      <c r="L105" s="18">
        <f>IF(ISNUMBER(J105), $B118 * K105, "")</f>
        <v>4183.2669322709335</v>
      </c>
      <c r="M105" s="31">
        <v>78.7</v>
      </c>
      <c r="N105" s="32">
        <f t="shared" si="53"/>
        <v>4.5152722443559175E-2</v>
      </c>
      <c r="O105" s="18">
        <f>IF(ISNUMBER(M105), $B118 * N105, "")</f>
        <v>6772.9083665338758</v>
      </c>
      <c r="Q105" s="146"/>
      <c r="R105" s="146"/>
      <c r="S105" s="146"/>
    </row>
    <row r="106" spans="1:19" ht="17.25" thickBot="1">
      <c r="A106" s="109" t="s">
        <v>128</v>
      </c>
      <c r="B106" s="110">
        <v>5915</v>
      </c>
      <c r="C106" s="70">
        <v>-1.6877636999999999E-3</v>
      </c>
      <c r="D106" s="15">
        <v>5935</v>
      </c>
      <c r="E106" s="32">
        <f t="shared" si="50"/>
        <v>3.3812341504649195E-3</v>
      </c>
      <c r="F106" s="18">
        <f>IF(ISNUMBER(D106), $B118 * E106, "")</f>
        <v>507.18512256973793</v>
      </c>
      <c r="G106" s="31">
        <v>5930</v>
      </c>
      <c r="H106" s="32">
        <f t="shared" si="51"/>
        <v>2.5359256128486898E-3</v>
      </c>
      <c r="I106" s="91">
        <f>IF(ISNUMBER(G106), $B118 * H106, "")</f>
        <v>380.38884192730347</v>
      </c>
      <c r="J106" s="15">
        <v>5920</v>
      </c>
      <c r="K106" s="32">
        <f t="shared" si="52"/>
        <v>8.4530853761622987E-4</v>
      </c>
      <c r="L106" s="18">
        <f>IF(ISNUMBER(J106), $B118 * K106, "")</f>
        <v>126.79628064243448</v>
      </c>
      <c r="M106" s="31">
        <v>5925</v>
      </c>
      <c r="N106" s="32">
        <f t="shared" si="53"/>
        <v>1.6906170752324597E-3</v>
      </c>
      <c r="O106" s="18">
        <f>IF(ISNUMBER(M106), $B118 * N106, "")</f>
        <v>253.59256128486896</v>
      </c>
      <c r="Q106" s="33"/>
      <c r="R106" s="33"/>
    </row>
    <row r="107" spans="1:19" ht="17.25" thickBot="1">
      <c r="A107" s="114" t="s">
        <v>101</v>
      </c>
      <c r="B107" s="115">
        <v>202</v>
      </c>
      <c r="C107" s="72">
        <v>-4.9261084000000004E-3</v>
      </c>
      <c r="D107" s="24">
        <v>204</v>
      </c>
      <c r="E107" s="25">
        <f t="shared" si="50"/>
        <v>9.9009900990099011E-3</v>
      </c>
      <c r="F107" s="94">
        <f>IF(ISNUMBER(D107), $B118 * E107, "")</f>
        <v>1485.1485148514851</v>
      </c>
      <c r="G107" s="92">
        <v>204</v>
      </c>
      <c r="H107" s="25">
        <f t="shared" si="51"/>
        <v>9.9009900990099011E-3</v>
      </c>
      <c r="I107" s="93">
        <f>IF(ISNUMBER(G107), $B118 * H107, "")</f>
        <v>1485.1485148514851</v>
      </c>
      <c r="J107" s="24">
        <v>204</v>
      </c>
      <c r="K107" s="25">
        <f t="shared" si="52"/>
        <v>9.9009900990099011E-3</v>
      </c>
      <c r="L107" s="94">
        <f>IF(ISNUMBER(J107), $B118 * K107, "")</f>
        <v>1485.1485148514851</v>
      </c>
      <c r="M107" s="92">
        <v>203</v>
      </c>
      <c r="N107" s="25">
        <f t="shared" si="53"/>
        <v>4.9504950495049506E-3</v>
      </c>
      <c r="O107" s="94">
        <f>IF(ISNUMBER(M107), $B118 * N107, "")</f>
        <v>742.57425742574253</v>
      </c>
      <c r="Q107" s="147"/>
      <c r="R107" s="148"/>
      <c r="S107" s="149"/>
    </row>
    <row r="108" spans="1:19">
      <c r="A108" s="107" t="s">
        <v>223</v>
      </c>
      <c r="B108" s="108">
        <v>189</v>
      </c>
      <c r="C108" s="69">
        <v>-5.2631579E-3</v>
      </c>
      <c r="D108" s="13">
        <v>191</v>
      </c>
      <c r="E108" s="14">
        <f>IF(ISNUMBER(D108), (D108 - $B108) / $B108, "")</f>
        <v>1.0582010582010581E-2</v>
      </c>
      <c r="F108" s="16">
        <f>IF(ISNUMBER(D108), $B118 * E108, "")</f>
        <v>1587.3015873015872</v>
      </c>
      <c r="G108" s="29">
        <v>191</v>
      </c>
      <c r="H108" s="14">
        <f>IF(ISNUMBER(G108), (G108 - $B108) / $B108, "")</f>
        <v>1.0582010582010581E-2</v>
      </c>
      <c r="I108" s="90">
        <f>IF(ISNUMBER(G108), $B118 * H108, "")</f>
        <v>1587.3015873015872</v>
      </c>
      <c r="J108" s="13">
        <v>190</v>
      </c>
      <c r="K108" s="14">
        <f>IF(ISNUMBER(J108), (J108 - $B108) / $B108, "")</f>
        <v>5.2910052910052907E-3</v>
      </c>
      <c r="L108" s="16">
        <f>IF(ISNUMBER(J108), $B118 * K108, "")</f>
        <v>793.65079365079362</v>
      </c>
      <c r="M108" s="29">
        <v>191</v>
      </c>
      <c r="N108" s="14">
        <f>IF(ISNUMBER(M108), (M108 - $B108) / $B108, "")</f>
        <v>1.0582010582010581E-2</v>
      </c>
      <c r="O108" s="16">
        <f>IF(ISNUMBER(M108), $B118 * N108, "")</f>
        <v>1587.3015873015872</v>
      </c>
      <c r="Q108" s="150"/>
      <c r="R108" s="151"/>
      <c r="S108" s="152"/>
    </row>
    <row r="109" spans="1:19" ht="17.25" thickBot="1">
      <c r="A109" s="109" t="s">
        <v>81</v>
      </c>
      <c r="B109" s="110">
        <v>343</v>
      </c>
      <c r="C109" s="70">
        <v>-5.7971014E-3</v>
      </c>
      <c r="D109" s="15">
        <v>353</v>
      </c>
      <c r="E109" s="32">
        <f t="shared" ref="E109:E112" si="54">IF(ISNUMBER(D109), (D109 - $B109) / $B109, "")</f>
        <v>2.9154518950437316E-2</v>
      </c>
      <c r="F109" s="18">
        <f>IF(ISNUMBER(D109), $B118 * E109, "")</f>
        <v>4373.1778425655975</v>
      </c>
      <c r="G109" s="31">
        <v>349</v>
      </c>
      <c r="H109" s="32">
        <f t="shared" ref="H109:H112" si="55">IF(ISNUMBER(G109), (G109 - $B109) / $B109, "")</f>
        <v>1.7492711370262391E-2</v>
      </c>
      <c r="I109" s="91">
        <f>IF(ISNUMBER(G109), $B118 * H109, "")</f>
        <v>2623.9067055393589</v>
      </c>
      <c r="J109" s="15">
        <v>349</v>
      </c>
      <c r="K109" s="32">
        <f t="shared" ref="K109:K112" si="56">IF(ISNUMBER(J109), (J109 - $B109) / $B109, "")</f>
        <v>1.7492711370262391E-2</v>
      </c>
      <c r="L109" s="18">
        <f>IF(ISNUMBER(J109), $B118 * K109, "")</f>
        <v>2623.9067055393589</v>
      </c>
      <c r="M109" s="31">
        <v>348</v>
      </c>
      <c r="N109" s="32">
        <f t="shared" ref="N109:N112" si="57">IF(ISNUMBER(M109), (M109 - $B109) / $B109, "")</f>
        <v>1.4577259475218658E-2</v>
      </c>
      <c r="O109" s="18">
        <f>IF(ISNUMBER(M109), $B118 * N109, "")</f>
        <v>2186.5889212827988</v>
      </c>
      <c r="Q109" s="153"/>
      <c r="R109" s="154"/>
      <c r="S109" s="155"/>
    </row>
    <row r="110" spans="1:19" ht="17.25" thickBot="1">
      <c r="A110" s="109" t="s">
        <v>93</v>
      </c>
      <c r="B110" s="110">
        <v>1591500</v>
      </c>
      <c r="C110" s="70">
        <v>-6.8642746000000003E-3</v>
      </c>
      <c r="D110" s="15">
        <v>1606000</v>
      </c>
      <c r="E110" s="32">
        <f t="shared" si="54"/>
        <v>9.1109016650958215E-3</v>
      </c>
      <c r="F110" s="18">
        <f>IF(ISNUMBER(D110), $B118 * E110, "")</f>
        <v>1366.6352497643732</v>
      </c>
      <c r="G110" s="31">
        <v>1607500</v>
      </c>
      <c r="H110" s="32">
        <f t="shared" si="55"/>
        <v>1.0053408733898837E-2</v>
      </c>
      <c r="I110" s="91">
        <f>IF(ISNUMBER(G110), $B118 * H110, "")</f>
        <v>1508.0113100848257</v>
      </c>
      <c r="J110" s="15">
        <v>1606500</v>
      </c>
      <c r="K110" s="32">
        <f t="shared" si="56"/>
        <v>9.4250706880301596E-3</v>
      </c>
      <c r="L110" s="18">
        <f>IF(ISNUMBER(J110), $B118 * K110, "")</f>
        <v>1413.7606032045239</v>
      </c>
      <c r="M110" s="31">
        <v>1610000</v>
      </c>
      <c r="N110" s="32">
        <f t="shared" si="57"/>
        <v>1.1624253848570531E-2</v>
      </c>
      <c r="O110" s="18">
        <f>IF(ISNUMBER(M110), $B118 * N110, "")</f>
        <v>1743.6380772855796</v>
      </c>
      <c r="Q110" s="146"/>
      <c r="R110" s="146"/>
      <c r="S110" s="146"/>
    </row>
    <row r="111" spans="1:19" ht="17.25" thickBot="1">
      <c r="A111" s="109" t="s">
        <v>99</v>
      </c>
      <c r="B111" s="110">
        <v>23200</v>
      </c>
      <c r="C111" s="70">
        <v>-8.1231294999999995E-3</v>
      </c>
      <c r="D111" s="15">
        <v>25570</v>
      </c>
      <c r="E111" s="32">
        <f t="shared" si="54"/>
        <v>0.1021551724137931</v>
      </c>
      <c r="F111" s="18">
        <f>IF(ISNUMBER(D111), $B118 * E111, "")</f>
        <v>15323.275862068966</v>
      </c>
      <c r="G111" s="31">
        <v>25640</v>
      </c>
      <c r="H111" s="32">
        <f t="shared" si="55"/>
        <v>0.10517241379310345</v>
      </c>
      <c r="I111" s="91">
        <f>IF(ISNUMBER(G111), $B118 * H111, "")</f>
        <v>15775.862068965518</v>
      </c>
      <c r="J111" s="15">
        <v>25740</v>
      </c>
      <c r="K111" s="32">
        <f t="shared" si="56"/>
        <v>0.10948275862068965</v>
      </c>
      <c r="L111" s="18">
        <f>IF(ISNUMBER(J111), $B118 * K111, "")</f>
        <v>16422.413793103449</v>
      </c>
      <c r="M111" s="31">
        <v>25810</v>
      </c>
      <c r="N111" s="32">
        <f t="shared" si="57"/>
        <v>0.1125</v>
      </c>
      <c r="O111" s="18">
        <f>IF(ISNUMBER(M111), $B118 * N111, "")</f>
        <v>16875</v>
      </c>
      <c r="Q111" s="156"/>
      <c r="R111" s="156"/>
      <c r="S111" s="156"/>
    </row>
    <row r="112" spans="1:19" ht="17.25" thickBot="1">
      <c r="A112" s="111" t="s">
        <v>345</v>
      </c>
      <c r="B112" s="112">
        <v>108</v>
      </c>
      <c r="C112" s="71">
        <v>-9.1743119000000008E-3</v>
      </c>
      <c r="D112" s="20">
        <v>109</v>
      </c>
      <c r="E112" s="21">
        <f t="shared" si="54"/>
        <v>9.2592592592592587E-3</v>
      </c>
      <c r="F112" s="22">
        <f>IF(ISNUMBER(D112), $B118 * E112, "")</f>
        <v>1388.8888888888889</v>
      </c>
      <c r="G112" s="30">
        <v>110</v>
      </c>
      <c r="H112" s="21">
        <f t="shared" si="55"/>
        <v>1.8518518518518517E-2</v>
      </c>
      <c r="I112" s="95">
        <f>IF(ISNUMBER(G112), $B118 * H112, "")</f>
        <v>2777.7777777777778</v>
      </c>
      <c r="J112" s="20">
        <v>110</v>
      </c>
      <c r="K112" s="21">
        <f t="shared" si="56"/>
        <v>1.8518518518518517E-2</v>
      </c>
      <c r="L112" s="22">
        <f>IF(ISNUMBER(J112), $B118 * K112, "")</f>
        <v>2777.7777777777778</v>
      </c>
      <c r="M112" s="30">
        <v>109</v>
      </c>
      <c r="N112" s="21">
        <f t="shared" si="57"/>
        <v>9.2592592592592587E-3</v>
      </c>
      <c r="O112" s="22">
        <f>IF(ISNUMBER(M112), $B118 * N112, "")</f>
        <v>1388.8888888888889</v>
      </c>
      <c r="Q112" s="156"/>
      <c r="R112" s="156"/>
      <c r="S112" s="156"/>
    </row>
    <row r="113" spans="1:19" ht="17.25" thickBot="1">
      <c r="A113" s="109" t="s">
        <v>89</v>
      </c>
      <c r="B113" s="113">
        <v>429</v>
      </c>
      <c r="C113" s="73">
        <v>-9.2378753000000001E-3</v>
      </c>
      <c r="D113" s="96">
        <v>436</v>
      </c>
      <c r="E113" s="97">
        <f>IF(ISNUMBER(D113), (D113 - $B113) / $B113, "")</f>
        <v>1.6317016317016316E-2</v>
      </c>
      <c r="F113" s="98">
        <f>IF(ISNUMBER(D113), $B118 * E113, "")</f>
        <v>2447.5524475524476</v>
      </c>
      <c r="G113" s="99">
        <v>435</v>
      </c>
      <c r="H113" s="97">
        <f>IF(ISNUMBER(G113), (G113 - $B113) / $B113, "")</f>
        <v>1.3986013986013986E-2</v>
      </c>
      <c r="I113" s="100">
        <f>IF(ISNUMBER(G113), $B118 * H113, "")</f>
        <v>2097.9020979020979</v>
      </c>
      <c r="J113" s="96">
        <v>435</v>
      </c>
      <c r="K113" s="97">
        <f>IF(ISNUMBER(J113), (J113 - $B113) / $B113, "")</f>
        <v>1.3986013986013986E-2</v>
      </c>
      <c r="L113" s="98">
        <f>IF(ISNUMBER(J113), $B118 * K113, "")</f>
        <v>2097.9020979020979</v>
      </c>
      <c r="M113" s="99">
        <v>439</v>
      </c>
      <c r="N113" s="97">
        <f>IF(ISNUMBER(M113), (M113 - $B113) / $B113, "")</f>
        <v>2.3310023310023312E-2</v>
      </c>
      <c r="O113" s="98">
        <f>IF(ISNUMBER(M113), $B118 * N113, "")</f>
        <v>3496.5034965034965</v>
      </c>
      <c r="Q113" s="146"/>
      <c r="R113" s="146"/>
      <c r="S113" s="146"/>
    </row>
    <row r="114" spans="1:19" ht="17.25" thickBot="1">
      <c r="A114" s="109" t="s">
        <v>49</v>
      </c>
      <c r="B114" s="110">
        <v>21347000</v>
      </c>
      <c r="C114" s="70">
        <v>-1.0567786799999999E-2</v>
      </c>
      <c r="D114" s="15">
        <v>21538000</v>
      </c>
      <c r="E114" s="32">
        <f t="shared" ref="E114:E117" si="58">IF(ISNUMBER(D114), (D114 - $B114) / $B114, "")</f>
        <v>8.9473930763104888E-3</v>
      </c>
      <c r="F114" s="18">
        <f>IF(ISNUMBER(D114), $B118 * E114, "")</f>
        <v>1342.1089614465734</v>
      </c>
      <c r="G114" s="31">
        <v>21503000</v>
      </c>
      <c r="H114" s="32">
        <f t="shared" ref="H114:H117" si="59">IF(ISNUMBER(G114), (G114 - $B114) / $B114, "")</f>
        <v>7.3078184288190382E-3</v>
      </c>
      <c r="I114" s="91">
        <f>IF(ISNUMBER(G114), $B118 * H114, "")</f>
        <v>1096.1727643228558</v>
      </c>
      <c r="J114" s="15">
        <v>21515000</v>
      </c>
      <c r="K114" s="32">
        <f t="shared" ref="K114:K117" si="60">IF(ISNUMBER(J114), (J114 - $B114) / $B114, "")</f>
        <v>7.8699583079589637E-3</v>
      </c>
      <c r="L114" s="18">
        <f>IF(ISNUMBER(J114), $B118 * K114, "")</f>
        <v>1180.4937461938446</v>
      </c>
      <c r="M114" s="31">
        <v>21539000</v>
      </c>
      <c r="N114" s="32">
        <f t="shared" ref="N114:N117" si="61">IF(ISNUMBER(M114), (M114 - $B114) / $B114, "")</f>
        <v>8.9942380662388164E-3</v>
      </c>
      <c r="O114" s="18">
        <f>IF(ISNUMBER(M114), $B118 * N114, "")</f>
        <v>1349.1357099358224</v>
      </c>
      <c r="Q114" s="146"/>
      <c r="R114" s="146"/>
      <c r="S114" s="146"/>
    </row>
    <row r="115" spans="1:19" ht="17.25" thickBot="1">
      <c r="A115" s="109" t="s">
        <v>149</v>
      </c>
      <c r="B115" s="110">
        <v>317</v>
      </c>
      <c r="C115" s="70">
        <v>-1.2461059199999999E-2</v>
      </c>
      <c r="D115" s="15">
        <v>336</v>
      </c>
      <c r="E115" s="32">
        <f t="shared" si="58"/>
        <v>5.993690851735016E-2</v>
      </c>
      <c r="F115" s="18">
        <f>IF(ISNUMBER(D115), $B118 * E115, "")</f>
        <v>8990.5362776025231</v>
      </c>
      <c r="G115" s="31">
        <v>339</v>
      </c>
      <c r="H115" s="32">
        <f t="shared" si="59"/>
        <v>6.9400630914826497E-2</v>
      </c>
      <c r="I115" s="91">
        <f>IF(ISNUMBER(G115), $B118 * H115, "")</f>
        <v>10410.094637223974</v>
      </c>
      <c r="J115" s="15">
        <v>340</v>
      </c>
      <c r="K115" s="32">
        <f t="shared" si="60"/>
        <v>7.2555205047318619E-2</v>
      </c>
      <c r="L115" s="18">
        <f>IF(ISNUMBER(J115), $B118 * K115, "")</f>
        <v>10883.280757097793</v>
      </c>
      <c r="M115" s="31">
        <v>334</v>
      </c>
      <c r="N115" s="32">
        <f t="shared" si="61"/>
        <v>5.362776025236593E-2</v>
      </c>
      <c r="O115" s="18">
        <f>IF(ISNUMBER(M115), $B118 * N115, "")</f>
        <v>8044.1640378548891</v>
      </c>
      <c r="Q115" s="146"/>
      <c r="R115" s="146"/>
      <c r="S115" s="146"/>
    </row>
    <row r="116" spans="1:19">
      <c r="A116" s="109" t="s">
        <v>75</v>
      </c>
      <c r="B116" s="110">
        <v>7155</v>
      </c>
      <c r="C116" s="70">
        <v>-1.3103448300000001E-2</v>
      </c>
      <c r="D116" s="15">
        <v>7345</v>
      </c>
      <c r="E116" s="32">
        <f t="shared" si="58"/>
        <v>2.6554856743535988E-2</v>
      </c>
      <c r="F116" s="18">
        <f>IF(ISNUMBER(D116), $B118 * E116, "")</f>
        <v>3983.228511530398</v>
      </c>
      <c r="G116" s="31">
        <v>7330</v>
      </c>
      <c r="H116" s="32">
        <f t="shared" si="59"/>
        <v>2.445842068483578E-2</v>
      </c>
      <c r="I116" s="91">
        <f>IF(ISNUMBER(G116), $B118 * H116, "")</f>
        <v>3668.7631027253669</v>
      </c>
      <c r="J116" s="15">
        <v>7340</v>
      </c>
      <c r="K116" s="32">
        <f t="shared" si="60"/>
        <v>2.5856044723969251E-2</v>
      </c>
      <c r="L116" s="18">
        <f>IF(ISNUMBER(J116), $B118 * K116, "")</f>
        <v>3878.4067085953875</v>
      </c>
      <c r="M116" s="31">
        <v>7370</v>
      </c>
      <c r="N116" s="32">
        <f t="shared" si="61"/>
        <v>3.004891684136967E-2</v>
      </c>
      <c r="O116" s="18">
        <f>IF(ISNUMBER(M116), $B118 * N116, "")</f>
        <v>4507.3375262054506</v>
      </c>
      <c r="Q116" s="135"/>
      <c r="R116" s="136"/>
      <c r="S116" s="137"/>
    </row>
    <row r="117" spans="1:19" ht="17.25" thickBot="1">
      <c r="A117" s="114" t="s">
        <v>126</v>
      </c>
      <c r="B117" s="115">
        <v>21.4</v>
      </c>
      <c r="C117" s="72">
        <v>-1.3824884799999999E-2</v>
      </c>
      <c r="D117" s="24">
        <v>22.2</v>
      </c>
      <c r="E117" s="25">
        <f t="shared" si="58"/>
        <v>3.7383177570093497E-2</v>
      </c>
      <c r="F117" s="94">
        <f>IF(ISNUMBER(D117), $B118 * E117, "")</f>
        <v>5607.4766355140246</v>
      </c>
      <c r="G117" s="92">
        <v>22.1</v>
      </c>
      <c r="H117" s="25">
        <f t="shared" si="59"/>
        <v>3.2710280373831911E-2</v>
      </c>
      <c r="I117" s="93">
        <f>IF(ISNUMBER(G117), $B118 * H117, "")</f>
        <v>4906.5420560747871</v>
      </c>
      <c r="J117" s="24">
        <v>22</v>
      </c>
      <c r="K117" s="25">
        <f t="shared" si="60"/>
        <v>2.8037383177570162E-2</v>
      </c>
      <c r="L117" s="94">
        <f>IF(ISNUMBER(J117), $B118 * K117, "")</f>
        <v>4205.6074766355241</v>
      </c>
      <c r="M117" s="92">
        <v>22.1</v>
      </c>
      <c r="N117" s="25">
        <f t="shared" si="61"/>
        <v>3.2710280373831911E-2</v>
      </c>
      <c r="O117" s="94">
        <f>IF(ISNUMBER(M117), $B118 * N117, "")</f>
        <v>4906.5420560747871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1.5592994770256632E-2</v>
      </c>
      <c r="F118" s="28">
        <f>SUM(F98:F117)</f>
        <v>46778.984310769898</v>
      </c>
      <c r="G118" s="26" t="s">
        <v>258</v>
      </c>
      <c r="H118" s="27">
        <f>IF(COUNT(H98:H117), SUM(H98:H117) / COUNT(H98:H117), 0)</f>
        <v>1.4959366194689457E-2</v>
      </c>
      <c r="I118" s="28">
        <f>SUM(I98:I117)</f>
        <v>44878.098584068379</v>
      </c>
      <c r="J118" s="26" t="s">
        <v>258</v>
      </c>
      <c r="K118" s="27">
        <f>IF(COUNT(K98:K117), SUM(K98:K117) / COUNT(K98:K117), 0)</f>
        <v>1.5140299182329123E-2</v>
      </c>
      <c r="L118" s="28">
        <f>SUM(L98:L117)</f>
        <v>45420.897546987369</v>
      </c>
      <c r="M118" s="26" t="s">
        <v>258</v>
      </c>
      <c r="N118" s="27">
        <f>IF(COUNT(N98:N117), SUM(N98:N117) / COUNT(N98:N117), 0)</f>
        <v>1.7336363127257056E-2</v>
      </c>
      <c r="O118" s="28">
        <f>SUM(O98:O117)</f>
        <v>52009.089381771177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2023-01-07(토) 오전 00:00</v>
      </c>
      <c r="C123" s="198"/>
      <c r="D123" s="170" t="str">
        <f>TEXT($G$1, "[$-ko-KR]yyyy-mm-dd(ddd) ") &amp; "오후 14:00"</f>
        <v>2023-01-07(토) 오후 14:00</v>
      </c>
      <c r="E123" s="171"/>
      <c r="F123" s="172"/>
      <c r="G123" s="170" t="str">
        <f>TEXT($G$1, "[$-ko-KR]yyyy-mm-dd(ddd) ") &amp; "오후 19:00"</f>
        <v>2023-01-07(토) 오후 19:00</v>
      </c>
      <c r="H123" s="171"/>
      <c r="I123" s="172"/>
      <c r="J123" s="170" t="str">
        <f>TEXT($G$1, "[$-ko-KR]yyyy-mm-dd(ddd) ") &amp; "오후 21:00"</f>
        <v>2023-01-07(토) 오후 21:00</v>
      </c>
      <c r="K123" s="171"/>
      <c r="L123" s="172"/>
      <c r="M123" s="170" t="str">
        <f>TEXT($G$1+1, "[$-ko-KR]yyyy-mm-dd(ddd) ") &amp; "오전 00:00"</f>
        <v>2023-01-08(일)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217</v>
      </c>
      <c r="B125" s="108">
        <v>54.4</v>
      </c>
      <c r="C125" s="69">
        <v>-2.68336315E-2</v>
      </c>
      <c r="D125" s="13">
        <v>56.7</v>
      </c>
      <c r="E125" s="14">
        <f>IF(ISNUMBER(D125), (D125 - $B125) / $B125, "")</f>
        <v>4.2279411764705961E-2</v>
      </c>
      <c r="F125" s="16">
        <f>IF(ISNUMBER(D125), $B145 * E125, "")</f>
        <v>6341.9117647058938</v>
      </c>
      <c r="G125" s="29">
        <v>57</v>
      </c>
      <c r="H125" s="14">
        <f>IF(ISNUMBER(G125), (G125 - $B125) / $B125, "")</f>
        <v>4.7794117647058848E-2</v>
      </c>
      <c r="I125" s="90">
        <f>IF(ISNUMBER(G125), $B145 * H125, "")</f>
        <v>7169.1176470588271</v>
      </c>
      <c r="J125" s="13">
        <v>56.9</v>
      </c>
      <c r="K125" s="14">
        <f>IF(ISNUMBER(J125), (J125 - $B125) / $B125, "")</f>
        <v>4.595588235294118E-2</v>
      </c>
      <c r="L125" s="16">
        <f>IF(ISNUMBER(J125), $B145 * K125, "")</f>
        <v>6893.3823529411766</v>
      </c>
      <c r="M125" s="29">
        <v>56.9</v>
      </c>
      <c r="N125" s="14">
        <f>IF(ISNUMBER(M125), (M125 - $B125) / $B125, "")</f>
        <v>4.595588235294118E-2</v>
      </c>
      <c r="O125" s="16">
        <f>IF(ISNUMBER(M125), $B145 * N125, "")</f>
        <v>6893.3823529411766</v>
      </c>
      <c r="Q125" s="156"/>
      <c r="R125" s="156"/>
      <c r="S125" s="156"/>
    </row>
    <row r="126" spans="1:19" ht="17.25" thickBot="1">
      <c r="A126" s="109" t="s">
        <v>237</v>
      </c>
      <c r="B126" s="110">
        <v>25.1</v>
      </c>
      <c r="C126" s="70">
        <v>-2.7131782900000002E-2</v>
      </c>
      <c r="D126" s="15">
        <v>25.4</v>
      </c>
      <c r="E126" s="32">
        <f t="shared" ref="E126:E129" si="62">IF(ISNUMBER(D126), (D126 - $B126) / $B126, "")</f>
        <v>1.1952191235059646E-2</v>
      </c>
      <c r="F126" s="18">
        <f>IF(ISNUMBER(D126), $B145 * E126, "")</f>
        <v>1792.828685258947</v>
      </c>
      <c r="G126" s="31">
        <v>25.5</v>
      </c>
      <c r="H126" s="32">
        <f t="shared" ref="H126:H129" si="63">IF(ISNUMBER(G126), (G126 - $B126) / $B126, "")</f>
        <v>1.5936254980079625E-2</v>
      </c>
      <c r="I126" s="91">
        <f>IF(ISNUMBER(G126), $B145 * H126, "")</f>
        <v>2390.438247011944</v>
      </c>
      <c r="J126" s="15">
        <v>25.4</v>
      </c>
      <c r="K126" s="32">
        <f t="shared" ref="K126:K129" si="64">IF(ISNUMBER(J126), (J126 - $B126) / $B126, "")</f>
        <v>1.1952191235059646E-2</v>
      </c>
      <c r="L126" s="18">
        <f>IF(ISNUMBER(J126), $B145 * K126, "")</f>
        <v>1792.828685258947</v>
      </c>
      <c r="M126" s="31">
        <v>25.4</v>
      </c>
      <c r="N126" s="32">
        <f t="shared" ref="N126:N129" si="65">IF(ISNUMBER(M126), (M126 - $B126) / $B126, "")</f>
        <v>1.1952191235059646E-2</v>
      </c>
      <c r="O126" s="18">
        <f>IF(ISNUMBER(M126), $B145 * N126, "")</f>
        <v>1792.828685258947</v>
      </c>
      <c r="Q126" s="156"/>
      <c r="R126" s="156"/>
      <c r="S126" s="156"/>
    </row>
    <row r="127" spans="1:19" ht="17.25" thickBot="1">
      <c r="A127" s="109" t="s">
        <v>241</v>
      </c>
      <c r="B127" s="110">
        <v>83.6</v>
      </c>
      <c r="C127" s="70">
        <v>-2.7906976699999999E-2</v>
      </c>
      <c r="D127" s="15">
        <v>85.7</v>
      </c>
      <c r="E127" s="32">
        <f t="shared" si="62"/>
        <v>2.5119617224880486E-2</v>
      </c>
      <c r="F127" s="18">
        <f>IF(ISNUMBER(D127), $B145 * E127, "")</f>
        <v>3767.9425837320728</v>
      </c>
      <c r="G127" s="31">
        <v>86</v>
      </c>
      <c r="H127" s="32">
        <f t="shared" si="63"/>
        <v>2.8708133971291936E-2</v>
      </c>
      <c r="I127" s="91">
        <f>IF(ISNUMBER(G127), $B145 * H127, "")</f>
        <v>4306.2200956937904</v>
      </c>
      <c r="J127" s="15">
        <v>85.8</v>
      </c>
      <c r="K127" s="32">
        <f t="shared" si="64"/>
        <v>2.6315789473684247E-2</v>
      </c>
      <c r="L127" s="18">
        <f>IF(ISNUMBER(J127), $B145 * K127, "")</f>
        <v>3947.3684210526371</v>
      </c>
      <c r="M127" s="31">
        <v>85.5</v>
      </c>
      <c r="N127" s="32">
        <f t="shared" si="65"/>
        <v>2.2727272727272797E-2</v>
      </c>
      <c r="O127" s="18">
        <f>IF(ISNUMBER(M127), $B145 * N127, "")</f>
        <v>3409.0909090909195</v>
      </c>
      <c r="Q127" s="146"/>
      <c r="R127" s="146"/>
      <c r="S127" s="146"/>
    </row>
    <row r="128" spans="1:19" ht="17.25" thickBot="1">
      <c r="A128" s="109" t="s">
        <v>118</v>
      </c>
      <c r="B128" s="110">
        <v>4.67</v>
      </c>
      <c r="C128" s="70">
        <v>-2.91060291E-2</v>
      </c>
      <c r="D128" s="15">
        <v>4.8499999999999996</v>
      </c>
      <c r="E128" s="32">
        <f t="shared" si="62"/>
        <v>3.8543897216274027E-2</v>
      </c>
      <c r="F128" s="18">
        <f>IF(ISNUMBER(D128), $B145 * E128, "")</f>
        <v>5781.5845824411044</v>
      </c>
      <c r="G128" s="31">
        <v>4.84</v>
      </c>
      <c r="H128" s="32">
        <f t="shared" si="63"/>
        <v>3.6402569593147735E-2</v>
      </c>
      <c r="I128" s="91">
        <f>IF(ISNUMBER(G128), $B145 * H128, "")</f>
        <v>5460.38543897216</v>
      </c>
      <c r="J128" s="15">
        <v>4.82</v>
      </c>
      <c r="K128" s="32">
        <f t="shared" si="64"/>
        <v>3.2119914346895151E-2</v>
      </c>
      <c r="L128" s="18">
        <f>IF(ISNUMBER(J128), $B145 * K128, "")</f>
        <v>4817.9871520342722</v>
      </c>
      <c r="M128" s="31">
        <v>4.82</v>
      </c>
      <c r="N128" s="32">
        <f t="shared" si="65"/>
        <v>3.2119914346895151E-2</v>
      </c>
      <c r="O128" s="18">
        <f>IF(ISNUMBER(M128), $B145 * N128, "")</f>
        <v>4817.9871520342722</v>
      </c>
      <c r="Q128" s="146"/>
      <c r="R128" s="146"/>
      <c r="S128" s="146"/>
    </row>
    <row r="129" spans="1:19" ht="17.25" thickBot="1">
      <c r="A129" s="111" t="s">
        <v>209</v>
      </c>
      <c r="B129" s="112">
        <v>69.3</v>
      </c>
      <c r="C129" s="71">
        <v>-2.9411764699999999E-2</v>
      </c>
      <c r="D129" s="20">
        <v>70.900000000000006</v>
      </c>
      <c r="E129" s="21">
        <f t="shared" si="62"/>
        <v>2.3088023088023213E-2</v>
      </c>
      <c r="F129" s="22">
        <f>IF(ISNUMBER(D129), $B145 * E129, "")</f>
        <v>3463.203463203482</v>
      </c>
      <c r="G129" s="30">
        <v>71</v>
      </c>
      <c r="H129" s="21">
        <f t="shared" si="63"/>
        <v>2.4531024531024574E-2</v>
      </c>
      <c r="I129" s="95">
        <f>IF(ISNUMBER(G129), $B145 * H129, "")</f>
        <v>3679.6536796536861</v>
      </c>
      <c r="J129" s="20">
        <v>71.099999999999994</v>
      </c>
      <c r="K129" s="21">
        <f t="shared" si="64"/>
        <v>2.5974025974025934E-2</v>
      </c>
      <c r="L129" s="22">
        <f>IF(ISNUMBER(J129), $B145 * K129, "")</f>
        <v>3896.1038961038903</v>
      </c>
      <c r="M129" s="30">
        <v>71</v>
      </c>
      <c r="N129" s="21">
        <f t="shared" si="65"/>
        <v>2.4531024531024574E-2</v>
      </c>
      <c r="O129" s="22">
        <f>IF(ISNUMBER(M129), $B145 * N129, "")</f>
        <v>3679.6536796536861</v>
      </c>
      <c r="Q129" s="146"/>
      <c r="R129" s="146"/>
      <c r="S129" s="146"/>
    </row>
    <row r="130" spans="1:19" ht="17.25" thickBot="1">
      <c r="A130" s="109" t="s">
        <v>185</v>
      </c>
      <c r="B130" s="113">
        <v>22.9</v>
      </c>
      <c r="C130" s="73">
        <v>-2.96610169E-2</v>
      </c>
      <c r="D130" s="96">
        <v>23.7</v>
      </c>
      <c r="E130" s="97">
        <f>IF(ISNUMBER(D130), (D130 - $B130) / $B130, "")</f>
        <v>3.4934497816593919E-2</v>
      </c>
      <c r="F130" s="98">
        <f>IF(ISNUMBER(D130), $B145 * E130, "")</f>
        <v>5240.1746724890882</v>
      </c>
      <c r="G130" s="99">
        <v>23.6</v>
      </c>
      <c r="H130" s="97">
        <f>IF(ISNUMBER(G130), (G130 - $B130) / $B130, "")</f>
        <v>3.0567685589519777E-2</v>
      </c>
      <c r="I130" s="100">
        <f>IF(ISNUMBER(G130), $B145 * H130, "")</f>
        <v>4585.1528384279663</v>
      </c>
      <c r="J130" s="96">
        <v>23.8</v>
      </c>
      <c r="K130" s="97">
        <f>IF(ISNUMBER(J130), (J130 - $B130) / $B130, "")</f>
        <v>3.9301310043668221E-2</v>
      </c>
      <c r="L130" s="98">
        <f>IF(ISNUMBER(J130), $B145 * K130, "")</f>
        <v>5895.1965065502327</v>
      </c>
      <c r="M130" s="99">
        <v>23.7</v>
      </c>
      <c r="N130" s="97">
        <f>IF(ISNUMBER(M130), (M130 - $B130) / $B130, "")</f>
        <v>3.4934497816593919E-2</v>
      </c>
      <c r="O130" s="98">
        <f>IF(ISNUMBER(M130), $B145 * N130, "")</f>
        <v>5240.1746724890882</v>
      </c>
      <c r="Q130" s="146"/>
      <c r="R130" s="146"/>
      <c r="S130" s="146"/>
    </row>
    <row r="131" spans="1:19" ht="17.25" thickBot="1">
      <c r="A131" s="109" t="s">
        <v>71</v>
      </c>
      <c r="B131" s="110">
        <v>9.44</v>
      </c>
      <c r="C131" s="70">
        <v>-2.9804727600000001E-2</v>
      </c>
      <c r="D131" s="15">
        <v>9.58</v>
      </c>
      <c r="E131" s="32">
        <f t="shared" ref="E131:E134" si="66">IF(ISNUMBER(D131), (D131 - $B131) / $B131, "")</f>
        <v>1.4830508474576332E-2</v>
      </c>
      <c r="F131" s="18">
        <f>IF(ISNUMBER(D131), $B145 * E131, "")</f>
        <v>2224.57627118645</v>
      </c>
      <c r="G131" s="31">
        <v>9.61</v>
      </c>
      <c r="H131" s="32">
        <f t="shared" ref="H131:H134" si="67">IF(ISNUMBER(G131), (G131 - $B131) / $B131, "")</f>
        <v>1.800847457627118E-2</v>
      </c>
      <c r="I131" s="91">
        <f>IF(ISNUMBER(G131), $B145 * H131, "")</f>
        <v>2701.271186440677</v>
      </c>
      <c r="J131" s="15">
        <v>9.6</v>
      </c>
      <c r="K131" s="32">
        <f t="shared" ref="K131:K134" si="68">IF(ISNUMBER(J131), (J131 - $B131) / $B131, "")</f>
        <v>1.6949152542372899E-2</v>
      </c>
      <c r="L131" s="18">
        <f>IF(ISNUMBER(J131), $B145 * K131, "")</f>
        <v>2542.3728813559346</v>
      </c>
      <c r="M131" s="31">
        <v>9.6199999999999992</v>
      </c>
      <c r="N131" s="32">
        <f t="shared" ref="N131:N134" si="69">IF(ISNUMBER(M131), (M131 - $B131) / $B131, "")</f>
        <v>1.9067796610169462E-2</v>
      </c>
      <c r="O131" s="18">
        <f>IF(ISNUMBER(M131), $B145 * N131, "")</f>
        <v>2860.1694915254193</v>
      </c>
      <c r="Q131" s="146"/>
      <c r="R131" s="146"/>
      <c r="S131" s="146"/>
    </row>
    <row r="132" spans="1:19" ht="17.25" thickBot="1">
      <c r="A132" s="109" t="s">
        <v>333</v>
      </c>
      <c r="B132" s="110">
        <v>3.96</v>
      </c>
      <c r="C132" s="70">
        <v>-3.1784841100000003E-2</v>
      </c>
      <c r="D132" s="15">
        <v>4.0199999999999996</v>
      </c>
      <c r="E132" s="32">
        <f t="shared" si="66"/>
        <v>1.5151515151515053E-2</v>
      </c>
      <c r="F132" s="18">
        <f>IF(ISNUMBER(D132), $B145 * E132, "")</f>
        <v>2272.727272727258</v>
      </c>
      <c r="G132" s="31">
        <v>4.0199999999999996</v>
      </c>
      <c r="H132" s="32">
        <f t="shared" si="67"/>
        <v>1.5151515151515053E-2</v>
      </c>
      <c r="I132" s="91">
        <f>IF(ISNUMBER(G132), $B145 * H132, "")</f>
        <v>2272.727272727258</v>
      </c>
      <c r="J132" s="15">
        <v>4.0199999999999996</v>
      </c>
      <c r="K132" s="32">
        <f t="shared" si="68"/>
        <v>1.5151515151515053E-2</v>
      </c>
      <c r="L132" s="18">
        <f>IF(ISNUMBER(J132), $B145 * K132, "")</f>
        <v>2272.727272727258</v>
      </c>
      <c r="M132" s="31">
        <v>4.0199999999999996</v>
      </c>
      <c r="N132" s="32">
        <f t="shared" si="69"/>
        <v>1.5151515151515053E-2</v>
      </c>
      <c r="O132" s="18">
        <f>IF(ISNUMBER(M132), $B145 * N132, "")</f>
        <v>2272.727272727258</v>
      </c>
      <c r="Q132" s="146"/>
      <c r="R132" s="146"/>
      <c r="S132" s="146"/>
    </row>
    <row r="133" spans="1:19" ht="17.25" thickBot="1">
      <c r="A133" s="109" t="s">
        <v>329</v>
      </c>
      <c r="B133" s="110">
        <v>47.6</v>
      </c>
      <c r="C133" s="70">
        <v>-3.2520325199999998E-2</v>
      </c>
      <c r="D133" s="15">
        <v>49.7</v>
      </c>
      <c r="E133" s="32">
        <f t="shared" si="66"/>
        <v>4.411764705882356E-2</v>
      </c>
      <c r="F133" s="18">
        <f>IF(ISNUMBER(D133), $B145 * E133, "")</f>
        <v>6617.6470588235343</v>
      </c>
      <c r="G133" s="31">
        <v>49.4</v>
      </c>
      <c r="H133" s="32">
        <f t="shared" si="67"/>
        <v>3.781512605042011E-2</v>
      </c>
      <c r="I133" s="91">
        <f>IF(ISNUMBER(G133), $B145 * H133, "")</f>
        <v>5672.2689075630169</v>
      </c>
      <c r="J133" s="15">
        <v>49.3</v>
      </c>
      <c r="K133" s="32">
        <f t="shared" si="68"/>
        <v>3.5714285714285622E-2</v>
      </c>
      <c r="L133" s="18">
        <f>IF(ISNUMBER(J133), $B145 * K133, "")</f>
        <v>5357.1428571428432</v>
      </c>
      <c r="M133" s="31">
        <v>49.7</v>
      </c>
      <c r="N133" s="32">
        <f t="shared" si="69"/>
        <v>4.411764705882356E-2</v>
      </c>
      <c r="O133" s="18">
        <f>IF(ISNUMBER(M133), $B145 * N133, "")</f>
        <v>6617.6470588235343</v>
      </c>
      <c r="Q133" s="33"/>
      <c r="R133" s="33"/>
    </row>
    <row r="134" spans="1:19" ht="17.25" thickBot="1">
      <c r="A134" s="114" t="s">
        <v>191</v>
      </c>
      <c r="B134" s="115">
        <v>49.1</v>
      </c>
      <c r="C134" s="72">
        <v>-3.3464566899999999E-2</v>
      </c>
      <c r="D134" s="24">
        <v>49.5</v>
      </c>
      <c r="E134" s="25">
        <f t="shared" si="66"/>
        <v>8.1466395112016008E-3</v>
      </c>
      <c r="F134" s="94">
        <f>IF(ISNUMBER(D134), $B145 * E134, "")</f>
        <v>1221.99592668024</v>
      </c>
      <c r="G134" s="92">
        <v>49.3</v>
      </c>
      <c r="H134" s="25">
        <f t="shared" si="67"/>
        <v>4.0733197556007275E-3</v>
      </c>
      <c r="I134" s="93">
        <f>IF(ISNUMBER(G134), $B145 * H134, "")</f>
        <v>610.9979633401091</v>
      </c>
      <c r="J134" s="24">
        <v>49.3</v>
      </c>
      <c r="K134" s="25">
        <f t="shared" si="68"/>
        <v>4.0733197556007275E-3</v>
      </c>
      <c r="L134" s="94">
        <f>IF(ISNUMBER(J134), $B145 * K134, "")</f>
        <v>610.9979633401091</v>
      </c>
      <c r="M134" s="92">
        <v>49.3</v>
      </c>
      <c r="N134" s="25">
        <f t="shared" si="69"/>
        <v>4.0733197556007275E-3</v>
      </c>
      <c r="O134" s="94">
        <f>IF(ISNUMBER(M134), $B145 * N134, "")</f>
        <v>610.9979633401091</v>
      </c>
      <c r="Q134" s="147"/>
      <c r="R134" s="148"/>
      <c r="S134" s="149"/>
    </row>
    <row r="135" spans="1:19">
      <c r="A135" s="107" t="s">
        <v>349</v>
      </c>
      <c r="B135" s="108">
        <v>20.2</v>
      </c>
      <c r="C135" s="69">
        <v>-3.3492822999999998E-2</v>
      </c>
      <c r="D135" s="13">
        <v>20.6</v>
      </c>
      <c r="E135" s="14">
        <f>IF(ISNUMBER(D135), (D135 - $B135) / $B135, "")</f>
        <v>1.980198019801991E-2</v>
      </c>
      <c r="F135" s="16">
        <f>IF(ISNUMBER(D135), $B145 * E135, "")</f>
        <v>2970.2970297029865</v>
      </c>
      <c r="G135" s="29">
        <v>20.8</v>
      </c>
      <c r="H135" s="14">
        <f>IF(ISNUMBER(G135), (G135 - $B135) / $B135, "")</f>
        <v>2.9702970297029774E-2</v>
      </c>
      <c r="I135" s="90">
        <f>IF(ISNUMBER(G135), $B145 * H135, "")</f>
        <v>4455.4455445544663</v>
      </c>
      <c r="J135" s="13">
        <v>20.7</v>
      </c>
      <c r="K135" s="14">
        <f>IF(ISNUMBER(J135), (J135 - $B135) / $B135, "")</f>
        <v>2.4752475247524754E-2</v>
      </c>
      <c r="L135" s="16">
        <f>IF(ISNUMBER(J135), $B145 * K135, "")</f>
        <v>3712.871287128713</v>
      </c>
      <c r="M135" s="29">
        <v>20.6</v>
      </c>
      <c r="N135" s="14">
        <f>IF(ISNUMBER(M135), (M135 - $B135) / $B135, "")</f>
        <v>1.980198019801991E-2</v>
      </c>
      <c r="O135" s="16">
        <f>IF(ISNUMBER(M135), $B145 * N135, "")</f>
        <v>2970.2970297029865</v>
      </c>
      <c r="Q135" s="150"/>
      <c r="R135" s="151"/>
      <c r="S135" s="152"/>
    </row>
    <row r="136" spans="1:19" ht="17.25" thickBot="1">
      <c r="A136" s="109" t="s">
        <v>350</v>
      </c>
      <c r="B136" s="110">
        <v>5.46</v>
      </c>
      <c r="C136" s="70">
        <v>-3.3628318599999998E-2</v>
      </c>
      <c r="D136" s="15">
        <v>5.52</v>
      </c>
      <c r="E136" s="32">
        <f t="shared" ref="E136:E139" si="70">IF(ISNUMBER(D136), (D136 - $B136) / $B136, "")</f>
        <v>1.0989010989010917E-2</v>
      </c>
      <c r="F136" s="18">
        <f>IF(ISNUMBER(D136), $B145 * E136, "")</f>
        <v>1648.3516483516376</v>
      </c>
      <c r="G136" s="31">
        <v>5.54</v>
      </c>
      <c r="H136" s="32">
        <f t="shared" ref="H136:H139" si="71">IF(ISNUMBER(G136), (G136 - $B136) / $B136, "")</f>
        <v>1.4652014652014666E-2</v>
      </c>
      <c r="I136" s="91">
        <f>IF(ISNUMBER(G136), $B145 * H136, "")</f>
        <v>2197.8021978021998</v>
      </c>
      <c r="J136" s="15">
        <v>5.54</v>
      </c>
      <c r="K136" s="32">
        <f t="shared" ref="K136:K139" si="72">IF(ISNUMBER(J136), (J136 - $B136) / $B136, "")</f>
        <v>1.4652014652014666E-2</v>
      </c>
      <c r="L136" s="18">
        <f>IF(ISNUMBER(J136), $B145 * K136, "")</f>
        <v>2197.8021978021998</v>
      </c>
      <c r="M136" s="31">
        <v>5.55</v>
      </c>
      <c r="N136" s="32">
        <f t="shared" ref="N136:N139" si="73">IF(ISNUMBER(M136), (M136 - $B136) / $B136, "")</f>
        <v>1.6483516483516456E-2</v>
      </c>
      <c r="O136" s="18">
        <f>IF(ISNUMBER(M136), $B145 * N136, "")</f>
        <v>2472.5274725274685</v>
      </c>
      <c r="Q136" s="153"/>
      <c r="R136" s="154"/>
      <c r="S136" s="155"/>
    </row>
    <row r="137" spans="1:19" ht="17.25" thickBot="1">
      <c r="A137" s="109" t="s">
        <v>124</v>
      </c>
      <c r="B137" s="110">
        <v>27.1</v>
      </c>
      <c r="C137" s="70">
        <v>-3.55871886E-2</v>
      </c>
      <c r="D137" s="15">
        <v>27.8</v>
      </c>
      <c r="E137" s="32">
        <f t="shared" si="70"/>
        <v>2.5830258302582999E-2</v>
      </c>
      <c r="F137" s="18">
        <f>IF(ISNUMBER(D137), $B145 * E137, "")</f>
        <v>3874.5387453874496</v>
      </c>
      <c r="G137" s="31">
        <v>27.8</v>
      </c>
      <c r="H137" s="32">
        <f t="shared" si="71"/>
        <v>2.5830258302582999E-2</v>
      </c>
      <c r="I137" s="91">
        <f>IF(ISNUMBER(G137), $B145 * H137, "")</f>
        <v>3874.5387453874496</v>
      </c>
      <c r="J137" s="15">
        <v>27.9</v>
      </c>
      <c r="K137" s="32">
        <f t="shared" si="72"/>
        <v>2.9520295202951925E-2</v>
      </c>
      <c r="L137" s="18">
        <f>IF(ISNUMBER(J137), $B145 * K137, "")</f>
        <v>4428.0442804427885</v>
      </c>
      <c r="M137" s="31">
        <v>27.8</v>
      </c>
      <c r="N137" s="32">
        <f t="shared" si="73"/>
        <v>2.5830258302582999E-2</v>
      </c>
      <c r="O137" s="18">
        <f>IF(ISNUMBER(M137), $B145 * N137, "")</f>
        <v>3874.5387453874496</v>
      </c>
      <c r="Q137" s="146"/>
      <c r="R137" s="146"/>
      <c r="S137" s="146"/>
    </row>
    <row r="138" spans="1:19" ht="17.25" thickBot="1">
      <c r="A138" s="109" t="s">
        <v>132</v>
      </c>
      <c r="B138" s="110">
        <v>40.5</v>
      </c>
      <c r="C138" s="70">
        <v>-3.5714285700000001E-2</v>
      </c>
      <c r="D138" s="15">
        <v>41.4</v>
      </c>
      <c r="E138" s="32">
        <f t="shared" si="70"/>
        <v>2.2222222222222188E-2</v>
      </c>
      <c r="F138" s="18">
        <f>IF(ISNUMBER(D138), $B145 * E138, "")</f>
        <v>3333.3333333333285</v>
      </c>
      <c r="G138" s="31">
        <v>41.6</v>
      </c>
      <c r="H138" s="32">
        <f t="shared" si="71"/>
        <v>2.7160493827160528E-2</v>
      </c>
      <c r="I138" s="91">
        <f>IF(ISNUMBER(G138), $B145 * H138, "")</f>
        <v>4074.0740740740794</v>
      </c>
      <c r="J138" s="15">
        <v>41.5</v>
      </c>
      <c r="K138" s="32">
        <f t="shared" si="72"/>
        <v>2.4691358024691357E-2</v>
      </c>
      <c r="L138" s="18">
        <f>IF(ISNUMBER(J138), $B145 * K138, "")</f>
        <v>3703.7037037037035</v>
      </c>
      <c r="M138" s="31">
        <v>41.4</v>
      </c>
      <c r="N138" s="32">
        <f t="shared" si="73"/>
        <v>2.2222222222222188E-2</v>
      </c>
      <c r="O138" s="18">
        <f>IF(ISNUMBER(M138), $B145 * N138, "")</f>
        <v>3333.3333333333285</v>
      </c>
      <c r="Q138" s="156"/>
      <c r="R138" s="156"/>
      <c r="S138" s="156"/>
    </row>
    <row r="139" spans="1:19" ht="17.25" thickBot="1">
      <c r="A139" s="111" t="s">
        <v>225</v>
      </c>
      <c r="B139" s="112">
        <v>50.7</v>
      </c>
      <c r="C139" s="71">
        <v>-3.6121673E-2</v>
      </c>
      <c r="D139" s="20">
        <v>52.8</v>
      </c>
      <c r="E139" s="21">
        <f t="shared" si="70"/>
        <v>4.1420118343195152E-2</v>
      </c>
      <c r="F139" s="22">
        <f>IF(ISNUMBER(D139), $B145 * E139, "")</f>
        <v>6213.0177514792731</v>
      </c>
      <c r="G139" s="30">
        <v>53</v>
      </c>
      <c r="H139" s="21">
        <f t="shared" si="71"/>
        <v>4.5364891518737613E-2</v>
      </c>
      <c r="I139" s="95">
        <f>IF(ISNUMBER(G139), $B145 * H139, "")</f>
        <v>6804.7337278106415</v>
      </c>
      <c r="J139" s="20">
        <v>52.7</v>
      </c>
      <c r="K139" s="21">
        <f t="shared" si="72"/>
        <v>3.9447731755424063E-2</v>
      </c>
      <c r="L139" s="22">
        <f>IF(ISNUMBER(J139), $B145 * K139, "")</f>
        <v>5917.1597633136098</v>
      </c>
      <c r="M139" s="30">
        <v>52.8</v>
      </c>
      <c r="N139" s="21">
        <f t="shared" si="73"/>
        <v>4.1420118343195152E-2</v>
      </c>
      <c r="O139" s="22">
        <f>IF(ISNUMBER(M139), $B145 * N139, "")</f>
        <v>6213.0177514792731</v>
      </c>
      <c r="Q139" s="156"/>
      <c r="R139" s="156"/>
      <c r="S139" s="156"/>
    </row>
    <row r="140" spans="1:19" ht="17.25" thickBot="1">
      <c r="A140" s="109" t="s">
        <v>120</v>
      </c>
      <c r="B140" s="113">
        <v>95.8</v>
      </c>
      <c r="C140" s="73">
        <v>-4.2000000000000003E-2</v>
      </c>
      <c r="D140" s="96">
        <v>98</v>
      </c>
      <c r="E140" s="97">
        <f>IF(ISNUMBER(D140), (D140 - $B140) / $B140, "")</f>
        <v>2.2964509394572057E-2</v>
      </c>
      <c r="F140" s="98">
        <f>IF(ISNUMBER(D140), $B145 * E140, "")</f>
        <v>3444.6764091858086</v>
      </c>
      <c r="G140" s="99">
        <v>97.8</v>
      </c>
      <c r="H140" s="97">
        <f>IF(ISNUMBER(G140), (G140 - $B140) / $B140, "")</f>
        <v>2.0876826722338204E-2</v>
      </c>
      <c r="I140" s="100">
        <f>IF(ISNUMBER(G140), $B145 * H140, "")</f>
        <v>3131.5240083507306</v>
      </c>
      <c r="J140" s="96">
        <v>98</v>
      </c>
      <c r="K140" s="97">
        <f>IF(ISNUMBER(J140), (J140 - $B140) / $B140, "")</f>
        <v>2.2964509394572057E-2</v>
      </c>
      <c r="L140" s="98">
        <f>IF(ISNUMBER(J140), $B145 * K140, "")</f>
        <v>3444.6764091858086</v>
      </c>
      <c r="M140" s="99">
        <v>98</v>
      </c>
      <c r="N140" s="97">
        <f>IF(ISNUMBER(M140), (M140 - $B140) / $B140, "")</f>
        <v>2.2964509394572057E-2</v>
      </c>
      <c r="O140" s="98">
        <f>IF(ISNUMBER(M140), $B145 * N140, "")</f>
        <v>3444.6764091858086</v>
      </c>
      <c r="Q140" s="146"/>
      <c r="R140" s="146"/>
      <c r="S140" s="146"/>
    </row>
    <row r="141" spans="1:19" ht="17.25" thickBot="1">
      <c r="A141" s="109" t="s">
        <v>207</v>
      </c>
      <c r="B141" s="110">
        <v>59</v>
      </c>
      <c r="C141" s="70">
        <v>-4.3760129699999997E-2</v>
      </c>
      <c r="D141" s="15">
        <v>60.1</v>
      </c>
      <c r="E141" s="32">
        <f t="shared" ref="E141:E144" si="74">IF(ISNUMBER(D141), (D141 - $B141) / $B141, "")</f>
        <v>1.8644067796610195E-2</v>
      </c>
      <c r="F141" s="18">
        <f>IF(ISNUMBER(D141), $B145 * E141, "")</f>
        <v>2796.6101694915292</v>
      </c>
      <c r="G141" s="31">
        <v>60</v>
      </c>
      <c r="H141" s="32">
        <f t="shared" ref="H141:H144" si="75">IF(ISNUMBER(G141), (G141 - $B141) / $B141, "")</f>
        <v>1.6949152542372881E-2</v>
      </c>
      <c r="I141" s="91">
        <f>IF(ISNUMBER(G141), $B145 * H141, "")</f>
        <v>2542.3728813559323</v>
      </c>
      <c r="J141" s="15">
        <v>60</v>
      </c>
      <c r="K141" s="32">
        <f t="shared" ref="K141:K144" si="76">IF(ISNUMBER(J141), (J141 - $B141) / $B141, "")</f>
        <v>1.6949152542372881E-2</v>
      </c>
      <c r="L141" s="18">
        <f>IF(ISNUMBER(J141), $B145 * K141, "")</f>
        <v>2542.3728813559323</v>
      </c>
      <c r="M141" s="31">
        <v>60.1</v>
      </c>
      <c r="N141" s="32">
        <f t="shared" ref="N141:N144" si="77">IF(ISNUMBER(M141), (M141 - $B141) / $B141, "")</f>
        <v>1.8644067796610195E-2</v>
      </c>
      <c r="O141" s="18">
        <f>IF(ISNUMBER(M141), $B145 * N141, "")</f>
        <v>2796.6101694915292</v>
      </c>
      <c r="Q141" s="146"/>
      <c r="R141" s="146"/>
      <c r="S141" s="146"/>
    </row>
    <row r="142" spans="1:19" ht="17.25" thickBot="1">
      <c r="A142" s="109" t="s">
        <v>323</v>
      </c>
      <c r="B142" s="110">
        <v>3.0300000000000001E-2</v>
      </c>
      <c r="C142" s="70">
        <v>-4.4164037900000001E-2</v>
      </c>
      <c r="D142" s="15">
        <v>3.1099999999999999E-2</v>
      </c>
      <c r="E142" s="32">
        <f t="shared" si="74"/>
        <v>2.6402640264026358E-2</v>
      </c>
      <c r="F142" s="18">
        <f>IF(ISNUMBER(D142), $B145 * E142, "")</f>
        <v>3960.3960396039538</v>
      </c>
      <c r="G142" s="31">
        <v>3.1E-2</v>
      </c>
      <c r="H142" s="32">
        <f t="shared" si="75"/>
        <v>2.3102310231023077E-2</v>
      </c>
      <c r="I142" s="91">
        <f>IF(ISNUMBER(G142), $B145 * H142, "")</f>
        <v>3465.3465346534613</v>
      </c>
      <c r="J142" s="15">
        <v>3.09E-2</v>
      </c>
      <c r="K142" s="32">
        <f t="shared" si="76"/>
        <v>1.9801980198019795E-2</v>
      </c>
      <c r="L142" s="18">
        <f>IF(ISNUMBER(J142), $B145 * K142, "")</f>
        <v>2970.2970297029692</v>
      </c>
      <c r="M142" s="31">
        <v>3.09E-2</v>
      </c>
      <c r="N142" s="32">
        <f t="shared" si="77"/>
        <v>1.9801980198019795E-2</v>
      </c>
      <c r="O142" s="18">
        <f>IF(ISNUMBER(M142), $B145 * N142, "")</f>
        <v>2970.2970297029692</v>
      </c>
      <c r="Q142" s="146"/>
      <c r="R142" s="146"/>
      <c r="S142" s="146"/>
    </row>
    <row r="143" spans="1:19">
      <c r="A143" s="109" t="s">
        <v>145</v>
      </c>
      <c r="B143" s="110">
        <v>64.599999999999994</v>
      </c>
      <c r="C143" s="70">
        <v>-6.2409288799999997E-2</v>
      </c>
      <c r="D143" s="15">
        <v>66.099999999999994</v>
      </c>
      <c r="E143" s="32">
        <f t="shared" si="74"/>
        <v>2.3219814241486069E-2</v>
      </c>
      <c r="F143" s="18">
        <f>IF(ISNUMBER(D143), $B145 * E143, "")</f>
        <v>3482.9721362229102</v>
      </c>
      <c r="G143" s="31">
        <v>66.2</v>
      </c>
      <c r="H143" s="32">
        <f t="shared" si="75"/>
        <v>2.4767801857585273E-2</v>
      </c>
      <c r="I143" s="91">
        <f>IF(ISNUMBER(G143), $B145 * H143, "")</f>
        <v>3715.1702786377909</v>
      </c>
      <c r="J143" s="15">
        <v>65.8</v>
      </c>
      <c r="K143" s="32">
        <f t="shared" si="76"/>
        <v>1.8575851393188899E-2</v>
      </c>
      <c r="L143" s="18">
        <f>IF(ISNUMBER(J143), $B145 * K143, "")</f>
        <v>2786.3777089783348</v>
      </c>
      <c r="M143" s="31">
        <v>66</v>
      </c>
      <c r="N143" s="32">
        <f t="shared" si="77"/>
        <v>2.1671826625387088E-2</v>
      </c>
      <c r="O143" s="18">
        <f>IF(ISNUMBER(M143), $B145 * N143, "")</f>
        <v>3250.7739938080631</v>
      </c>
      <c r="Q143" s="135"/>
      <c r="R143" s="136"/>
      <c r="S143" s="137"/>
    </row>
    <row r="144" spans="1:19" ht="17.25" thickBot="1">
      <c r="A144" s="114" t="s">
        <v>97</v>
      </c>
      <c r="B144" s="115">
        <v>6.9999999999999999E-4</v>
      </c>
      <c r="C144" s="72">
        <v>-0.22222222220000001</v>
      </c>
      <c r="D144" s="24">
        <v>8.0000000000000004E-4</v>
      </c>
      <c r="E144" s="25">
        <f t="shared" si="74"/>
        <v>0.14285714285714293</v>
      </c>
      <c r="F144" s="94">
        <f>IF(ISNUMBER(D144), $B145 * E144, "")</f>
        <v>21428.571428571438</v>
      </c>
      <c r="G144" s="92">
        <v>8.0000000000000004E-4</v>
      </c>
      <c r="H144" s="25">
        <f t="shared" si="75"/>
        <v>0.14285714285714293</v>
      </c>
      <c r="I144" s="93">
        <f>IF(ISNUMBER(G144), $B145 * H144, "")</f>
        <v>21428.571428571438</v>
      </c>
      <c r="J144" s="24">
        <v>8.9999999999999998E-4</v>
      </c>
      <c r="K144" s="25">
        <f t="shared" si="76"/>
        <v>0.2857142857142857</v>
      </c>
      <c r="L144" s="94">
        <f>IF(ISNUMBER(J144), $B145 * K144, "")</f>
        <v>42857.142857142855</v>
      </c>
      <c r="M144" s="92">
        <v>8.0000000000000004E-4</v>
      </c>
      <c r="N144" s="25">
        <f t="shared" si="77"/>
        <v>0.14285714285714293</v>
      </c>
      <c r="O144" s="94">
        <f>IF(ISNUMBER(M144), $B145 * N144, "")</f>
        <v>21428.571428571438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3.0625785657526126E-2</v>
      </c>
      <c r="F145" s="28">
        <f>SUM(F125:F144)</f>
        <v>91877.356972578375</v>
      </c>
      <c r="G145" s="26" t="s">
        <v>258</v>
      </c>
      <c r="H145" s="27">
        <f>IF(COUNT(H125:H144), SUM(H125:H144) / COUNT(H125:H144), 0)</f>
        <v>3.1512604232695876E-2</v>
      </c>
      <c r="I145" s="28">
        <f>SUM(I125:I144)</f>
        <v>94537.812698087626</v>
      </c>
      <c r="J145" s="26" t="s">
        <v>258</v>
      </c>
      <c r="K145" s="27">
        <f>IF(COUNT(K125:K144), SUM(K125:K144) / COUNT(K125:K144), 0)</f>
        <v>3.7528852035754741E-2</v>
      </c>
      <c r="L145" s="28">
        <f>SUM(L125:L144)</f>
        <v>112586.55610726422</v>
      </c>
      <c r="M145" s="26" t="s">
        <v>258</v>
      </c>
      <c r="N145" s="27">
        <f>IF(COUNT(N125:N144), SUM(N125:N144) / COUNT(N125:N144), 0)</f>
        <v>3.0316434200358244E-2</v>
      </c>
      <c r="O145" s="28">
        <f>SUM(O125:O144)</f>
        <v>90949.302601074727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2023-01-07(토) 오전 00:00</v>
      </c>
      <c r="C150" s="198"/>
      <c r="D150" s="170" t="str">
        <f>TEXT($G$1, "[$-ko-KR]yyyy-mm-dd(ddd) ") &amp; "오후 14:00"</f>
        <v>2023-01-07(토) 오후 14:00</v>
      </c>
      <c r="E150" s="171"/>
      <c r="F150" s="172"/>
      <c r="G150" s="170" t="str">
        <f>TEXT($G$1, "[$-ko-KR]yyyy-mm-dd(ddd) ") &amp; "오후 19:00"</f>
        <v>2023-01-07(토) 오후 19:00</v>
      </c>
      <c r="H150" s="171"/>
      <c r="I150" s="172"/>
      <c r="J150" s="170" t="str">
        <f>TEXT($G$1, "[$-ko-KR]yyyy-mm-dd(ddd) ") &amp; "오후 21:00"</f>
        <v>2023-01-07(토) 오후 21:00</v>
      </c>
      <c r="K150" s="171"/>
      <c r="L150" s="172"/>
      <c r="M150" s="170" t="str">
        <f>TEXT($G$1+1, "[$-ko-KR]yyyy-mm-dd(ddd) ") &amp; "오전 00:00"</f>
        <v>2023-01-08(일)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215</v>
      </c>
      <c r="B152" s="108">
        <v>281</v>
      </c>
      <c r="C152" s="69">
        <v>-2.7681660899999998E-2</v>
      </c>
      <c r="D152" s="13">
        <v>286</v>
      </c>
      <c r="E152" s="14">
        <f>IF(ISNUMBER(D152), (D152 - $B152) / $B152, "")</f>
        <v>1.7793594306049824E-2</v>
      </c>
      <c r="F152" s="16">
        <f>IF(ISNUMBER(D152), $B172 * E152, "")</f>
        <v>2669.0391459074735</v>
      </c>
      <c r="G152" s="29">
        <v>286</v>
      </c>
      <c r="H152" s="14">
        <f>IF(ISNUMBER(G152), (G152 - $B152) / $B152, "")</f>
        <v>1.7793594306049824E-2</v>
      </c>
      <c r="I152" s="90">
        <f>IF(ISNUMBER(G152), $B172 * H152, "")</f>
        <v>2669.0391459074735</v>
      </c>
      <c r="J152" s="13">
        <v>287</v>
      </c>
      <c r="K152" s="14">
        <f>IF(ISNUMBER(J152), (J152 - $B152) / $B152, "")</f>
        <v>2.1352313167259787E-2</v>
      </c>
      <c r="L152" s="16">
        <f>IF(ISNUMBER(J152), $B172 * K152, "")</f>
        <v>3202.8469750889681</v>
      </c>
      <c r="M152" s="29">
        <v>286</v>
      </c>
      <c r="N152" s="14">
        <f>IF(ISNUMBER(M152), (M152 - $B152) / $B152, "")</f>
        <v>1.7793594306049824E-2</v>
      </c>
      <c r="O152" s="16">
        <f>IF(ISNUMBER(M152), $B172 * N152, "")</f>
        <v>2669.0391459074735</v>
      </c>
      <c r="Q152" s="156"/>
      <c r="R152" s="156"/>
      <c r="S152" s="156"/>
    </row>
    <row r="153" spans="1:19" ht="17.25" thickBot="1">
      <c r="A153" s="109" t="s">
        <v>211</v>
      </c>
      <c r="B153" s="110">
        <v>903</v>
      </c>
      <c r="C153" s="70">
        <v>-2.7987082900000002E-2</v>
      </c>
      <c r="D153" s="15">
        <v>914</v>
      </c>
      <c r="E153" s="32">
        <f t="shared" ref="E153:E156" si="78">IF(ISNUMBER(D153), (D153 - $B153) / $B153, "")</f>
        <v>1.2181616832779624E-2</v>
      </c>
      <c r="F153" s="18">
        <f>IF(ISNUMBER(D153), $B172 * E153, "")</f>
        <v>1827.2425249169437</v>
      </c>
      <c r="G153" s="31">
        <v>909</v>
      </c>
      <c r="H153" s="32">
        <f t="shared" ref="H153:H156" si="79">IF(ISNUMBER(G153), (G153 - $B153) / $B153, "")</f>
        <v>6.6445182724252493E-3</v>
      </c>
      <c r="I153" s="91">
        <f>IF(ISNUMBER(G153), $B172 * H153, "")</f>
        <v>996.67774086378745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>
        <v>911</v>
      </c>
      <c r="N153" s="32">
        <f t="shared" ref="N153:N156" si="81">IF(ISNUMBER(M153), (M153 - $B153) / $B153, "")</f>
        <v>8.8593576965669985E-3</v>
      </c>
      <c r="O153" s="18">
        <f>IF(ISNUMBER(M153), $B172 * N153, "")</f>
        <v>1328.9036544850499</v>
      </c>
      <c r="Q153" s="156"/>
      <c r="R153" s="156"/>
      <c r="S153" s="156"/>
    </row>
    <row r="154" spans="1:19" ht="17.25" thickBot="1">
      <c r="A154" s="109" t="s">
        <v>79</v>
      </c>
      <c r="B154" s="110">
        <v>219</v>
      </c>
      <c r="C154" s="70">
        <v>-3.09734513E-2</v>
      </c>
      <c r="D154" s="15">
        <v>229</v>
      </c>
      <c r="E154" s="32">
        <f t="shared" si="78"/>
        <v>4.5662100456621002E-2</v>
      </c>
      <c r="F154" s="18">
        <f>IF(ISNUMBER(D154), $B172 * E154, "")</f>
        <v>6849.3150684931506</v>
      </c>
      <c r="G154" s="31">
        <v>231</v>
      </c>
      <c r="H154" s="32">
        <f t="shared" si="79"/>
        <v>5.4794520547945202E-2</v>
      </c>
      <c r="I154" s="91">
        <f>IF(ISNUMBER(G154), $B172 * H154, "")</f>
        <v>8219.17808219178</v>
      </c>
      <c r="J154" s="15">
        <v>231</v>
      </c>
      <c r="K154" s="32">
        <f t="shared" si="80"/>
        <v>5.4794520547945202E-2</v>
      </c>
      <c r="L154" s="18">
        <f>IF(ISNUMBER(J154), $B172 * K154, "")</f>
        <v>8219.17808219178</v>
      </c>
      <c r="M154" s="31">
        <v>229</v>
      </c>
      <c r="N154" s="32">
        <f t="shared" si="81"/>
        <v>4.5662100456621002E-2</v>
      </c>
      <c r="O154" s="18">
        <f>IF(ISNUMBER(M154), $B172 * N154, "")</f>
        <v>6849.3150684931506</v>
      </c>
      <c r="Q154" s="146"/>
      <c r="R154" s="146"/>
      <c r="S154" s="146"/>
    </row>
    <row r="155" spans="1:19" ht="17.25" thickBot="1">
      <c r="A155" s="109" t="s">
        <v>341</v>
      </c>
      <c r="B155" s="110">
        <v>613</v>
      </c>
      <c r="C155" s="70">
        <v>-3.1595576600000001E-2</v>
      </c>
      <c r="D155" s="15">
        <v>649</v>
      </c>
      <c r="E155" s="32">
        <f t="shared" si="78"/>
        <v>5.872756933115824E-2</v>
      </c>
      <c r="F155" s="18">
        <f>IF(ISNUMBER(D155), $B172 * E155, "")</f>
        <v>8809.1353996737362</v>
      </c>
      <c r="G155" s="31">
        <v>648</v>
      </c>
      <c r="H155" s="32">
        <f t="shared" si="79"/>
        <v>5.7096247960848286E-2</v>
      </c>
      <c r="I155" s="91">
        <f>IF(ISNUMBER(G155), $B172 * H155, "")</f>
        <v>8564.437194127242</v>
      </c>
      <c r="J155" s="15">
        <v>647</v>
      </c>
      <c r="K155" s="32">
        <f t="shared" si="80"/>
        <v>5.5464926590538338E-2</v>
      </c>
      <c r="L155" s="18">
        <f>IF(ISNUMBER(J155), $B172 * K155, "")</f>
        <v>8319.7389885807515</v>
      </c>
      <c r="M155" s="31">
        <v>651</v>
      </c>
      <c r="N155" s="32">
        <f t="shared" si="81"/>
        <v>6.1990212071778142E-2</v>
      </c>
      <c r="O155" s="18">
        <f>IF(ISNUMBER(M155), $B172 * N155, "")</f>
        <v>9298.5318107667208</v>
      </c>
      <c r="Q155" s="146"/>
      <c r="R155" s="146"/>
      <c r="S155" s="146"/>
    </row>
    <row r="156" spans="1:19" ht="17.25" thickBot="1">
      <c r="A156" s="111" t="s">
        <v>235</v>
      </c>
      <c r="B156" s="112">
        <v>506</v>
      </c>
      <c r="C156" s="71">
        <v>-3.2504780099999998E-2</v>
      </c>
      <c r="D156" s="20">
        <v>514</v>
      </c>
      <c r="E156" s="21">
        <f t="shared" si="78"/>
        <v>1.5810276679841896E-2</v>
      </c>
      <c r="F156" s="22">
        <f>IF(ISNUMBER(D156), $B172 * E156, "")</f>
        <v>2371.5415019762845</v>
      </c>
      <c r="G156" s="30">
        <v>514</v>
      </c>
      <c r="H156" s="21">
        <f t="shared" si="79"/>
        <v>1.5810276679841896E-2</v>
      </c>
      <c r="I156" s="95">
        <f>IF(ISNUMBER(G156), $B172 * H156, "")</f>
        <v>2371.5415019762845</v>
      </c>
      <c r="J156" s="20">
        <v>515</v>
      </c>
      <c r="K156" s="21">
        <f t="shared" si="80"/>
        <v>1.7786561264822136E-2</v>
      </c>
      <c r="L156" s="22">
        <f>IF(ISNUMBER(J156), $B172 * K156, "")</f>
        <v>2667.9841897233205</v>
      </c>
      <c r="M156" s="30">
        <v>512</v>
      </c>
      <c r="N156" s="21">
        <f t="shared" si="81"/>
        <v>1.1857707509881422E-2</v>
      </c>
      <c r="O156" s="22">
        <f>IF(ISNUMBER(M156), $B172 * N156, "")</f>
        <v>1778.6561264822133</v>
      </c>
      <c r="Q156" s="146"/>
      <c r="R156" s="146"/>
      <c r="S156" s="146"/>
    </row>
    <row r="157" spans="1:19" ht="17.25" thickBot="1">
      <c r="A157" s="109" t="s">
        <v>199</v>
      </c>
      <c r="B157" s="113">
        <v>262</v>
      </c>
      <c r="C157" s="73">
        <v>-3.3210332100000003E-2</v>
      </c>
      <c r="D157" s="96">
        <v>266</v>
      </c>
      <c r="E157" s="97">
        <f>IF(ISNUMBER(D157), (D157 - $B157) / $B157, "")</f>
        <v>1.5267175572519083E-2</v>
      </c>
      <c r="F157" s="98">
        <f>IF(ISNUMBER(D157), $B172 * E157, "")</f>
        <v>2290.0763358778627</v>
      </c>
      <c r="G157" s="99">
        <v>265</v>
      </c>
      <c r="H157" s="97">
        <f>IF(ISNUMBER(G157), (G157 - $B157) / $B157, "")</f>
        <v>1.1450381679389313E-2</v>
      </c>
      <c r="I157" s="100">
        <f>IF(ISNUMBER(G157), $B172 * H157, "")</f>
        <v>1717.5572519083969</v>
      </c>
      <c r="J157" s="96">
        <v>266</v>
      </c>
      <c r="K157" s="97">
        <f>IF(ISNUMBER(J157), (J157 - $B157) / $B157, "")</f>
        <v>1.5267175572519083E-2</v>
      </c>
      <c r="L157" s="98">
        <f>IF(ISNUMBER(J157), $B172 * K157, "")</f>
        <v>2290.0763358778627</v>
      </c>
      <c r="M157" s="99">
        <v>267</v>
      </c>
      <c r="N157" s="97">
        <f>IF(ISNUMBER(M157), (M157 - $B157) / $B157, "")</f>
        <v>1.9083969465648856E-2</v>
      </c>
      <c r="O157" s="98">
        <f>IF(ISNUMBER(M157), $B172 * N157, "")</f>
        <v>2862.5954198473282</v>
      </c>
      <c r="Q157" s="146"/>
      <c r="R157" s="146"/>
      <c r="S157" s="146"/>
    </row>
    <row r="158" spans="1:19" ht="17.25" thickBot="1">
      <c r="A158" s="109" t="s">
        <v>213</v>
      </c>
      <c r="B158" s="110">
        <v>402</v>
      </c>
      <c r="C158" s="70">
        <v>-3.3653846199999997E-2</v>
      </c>
      <c r="D158" s="15">
        <v>410</v>
      </c>
      <c r="E158" s="32">
        <f t="shared" ref="E158:E161" si="82">IF(ISNUMBER(D158), (D158 - $B158) / $B158, "")</f>
        <v>1.9900497512437811E-2</v>
      </c>
      <c r="F158" s="18">
        <f>IF(ISNUMBER(D158), $B172 * E158, "")</f>
        <v>2985.0746268656717</v>
      </c>
      <c r="G158" s="31">
        <v>410</v>
      </c>
      <c r="H158" s="32">
        <f t="shared" ref="H158:H161" si="83">IF(ISNUMBER(G158), (G158 - $B158) / $B158, "")</f>
        <v>1.9900497512437811E-2</v>
      </c>
      <c r="I158" s="91">
        <f>IF(ISNUMBER(G158), $B172 * H158, "")</f>
        <v>2985.0746268656717</v>
      </c>
      <c r="J158" s="15">
        <v>410</v>
      </c>
      <c r="K158" s="32">
        <f t="shared" ref="K158:K161" si="84">IF(ISNUMBER(J158), (J158 - $B158) / $B158, "")</f>
        <v>1.9900497512437811E-2</v>
      </c>
      <c r="L158" s="18">
        <f>IF(ISNUMBER(J158), $B172 * K158, "")</f>
        <v>2985.0746268656717</v>
      </c>
      <c r="M158" s="31">
        <v>411</v>
      </c>
      <c r="N158" s="32">
        <f t="shared" ref="N158:N161" si="85">IF(ISNUMBER(M158), (M158 - $B158) / $B158, "")</f>
        <v>2.2388059701492536E-2</v>
      </c>
      <c r="O158" s="18">
        <f>IF(ISNUMBER(M158), $B172 * N158, "")</f>
        <v>3358.2089552238804</v>
      </c>
      <c r="Q158" s="146"/>
      <c r="R158" s="146"/>
      <c r="S158" s="146"/>
    </row>
    <row r="159" spans="1:19" ht="17.25" thickBot="1">
      <c r="A159" s="109" t="s">
        <v>183</v>
      </c>
      <c r="B159" s="110">
        <v>112</v>
      </c>
      <c r="C159" s="70">
        <v>-3.4482758600000003E-2</v>
      </c>
      <c r="D159" s="15">
        <v>114</v>
      </c>
      <c r="E159" s="32">
        <f t="shared" si="82"/>
        <v>1.7857142857142856E-2</v>
      </c>
      <c r="F159" s="18">
        <f>IF(ISNUMBER(D159), $B172 * E159, "")</f>
        <v>2678.5714285714284</v>
      </c>
      <c r="G159" s="31">
        <v>115</v>
      </c>
      <c r="H159" s="32">
        <f t="shared" si="83"/>
        <v>2.6785714285714284E-2</v>
      </c>
      <c r="I159" s="91">
        <f>IF(ISNUMBER(G159), $B172 * H159, "")</f>
        <v>4017.8571428571427</v>
      </c>
      <c r="J159" s="15">
        <v>114</v>
      </c>
      <c r="K159" s="32">
        <f t="shared" si="84"/>
        <v>1.7857142857142856E-2</v>
      </c>
      <c r="L159" s="18">
        <f>IF(ISNUMBER(J159), $B172 * K159, "")</f>
        <v>2678.5714285714284</v>
      </c>
      <c r="M159" s="31">
        <v>114</v>
      </c>
      <c r="N159" s="32">
        <f t="shared" si="85"/>
        <v>1.7857142857142856E-2</v>
      </c>
      <c r="O159" s="18">
        <f>IF(ISNUMBER(M159), $B172 * N159, "")</f>
        <v>2678.5714285714284</v>
      </c>
      <c r="Q159" s="146"/>
      <c r="R159" s="146"/>
      <c r="S159" s="146"/>
    </row>
    <row r="160" spans="1:19" ht="17.25" thickBot="1">
      <c r="A160" s="109" t="s">
        <v>159</v>
      </c>
      <c r="B160" s="110">
        <v>136</v>
      </c>
      <c r="C160" s="70">
        <v>-3.5460992900000002E-2</v>
      </c>
      <c r="D160" s="15">
        <v>140</v>
      </c>
      <c r="E160" s="32">
        <f t="shared" si="82"/>
        <v>2.9411764705882353E-2</v>
      </c>
      <c r="F160" s="18">
        <f>IF(ISNUMBER(D160), $B172 * E160, "")</f>
        <v>4411.7647058823532</v>
      </c>
      <c r="G160" s="31">
        <v>139</v>
      </c>
      <c r="H160" s="32">
        <f t="shared" si="83"/>
        <v>2.2058823529411766E-2</v>
      </c>
      <c r="I160" s="91">
        <f>IF(ISNUMBER(G160), $B172 * H160, "")</f>
        <v>3308.8235294117649</v>
      </c>
      <c r="J160" s="15">
        <v>140</v>
      </c>
      <c r="K160" s="32">
        <f t="shared" si="84"/>
        <v>2.9411764705882353E-2</v>
      </c>
      <c r="L160" s="18">
        <f>IF(ISNUMBER(J160), $B172 * K160, "")</f>
        <v>4411.7647058823532</v>
      </c>
      <c r="M160" s="31">
        <v>140</v>
      </c>
      <c r="N160" s="32">
        <f t="shared" si="85"/>
        <v>2.9411764705882353E-2</v>
      </c>
      <c r="O160" s="18">
        <f>IF(ISNUMBER(M160), $B172 * N160, "")</f>
        <v>4411.7647058823532</v>
      </c>
      <c r="Q160" s="33"/>
      <c r="R160" s="33"/>
    </row>
    <row r="161" spans="1:19" ht="17.25" thickBot="1">
      <c r="A161" s="114" t="s">
        <v>219</v>
      </c>
      <c r="B161" s="115">
        <v>333</v>
      </c>
      <c r="C161" s="72">
        <v>-3.7572254300000003E-2</v>
      </c>
      <c r="D161" s="24">
        <v>341</v>
      </c>
      <c r="E161" s="25">
        <f t="shared" si="82"/>
        <v>2.4024024024024024E-2</v>
      </c>
      <c r="F161" s="94">
        <f>IF(ISNUMBER(D161), $B172 * E161, "")</f>
        <v>3603.6036036036035</v>
      </c>
      <c r="G161" s="92">
        <v>343</v>
      </c>
      <c r="H161" s="25">
        <f t="shared" si="83"/>
        <v>3.003003003003003E-2</v>
      </c>
      <c r="I161" s="93">
        <f>IF(ISNUMBER(G161), $B172 * H161, "")</f>
        <v>4504.5045045045044</v>
      </c>
      <c r="J161" s="24">
        <v>342</v>
      </c>
      <c r="K161" s="25">
        <f t="shared" si="84"/>
        <v>2.7027027027027029E-2</v>
      </c>
      <c r="L161" s="94">
        <f>IF(ISNUMBER(J161), $B172 * K161, "")</f>
        <v>4054.0540540540542</v>
      </c>
      <c r="M161" s="92">
        <v>342</v>
      </c>
      <c r="N161" s="25">
        <f t="shared" si="85"/>
        <v>2.7027027027027029E-2</v>
      </c>
      <c r="O161" s="94">
        <f>IF(ISNUMBER(M161), $B172 * N161, "")</f>
        <v>4054.0540540540542</v>
      </c>
      <c r="Q161" s="147"/>
      <c r="R161" s="148"/>
      <c r="S161" s="149"/>
    </row>
    <row r="162" spans="1:19">
      <c r="A162" s="107" t="s">
        <v>111</v>
      </c>
      <c r="B162" s="108">
        <v>525</v>
      </c>
      <c r="C162" s="69">
        <v>-3.8461538500000003E-2</v>
      </c>
      <c r="D162" s="13">
        <v>596</v>
      </c>
      <c r="E162" s="14">
        <f>IF(ISNUMBER(D162), (D162 - $B162) / $B162, "")</f>
        <v>0.13523809523809524</v>
      </c>
      <c r="F162" s="16">
        <f>IF(ISNUMBER(D162), $B172 * E162, "")</f>
        <v>20285.714285714286</v>
      </c>
      <c r="G162" s="29">
        <v>596</v>
      </c>
      <c r="H162" s="14">
        <f>IF(ISNUMBER(G162), (G162 - $B162) / $B162, "")</f>
        <v>0.13523809523809524</v>
      </c>
      <c r="I162" s="90">
        <f>IF(ISNUMBER(G162), $B172 * H162, "")</f>
        <v>20285.714285714286</v>
      </c>
      <c r="J162" s="13">
        <v>588</v>
      </c>
      <c r="K162" s="14">
        <f>IF(ISNUMBER(J162), (J162 - $B162) / $B162, "")</f>
        <v>0.12</v>
      </c>
      <c r="L162" s="16">
        <f>IF(ISNUMBER(J162), $B172 * K162, "")</f>
        <v>18000</v>
      </c>
      <c r="M162" s="29">
        <v>580</v>
      </c>
      <c r="N162" s="14">
        <f>IF(ISNUMBER(M162), (M162 - $B162) / $B162, "")</f>
        <v>0.10476190476190476</v>
      </c>
      <c r="O162" s="16">
        <f>IF(ISNUMBER(M162), $B172 * N162, "")</f>
        <v>15714.285714285714</v>
      </c>
      <c r="Q162" s="150"/>
      <c r="R162" s="151"/>
      <c r="S162" s="152"/>
    </row>
    <row r="163" spans="1:19" ht="17.25" thickBot="1">
      <c r="A163" s="109" t="s">
        <v>231</v>
      </c>
      <c r="B163" s="110">
        <v>298</v>
      </c>
      <c r="C163" s="70">
        <v>-3.8709677400000003E-2</v>
      </c>
      <c r="D163" s="15">
        <v>305</v>
      </c>
      <c r="E163" s="32">
        <f t="shared" ref="E163:E166" si="86">IF(ISNUMBER(D163), (D163 - $B163) / $B163, "")</f>
        <v>2.3489932885906041E-2</v>
      </c>
      <c r="F163" s="18">
        <f>IF(ISNUMBER(D163), $B172 * E163, "")</f>
        <v>3523.489932885906</v>
      </c>
      <c r="G163" s="31">
        <v>305</v>
      </c>
      <c r="H163" s="32">
        <f t="shared" ref="H163:H166" si="87">IF(ISNUMBER(G163), (G163 - $B163) / $B163, "")</f>
        <v>2.3489932885906041E-2</v>
      </c>
      <c r="I163" s="91">
        <f>IF(ISNUMBER(G163), $B172 * H163, "")</f>
        <v>3523.489932885906</v>
      </c>
      <c r="J163" s="15">
        <v>305</v>
      </c>
      <c r="K163" s="32">
        <f t="shared" ref="K163:K166" si="88">IF(ISNUMBER(J163), (J163 - $B163) / $B163, "")</f>
        <v>2.3489932885906041E-2</v>
      </c>
      <c r="L163" s="18">
        <f>IF(ISNUMBER(J163), $B172 * K163, "")</f>
        <v>3523.489932885906</v>
      </c>
      <c r="M163" s="31">
        <v>305</v>
      </c>
      <c r="N163" s="32">
        <f t="shared" ref="N163:N166" si="89">IF(ISNUMBER(M163), (M163 - $B163) / $B163, "")</f>
        <v>2.3489932885906041E-2</v>
      </c>
      <c r="O163" s="18">
        <f>IF(ISNUMBER(M163), $B172 * N163, "")</f>
        <v>3523.489932885906</v>
      </c>
      <c r="Q163" s="153"/>
      <c r="R163" s="154"/>
      <c r="S163" s="155"/>
    </row>
    <row r="164" spans="1:19" ht="17.25" thickBot="1">
      <c r="A164" s="109" t="s">
        <v>103</v>
      </c>
      <c r="B164" s="110">
        <v>195</v>
      </c>
      <c r="C164" s="70">
        <v>-3.9408867E-2</v>
      </c>
      <c r="D164" s="15">
        <v>203</v>
      </c>
      <c r="E164" s="32">
        <f t="shared" si="86"/>
        <v>4.1025641025641026E-2</v>
      </c>
      <c r="F164" s="18">
        <f>IF(ISNUMBER(D164), $B172 * E164, "")</f>
        <v>6153.8461538461543</v>
      </c>
      <c r="G164" s="31">
        <v>203</v>
      </c>
      <c r="H164" s="32">
        <f t="shared" si="87"/>
        <v>4.1025641025641026E-2</v>
      </c>
      <c r="I164" s="91">
        <f>IF(ISNUMBER(G164), $B172 * H164, "")</f>
        <v>6153.8461538461543</v>
      </c>
      <c r="J164" s="15">
        <v>203</v>
      </c>
      <c r="K164" s="32">
        <f t="shared" si="88"/>
        <v>4.1025641025641026E-2</v>
      </c>
      <c r="L164" s="18">
        <f>IF(ISNUMBER(J164), $B172 * K164, "")</f>
        <v>6153.8461538461543</v>
      </c>
      <c r="M164" s="31">
        <v>202</v>
      </c>
      <c r="N164" s="32">
        <f t="shared" si="89"/>
        <v>3.5897435897435895E-2</v>
      </c>
      <c r="O164" s="18">
        <f>IF(ISNUMBER(M164), $B172 * N164, "")</f>
        <v>5384.6153846153838</v>
      </c>
      <c r="Q164" s="146"/>
      <c r="R164" s="146"/>
      <c r="S164" s="146"/>
    </row>
    <row r="165" spans="1:19" ht="17.25" thickBot="1">
      <c r="A165" s="109" t="s">
        <v>317</v>
      </c>
      <c r="B165" s="110">
        <v>541</v>
      </c>
      <c r="C165" s="70">
        <v>-4.0780141800000003E-2</v>
      </c>
      <c r="D165" s="15">
        <v>549</v>
      </c>
      <c r="E165" s="32">
        <f t="shared" si="86"/>
        <v>1.4787430683918669E-2</v>
      </c>
      <c r="F165" s="18">
        <f>IF(ISNUMBER(D165), $B172 * E165, "")</f>
        <v>2218.1146025878002</v>
      </c>
      <c r="G165" s="31">
        <v>551</v>
      </c>
      <c r="H165" s="32">
        <f t="shared" si="87"/>
        <v>1.8484288354898338E-2</v>
      </c>
      <c r="I165" s="91">
        <f>IF(ISNUMBER(G165), $B172 * H165, "")</f>
        <v>2772.6432532347508</v>
      </c>
      <c r="J165" s="15">
        <v>550</v>
      </c>
      <c r="K165" s="32">
        <f t="shared" si="88"/>
        <v>1.6635859519408502E-2</v>
      </c>
      <c r="L165" s="18">
        <f>IF(ISNUMBER(J165), $B172 * K165, "")</f>
        <v>2495.3789279112752</v>
      </c>
      <c r="M165" s="31">
        <v>551</v>
      </c>
      <c r="N165" s="32">
        <f t="shared" si="89"/>
        <v>1.8484288354898338E-2</v>
      </c>
      <c r="O165" s="18">
        <f>IF(ISNUMBER(M165), $B172 * N165, "")</f>
        <v>2772.6432532347508</v>
      </c>
      <c r="Q165" s="156"/>
      <c r="R165" s="156"/>
      <c r="S165" s="156"/>
    </row>
    <row r="166" spans="1:19" ht="17.25" thickBot="1">
      <c r="A166" s="111" t="s">
        <v>189</v>
      </c>
      <c r="B166" s="112">
        <v>868</v>
      </c>
      <c r="C166" s="71">
        <v>-4.19426049E-2</v>
      </c>
      <c r="D166" s="20">
        <v>893</v>
      </c>
      <c r="E166" s="21">
        <f t="shared" si="86"/>
        <v>2.880184331797235E-2</v>
      </c>
      <c r="F166" s="22">
        <f>IF(ISNUMBER(D166), $B172 * E166, "")</f>
        <v>4320.2764976958524</v>
      </c>
      <c r="G166" s="30">
        <v>905</v>
      </c>
      <c r="H166" s="21">
        <f t="shared" si="87"/>
        <v>4.2626728110599081E-2</v>
      </c>
      <c r="I166" s="95">
        <f>IF(ISNUMBER(G166), $B172 * H166, "")</f>
        <v>6394.0092165898623</v>
      </c>
      <c r="J166" s="20">
        <v>895</v>
      </c>
      <c r="K166" s="21">
        <f t="shared" si="88"/>
        <v>3.1105990783410139E-2</v>
      </c>
      <c r="L166" s="22">
        <f>IF(ISNUMBER(J166), $B172 * K166, "")</f>
        <v>4665.8986175115206</v>
      </c>
      <c r="M166" s="30">
        <v>891</v>
      </c>
      <c r="N166" s="21">
        <f t="shared" si="89"/>
        <v>2.6497695852534562E-2</v>
      </c>
      <c r="O166" s="22">
        <f>IF(ISNUMBER(M166), $B172 * N166, "")</f>
        <v>3974.6543778801843</v>
      </c>
      <c r="Q166" s="156"/>
      <c r="R166" s="156"/>
      <c r="S166" s="156"/>
    </row>
    <row r="167" spans="1:19" ht="17.25" thickBot="1">
      <c r="A167" s="109" t="s">
        <v>319</v>
      </c>
      <c r="B167" s="113">
        <v>315</v>
      </c>
      <c r="C167" s="73">
        <v>-4.2553191499999997E-2</v>
      </c>
      <c r="D167" s="96">
        <v>336</v>
      </c>
      <c r="E167" s="97">
        <f>IF(ISNUMBER(D167), (D167 - $B167) / $B167, "")</f>
        <v>6.6666666666666666E-2</v>
      </c>
      <c r="F167" s="98">
        <f>IF(ISNUMBER(D167), $B172 * E167, "")</f>
        <v>10000</v>
      </c>
      <c r="G167" s="99">
        <v>336</v>
      </c>
      <c r="H167" s="97">
        <f>IF(ISNUMBER(G167), (G167 - $B167) / $B167, "")</f>
        <v>6.6666666666666666E-2</v>
      </c>
      <c r="I167" s="100">
        <f>IF(ISNUMBER(G167), $B172 * H167, "")</f>
        <v>10000</v>
      </c>
      <c r="J167" s="96">
        <v>336</v>
      </c>
      <c r="K167" s="97">
        <f>IF(ISNUMBER(J167), (J167 - $B167) / $B167, "")</f>
        <v>6.6666666666666666E-2</v>
      </c>
      <c r="L167" s="98">
        <f>IF(ISNUMBER(J167), $B172 * K167, "")</f>
        <v>10000</v>
      </c>
      <c r="M167" s="99">
        <v>337</v>
      </c>
      <c r="N167" s="97">
        <f>IF(ISNUMBER(M167), (M167 - $B167) / $B167, "")</f>
        <v>6.9841269841269843E-2</v>
      </c>
      <c r="O167" s="98">
        <f>IF(ISNUMBER(M167), $B172 * N167, "")</f>
        <v>10476.190476190477</v>
      </c>
      <c r="Q167" s="146"/>
      <c r="R167" s="146"/>
      <c r="S167" s="146"/>
    </row>
    <row r="168" spans="1:19" ht="17.25" thickBot="1">
      <c r="A168" s="109" t="s">
        <v>321</v>
      </c>
      <c r="B168" s="110">
        <v>153</v>
      </c>
      <c r="C168" s="70">
        <v>-4.3749999999999997E-2</v>
      </c>
      <c r="D168" s="15">
        <v>156</v>
      </c>
      <c r="E168" s="32">
        <f t="shared" ref="E168:E171" si="90">IF(ISNUMBER(D168), (D168 - $B168) / $B168, "")</f>
        <v>1.9607843137254902E-2</v>
      </c>
      <c r="F168" s="18">
        <f>IF(ISNUMBER(D168), $B172 * E168, "")</f>
        <v>2941.1764705882351</v>
      </c>
      <c r="G168" s="31">
        <v>157</v>
      </c>
      <c r="H168" s="32">
        <f t="shared" ref="H168:H171" si="91">IF(ISNUMBER(G168), (G168 - $B168) / $B168, "")</f>
        <v>2.6143790849673203E-2</v>
      </c>
      <c r="I168" s="91">
        <f>IF(ISNUMBER(G168), $B172 * H168, "")</f>
        <v>3921.5686274509803</v>
      </c>
      <c r="J168" s="15">
        <v>157</v>
      </c>
      <c r="K168" s="32">
        <f t="shared" ref="K168:K171" si="92">IF(ISNUMBER(J168), (J168 - $B168) / $B168, "")</f>
        <v>2.6143790849673203E-2</v>
      </c>
      <c r="L168" s="18">
        <f>IF(ISNUMBER(J168), $B172 * K168, "")</f>
        <v>3921.5686274509803</v>
      </c>
      <c r="M168" s="31">
        <v>157</v>
      </c>
      <c r="N168" s="32">
        <f t="shared" ref="N168:N171" si="93">IF(ISNUMBER(M168), (M168 - $B168) / $B168, "")</f>
        <v>2.6143790849673203E-2</v>
      </c>
      <c r="O168" s="18">
        <f>IF(ISNUMBER(M168), $B172 * N168, "")</f>
        <v>3921.5686274509803</v>
      </c>
      <c r="Q168" s="146"/>
      <c r="R168" s="146"/>
      <c r="S168" s="146"/>
    </row>
    <row r="169" spans="1:19" ht="17.25" thickBot="1">
      <c r="A169" s="109" t="s">
        <v>68</v>
      </c>
      <c r="B169" s="110">
        <v>246</v>
      </c>
      <c r="C169" s="70">
        <v>-4.6511627899999998E-2</v>
      </c>
      <c r="D169" s="15">
        <v>252</v>
      </c>
      <c r="E169" s="32">
        <f t="shared" si="90"/>
        <v>2.4390243902439025E-2</v>
      </c>
      <c r="F169" s="18">
        <f>IF(ISNUMBER(D169), $B172 * E169, "")</f>
        <v>3658.5365853658536</v>
      </c>
      <c r="G169" s="31">
        <v>253</v>
      </c>
      <c r="H169" s="32">
        <f t="shared" si="91"/>
        <v>2.8455284552845527E-2</v>
      </c>
      <c r="I169" s="91">
        <f>IF(ISNUMBER(G169), $B172 * H169, "")</f>
        <v>4268.292682926829</v>
      </c>
      <c r="J169" s="15">
        <v>250</v>
      </c>
      <c r="K169" s="32">
        <f t="shared" si="92"/>
        <v>1.6260162601626018E-2</v>
      </c>
      <c r="L169" s="18">
        <f>IF(ISNUMBER(J169), $B172 * K169, "")</f>
        <v>2439.0243902439029</v>
      </c>
      <c r="M169" s="31">
        <v>251</v>
      </c>
      <c r="N169" s="32">
        <f t="shared" si="93"/>
        <v>2.032520325203252E-2</v>
      </c>
      <c r="O169" s="18">
        <f>IF(ISNUMBER(M169), $B172 * N169, "")</f>
        <v>3048.7804878048778</v>
      </c>
      <c r="Q169" s="146"/>
      <c r="R169" s="146"/>
      <c r="S169" s="146"/>
    </row>
    <row r="170" spans="1:19">
      <c r="A170" s="109" t="s">
        <v>201</v>
      </c>
      <c r="B170" s="110">
        <v>176</v>
      </c>
      <c r="C170" s="70">
        <v>-4.8648648599999997E-2</v>
      </c>
      <c r="D170" s="15">
        <v>186</v>
      </c>
      <c r="E170" s="32">
        <f t="shared" si="90"/>
        <v>5.6818181818181816E-2</v>
      </c>
      <c r="F170" s="18">
        <f>IF(ISNUMBER(D170), $B172 * E170, "")</f>
        <v>8522.7272727272721</v>
      </c>
      <c r="G170" s="31">
        <v>185</v>
      </c>
      <c r="H170" s="32">
        <f t="shared" si="91"/>
        <v>5.113636363636364E-2</v>
      </c>
      <c r="I170" s="91">
        <f>IF(ISNUMBER(G170), $B172 * H170, "")</f>
        <v>7670.454545454546</v>
      </c>
      <c r="J170" s="15">
        <v>185</v>
      </c>
      <c r="K170" s="32">
        <f t="shared" si="92"/>
        <v>5.113636363636364E-2</v>
      </c>
      <c r="L170" s="18">
        <f>IF(ISNUMBER(J170), $B172 * K170, "")</f>
        <v>7670.454545454546</v>
      </c>
      <c r="M170" s="31">
        <v>185</v>
      </c>
      <c r="N170" s="32">
        <f t="shared" si="93"/>
        <v>5.113636363636364E-2</v>
      </c>
      <c r="O170" s="18">
        <f>IF(ISNUMBER(M170), $B172 * N170, "")</f>
        <v>7670.454545454546</v>
      </c>
      <c r="Q170" s="135"/>
      <c r="R170" s="136"/>
      <c r="S170" s="137"/>
    </row>
    <row r="171" spans="1:19" ht="17.25" thickBot="1">
      <c r="A171" s="114" t="s">
        <v>85</v>
      </c>
      <c r="B171" s="115">
        <v>136</v>
      </c>
      <c r="C171" s="72">
        <v>-5.5555555600000001E-2</v>
      </c>
      <c r="D171" s="24">
        <v>138</v>
      </c>
      <c r="E171" s="25">
        <f t="shared" si="90"/>
        <v>1.4705882352941176E-2</v>
      </c>
      <c r="F171" s="94">
        <f>IF(ISNUMBER(D171), $B172 * E171, "")</f>
        <v>2205.8823529411766</v>
      </c>
      <c r="G171" s="92">
        <v>140</v>
      </c>
      <c r="H171" s="25">
        <f t="shared" si="91"/>
        <v>2.9411764705882353E-2</v>
      </c>
      <c r="I171" s="93">
        <f>IF(ISNUMBER(G171), $B172 * H171, "")</f>
        <v>4411.7647058823532</v>
      </c>
      <c r="J171" s="24">
        <v>138</v>
      </c>
      <c r="K171" s="25">
        <f t="shared" si="92"/>
        <v>1.4705882352941176E-2</v>
      </c>
      <c r="L171" s="94">
        <f>IF(ISNUMBER(J171), $B172 * K171, "")</f>
        <v>2205.8823529411766</v>
      </c>
      <c r="M171" s="92">
        <v>138</v>
      </c>
      <c r="N171" s="25">
        <f t="shared" si="93"/>
        <v>1.4705882352941176E-2</v>
      </c>
      <c r="O171" s="94">
        <f>IF(ISNUMBER(M171), $B172 * N171, "")</f>
        <v>2205.8823529411766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3.4108376165373683E-2</v>
      </c>
      <c r="F172" s="28">
        <f>SUM(F152:F171)</f>
        <v>102325.12849612106</v>
      </c>
      <c r="G172" s="26" t="s">
        <v>258</v>
      </c>
      <c r="H172" s="27">
        <f>IF(COUNT(H152:H171), SUM(H152:H171) / COUNT(H152:H171), 0)</f>
        <v>3.6252158041533242E-2</v>
      </c>
      <c r="I172" s="28">
        <f>SUM(I152:I171)</f>
        <v>108756.47412459971</v>
      </c>
      <c r="J172" s="26" t="s">
        <v>258</v>
      </c>
      <c r="K172" s="27">
        <f>IF(COUNT(K152:K171), SUM(K152:K171) / COUNT(K152:K171), 0)</f>
        <v>3.37445788631889E-2</v>
      </c>
      <c r="L172" s="28">
        <f>SUM(L152:L171)</f>
        <v>101233.73658956669</v>
      </c>
      <c r="M172" s="26" t="s">
        <v>258</v>
      </c>
      <c r="N172" s="27">
        <f>IF(COUNT(N152:N171), SUM(N152:N171) / COUNT(N152:N171), 0)</f>
        <v>3.266073517415255E-2</v>
      </c>
      <c r="O172" s="28">
        <f>SUM(O152:O171)</f>
        <v>97982.205522457632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2023-01-07(토) 오전 00:00</v>
      </c>
      <c r="C177" s="198"/>
      <c r="D177" s="170" t="str">
        <f>TEXT($G$1, "[$-ko-KR]yyyy-mm-dd(ddd) ") &amp; "오후 14:00"</f>
        <v>2023-01-07(토) 오후 14:00</v>
      </c>
      <c r="E177" s="171"/>
      <c r="F177" s="172"/>
      <c r="G177" s="170" t="str">
        <f>TEXT($G$1, "[$-ko-KR]yyyy-mm-dd(ddd) ") &amp; "오후 19:00"</f>
        <v>2023-01-07(토) 오후 19:00</v>
      </c>
      <c r="H177" s="171"/>
      <c r="I177" s="172"/>
      <c r="J177" s="170" t="str">
        <f>TEXT($G$1, "[$-ko-KR]yyyy-mm-dd(ddd) ") &amp; "오후 21:00"</f>
        <v>2023-01-07(토) 오후 21:00</v>
      </c>
      <c r="K177" s="171"/>
      <c r="L177" s="172"/>
      <c r="M177" s="170" t="str">
        <f>TEXT($G$1+1, "[$-ko-KR]yyyy-mm-dd(ddd) ") &amp; "오전 00:00"</f>
        <v>2023-01-08(일)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343</v>
      </c>
      <c r="B179" s="108">
        <v>16600</v>
      </c>
      <c r="C179" s="69">
        <v>-3.6564132300000003E-2</v>
      </c>
      <c r="D179" s="13">
        <v>16820</v>
      </c>
      <c r="E179" s="14">
        <f>IF(ISNUMBER(D179), (D179 - $B179) / $B179, "")</f>
        <v>1.3253012048192771E-2</v>
      </c>
      <c r="F179" s="16">
        <f>IF(ISNUMBER(D179), $B199 * E179, "")</f>
        <v>1987.9518072289156</v>
      </c>
      <c r="G179" s="29">
        <v>16770</v>
      </c>
      <c r="H179" s="14">
        <f>IF(ISNUMBER(G179), (G179 - $B179) / $B179, "")</f>
        <v>1.0240963855421687E-2</v>
      </c>
      <c r="I179" s="90">
        <f>IF(ISNUMBER(G179), $B199 * H179, "")</f>
        <v>1536.1445783132531</v>
      </c>
      <c r="J179" s="13">
        <v>16740</v>
      </c>
      <c r="K179" s="14">
        <f>IF(ISNUMBER(J179), (J179 - $B179) / $B179, "")</f>
        <v>8.4337349397590362E-3</v>
      </c>
      <c r="L179" s="16">
        <f>IF(ISNUMBER(J179), $B199 * K179, "")</f>
        <v>1265.0602409638554</v>
      </c>
      <c r="M179" s="29">
        <v>16840</v>
      </c>
      <c r="N179" s="14">
        <f>IF(ISNUMBER(M179), (M179 - $B179) / $B179, "")</f>
        <v>1.4457831325301205E-2</v>
      </c>
      <c r="O179" s="16">
        <f>IF(ISNUMBER(M179), $B199 * N179, "")</f>
        <v>2168.6746987951806</v>
      </c>
      <c r="Q179" s="156"/>
      <c r="R179" s="156"/>
      <c r="S179" s="156"/>
    </row>
    <row r="180" spans="1:19" ht="17.25" thickBot="1">
      <c r="A180" s="109" t="s">
        <v>219</v>
      </c>
      <c r="B180" s="110">
        <v>333</v>
      </c>
      <c r="C180" s="70">
        <v>-3.7572254300000003E-2</v>
      </c>
      <c r="D180" s="15">
        <v>341</v>
      </c>
      <c r="E180" s="32">
        <f t="shared" ref="E180:E183" si="94">IF(ISNUMBER(D180), (D180 - $B180) / $B180, "")</f>
        <v>2.4024024024024024E-2</v>
      </c>
      <c r="F180" s="18">
        <f>IF(ISNUMBER(D180), $B199 * E180, "")</f>
        <v>3603.6036036036035</v>
      </c>
      <c r="G180" s="31">
        <v>343</v>
      </c>
      <c r="H180" s="32">
        <f t="shared" ref="H180:H183" si="95">IF(ISNUMBER(G180), (G180 - $B180) / $B180, "")</f>
        <v>3.003003003003003E-2</v>
      </c>
      <c r="I180" s="91">
        <f>IF(ISNUMBER(G180), $B199 * H180, "")</f>
        <v>4504.5045045045044</v>
      </c>
      <c r="J180" s="15">
        <v>342</v>
      </c>
      <c r="K180" s="32">
        <f t="shared" ref="K180:K183" si="96">IF(ISNUMBER(J180), (J180 - $B180) / $B180, "")</f>
        <v>2.7027027027027029E-2</v>
      </c>
      <c r="L180" s="18">
        <f>IF(ISNUMBER(J180), $B199 * K180, "")</f>
        <v>4054.0540540540542</v>
      </c>
      <c r="M180" s="31">
        <v>342</v>
      </c>
      <c r="N180" s="32">
        <f t="shared" ref="N180:N183" si="97">IF(ISNUMBER(M180), (M180 - $B180) / $B180, "")</f>
        <v>2.7027027027027029E-2</v>
      </c>
      <c r="O180" s="18">
        <f>IF(ISNUMBER(M180), $B199 * N180, "")</f>
        <v>4054.0540540540542</v>
      </c>
      <c r="Q180" s="156"/>
      <c r="R180" s="156"/>
      <c r="S180" s="156"/>
    </row>
    <row r="181" spans="1:19" ht="17.25" thickBot="1">
      <c r="A181" s="109" t="s">
        <v>111</v>
      </c>
      <c r="B181" s="110">
        <v>525</v>
      </c>
      <c r="C181" s="70">
        <v>-3.8461538500000003E-2</v>
      </c>
      <c r="D181" s="15">
        <v>596</v>
      </c>
      <c r="E181" s="32">
        <f t="shared" si="94"/>
        <v>0.13523809523809524</v>
      </c>
      <c r="F181" s="18">
        <f>IF(ISNUMBER(D181), $B199 * E181, "")</f>
        <v>20285.714285714286</v>
      </c>
      <c r="G181" s="31">
        <v>596</v>
      </c>
      <c r="H181" s="32">
        <f t="shared" si="95"/>
        <v>0.13523809523809524</v>
      </c>
      <c r="I181" s="91">
        <f>IF(ISNUMBER(G181), $B199 * H181, "")</f>
        <v>20285.714285714286</v>
      </c>
      <c r="J181" s="15">
        <v>588</v>
      </c>
      <c r="K181" s="32">
        <f t="shared" si="96"/>
        <v>0.12</v>
      </c>
      <c r="L181" s="18">
        <f>IF(ISNUMBER(J181), $B199 * K181, "")</f>
        <v>18000</v>
      </c>
      <c r="M181" s="31">
        <v>580</v>
      </c>
      <c r="N181" s="32">
        <f t="shared" si="97"/>
        <v>0.10476190476190476</v>
      </c>
      <c r="O181" s="18">
        <f>IF(ISNUMBER(M181), $B199 * N181, "")</f>
        <v>15714.285714285714</v>
      </c>
      <c r="Q181" s="146"/>
      <c r="R181" s="146"/>
      <c r="S181" s="146"/>
    </row>
    <row r="182" spans="1:19" ht="17.25" thickBot="1">
      <c r="A182" s="109" t="s">
        <v>231</v>
      </c>
      <c r="B182" s="110">
        <v>298</v>
      </c>
      <c r="C182" s="70">
        <v>-3.8709677400000003E-2</v>
      </c>
      <c r="D182" s="15">
        <v>305</v>
      </c>
      <c r="E182" s="32">
        <f t="shared" si="94"/>
        <v>2.3489932885906041E-2</v>
      </c>
      <c r="F182" s="18">
        <f>IF(ISNUMBER(D182), $B199 * E182, "")</f>
        <v>3523.489932885906</v>
      </c>
      <c r="G182" s="31">
        <v>305</v>
      </c>
      <c r="H182" s="32">
        <f t="shared" si="95"/>
        <v>2.3489932885906041E-2</v>
      </c>
      <c r="I182" s="91">
        <f>IF(ISNUMBER(G182), $B199 * H182, "")</f>
        <v>3523.489932885906</v>
      </c>
      <c r="J182" s="15">
        <v>305</v>
      </c>
      <c r="K182" s="32">
        <f t="shared" si="96"/>
        <v>2.3489932885906041E-2</v>
      </c>
      <c r="L182" s="18">
        <f>IF(ISNUMBER(J182), $B199 * K182, "")</f>
        <v>3523.489932885906</v>
      </c>
      <c r="M182" s="31">
        <v>305</v>
      </c>
      <c r="N182" s="32">
        <f t="shared" si="97"/>
        <v>2.3489932885906041E-2</v>
      </c>
      <c r="O182" s="18">
        <f>IF(ISNUMBER(M182), $B199 * N182, "")</f>
        <v>3523.489932885906</v>
      </c>
      <c r="Q182" s="146"/>
      <c r="R182" s="146"/>
      <c r="S182" s="146"/>
    </row>
    <row r="183" spans="1:19" ht="17.25" thickBot="1">
      <c r="A183" s="111" t="s">
        <v>103</v>
      </c>
      <c r="B183" s="112">
        <v>195</v>
      </c>
      <c r="C183" s="71">
        <v>-3.9408867E-2</v>
      </c>
      <c r="D183" s="20">
        <v>203</v>
      </c>
      <c r="E183" s="21">
        <f t="shared" si="94"/>
        <v>4.1025641025641026E-2</v>
      </c>
      <c r="F183" s="22">
        <f>IF(ISNUMBER(D183), $B199 * E183, "")</f>
        <v>6153.8461538461543</v>
      </c>
      <c r="G183" s="30">
        <v>203</v>
      </c>
      <c r="H183" s="21">
        <f t="shared" si="95"/>
        <v>4.1025641025641026E-2</v>
      </c>
      <c r="I183" s="95">
        <f>IF(ISNUMBER(G183), $B199 * H183, "")</f>
        <v>6153.8461538461543</v>
      </c>
      <c r="J183" s="20">
        <v>203</v>
      </c>
      <c r="K183" s="21">
        <f t="shared" si="96"/>
        <v>4.1025641025641026E-2</v>
      </c>
      <c r="L183" s="22">
        <f>IF(ISNUMBER(J183), $B199 * K183, "")</f>
        <v>6153.8461538461543</v>
      </c>
      <c r="M183" s="30">
        <v>202</v>
      </c>
      <c r="N183" s="21">
        <f t="shared" si="97"/>
        <v>3.5897435897435895E-2</v>
      </c>
      <c r="O183" s="22">
        <f>IF(ISNUMBER(M183), $B199 * N183, "")</f>
        <v>5384.6153846153838</v>
      </c>
      <c r="Q183" s="146"/>
      <c r="R183" s="146"/>
      <c r="S183" s="146"/>
    </row>
    <row r="184" spans="1:19" ht="17.25" thickBot="1">
      <c r="A184" s="109" t="s">
        <v>147</v>
      </c>
      <c r="B184" s="113">
        <v>8320</v>
      </c>
      <c r="C184" s="73">
        <v>-3.9815349100000001E-2</v>
      </c>
      <c r="D184" s="96">
        <v>8875</v>
      </c>
      <c r="E184" s="97">
        <f>IF(ISNUMBER(D184), (D184 - $B184) / $B184, "")</f>
        <v>6.6706730769230768E-2</v>
      </c>
      <c r="F184" s="98">
        <f>IF(ISNUMBER(D184), $B199 * E184, "")</f>
        <v>10006.009615384615</v>
      </c>
      <c r="G184" s="99">
        <v>8890</v>
      </c>
      <c r="H184" s="97">
        <f>IF(ISNUMBER(G184), (G184 - $B184) / $B184, "")</f>
        <v>6.8509615384615391E-2</v>
      </c>
      <c r="I184" s="100">
        <f>IF(ISNUMBER(G184), $B199 * H184, "")</f>
        <v>10276.442307692309</v>
      </c>
      <c r="J184" s="96">
        <v>8885</v>
      </c>
      <c r="K184" s="97">
        <f>IF(ISNUMBER(J184), (J184 - $B184) / $B184, "")</f>
        <v>6.7908653846153841E-2</v>
      </c>
      <c r="L184" s="98">
        <f>IF(ISNUMBER(J184), $B199 * K184, "")</f>
        <v>10186.298076923076</v>
      </c>
      <c r="M184" s="99">
        <v>8860</v>
      </c>
      <c r="N184" s="97">
        <f>IF(ISNUMBER(M184), (M184 - $B184) / $B184, "")</f>
        <v>6.4903846153846159E-2</v>
      </c>
      <c r="O184" s="98">
        <f>IF(ISNUMBER(M184), $B199 * N184, "")</f>
        <v>9735.5769230769238</v>
      </c>
      <c r="Q184" s="146"/>
      <c r="R184" s="146"/>
      <c r="S184" s="146"/>
    </row>
    <row r="185" spans="1:19" ht="17.25" thickBot="1">
      <c r="A185" s="109" t="s">
        <v>317</v>
      </c>
      <c r="B185" s="110">
        <v>541</v>
      </c>
      <c r="C185" s="70">
        <v>-4.0780141800000003E-2</v>
      </c>
      <c r="D185" s="15">
        <v>549</v>
      </c>
      <c r="E185" s="32">
        <f t="shared" ref="E185:E188" si="98">IF(ISNUMBER(D185), (D185 - $B185) / $B185, "")</f>
        <v>1.4787430683918669E-2</v>
      </c>
      <c r="F185" s="18">
        <f>IF(ISNUMBER(D185), $B199 * E185, "")</f>
        <v>2218.1146025878002</v>
      </c>
      <c r="G185" s="31">
        <v>551</v>
      </c>
      <c r="H185" s="32">
        <f t="shared" ref="H185:H188" si="99">IF(ISNUMBER(G185), (G185 - $B185) / $B185, "")</f>
        <v>1.8484288354898338E-2</v>
      </c>
      <c r="I185" s="91">
        <f>IF(ISNUMBER(G185), $B199 * H185, "")</f>
        <v>2772.6432532347508</v>
      </c>
      <c r="J185" s="15">
        <v>550</v>
      </c>
      <c r="K185" s="32">
        <f t="shared" ref="K185:K188" si="100">IF(ISNUMBER(J185), (J185 - $B185) / $B185, "")</f>
        <v>1.6635859519408502E-2</v>
      </c>
      <c r="L185" s="18">
        <f>IF(ISNUMBER(J185), $B199 * K185, "")</f>
        <v>2495.3789279112752</v>
      </c>
      <c r="M185" s="31">
        <v>551</v>
      </c>
      <c r="N185" s="32">
        <f t="shared" ref="N185:N188" si="101">IF(ISNUMBER(M185), (M185 - $B185) / $B185, "")</f>
        <v>1.8484288354898338E-2</v>
      </c>
      <c r="O185" s="18">
        <f>IF(ISNUMBER(M185), $B199 * N185, "")</f>
        <v>2772.6432532347508</v>
      </c>
      <c r="Q185" s="146"/>
      <c r="R185" s="146"/>
      <c r="S185" s="146"/>
    </row>
    <row r="186" spans="1:19" ht="17.25" thickBot="1">
      <c r="A186" s="109" t="s">
        <v>189</v>
      </c>
      <c r="B186" s="110">
        <v>868</v>
      </c>
      <c r="C186" s="70">
        <v>-4.19426049E-2</v>
      </c>
      <c r="D186" s="15">
        <v>893</v>
      </c>
      <c r="E186" s="32">
        <f t="shared" si="98"/>
        <v>2.880184331797235E-2</v>
      </c>
      <c r="F186" s="18">
        <f>IF(ISNUMBER(D186), $B199 * E186, "")</f>
        <v>4320.2764976958524</v>
      </c>
      <c r="G186" s="31">
        <v>905</v>
      </c>
      <c r="H186" s="32">
        <f t="shared" si="99"/>
        <v>4.2626728110599081E-2</v>
      </c>
      <c r="I186" s="91">
        <f>IF(ISNUMBER(G186), $B199 * H186, "")</f>
        <v>6394.0092165898623</v>
      </c>
      <c r="J186" s="15">
        <v>895</v>
      </c>
      <c r="K186" s="32">
        <f t="shared" si="100"/>
        <v>3.1105990783410139E-2</v>
      </c>
      <c r="L186" s="18">
        <f>IF(ISNUMBER(J186), $B199 * K186, "")</f>
        <v>4665.8986175115206</v>
      </c>
      <c r="M186" s="31">
        <v>891</v>
      </c>
      <c r="N186" s="32">
        <f t="shared" si="101"/>
        <v>2.6497695852534562E-2</v>
      </c>
      <c r="O186" s="18">
        <f>IF(ISNUMBER(M186), $B199 * N186, "")</f>
        <v>3974.6543778801843</v>
      </c>
      <c r="Q186" s="146"/>
      <c r="R186" s="146"/>
      <c r="S186" s="146"/>
    </row>
    <row r="187" spans="1:19" ht="17.25" thickBot="1">
      <c r="A187" s="109" t="s">
        <v>120</v>
      </c>
      <c r="B187" s="110">
        <v>95.8</v>
      </c>
      <c r="C187" s="70">
        <v>-4.2000000000000003E-2</v>
      </c>
      <c r="D187" s="15">
        <v>98</v>
      </c>
      <c r="E187" s="32">
        <f t="shared" si="98"/>
        <v>2.2964509394572057E-2</v>
      </c>
      <c r="F187" s="18">
        <f>IF(ISNUMBER(D187), $B199 * E187, "")</f>
        <v>3444.6764091858086</v>
      </c>
      <c r="G187" s="31">
        <v>97.8</v>
      </c>
      <c r="H187" s="32">
        <f t="shared" si="99"/>
        <v>2.0876826722338204E-2</v>
      </c>
      <c r="I187" s="91">
        <f>IF(ISNUMBER(G187), $B199 * H187, "")</f>
        <v>3131.5240083507306</v>
      </c>
      <c r="J187" s="15">
        <v>98</v>
      </c>
      <c r="K187" s="32">
        <f t="shared" si="100"/>
        <v>2.2964509394572057E-2</v>
      </c>
      <c r="L187" s="18">
        <f>IF(ISNUMBER(J187), $B199 * K187, "")</f>
        <v>3444.6764091858086</v>
      </c>
      <c r="M187" s="31">
        <v>98</v>
      </c>
      <c r="N187" s="32">
        <f t="shared" si="101"/>
        <v>2.2964509394572057E-2</v>
      </c>
      <c r="O187" s="18">
        <f>IF(ISNUMBER(M187), $B199 * N187, "")</f>
        <v>3444.6764091858086</v>
      </c>
      <c r="Q187" s="33"/>
      <c r="R187" s="33"/>
    </row>
    <row r="188" spans="1:19" ht="17.25" thickBot="1">
      <c r="A188" s="114" t="s">
        <v>319</v>
      </c>
      <c r="B188" s="115">
        <v>315</v>
      </c>
      <c r="C188" s="72">
        <v>-4.2553191499999997E-2</v>
      </c>
      <c r="D188" s="24">
        <v>336</v>
      </c>
      <c r="E188" s="25">
        <f t="shared" si="98"/>
        <v>6.6666666666666666E-2</v>
      </c>
      <c r="F188" s="94">
        <f>IF(ISNUMBER(D188), $B199 * E188, "")</f>
        <v>10000</v>
      </c>
      <c r="G188" s="92">
        <v>336</v>
      </c>
      <c r="H188" s="25">
        <f t="shared" si="99"/>
        <v>6.6666666666666666E-2</v>
      </c>
      <c r="I188" s="93">
        <f>IF(ISNUMBER(G188), $B199 * H188, "")</f>
        <v>10000</v>
      </c>
      <c r="J188" s="24">
        <v>336</v>
      </c>
      <c r="K188" s="25">
        <f t="shared" si="100"/>
        <v>6.6666666666666666E-2</v>
      </c>
      <c r="L188" s="94">
        <f>IF(ISNUMBER(J188), $B199 * K188, "")</f>
        <v>10000</v>
      </c>
      <c r="M188" s="92">
        <v>337</v>
      </c>
      <c r="N188" s="25">
        <f t="shared" si="101"/>
        <v>6.9841269841269843E-2</v>
      </c>
      <c r="O188" s="94">
        <f>IF(ISNUMBER(M188), $B199 * N188, "")</f>
        <v>10476.190476190477</v>
      </c>
      <c r="Q188" s="147"/>
      <c r="R188" s="148"/>
      <c r="S188" s="149"/>
    </row>
    <row r="189" spans="1:19">
      <c r="A189" s="107" t="s">
        <v>321</v>
      </c>
      <c r="B189" s="108">
        <v>153</v>
      </c>
      <c r="C189" s="69">
        <v>-4.3749999999999997E-2</v>
      </c>
      <c r="D189" s="13">
        <v>156</v>
      </c>
      <c r="E189" s="14">
        <f>IF(ISNUMBER(D189), (D189 - $B189) / $B189, "")</f>
        <v>1.9607843137254902E-2</v>
      </c>
      <c r="F189" s="16">
        <f>IF(ISNUMBER(D189), $B199 * E189, "")</f>
        <v>2941.1764705882351</v>
      </c>
      <c r="G189" s="29">
        <v>157</v>
      </c>
      <c r="H189" s="14">
        <f>IF(ISNUMBER(G189), (G189 - $B189) / $B189, "")</f>
        <v>2.6143790849673203E-2</v>
      </c>
      <c r="I189" s="90">
        <f>IF(ISNUMBER(G189), $B199 * H189, "")</f>
        <v>3921.5686274509803</v>
      </c>
      <c r="J189" s="13">
        <v>157</v>
      </c>
      <c r="K189" s="14">
        <f>IF(ISNUMBER(J189), (J189 - $B189) / $B189, "")</f>
        <v>2.6143790849673203E-2</v>
      </c>
      <c r="L189" s="16">
        <f>IF(ISNUMBER(J189), $B199 * K189, "")</f>
        <v>3921.5686274509803</v>
      </c>
      <c r="M189" s="29">
        <v>157</v>
      </c>
      <c r="N189" s="14">
        <f>IF(ISNUMBER(M189), (M189 - $B189) / $B189, "")</f>
        <v>2.6143790849673203E-2</v>
      </c>
      <c r="O189" s="16">
        <f>IF(ISNUMBER(M189), $B199 * N189, "")</f>
        <v>3921.5686274509803</v>
      </c>
      <c r="Q189" s="150"/>
      <c r="R189" s="151"/>
      <c r="S189" s="152"/>
    </row>
    <row r="190" spans="1:19" ht="17.25" thickBot="1">
      <c r="A190" s="109" t="s">
        <v>207</v>
      </c>
      <c r="B190" s="110">
        <v>59</v>
      </c>
      <c r="C190" s="70">
        <v>-4.3760129699999997E-2</v>
      </c>
      <c r="D190" s="15">
        <v>60.1</v>
      </c>
      <c r="E190" s="32">
        <f t="shared" ref="E190:E193" si="102">IF(ISNUMBER(D190), (D190 - $B190) / $B190, "")</f>
        <v>1.8644067796610195E-2</v>
      </c>
      <c r="F190" s="18">
        <f>IF(ISNUMBER(D190), $B199 * E190, "")</f>
        <v>2796.6101694915292</v>
      </c>
      <c r="G190" s="31">
        <v>60</v>
      </c>
      <c r="H190" s="32">
        <f t="shared" ref="H190:H193" si="103">IF(ISNUMBER(G190), (G190 - $B190) / $B190, "")</f>
        <v>1.6949152542372881E-2</v>
      </c>
      <c r="I190" s="91">
        <f>IF(ISNUMBER(G190), $B199 * H190, "")</f>
        <v>2542.3728813559323</v>
      </c>
      <c r="J190" s="15">
        <v>60</v>
      </c>
      <c r="K190" s="32">
        <f t="shared" ref="K190:K193" si="104">IF(ISNUMBER(J190), (J190 - $B190) / $B190, "")</f>
        <v>1.6949152542372881E-2</v>
      </c>
      <c r="L190" s="18">
        <f>IF(ISNUMBER(J190), $B199 * K190, "")</f>
        <v>2542.3728813559323</v>
      </c>
      <c r="M190" s="31">
        <v>60.1</v>
      </c>
      <c r="N190" s="32">
        <f t="shared" ref="N190:N193" si="105">IF(ISNUMBER(M190), (M190 - $B190) / $B190, "")</f>
        <v>1.8644067796610195E-2</v>
      </c>
      <c r="O190" s="18">
        <f>IF(ISNUMBER(M190), $B199 * N190, "")</f>
        <v>2796.6101694915292</v>
      </c>
      <c r="Q190" s="153"/>
      <c r="R190" s="154"/>
      <c r="S190" s="155"/>
    </row>
    <row r="191" spans="1:19" ht="17.25" thickBot="1">
      <c r="A191" s="109" t="s">
        <v>323</v>
      </c>
      <c r="B191" s="110">
        <v>3.0300000000000001E-2</v>
      </c>
      <c r="C191" s="70">
        <v>-4.4164037900000001E-2</v>
      </c>
      <c r="D191" s="15">
        <v>3.1099999999999999E-2</v>
      </c>
      <c r="E191" s="32">
        <f t="shared" si="102"/>
        <v>2.6402640264026358E-2</v>
      </c>
      <c r="F191" s="18">
        <f>IF(ISNUMBER(D191), $B199 * E191, "")</f>
        <v>3960.3960396039538</v>
      </c>
      <c r="G191" s="31">
        <v>3.1E-2</v>
      </c>
      <c r="H191" s="32">
        <f t="shared" si="103"/>
        <v>2.3102310231023077E-2</v>
      </c>
      <c r="I191" s="91">
        <f>IF(ISNUMBER(G191), $B199 * H191, "")</f>
        <v>3465.3465346534613</v>
      </c>
      <c r="J191" s="15">
        <v>3.09E-2</v>
      </c>
      <c r="K191" s="32">
        <f t="shared" si="104"/>
        <v>1.9801980198019795E-2</v>
      </c>
      <c r="L191" s="18">
        <f>IF(ISNUMBER(J191), $B199 * K191, "")</f>
        <v>2970.2970297029692</v>
      </c>
      <c r="M191" s="31">
        <v>3.09E-2</v>
      </c>
      <c r="N191" s="32">
        <f t="shared" si="105"/>
        <v>1.9801980198019795E-2</v>
      </c>
      <c r="O191" s="18">
        <f>IF(ISNUMBER(M191), $B199 * N191, "")</f>
        <v>2970.2970297029692</v>
      </c>
      <c r="Q191" s="146"/>
      <c r="R191" s="146"/>
      <c r="S191" s="146"/>
    </row>
    <row r="192" spans="1:19" ht="17.25" thickBot="1">
      <c r="A192" s="109" t="s">
        <v>68</v>
      </c>
      <c r="B192" s="110">
        <v>246</v>
      </c>
      <c r="C192" s="70">
        <v>-4.6511627899999998E-2</v>
      </c>
      <c r="D192" s="15">
        <v>252</v>
      </c>
      <c r="E192" s="32">
        <f t="shared" si="102"/>
        <v>2.4390243902439025E-2</v>
      </c>
      <c r="F192" s="18">
        <f>IF(ISNUMBER(D192), $B199 * E192, "")</f>
        <v>3658.5365853658536</v>
      </c>
      <c r="G192" s="31">
        <v>253</v>
      </c>
      <c r="H192" s="32">
        <f t="shared" si="103"/>
        <v>2.8455284552845527E-2</v>
      </c>
      <c r="I192" s="91">
        <f>IF(ISNUMBER(G192), $B199 * H192, "")</f>
        <v>4268.292682926829</v>
      </c>
      <c r="J192" s="15">
        <v>250</v>
      </c>
      <c r="K192" s="32">
        <f t="shared" si="104"/>
        <v>1.6260162601626018E-2</v>
      </c>
      <c r="L192" s="18">
        <f>IF(ISNUMBER(J192), $B199 * K192, "")</f>
        <v>2439.0243902439029</v>
      </c>
      <c r="M192" s="31">
        <v>251</v>
      </c>
      <c r="N192" s="32">
        <f t="shared" si="105"/>
        <v>2.032520325203252E-2</v>
      </c>
      <c r="O192" s="18">
        <f>IF(ISNUMBER(M192), $B199 * N192, "")</f>
        <v>3048.7804878048778</v>
      </c>
      <c r="Q192" s="156"/>
      <c r="R192" s="156"/>
      <c r="S192" s="156"/>
    </row>
    <row r="193" spans="1:19" ht="17.25" thickBot="1">
      <c r="A193" s="111" t="s">
        <v>201</v>
      </c>
      <c r="B193" s="112">
        <v>176</v>
      </c>
      <c r="C193" s="71">
        <v>-4.8648648599999997E-2</v>
      </c>
      <c r="D193" s="20">
        <v>186</v>
      </c>
      <c r="E193" s="21">
        <f t="shared" si="102"/>
        <v>5.6818181818181816E-2</v>
      </c>
      <c r="F193" s="22">
        <f>IF(ISNUMBER(D193), $B199 * E193, "")</f>
        <v>8522.7272727272721</v>
      </c>
      <c r="G193" s="30">
        <v>185</v>
      </c>
      <c r="H193" s="21">
        <f t="shared" si="103"/>
        <v>5.113636363636364E-2</v>
      </c>
      <c r="I193" s="95">
        <f>IF(ISNUMBER(G193), $B199 * H193, "")</f>
        <v>7670.454545454546</v>
      </c>
      <c r="J193" s="20">
        <v>185</v>
      </c>
      <c r="K193" s="21">
        <f t="shared" si="104"/>
        <v>5.113636363636364E-2</v>
      </c>
      <c r="L193" s="22">
        <f>IF(ISNUMBER(J193), $B199 * K193, "")</f>
        <v>7670.454545454546</v>
      </c>
      <c r="M193" s="30">
        <v>185</v>
      </c>
      <c r="N193" s="21">
        <f t="shared" si="105"/>
        <v>5.113636363636364E-2</v>
      </c>
      <c r="O193" s="22">
        <f>IF(ISNUMBER(M193), $B199 * N193, "")</f>
        <v>7670.454545454546</v>
      </c>
      <c r="Q193" s="156"/>
      <c r="R193" s="156"/>
      <c r="S193" s="156"/>
    </row>
    <row r="194" spans="1:19" ht="17.25" thickBot="1">
      <c r="A194" s="109" t="s">
        <v>174</v>
      </c>
      <c r="B194" s="113">
        <v>11740</v>
      </c>
      <c r="C194" s="73">
        <v>-5.24616626E-2</v>
      </c>
      <c r="D194" s="96">
        <v>11920</v>
      </c>
      <c r="E194" s="97">
        <f>IF(ISNUMBER(D194), (D194 - $B194) / $B194, "")</f>
        <v>1.5332197614991482E-2</v>
      </c>
      <c r="F194" s="98">
        <f>IF(ISNUMBER(D194), $B199 * E194, "")</f>
        <v>2299.8296422487224</v>
      </c>
      <c r="G194" s="99">
        <v>11900</v>
      </c>
      <c r="H194" s="97">
        <f>IF(ISNUMBER(G194), (G194 - $B194) / $B194, "")</f>
        <v>1.3628620102214651E-2</v>
      </c>
      <c r="I194" s="100">
        <f>IF(ISNUMBER(G194), $B199 * H194, "")</f>
        <v>2044.2930153321977</v>
      </c>
      <c r="J194" s="96">
        <v>11910</v>
      </c>
      <c r="K194" s="97">
        <f>IF(ISNUMBER(J194), (J194 - $B194) / $B194, "")</f>
        <v>1.4480408858603067E-2</v>
      </c>
      <c r="L194" s="98">
        <f>IF(ISNUMBER(J194), $B199 * K194, "")</f>
        <v>2172.0613287904603</v>
      </c>
      <c r="M194" s="99">
        <v>11960</v>
      </c>
      <c r="N194" s="97">
        <f>IF(ISNUMBER(M194), (M194 - $B194) / $B194, "")</f>
        <v>1.8739352640545145E-2</v>
      </c>
      <c r="O194" s="98">
        <f>IF(ISNUMBER(M194), $B199 * N194, "")</f>
        <v>2810.9028960817718</v>
      </c>
      <c r="Q194" s="146"/>
      <c r="R194" s="146"/>
      <c r="S194" s="146"/>
    </row>
    <row r="195" spans="1:19" ht="17.25" thickBot="1">
      <c r="A195" s="109" t="s">
        <v>85</v>
      </c>
      <c r="B195" s="110">
        <v>136</v>
      </c>
      <c r="C195" s="70">
        <v>-5.5555555600000001E-2</v>
      </c>
      <c r="D195" s="15">
        <v>138</v>
      </c>
      <c r="E195" s="32">
        <f t="shared" ref="E195:E198" si="106">IF(ISNUMBER(D195), (D195 - $B195) / $B195, "")</f>
        <v>1.4705882352941176E-2</v>
      </c>
      <c r="F195" s="18">
        <f>IF(ISNUMBER(D195), $B199 * E195, "")</f>
        <v>2205.8823529411766</v>
      </c>
      <c r="G195" s="31">
        <v>140</v>
      </c>
      <c r="H195" s="32">
        <f t="shared" ref="H195:H198" si="107">IF(ISNUMBER(G195), (G195 - $B195) / $B195, "")</f>
        <v>2.9411764705882353E-2</v>
      </c>
      <c r="I195" s="91">
        <f>IF(ISNUMBER(G195), $B199 * H195, "")</f>
        <v>4411.7647058823532</v>
      </c>
      <c r="J195" s="15">
        <v>138</v>
      </c>
      <c r="K195" s="32">
        <f t="shared" ref="K195:K198" si="108">IF(ISNUMBER(J195), (J195 - $B195) / $B195, "")</f>
        <v>1.4705882352941176E-2</v>
      </c>
      <c r="L195" s="18">
        <f>IF(ISNUMBER(J195), $B199 * K195, "")</f>
        <v>2205.8823529411766</v>
      </c>
      <c r="M195" s="31">
        <v>138</v>
      </c>
      <c r="N195" s="32">
        <f t="shared" ref="N195:N198" si="109">IF(ISNUMBER(M195), (M195 - $B195) / $B195, "")</f>
        <v>1.4705882352941176E-2</v>
      </c>
      <c r="O195" s="18">
        <f>IF(ISNUMBER(M195), $B199 * N195, "")</f>
        <v>2205.8823529411766</v>
      </c>
      <c r="Q195" s="146"/>
      <c r="R195" s="146"/>
      <c r="S195" s="146"/>
    </row>
    <row r="196" spans="1:19" ht="17.25" thickBot="1">
      <c r="A196" s="109" t="s">
        <v>145</v>
      </c>
      <c r="B196" s="110">
        <v>64.599999999999994</v>
      </c>
      <c r="C196" s="70">
        <v>-6.2409288799999997E-2</v>
      </c>
      <c r="D196" s="15">
        <v>66.099999999999994</v>
      </c>
      <c r="E196" s="32">
        <f t="shared" si="106"/>
        <v>2.3219814241486069E-2</v>
      </c>
      <c r="F196" s="18">
        <f>IF(ISNUMBER(D196), $B199 * E196, "")</f>
        <v>3482.9721362229102</v>
      </c>
      <c r="G196" s="31">
        <v>66.2</v>
      </c>
      <c r="H196" s="32">
        <f t="shared" si="107"/>
        <v>2.4767801857585273E-2</v>
      </c>
      <c r="I196" s="91">
        <f>IF(ISNUMBER(G196), $B199 * H196, "")</f>
        <v>3715.1702786377909</v>
      </c>
      <c r="J196" s="15">
        <v>65.8</v>
      </c>
      <c r="K196" s="32">
        <f t="shared" si="108"/>
        <v>1.8575851393188899E-2</v>
      </c>
      <c r="L196" s="18">
        <f>IF(ISNUMBER(J196), $B199 * K196, "")</f>
        <v>2786.3777089783348</v>
      </c>
      <c r="M196" s="31">
        <v>66</v>
      </c>
      <c r="N196" s="32">
        <f t="shared" si="109"/>
        <v>2.1671826625387088E-2</v>
      </c>
      <c r="O196" s="18">
        <f>IF(ISNUMBER(M196), $B199 * N196, "")</f>
        <v>3250.7739938080631</v>
      </c>
      <c r="Q196" s="146"/>
      <c r="R196" s="146"/>
      <c r="S196" s="146"/>
    </row>
    <row r="197" spans="1:19">
      <c r="A197" s="109" t="s">
        <v>91</v>
      </c>
      <c r="B197" s="110">
        <v>16470</v>
      </c>
      <c r="C197" s="70">
        <v>-6.52667423E-2</v>
      </c>
      <c r="D197" s="15">
        <v>17530</v>
      </c>
      <c r="E197" s="32">
        <f t="shared" si="106"/>
        <v>6.4359441408621737E-2</v>
      </c>
      <c r="F197" s="18">
        <f>IF(ISNUMBER(D197), $B199 * E197, "")</f>
        <v>9653.9162112932609</v>
      </c>
      <c r="G197" s="31">
        <v>17430</v>
      </c>
      <c r="H197" s="32">
        <f t="shared" si="107"/>
        <v>5.8287795992714025E-2</v>
      </c>
      <c r="I197" s="91">
        <f>IF(ISNUMBER(G197), $B199 * H197, "")</f>
        <v>8743.1693989071046</v>
      </c>
      <c r="J197" s="15">
        <v>17420</v>
      </c>
      <c r="K197" s="32">
        <f t="shared" si="108"/>
        <v>5.7680631451123253E-2</v>
      </c>
      <c r="L197" s="18">
        <f>IF(ISNUMBER(J197), $B199 * K197, "")</f>
        <v>8652.0947176684876</v>
      </c>
      <c r="M197" s="31">
        <v>17780</v>
      </c>
      <c r="N197" s="32">
        <f t="shared" si="109"/>
        <v>7.9538554948391016E-2</v>
      </c>
      <c r="O197" s="18">
        <f>IF(ISNUMBER(M197), $B199 * N197, "")</f>
        <v>11930.783242258653</v>
      </c>
      <c r="Q197" s="135"/>
      <c r="R197" s="136"/>
      <c r="S197" s="137"/>
    </row>
    <row r="198" spans="1:19" ht="17.25" thickBot="1">
      <c r="A198" s="114" t="s">
        <v>97</v>
      </c>
      <c r="B198" s="115">
        <v>6.9999999999999999E-4</v>
      </c>
      <c r="C198" s="72">
        <v>-0.22222222220000001</v>
      </c>
      <c r="D198" s="24">
        <v>8.0000000000000004E-4</v>
      </c>
      <c r="E198" s="25">
        <f t="shared" si="106"/>
        <v>0.14285714285714293</v>
      </c>
      <c r="F198" s="94">
        <f>IF(ISNUMBER(D198), $B199 * E198, "")</f>
        <v>21428.571428571438</v>
      </c>
      <c r="G198" s="92">
        <v>8.0000000000000004E-4</v>
      </c>
      <c r="H198" s="25">
        <f t="shared" si="107"/>
        <v>0.14285714285714293</v>
      </c>
      <c r="I198" s="93">
        <f>IF(ISNUMBER(G198), $B199 * H198, "")</f>
        <v>21428.571428571438</v>
      </c>
      <c r="J198" s="24">
        <v>8.9999999999999998E-4</v>
      </c>
      <c r="K198" s="25">
        <f t="shared" si="108"/>
        <v>0.2857142857142857</v>
      </c>
      <c r="L198" s="94">
        <f>IF(ISNUMBER(J198), $B199 * K198, "")</f>
        <v>42857.142857142855</v>
      </c>
      <c r="M198" s="92">
        <v>8.0000000000000004E-4</v>
      </c>
      <c r="N198" s="25">
        <f t="shared" si="109"/>
        <v>0.14285714285714293</v>
      </c>
      <c r="O198" s="94">
        <f>IF(ISNUMBER(M198), $B199 * N198, "")</f>
        <v>21428.571428571438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4.2164767072395762E-2</v>
      </c>
      <c r="F199" s="28">
        <f>SUM(F179:F198)</f>
        <v>126494.30121718727</v>
      </c>
      <c r="G199" s="26" t="s">
        <v>258</v>
      </c>
      <c r="H199" s="27">
        <f>IF(COUNT(H179:H198), SUM(H179:H198) / COUNT(H179:H198), 0)</f>
        <v>4.3596440780101463E-2</v>
      </c>
      <c r="I199" s="28">
        <f>SUM(I179:I198)</f>
        <v>130789.32234030437</v>
      </c>
      <c r="J199" s="26" t="s">
        <v>258</v>
      </c>
      <c r="K199" s="27">
        <f>IF(COUNT(K179:K198), SUM(K179:K198) / COUNT(K179:K198), 0)</f>
        <v>4.7335326284337093E-2</v>
      </c>
      <c r="L199" s="28">
        <f>SUM(L179:L198)</f>
        <v>142005.97885301127</v>
      </c>
      <c r="M199" s="26" t="s">
        <v>258</v>
      </c>
      <c r="N199" s="27">
        <f>IF(COUNT(N179:N198), SUM(N179:N198) / COUNT(N179:N198), 0)</f>
        <v>4.1094495332590131E-2</v>
      </c>
      <c r="O199" s="28">
        <f>SUM(O179:O198)</f>
        <v>123283.48599777037</v>
      </c>
      <c r="Q199" s="141"/>
      <c r="R199" s="142"/>
      <c r="S199" s="14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4FF43-50D4-45A0-8298-0EC09D14E5BC}">
  <sheetPr codeName="Sheet14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44934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2023-01-08(일) 오전 00:00</v>
      </c>
      <c r="C15" s="196"/>
      <c r="D15" s="170" t="str">
        <f>TEXT($G$1, "[$-ko-KR]yyyy-mm-dd(ddd) ") &amp; "오후 14:00"</f>
        <v>2023-01-08(일) 오후 14:00</v>
      </c>
      <c r="E15" s="171"/>
      <c r="F15" s="172"/>
      <c r="G15" s="170" t="str">
        <f>TEXT($G$1, "[$-ko-KR]yyyy-mm-dd(ddd) ") &amp; "오후 19:00"</f>
        <v>2023-01-08(일) 오후 19:00</v>
      </c>
      <c r="H15" s="171"/>
      <c r="I15" s="172"/>
      <c r="J15" s="170" t="str">
        <f>TEXT($G$1, "[$-ko-KR]yyyy-mm-dd(ddd) ") &amp; "오후 21:00"</f>
        <v>2023-01-08(일) 오후 21:00</v>
      </c>
      <c r="K15" s="171"/>
      <c r="L15" s="172"/>
      <c r="M15" s="170" t="str">
        <f>TEXT($G$1+1, "[$-ko-KR]yyyy-mm-dd(ddd) ") &amp; "오전 00:00"</f>
        <v>2023-01-09(월)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2023-01-08(일) 오전 00:00</v>
      </c>
      <c r="C42" s="198"/>
      <c r="D42" s="170" t="str">
        <f>TEXT($G$1, "[$-ko-KR]yyyy-mm-dd(ddd) ") &amp; "오후 14:00"</f>
        <v>2023-01-08(일) 오후 14:00</v>
      </c>
      <c r="E42" s="171"/>
      <c r="F42" s="172"/>
      <c r="G42" s="170" t="str">
        <f>TEXT($G$1, "[$-ko-KR]yyyy-mm-dd(ddd) ") &amp; "오후 19:00"</f>
        <v>2023-01-08(일) 오후 19:00</v>
      </c>
      <c r="H42" s="171"/>
      <c r="I42" s="172"/>
      <c r="J42" s="170" t="str">
        <f>TEXT($G$1, "[$-ko-KR]yyyy-mm-dd(ddd) ") &amp; "오후 21:00"</f>
        <v>2023-01-08(일) 오후 21:00</v>
      </c>
      <c r="K42" s="171"/>
      <c r="L42" s="172"/>
      <c r="M42" s="170" t="str">
        <f>TEXT($G$1+1, "[$-ko-KR]yyyy-mm-dd(ddd) ") &amp; "오전 00:00"</f>
        <v>2023-01-09(월)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217</v>
      </c>
      <c r="B44" s="108">
        <v>56.9</v>
      </c>
      <c r="C44" s="69">
        <v>2.1543985599999999E-2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 t="s">
        <v>324</v>
      </c>
      <c r="B45" s="110">
        <v>78.7</v>
      </c>
      <c r="C45" s="70">
        <v>1.8111254899999998E-2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 t="s">
        <v>225</v>
      </c>
      <c r="B46" s="110">
        <v>52.8</v>
      </c>
      <c r="C46" s="70">
        <v>1.7341040499999998E-2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6"/>
      <c r="R46" s="146"/>
      <c r="S46" s="146"/>
    </row>
    <row r="47" spans="1:19" ht="17.25" customHeight="1" thickBot="1">
      <c r="A47" s="109" t="s">
        <v>185</v>
      </c>
      <c r="B47" s="110">
        <v>23.7</v>
      </c>
      <c r="C47" s="70">
        <v>1.7167381999999998E-2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6"/>
      <c r="R47" s="146"/>
      <c r="S47" s="146"/>
    </row>
    <row r="48" spans="1:19" ht="17.25" customHeight="1" thickBot="1">
      <c r="A48" s="111" t="s">
        <v>227</v>
      </c>
      <c r="B48" s="112">
        <v>35.5</v>
      </c>
      <c r="C48" s="71">
        <v>1.42857143E-2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6"/>
      <c r="R48" s="146"/>
      <c r="S48" s="146"/>
    </row>
    <row r="49" spans="1:19" ht="17.25" customHeight="1" thickBot="1">
      <c r="A49" s="109" t="s">
        <v>51</v>
      </c>
      <c r="B49" s="113">
        <v>96.1</v>
      </c>
      <c r="C49" s="73">
        <v>1.05152471E-2</v>
      </c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46"/>
      <c r="R49" s="146"/>
      <c r="S49" s="146"/>
    </row>
    <row r="50" spans="1:19" ht="17.25" customHeight="1" thickBot="1">
      <c r="A50" s="109" t="s">
        <v>195</v>
      </c>
      <c r="B50" s="110">
        <v>5.68</v>
      </c>
      <c r="C50" s="70">
        <v>8.8809947000000004E-3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6"/>
      <c r="R50" s="146"/>
      <c r="S50" s="146"/>
    </row>
    <row r="51" spans="1:19" ht="17.25" customHeight="1" thickBot="1">
      <c r="A51" s="109" t="s">
        <v>241</v>
      </c>
      <c r="B51" s="110">
        <v>85.5</v>
      </c>
      <c r="C51" s="70">
        <v>8.254717E-3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6"/>
      <c r="R51" s="146"/>
      <c r="S51" s="146"/>
    </row>
    <row r="52" spans="1:19" ht="17.25" customHeight="1" thickBot="1">
      <c r="A52" s="109" t="s">
        <v>197</v>
      </c>
      <c r="B52" s="110">
        <v>5.62</v>
      </c>
      <c r="C52" s="70">
        <v>3.5714286E-3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 t="s">
        <v>329</v>
      </c>
      <c r="B53" s="115">
        <v>49.7</v>
      </c>
      <c r="C53" s="72">
        <v>2.0161290000000002E-3</v>
      </c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47"/>
      <c r="R53" s="148"/>
      <c r="S53" s="149"/>
    </row>
    <row r="54" spans="1:19" ht="17.25" customHeight="1">
      <c r="A54" s="107" t="s">
        <v>138</v>
      </c>
      <c r="B54" s="108">
        <v>21</v>
      </c>
      <c r="C54" s="69">
        <v>0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0"/>
      <c r="R54" s="151"/>
      <c r="S54" s="152"/>
    </row>
    <row r="55" spans="1:19" ht="17.25" customHeight="1" thickBot="1">
      <c r="A55" s="109" t="s">
        <v>97</v>
      </c>
      <c r="B55" s="110">
        <v>8.0000000000000004E-4</v>
      </c>
      <c r="C55" s="70">
        <v>0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3"/>
      <c r="R55" s="154"/>
      <c r="S55" s="155"/>
    </row>
    <row r="56" spans="1:19" ht="17.25" customHeight="1" thickBot="1">
      <c r="A56" s="109" t="s">
        <v>143</v>
      </c>
      <c r="B56" s="110">
        <v>3.38</v>
      </c>
      <c r="C56" s="70">
        <v>0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6"/>
      <c r="R56" s="146"/>
      <c r="S56" s="146"/>
    </row>
    <row r="57" spans="1:19" ht="17.25" customHeight="1" thickBot="1">
      <c r="A57" s="109" t="s">
        <v>203</v>
      </c>
      <c r="B57" s="110">
        <v>3</v>
      </c>
      <c r="C57" s="70">
        <v>0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 t="s">
        <v>155</v>
      </c>
      <c r="B58" s="112">
        <v>24.8</v>
      </c>
      <c r="C58" s="71">
        <v>0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 t="s">
        <v>56</v>
      </c>
      <c r="B59" s="113">
        <v>37</v>
      </c>
      <c r="C59" s="73">
        <v>0</v>
      </c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46"/>
      <c r="R59" s="146"/>
      <c r="S59" s="146"/>
    </row>
    <row r="60" spans="1:19" ht="17.25" customHeight="1" thickBot="1">
      <c r="A60" s="109" t="s">
        <v>205</v>
      </c>
      <c r="B60" s="110">
        <v>93.2</v>
      </c>
      <c r="C60" s="70">
        <v>-1.0718113999999999E-3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6"/>
      <c r="R60" s="146"/>
      <c r="S60" s="146"/>
    </row>
    <row r="61" spans="1:19" ht="17.25" customHeight="1" thickBot="1">
      <c r="A61" s="109" t="s">
        <v>253</v>
      </c>
      <c r="B61" s="110">
        <v>91.8</v>
      </c>
      <c r="C61" s="70">
        <v>-1.0881393E-3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6"/>
      <c r="R61" s="146"/>
      <c r="S61" s="146"/>
    </row>
    <row r="62" spans="1:19" ht="17.25" customHeight="1">
      <c r="A62" s="109" t="s">
        <v>350</v>
      </c>
      <c r="B62" s="110">
        <v>5.55</v>
      </c>
      <c r="C62" s="70">
        <v>-1.7985612E-3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35"/>
      <c r="R62" s="136"/>
      <c r="S62" s="137"/>
    </row>
    <row r="63" spans="1:19" ht="17.25" customHeight="1" thickBot="1">
      <c r="A63" s="114" t="s">
        <v>132</v>
      </c>
      <c r="B63" s="115">
        <v>41.4</v>
      </c>
      <c r="C63" s="72">
        <v>-2.4096386000000002E-3</v>
      </c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2023-01-08(일) 오전 00:00</v>
      </c>
      <c r="C69" s="198"/>
      <c r="D69" s="170" t="str">
        <f>TEXT($G$1, "[$-ko-KR]yyyy-mm-dd(ddd) ") &amp; "오후 14:00"</f>
        <v>2023-01-08(일) 오후 14:00</v>
      </c>
      <c r="E69" s="171"/>
      <c r="F69" s="172"/>
      <c r="G69" s="170" t="str">
        <f>TEXT($G$1, "[$-ko-KR]yyyy-mm-dd(ddd) ") &amp; "오후 19:00"</f>
        <v>2023-01-08(일) 오후 19:00</v>
      </c>
      <c r="H69" s="171"/>
      <c r="I69" s="172"/>
      <c r="J69" s="170" t="str">
        <f>TEXT($G$1, "[$-ko-KR]yyyy-mm-dd(ddd) ") &amp; "오후 21:00"</f>
        <v>2023-01-08(일) 오후 21:00</v>
      </c>
      <c r="K69" s="171"/>
      <c r="L69" s="172"/>
      <c r="M69" s="170" t="str">
        <f>TEXT($G$1+1, "[$-ko-KR]yyyy-mm-dd(ddd) ") &amp; "오전 00:00"</f>
        <v>2023-01-09(월)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60</v>
      </c>
      <c r="B71" s="108">
        <v>446</v>
      </c>
      <c r="C71" s="69">
        <v>6.9544364499999997E-2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 t="s">
        <v>111</v>
      </c>
      <c r="B72" s="110">
        <v>580</v>
      </c>
      <c r="C72" s="70">
        <v>5.8394160600000002E-2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 t="s">
        <v>149</v>
      </c>
      <c r="B73" s="110">
        <v>334</v>
      </c>
      <c r="C73" s="70">
        <v>2.7692307699999998E-2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6"/>
      <c r="R73" s="146"/>
      <c r="S73" s="146"/>
    </row>
    <row r="74" spans="1:19" ht="17.25" thickBot="1">
      <c r="A74" s="109" t="s">
        <v>319</v>
      </c>
      <c r="B74" s="110">
        <v>337</v>
      </c>
      <c r="C74" s="70">
        <v>2.7439024400000001E-2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6"/>
      <c r="R74" s="146"/>
      <c r="S74" s="146"/>
    </row>
    <row r="75" spans="1:19" ht="17.25" thickBot="1">
      <c r="A75" s="111" t="s">
        <v>326</v>
      </c>
      <c r="B75" s="112">
        <v>245</v>
      </c>
      <c r="C75" s="71">
        <v>2.51046025E-2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6"/>
      <c r="R75" s="146"/>
      <c r="S75" s="146"/>
    </row>
    <row r="76" spans="1:19" ht="17.25" thickBot="1">
      <c r="A76" s="109" t="s">
        <v>201</v>
      </c>
      <c r="B76" s="113">
        <v>185</v>
      </c>
      <c r="C76" s="73">
        <v>2.2099447500000001E-2</v>
      </c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46"/>
      <c r="R76" s="146"/>
      <c r="S76" s="146"/>
    </row>
    <row r="77" spans="1:19" ht="17.25" thickBot="1">
      <c r="A77" s="109" t="s">
        <v>95</v>
      </c>
      <c r="B77" s="110">
        <v>998</v>
      </c>
      <c r="C77" s="70">
        <v>1.9407558700000001E-2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6"/>
      <c r="R77" s="146"/>
      <c r="S77" s="146"/>
    </row>
    <row r="78" spans="1:19" ht="17.25" thickBot="1">
      <c r="A78" s="109" t="s">
        <v>79</v>
      </c>
      <c r="B78" s="110">
        <v>229</v>
      </c>
      <c r="C78" s="70">
        <v>1.7777777799999998E-2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6"/>
      <c r="R78" s="146"/>
      <c r="S78" s="146"/>
    </row>
    <row r="79" spans="1:19" ht="17.25" thickBot="1">
      <c r="A79" s="109" t="s">
        <v>105</v>
      </c>
      <c r="B79" s="110">
        <v>195</v>
      </c>
      <c r="C79" s="70">
        <v>1.5625E-2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 t="s">
        <v>130</v>
      </c>
      <c r="B80" s="115">
        <v>635</v>
      </c>
      <c r="C80" s="72">
        <v>1.43769968E-2</v>
      </c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47"/>
      <c r="R80" s="148"/>
      <c r="S80" s="149"/>
    </row>
    <row r="81" spans="1:19">
      <c r="A81" s="107" t="s">
        <v>109</v>
      </c>
      <c r="B81" s="108">
        <v>977</v>
      </c>
      <c r="C81" s="69">
        <v>1.34854772E-2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0"/>
      <c r="R81" s="151"/>
      <c r="S81" s="152"/>
    </row>
    <row r="82" spans="1:19" ht="17.25" thickBot="1">
      <c r="A82" s="109" t="s">
        <v>199</v>
      </c>
      <c r="B82" s="110">
        <v>267</v>
      </c>
      <c r="C82" s="70">
        <v>7.5471697999999997E-3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3"/>
      <c r="R82" s="154"/>
      <c r="S82" s="155"/>
    </row>
    <row r="83" spans="1:19" ht="17.25" thickBot="1">
      <c r="A83" s="109" t="s">
        <v>159</v>
      </c>
      <c r="B83" s="110">
        <v>140</v>
      </c>
      <c r="C83" s="70">
        <v>7.1942446E-3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6"/>
      <c r="R83" s="146"/>
      <c r="S83" s="146"/>
    </row>
    <row r="84" spans="1:19" ht="17.25" thickBot="1">
      <c r="A84" s="109" t="s">
        <v>153</v>
      </c>
      <c r="B84" s="110">
        <v>330</v>
      </c>
      <c r="C84" s="70">
        <v>6.0975609999999996E-3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 t="s">
        <v>89</v>
      </c>
      <c r="B85" s="112">
        <v>439</v>
      </c>
      <c r="C85" s="71">
        <v>4.5766590000000003E-3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 t="s">
        <v>332</v>
      </c>
      <c r="B86" s="113">
        <v>505</v>
      </c>
      <c r="C86" s="73">
        <v>3.9761431000000002E-3</v>
      </c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46"/>
      <c r="R86" s="146"/>
      <c r="S86" s="146"/>
    </row>
    <row r="87" spans="1:19" ht="17.25" thickBot="1">
      <c r="A87" s="109" t="s">
        <v>161</v>
      </c>
      <c r="B87" s="110">
        <v>279</v>
      </c>
      <c r="C87" s="70">
        <v>3.5971223E-3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6"/>
      <c r="R87" s="146"/>
      <c r="S87" s="146"/>
    </row>
    <row r="88" spans="1:19" ht="17.25" thickBot="1">
      <c r="A88" s="109" t="s">
        <v>189</v>
      </c>
      <c r="B88" s="110">
        <v>891</v>
      </c>
      <c r="C88" s="70">
        <v>2.2497188000000002E-3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6"/>
      <c r="R88" s="146"/>
      <c r="S88" s="146"/>
    </row>
    <row r="89" spans="1:19">
      <c r="A89" s="109" t="s">
        <v>229</v>
      </c>
      <c r="B89" s="110">
        <v>234</v>
      </c>
      <c r="C89" s="70">
        <v>0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35"/>
      <c r="R89" s="136"/>
      <c r="S89" s="137"/>
    </row>
    <row r="90" spans="1:19" ht="17.25" thickBot="1">
      <c r="A90" s="114" t="s">
        <v>239</v>
      </c>
      <c r="B90" s="115">
        <v>411</v>
      </c>
      <c r="C90" s="72">
        <v>0</v>
      </c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2023-01-08(일) 오전 00:00</v>
      </c>
      <c r="C96" s="198"/>
      <c r="D96" s="170" t="str">
        <f>TEXT($G$1, "[$-ko-KR]yyyy-mm-dd(ddd) ") &amp; "오후 14:00"</f>
        <v>2023-01-08(일) 오후 14:00</v>
      </c>
      <c r="E96" s="171"/>
      <c r="F96" s="172"/>
      <c r="G96" s="170" t="str">
        <f>TEXT($G$1, "[$-ko-KR]yyyy-mm-dd(ddd) ") &amp; "오후 19:00"</f>
        <v>2023-01-08(일) 오후 19:00</v>
      </c>
      <c r="H96" s="171"/>
      <c r="I96" s="172"/>
      <c r="J96" s="170" t="str">
        <f>TEXT($G$1, "[$-ko-KR]yyyy-mm-dd(ddd) ") &amp; "오후 21:00"</f>
        <v>2023-01-08(일) 오후 21:00</v>
      </c>
      <c r="K96" s="171"/>
      <c r="L96" s="172"/>
      <c r="M96" s="170" t="str">
        <f>TEXT($G$1+1, "[$-ko-KR]yyyy-mm-dd(ddd) ") &amp; "오전 00:00"</f>
        <v>2023-01-09(월)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60</v>
      </c>
      <c r="B98" s="108">
        <v>446</v>
      </c>
      <c r="C98" s="69">
        <v>6.9544364499999997E-2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 t="s">
        <v>111</v>
      </c>
      <c r="B99" s="110">
        <v>580</v>
      </c>
      <c r="C99" s="70">
        <v>5.8394160600000002E-2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 t="s">
        <v>134</v>
      </c>
      <c r="B100" s="110">
        <v>1395</v>
      </c>
      <c r="C100" s="70">
        <v>3.7174721199999997E-2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6"/>
      <c r="R100" s="146"/>
      <c r="S100" s="146"/>
    </row>
    <row r="101" spans="1:19" ht="17.25" thickBot="1">
      <c r="A101" s="109" t="s">
        <v>149</v>
      </c>
      <c r="B101" s="110">
        <v>334</v>
      </c>
      <c r="C101" s="70">
        <v>2.7692307699999998E-2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6"/>
      <c r="R101" s="146"/>
      <c r="S101" s="146"/>
    </row>
    <row r="102" spans="1:19" ht="17.25" thickBot="1">
      <c r="A102" s="111" t="s">
        <v>319</v>
      </c>
      <c r="B102" s="112">
        <v>337</v>
      </c>
      <c r="C102" s="71">
        <v>2.7439024400000001E-2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6"/>
      <c r="R102" s="146"/>
      <c r="S102" s="146"/>
    </row>
    <row r="103" spans="1:19" ht="17.25" thickBot="1">
      <c r="A103" s="109" t="s">
        <v>326</v>
      </c>
      <c r="B103" s="113">
        <v>245</v>
      </c>
      <c r="C103" s="73">
        <v>2.51046025E-2</v>
      </c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46"/>
      <c r="R103" s="146"/>
      <c r="S103" s="146"/>
    </row>
    <row r="104" spans="1:19" ht="17.25" thickBot="1">
      <c r="A104" s="109" t="s">
        <v>201</v>
      </c>
      <c r="B104" s="110">
        <v>185</v>
      </c>
      <c r="C104" s="70">
        <v>2.2099447500000001E-2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6"/>
      <c r="R104" s="146"/>
      <c r="S104" s="146"/>
    </row>
    <row r="105" spans="1:19" ht="17.25" thickBot="1">
      <c r="A105" s="109" t="s">
        <v>147</v>
      </c>
      <c r="B105" s="110">
        <v>8860</v>
      </c>
      <c r="C105" s="70">
        <v>2.1914648200000001E-2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6"/>
      <c r="R105" s="146"/>
      <c r="S105" s="146"/>
    </row>
    <row r="106" spans="1:19" ht="17.25" thickBot="1">
      <c r="A106" s="109" t="s">
        <v>217</v>
      </c>
      <c r="B106" s="110">
        <v>56.9</v>
      </c>
      <c r="C106" s="70">
        <v>2.1543985599999999E-2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 t="s">
        <v>95</v>
      </c>
      <c r="B107" s="115">
        <v>998</v>
      </c>
      <c r="C107" s="72">
        <v>1.9407558700000001E-2</v>
      </c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47"/>
      <c r="R107" s="148"/>
      <c r="S107" s="149"/>
    </row>
    <row r="108" spans="1:19">
      <c r="A108" s="107" t="s">
        <v>324</v>
      </c>
      <c r="B108" s="108">
        <v>78.7</v>
      </c>
      <c r="C108" s="69">
        <v>1.8111254899999998E-2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0"/>
      <c r="R108" s="151"/>
      <c r="S108" s="152"/>
    </row>
    <row r="109" spans="1:19" ht="17.25" thickBot="1">
      <c r="A109" s="109" t="s">
        <v>79</v>
      </c>
      <c r="B109" s="110">
        <v>229</v>
      </c>
      <c r="C109" s="70">
        <v>1.7777777799999998E-2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3"/>
      <c r="R109" s="154"/>
      <c r="S109" s="155"/>
    </row>
    <row r="110" spans="1:19" ht="17.25" thickBot="1">
      <c r="A110" s="109" t="s">
        <v>225</v>
      </c>
      <c r="B110" s="110">
        <v>52.8</v>
      </c>
      <c r="C110" s="70">
        <v>1.7341040499999998E-2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6"/>
      <c r="R110" s="146"/>
      <c r="S110" s="146"/>
    </row>
    <row r="111" spans="1:19" ht="17.25" thickBot="1">
      <c r="A111" s="109" t="s">
        <v>185</v>
      </c>
      <c r="B111" s="110">
        <v>23.7</v>
      </c>
      <c r="C111" s="70">
        <v>1.7167381999999998E-2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 t="s">
        <v>75</v>
      </c>
      <c r="B112" s="112">
        <v>7370</v>
      </c>
      <c r="C112" s="71">
        <v>1.5851137099999999E-2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 t="s">
        <v>105</v>
      </c>
      <c r="B113" s="113">
        <v>195</v>
      </c>
      <c r="C113" s="73">
        <v>1.5625E-2</v>
      </c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46"/>
      <c r="R113" s="146"/>
      <c r="S113" s="146"/>
    </row>
    <row r="114" spans="1:19" ht="17.25" thickBot="1">
      <c r="A114" s="109" t="s">
        <v>130</v>
      </c>
      <c r="B114" s="110">
        <v>635</v>
      </c>
      <c r="C114" s="70">
        <v>1.43769968E-2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6"/>
      <c r="R114" s="146"/>
      <c r="S114" s="146"/>
    </row>
    <row r="115" spans="1:19" ht="17.25" thickBot="1">
      <c r="A115" s="109" t="s">
        <v>227</v>
      </c>
      <c r="B115" s="110">
        <v>35.5</v>
      </c>
      <c r="C115" s="70">
        <v>1.42857143E-2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6"/>
      <c r="R115" s="146"/>
      <c r="S115" s="146"/>
    </row>
    <row r="116" spans="1:19">
      <c r="A116" s="109" t="s">
        <v>109</v>
      </c>
      <c r="B116" s="110">
        <v>977</v>
      </c>
      <c r="C116" s="70">
        <v>1.34854772E-2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35"/>
      <c r="R116" s="136"/>
      <c r="S116" s="137"/>
    </row>
    <row r="117" spans="1:19" ht="17.25" thickBot="1">
      <c r="A117" s="114" t="s">
        <v>51</v>
      </c>
      <c r="B117" s="115">
        <v>96.1</v>
      </c>
      <c r="C117" s="72">
        <v>1.05152471E-2</v>
      </c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2023-01-08(일) 오전 00:00</v>
      </c>
      <c r="C123" s="198"/>
      <c r="D123" s="170" t="str">
        <f>TEXT($G$1, "[$-ko-KR]yyyy-mm-dd(ddd) ") &amp; "오후 14:00"</f>
        <v>2023-01-08(일) 오후 14:00</v>
      </c>
      <c r="E123" s="171"/>
      <c r="F123" s="172"/>
      <c r="G123" s="170" t="str">
        <f>TEXT($G$1, "[$-ko-KR]yyyy-mm-dd(ddd) ") &amp; "오후 19:00"</f>
        <v>2023-01-08(일) 오후 19:00</v>
      </c>
      <c r="H123" s="171"/>
      <c r="I123" s="172"/>
      <c r="J123" s="170" t="str">
        <f>TEXT($G$1, "[$-ko-KR]yyyy-mm-dd(ddd) ") &amp; "오후 21:00"</f>
        <v>2023-01-08(일) 오후 21:00</v>
      </c>
      <c r="K123" s="171"/>
      <c r="L123" s="172"/>
      <c r="M123" s="170" t="str">
        <f>TEXT($G$1+1, "[$-ko-KR]yyyy-mm-dd(ddd) ") &amp; "오전 00:00"</f>
        <v>2023-01-09(월)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64</v>
      </c>
      <c r="B125" s="108">
        <v>9.14</v>
      </c>
      <c r="C125" s="69">
        <v>-3.2715375999999999E-3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 t="s">
        <v>237</v>
      </c>
      <c r="B126" s="110">
        <v>25.4</v>
      </c>
      <c r="C126" s="70">
        <v>-3.9215685999999996E-3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 t="s">
        <v>209</v>
      </c>
      <c r="B127" s="110">
        <v>71</v>
      </c>
      <c r="C127" s="70">
        <v>-4.2075736000000002E-3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6"/>
      <c r="R127" s="146"/>
      <c r="S127" s="146"/>
    </row>
    <row r="128" spans="1:19" ht="17.25" thickBot="1">
      <c r="A128" s="109" t="s">
        <v>126</v>
      </c>
      <c r="B128" s="110">
        <v>22.1</v>
      </c>
      <c r="C128" s="70">
        <v>-4.5045045000000001E-3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6"/>
      <c r="R128" s="146"/>
      <c r="S128" s="146"/>
    </row>
    <row r="129" spans="1:19" ht="17.25" thickBot="1">
      <c r="A129" s="111" t="s">
        <v>333</v>
      </c>
      <c r="B129" s="112">
        <v>4.0199999999999996</v>
      </c>
      <c r="C129" s="71">
        <v>-4.9504950000000001E-3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6"/>
      <c r="R129" s="146"/>
      <c r="S129" s="146"/>
    </row>
    <row r="130" spans="1:19" ht="17.25" thickBot="1">
      <c r="A130" s="109" t="s">
        <v>207</v>
      </c>
      <c r="B130" s="113">
        <v>60.1</v>
      </c>
      <c r="C130" s="73">
        <v>-4.9668873999999998E-3</v>
      </c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46"/>
      <c r="R130" s="146"/>
      <c r="S130" s="146"/>
    </row>
    <row r="131" spans="1:19" ht="17.25" thickBot="1">
      <c r="A131" s="109" t="s">
        <v>181</v>
      </c>
      <c r="B131" s="110">
        <v>3.85</v>
      </c>
      <c r="C131" s="70">
        <v>-5.1679587000000001E-3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6"/>
      <c r="R131" s="146"/>
      <c r="S131" s="146"/>
    </row>
    <row r="132" spans="1:19" ht="17.25" thickBot="1">
      <c r="A132" s="109" t="s">
        <v>71</v>
      </c>
      <c r="B132" s="110">
        <v>9.6199999999999992</v>
      </c>
      <c r="C132" s="70">
        <v>-5.1706308000000001E-3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6"/>
      <c r="R132" s="146"/>
      <c r="S132" s="146"/>
    </row>
    <row r="133" spans="1:19" ht="17.25" thickBot="1">
      <c r="A133" s="109" t="s">
        <v>221</v>
      </c>
      <c r="B133" s="110">
        <v>17.600000000000001</v>
      </c>
      <c r="C133" s="70">
        <v>-5.6497175E-3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 t="s">
        <v>120</v>
      </c>
      <c r="B134" s="115">
        <v>98</v>
      </c>
      <c r="C134" s="72">
        <v>-6.0851927000000004E-3</v>
      </c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47"/>
      <c r="R134" s="148"/>
      <c r="S134" s="149"/>
    </row>
    <row r="135" spans="1:19">
      <c r="A135" s="107" t="s">
        <v>118</v>
      </c>
      <c r="B135" s="108">
        <v>4.82</v>
      </c>
      <c r="C135" s="69">
        <v>-6.1855670000000003E-3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0"/>
      <c r="R135" s="151"/>
      <c r="S135" s="152"/>
    </row>
    <row r="136" spans="1:19" ht="17.25" thickBot="1">
      <c r="A136" s="109" t="s">
        <v>193</v>
      </c>
      <c r="B136" s="110">
        <v>15.3</v>
      </c>
      <c r="C136" s="70">
        <v>-6.4935065000000002E-3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3"/>
      <c r="R136" s="154"/>
      <c r="S136" s="155"/>
    </row>
    <row r="137" spans="1:19" ht="17.25" thickBot="1">
      <c r="A137" s="109" t="s">
        <v>141</v>
      </c>
      <c r="B137" s="110">
        <v>2.97</v>
      </c>
      <c r="C137" s="70">
        <v>-6.6889632000000001E-3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6"/>
      <c r="R137" s="146"/>
      <c r="S137" s="146"/>
    </row>
    <row r="138" spans="1:19" ht="17.25" thickBot="1">
      <c r="A138" s="109" t="s">
        <v>107</v>
      </c>
      <c r="B138" s="110">
        <v>35.4</v>
      </c>
      <c r="C138" s="70">
        <v>-8.4033613000000004E-3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 t="s">
        <v>122</v>
      </c>
      <c r="B139" s="112">
        <v>20.7</v>
      </c>
      <c r="C139" s="71">
        <v>-9.5693779999999999E-3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 t="s">
        <v>349</v>
      </c>
      <c r="B140" s="113">
        <v>20.6</v>
      </c>
      <c r="C140" s="73">
        <v>-9.6153846000000005E-3</v>
      </c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46"/>
      <c r="R140" s="146"/>
      <c r="S140" s="146"/>
    </row>
    <row r="141" spans="1:19" ht="17.25" thickBot="1">
      <c r="A141" s="109" t="s">
        <v>145</v>
      </c>
      <c r="B141" s="110">
        <v>66</v>
      </c>
      <c r="C141" s="70">
        <v>-1.0494752600000001E-2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6"/>
      <c r="R141" s="146"/>
      <c r="S141" s="146"/>
    </row>
    <row r="142" spans="1:19" ht="17.25" thickBot="1">
      <c r="A142" s="109" t="s">
        <v>191</v>
      </c>
      <c r="B142" s="110">
        <v>49.3</v>
      </c>
      <c r="C142" s="70">
        <v>-1.5968063899999999E-2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6"/>
      <c r="R142" s="146"/>
      <c r="S142" s="146"/>
    </row>
    <row r="143" spans="1:19">
      <c r="A143" s="109" t="s">
        <v>124</v>
      </c>
      <c r="B143" s="110">
        <v>27.8</v>
      </c>
      <c r="C143" s="70">
        <v>-1.7667844500000002E-2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35"/>
      <c r="R143" s="136"/>
      <c r="S143" s="137"/>
    </row>
    <row r="144" spans="1:19" ht="17.25" thickBot="1">
      <c r="A144" s="114" t="s">
        <v>323</v>
      </c>
      <c r="B144" s="115">
        <v>3.09E-2</v>
      </c>
      <c r="C144" s="72">
        <v>-1.9047618999999998E-2</v>
      </c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2023-01-08(일) 오전 00:00</v>
      </c>
      <c r="C150" s="198"/>
      <c r="D150" s="170" t="str">
        <f>TEXT($G$1, "[$-ko-KR]yyyy-mm-dd(ddd) ") &amp; "오후 14:00"</f>
        <v>2023-01-08(일) 오후 14:00</v>
      </c>
      <c r="E150" s="171"/>
      <c r="F150" s="172"/>
      <c r="G150" s="170" t="str">
        <f>TEXT($G$1, "[$-ko-KR]yyyy-mm-dd(ddd) ") &amp; "오후 19:00"</f>
        <v>2023-01-08(일) 오후 19:00</v>
      </c>
      <c r="H150" s="171"/>
      <c r="I150" s="172"/>
      <c r="J150" s="170" t="str">
        <f>TEXT($G$1, "[$-ko-KR]yyyy-mm-dd(ddd) ") &amp; "오후 21:00"</f>
        <v>2023-01-08(일) 오후 21:00</v>
      </c>
      <c r="K150" s="171"/>
      <c r="L150" s="172"/>
      <c r="M150" s="170" t="str">
        <f>TEXT($G$1+1, "[$-ko-KR]yyyy-mm-dd(ddd) ") &amp; "오전 00:00"</f>
        <v>2023-01-09(월)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165</v>
      </c>
      <c r="B152" s="108">
        <v>888</v>
      </c>
      <c r="C152" s="69">
        <v>-2.2471909999999999E-3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 t="s">
        <v>187</v>
      </c>
      <c r="B153" s="110">
        <v>711</v>
      </c>
      <c r="C153" s="70">
        <v>-2.8050491E-3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 t="s">
        <v>219</v>
      </c>
      <c r="B154" s="110">
        <v>342</v>
      </c>
      <c r="C154" s="70">
        <v>-2.9154519000000002E-3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6"/>
      <c r="R154" s="146"/>
      <c r="S154" s="146"/>
    </row>
    <row r="155" spans="1:19" ht="17.25" thickBot="1">
      <c r="A155" s="109" t="s">
        <v>317</v>
      </c>
      <c r="B155" s="110">
        <v>551</v>
      </c>
      <c r="C155" s="70">
        <v>-3.6166365000000001E-3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6"/>
      <c r="R155" s="146"/>
      <c r="S155" s="146"/>
    </row>
    <row r="156" spans="1:19" ht="17.25" thickBot="1">
      <c r="A156" s="111" t="s">
        <v>235</v>
      </c>
      <c r="B156" s="112">
        <v>512</v>
      </c>
      <c r="C156" s="71">
        <v>-3.8910505999999998E-3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6"/>
      <c r="R156" s="146"/>
      <c r="S156" s="146"/>
    </row>
    <row r="157" spans="1:19" ht="17.25" thickBot="1">
      <c r="A157" s="109" t="s">
        <v>101</v>
      </c>
      <c r="B157" s="113">
        <v>203</v>
      </c>
      <c r="C157" s="73">
        <v>-4.9019607999999998E-3</v>
      </c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46"/>
      <c r="R157" s="146"/>
      <c r="S157" s="146"/>
    </row>
    <row r="158" spans="1:19" ht="17.25" thickBot="1">
      <c r="A158" s="109" t="s">
        <v>103</v>
      </c>
      <c r="B158" s="110">
        <v>202</v>
      </c>
      <c r="C158" s="70">
        <v>-4.9261084000000004E-3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6"/>
      <c r="R158" s="146"/>
      <c r="S158" s="146"/>
    </row>
    <row r="159" spans="1:19" ht="17.25" thickBot="1">
      <c r="A159" s="109" t="s">
        <v>231</v>
      </c>
      <c r="B159" s="110">
        <v>305</v>
      </c>
      <c r="C159" s="70">
        <v>-6.5146580000000004E-3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6"/>
      <c r="R159" s="146"/>
      <c r="S159" s="146"/>
    </row>
    <row r="160" spans="1:19" ht="17.25" thickBot="1">
      <c r="A160" s="109" t="s">
        <v>116</v>
      </c>
      <c r="B160" s="110">
        <v>909</v>
      </c>
      <c r="C160" s="70">
        <v>-6.5573769999999997E-3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 t="s">
        <v>215</v>
      </c>
      <c r="B161" s="115">
        <v>286</v>
      </c>
      <c r="C161" s="72">
        <v>-6.9444444000000003E-3</v>
      </c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47"/>
      <c r="R161" s="148"/>
      <c r="S161" s="149"/>
    </row>
    <row r="162" spans="1:19">
      <c r="A162" s="107" t="s">
        <v>211</v>
      </c>
      <c r="B162" s="108">
        <v>911</v>
      </c>
      <c r="C162" s="69">
        <v>-7.6252723000000003E-3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0"/>
      <c r="R162" s="151"/>
      <c r="S162" s="152"/>
    </row>
    <row r="163" spans="1:19" ht="17.25" thickBot="1">
      <c r="A163" s="109" t="s">
        <v>68</v>
      </c>
      <c r="B163" s="110">
        <v>251</v>
      </c>
      <c r="C163" s="70">
        <v>-7.9051382999999996E-3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3"/>
      <c r="R163" s="154"/>
      <c r="S163" s="155"/>
    </row>
    <row r="164" spans="1:19" ht="17.25" thickBot="1">
      <c r="A164" s="109" t="s">
        <v>183</v>
      </c>
      <c r="B164" s="110">
        <v>114</v>
      </c>
      <c r="C164" s="70">
        <v>-8.6956522000000008E-3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6"/>
      <c r="R164" s="146"/>
      <c r="S164" s="146"/>
    </row>
    <row r="165" spans="1:19" ht="17.25" thickBot="1">
      <c r="A165" s="109" t="s">
        <v>345</v>
      </c>
      <c r="B165" s="110">
        <v>109</v>
      </c>
      <c r="C165" s="70">
        <v>-9.0909091000000008E-3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 t="s">
        <v>66</v>
      </c>
      <c r="B166" s="112">
        <v>599</v>
      </c>
      <c r="C166" s="71">
        <v>-9.9173553999999994E-3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 t="s">
        <v>169</v>
      </c>
      <c r="B167" s="113">
        <v>228</v>
      </c>
      <c r="C167" s="73">
        <v>-1.2987013E-2</v>
      </c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46"/>
      <c r="R167" s="146"/>
      <c r="S167" s="146"/>
    </row>
    <row r="168" spans="1:19" ht="17.25" thickBot="1">
      <c r="A168" s="109" t="s">
        <v>157</v>
      </c>
      <c r="B168" s="110">
        <v>212</v>
      </c>
      <c r="C168" s="70">
        <v>-1.39534884E-2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6"/>
      <c r="R168" s="146"/>
      <c r="S168" s="146"/>
    </row>
    <row r="169" spans="1:19" ht="17.25" thickBot="1">
      <c r="A169" s="109" t="s">
        <v>81</v>
      </c>
      <c r="B169" s="110">
        <v>348</v>
      </c>
      <c r="C169" s="70">
        <v>-1.41643059E-2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6"/>
      <c r="R169" s="146"/>
      <c r="S169" s="146"/>
    </row>
    <row r="170" spans="1:19">
      <c r="A170" s="109" t="s">
        <v>85</v>
      </c>
      <c r="B170" s="110">
        <v>138</v>
      </c>
      <c r="C170" s="70">
        <v>-1.42857143E-2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35"/>
      <c r="R170" s="136"/>
      <c r="S170" s="137"/>
    </row>
    <row r="171" spans="1:19" ht="17.25" thickBot="1">
      <c r="A171" s="114" t="s">
        <v>341</v>
      </c>
      <c r="B171" s="115">
        <v>651</v>
      </c>
      <c r="C171" s="72">
        <v>-1.6616314199999999E-2</v>
      </c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2023-01-08(일) 오전 00:00</v>
      </c>
      <c r="C177" s="198"/>
      <c r="D177" s="170" t="str">
        <f>TEXT($G$1, "[$-ko-KR]yyyy-mm-dd(ddd) ") &amp; "오후 14:00"</f>
        <v>2023-01-08(일) 오후 14:00</v>
      </c>
      <c r="E177" s="171"/>
      <c r="F177" s="172"/>
      <c r="G177" s="170" t="str">
        <f>TEXT($G$1, "[$-ko-KR]yyyy-mm-dd(ddd) ") &amp; "오후 19:00"</f>
        <v>2023-01-08(일) 오후 19:00</v>
      </c>
      <c r="H177" s="171"/>
      <c r="I177" s="172"/>
      <c r="J177" s="170" t="str">
        <f>TEXT($G$1, "[$-ko-KR]yyyy-mm-dd(ddd) ") &amp; "오후 21:00"</f>
        <v>2023-01-08(일) 오후 21:00</v>
      </c>
      <c r="K177" s="171"/>
      <c r="L177" s="172"/>
      <c r="M177" s="170" t="str">
        <f>TEXT($G$1+1, "[$-ko-KR]yyyy-mm-dd(ddd) ") &amp; "오전 00:00"</f>
        <v>2023-01-09(월)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151</v>
      </c>
      <c r="B179" s="108">
        <v>1780</v>
      </c>
      <c r="C179" s="69">
        <v>-8.3565459999999994E-3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 t="s">
        <v>107</v>
      </c>
      <c r="B180" s="110">
        <v>35.4</v>
      </c>
      <c r="C180" s="70">
        <v>-8.4033613000000004E-3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 t="s">
        <v>183</v>
      </c>
      <c r="B181" s="110">
        <v>114</v>
      </c>
      <c r="C181" s="70">
        <v>-8.6956522000000008E-3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6"/>
      <c r="R181" s="146"/>
      <c r="S181" s="146"/>
    </row>
    <row r="182" spans="1:19" ht="17.25" thickBot="1">
      <c r="A182" s="109" t="s">
        <v>345</v>
      </c>
      <c r="B182" s="110">
        <v>109</v>
      </c>
      <c r="C182" s="70">
        <v>-9.0909091000000008E-3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6"/>
      <c r="R182" s="146"/>
      <c r="S182" s="146"/>
    </row>
    <row r="183" spans="1:19" ht="17.25" thickBot="1">
      <c r="A183" s="111" t="s">
        <v>122</v>
      </c>
      <c r="B183" s="112">
        <v>20.7</v>
      </c>
      <c r="C183" s="71">
        <v>-9.5693779999999999E-3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6"/>
      <c r="R183" s="146"/>
      <c r="S183" s="146"/>
    </row>
    <row r="184" spans="1:19" ht="17.25" thickBot="1">
      <c r="A184" s="109" t="s">
        <v>349</v>
      </c>
      <c r="B184" s="113">
        <v>20.6</v>
      </c>
      <c r="C184" s="73">
        <v>-9.6153846000000005E-3</v>
      </c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46"/>
      <c r="R184" s="146"/>
      <c r="S184" s="146"/>
    </row>
    <row r="185" spans="1:19" ht="17.25" thickBot="1">
      <c r="A185" s="109" t="s">
        <v>66</v>
      </c>
      <c r="B185" s="110">
        <v>599</v>
      </c>
      <c r="C185" s="70">
        <v>-9.9173553999999994E-3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6"/>
      <c r="R185" s="146"/>
      <c r="S185" s="146"/>
    </row>
    <row r="186" spans="1:19" ht="17.25" thickBot="1">
      <c r="A186" s="109" t="s">
        <v>174</v>
      </c>
      <c r="B186" s="110">
        <v>11960</v>
      </c>
      <c r="C186" s="70">
        <v>-9.9337747999999997E-3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6"/>
      <c r="R186" s="146"/>
      <c r="S186" s="146"/>
    </row>
    <row r="187" spans="1:19" ht="17.25" thickBot="1">
      <c r="A187" s="109" t="s">
        <v>145</v>
      </c>
      <c r="B187" s="110">
        <v>66</v>
      </c>
      <c r="C187" s="70">
        <v>-1.0494752600000001E-2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 t="s">
        <v>169</v>
      </c>
      <c r="B188" s="115">
        <v>228</v>
      </c>
      <c r="C188" s="72">
        <v>-1.2987013E-2</v>
      </c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47"/>
      <c r="R188" s="148"/>
      <c r="S188" s="149"/>
    </row>
    <row r="189" spans="1:19">
      <c r="A189" s="107" t="s">
        <v>157</v>
      </c>
      <c r="B189" s="108">
        <v>212</v>
      </c>
      <c r="C189" s="69">
        <v>-1.39534884E-2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0"/>
      <c r="R189" s="151"/>
      <c r="S189" s="152"/>
    </row>
    <row r="190" spans="1:19" ht="17.25" thickBot="1">
      <c r="A190" s="109" t="s">
        <v>178</v>
      </c>
      <c r="B190" s="110">
        <v>1400</v>
      </c>
      <c r="C190" s="70">
        <v>-1.4084507E-2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3"/>
      <c r="R190" s="154"/>
      <c r="S190" s="155"/>
    </row>
    <row r="191" spans="1:19" ht="17.25" thickBot="1">
      <c r="A191" s="109" t="s">
        <v>81</v>
      </c>
      <c r="B191" s="110">
        <v>348</v>
      </c>
      <c r="C191" s="70">
        <v>-1.41643059E-2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6"/>
      <c r="R191" s="146"/>
      <c r="S191" s="146"/>
    </row>
    <row r="192" spans="1:19" ht="17.25" thickBot="1">
      <c r="A192" s="109" t="s">
        <v>85</v>
      </c>
      <c r="B192" s="110">
        <v>138</v>
      </c>
      <c r="C192" s="70">
        <v>-1.42857143E-2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 t="s">
        <v>191</v>
      </c>
      <c r="B193" s="112">
        <v>49.3</v>
      </c>
      <c r="C193" s="71">
        <v>-1.5968063899999999E-2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 t="s">
        <v>341</v>
      </c>
      <c r="B194" s="113">
        <v>651</v>
      </c>
      <c r="C194" s="73">
        <v>-1.6616314199999999E-2</v>
      </c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46"/>
      <c r="R194" s="146"/>
      <c r="S194" s="146"/>
    </row>
    <row r="195" spans="1:19" ht="17.25" thickBot="1">
      <c r="A195" s="109" t="s">
        <v>335</v>
      </c>
      <c r="B195" s="110">
        <v>1985</v>
      </c>
      <c r="C195" s="70">
        <v>-1.73267327E-2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6"/>
      <c r="R195" s="146"/>
      <c r="S195" s="146"/>
    </row>
    <row r="196" spans="1:19" ht="17.25" thickBot="1">
      <c r="A196" s="109" t="s">
        <v>343</v>
      </c>
      <c r="B196" s="110">
        <v>16840</v>
      </c>
      <c r="C196" s="70">
        <v>-1.7502917199999999E-2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6"/>
      <c r="R196" s="146"/>
      <c r="S196" s="146"/>
    </row>
    <row r="197" spans="1:19">
      <c r="A197" s="109" t="s">
        <v>124</v>
      </c>
      <c r="B197" s="110">
        <v>27.8</v>
      </c>
      <c r="C197" s="70">
        <v>-1.7667844500000002E-2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35"/>
      <c r="R197" s="136"/>
      <c r="S197" s="137"/>
    </row>
    <row r="198" spans="1:19" ht="17.25" thickBot="1">
      <c r="A198" s="114" t="s">
        <v>323</v>
      </c>
      <c r="B198" s="115">
        <v>3.09E-2</v>
      </c>
      <c r="C198" s="72">
        <v>-1.9047618999999998E-2</v>
      </c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41"/>
      <c r="R199" s="142"/>
      <c r="S199" s="14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BAB4A-E485-47EB-A546-181F403726AB}">
  <sheetPr codeName="Sheet15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44939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-11,754 KRW (-0.39%)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12,496 KRW (0.42%)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-30,420 KRW (-1.01%)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25,931 KRW (0.86%)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2023-01-13(금) 오전 00:00</v>
      </c>
      <c r="C15" s="196"/>
      <c r="D15" s="170" t="str">
        <f>TEXT($G$1, "[$-ko-KR]yyyy-mm-dd(ddd) ") &amp; "오후 14:00"</f>
        <v>2023-01-13(금) 오후 14:00</v>
      </c>
      <c r="E15" s="171"/>
      <c r="F15" s="172"/>
      <c r="G15" s="170" t="str">
        <f>TEXT($G$1, "[$-ko-KR]yyyy-mm-dd(ddd) ") &amp; "오후 19:00"</f>
        <v>2023-01-13(금) 오후 19:00</v>
      </c>
      <c r="H15" s="171"/>
      <c r="I15" s="172"/>
      <c r="J15" s="170" t="str">
        <f>TEXT($G$1, "[$-ko-KR]yyyy-mm-dd(ddd) ") &amp; "오후 21:00"</f>
        <v>2023-01-13(금) 오후 21:00</v>
      </c>
      <c r="K15" s="171"/>
      <c r="L15" s="172"/>
      <c r="M15" s="170" t="str">
        <f>TEXT($G$1+1, "[$-ko-KR]yyyy-mm-dd(ddd) ") &amp; "오전 00:00"</f>
        <v>2023-01-14(토)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2023-01-13(금) 오전 00:00</v>
      </c>
      <c r="C42" s="198"/>
      <c r="D42" s="170" t="str">
        <f>TEXT($G$1, "[$-ko-KR]yyyy-mm-dd(ddd) ") &amp; "오후 14:00"</f>
        <v>2023-01-13(금) 오후 14:00</v>
      </c>
      <c r="E42" s="171"/>
      <c r="F42" s="172"/>
      <c r="G42" s="170" t="str">
        <f>TEXT($G$1, "[$-ko-KR]yyyy-mm-dd(ddd) ") &amp; "오후 19:00"</f>
        <v>2023-01-13(금) 오후 19:00</v>
      </c>
      <c r="H42" s="171"/>
      <c r="I42" s="172"/>
      <c r="J42" s="170" t="str">
        <f>TEXT($G$1, "[$-ko-KR]yyyy-mm-dd(ddd) ") &amp; "오후 21:00"</f>
        <v>2023-01-13(금) 오후 21:00</v>
      </c>
      <c r="K42" s="171"/>
      <c r="L42" s="172"/>
      <c r="M42" s="170" t="str">
        <f>TEXT($G$1+1, "[$-ko-KR]yyyy-mm-dd(ddd) ") &amp; "오전 00:00"</f>
        <v>2023-01-14(토)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138</v>
      </c>
      <c r="B44" s="108">
        <v>26</v>
      </c>
      <c r="C44" s="69">
        <v>2.7667984199999999E-2</v>
      </c>
      <c r="D44" s="13">
        <v>26</v>
      </c>
      <c r="E44" s="14">
        <f>IF(ISNUMBER(D44), (D44 - $B44) / $B44, "")</f>
        <v>0</v>
      </c>
      <c r="F44" s="16">
        <f>IF(ISNUMBER(D44), $B64 * E44, "")</f>
        <v>0</v>
      </c>
      <c r="G44" s="29">
        <v>27.4</v>
      </c>
      <c r="H44" s="14">
        <f>IF(ISNUMBER(G44), (G44 - $B44) / $B44, "")</f>
        <v>5.3846153846153794E-2</v>
      </c>
      <c r="I44" s="90">
        <f>IF(ISNUMBER(G44), $B64 * H44, "")</f>
        <v>8076.9230769230689</v>
      </c>
      <c r="J44" s="13">
        <v>27.2</v>
      </c>
      <c r="K44" s="14">
        <f>IF(ISNUMBER(J44), (J44 - $B44) / $B44, "")</f>
        <v>4.6153846153846129E-2</v>
      </c>
      <c r="L44" s="16">
        <f>IF(ISNUMBER(J44), $B64 * K44, "")</f>
        <v>6923.0769230769192</v>
      </c>
      <c r="M44" s="29">
        <v>27</v>
      </c>
      <c r="N44" s="14">
        <f>IF(ISNUMBER(M44), (M44 - $B44) / $B44, "")</f>
        <v>3.8461538461538464E-2</v>
      </c>
      <c r="O44" s="16">
        <f>IF(ISNUMBER(M44), $B64 * N44, "")</f>
        <v>5769.2307692307695</v>
      </c>
      <c r="Q44" s="156"/>
      <c r="R44" s="156"/>
      <c r="S44" s="156"/>
    </row>
    <row r="45" spans="1:19" ht="17.25" customHeight="1" thickBot="1">
      <c r="A45" s="109" t="s">
        <v>118</v>
      </c>
      <c r="B45" s="110">
        <v>5.59</v>
      </c>
      <c r="C45" s="70">
        <v>2.7573529400000001E-2</v>
      </c>
      <c r="D45" s="15">
        <v>5.59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5.62</v>
      </c>
      <c r="H45" s="32">
        <f t="shared" ref="H45:H48" si="15">IF(ISNUMBER(G45), (G45 - $B45) / $B45, "")</f>
        <v>5.3667262969588998E-3</v>
      </c>
      <c r="I45" s="91">
        <f>IF(ISNUMBER(G45), $B64 * H45, "")</f>
        <v>805.00894454383501</v>
      </c>
      <c r="J45" s="15">
        <v>5.57</v>
      </c>
      <c r="K45" s="32">
        <f t="shared" ref="K45:K48" si="16">IF(ISNUMBER(J45), (J45 - $B45) / $B45, "")</f>
        <v>-3.5778175313058271E-3</v>
      </c>
      <c r="L45" s="18">
        <f>IF(ISNUMBER(J45), $B64 * K45, "")</f>
        <v>-536.67262969587409</v>
      </c>
      <c r="M45" s="31">
        <v>5.59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56"/>
      <c r="R45" s="156"/>
      <c r="S45" s="156"/>
    </row>
    <row r="46" spans="1:19" ht="17.25" customHeight="1" thickBot="1">
      <c r="A46" s="109" t="s">
        <v>217</v>
      </c>
      <c r="B46" s="110">
        <v>66.099999999999994</v>
      </c>
      <c r="C46" s="70">
        <v>2.1638330800000001E-2</v>
      </c>
      <c r="D46" s="15">
        <v>66.099999999999994</v>
      </c>
      <c r="E46" s="32">
        <f t="shared" si="14"/>
        <v>0</v>
      </c>
      <c r="F46" s="18">
        <f>IF(ISNUMBER(D46), $B64 * E46, "")</f>
        <v>0</v>
      </c>
      <c r="G46" s="31">
        <v>65.400000000000006</v>
      </c>
      <c r="H46" s="32">
        <f t="shared" si="15"/>
        <v>-1.059001512859287E-2</v>
      </c>
      <c r="I46" s="91">
        <f>IF(ISNUMBER(G46), $B64 * H46, "")</f>
        <v>-1588.5022692889306</v>
      </c>
      <c r="J46" s="15">
        <v>65</v>
      </c>
      <c r="K46" s="32">
        <f t="shared" si="16"/>
        <v>-1.6641452344931838E-2</v>
      </c>
      <c r="L46" s="18">
        <f>IF(ISNUMBER(J46), $B64 * K46, "")</f>
        <v>-2496.2178517397756</v>
      </c>
      <c r="M46" s="31">
        <v>64.900000000000006</v>
      </c>
      <c r="N46" s="32">
        <f t="shared" si="17"/>
        <v>-1.8154311649016472E-2</v>
      </c>
      <c r="O46" s="18">
        <f>IF(ISNUMBER(M46), $B64 * N46, "")</f>
        <v>-2723.1467473524708</v>
      </c>
      <c r="Q46" s="146"/>
      <c r="R46" s="146"/>
      <c r="S46" s="146"/>
    </row>
    <row r="47" spans="1:19" ht="17.25" customHeight="1" thickBot="1">
      <c r="A47" s="109" t="s">
        <v>64</v>
      </c>
      <c r="B47" s="110">
        <v>10.5</v>
      </c>
      <c r="C47" s="70">
        <v>1.9417475699999999E-2</v>
      </c>
      <c r="D47" s="15">
        <v>10.5</v>
      </c>
      <c r="E47" s="32">
        <f t="shared" si="14"/>
        <v>0</v>
      </c>
      <c r="F47" s="18">
        <f>IF(ISNUMBER(D47), $B64 * E47, "")</f>
        <v>0</v>
      </c>
      <c r="G47" s="31">
        <v>10.5</v>
      </c>
      <c r="H47" s="32">
        <f t="shared" si="15"/>
        <v>0</v>
      </c>
      <c r="I47" s="91">
        <f>IF(ISNUMBER(G47), $B64 * H47, "")</f>
        <v>0</v>
      </c>
      <c r="J47" s="15">
        <v>10.5</v>
      </c>
      <c r="K47" s="32">
        <f t="shared" si="16"/>
        <v>0</v>
      </c>
      <c r="L47" s="18">
        <f>IF(ISNUMBER(J47), $B64 * K47, "")</f>
        <v>0</v>
      </c>
      <c r="M47" s="31">
        <v>10.5</v>
      </c>
      <c r="N47" s="32">
        <f t="shared" si="17"/>
        <v>0</v>
      </c>
      <c r="O47" s="18">
        <f>IF(ISNUMBER(M47), $B64 * N47, "")</f>
        <v>0</v>
      </c>
      <c r="Q47" s="146"/>
      <c r="R47" s="146"/>
      <c r="S47" s="146"/>
    </row>
    <row r="48" spans="1:19" ht="17.25" customHeight="1" thickBot="1">
      <c r="A48" s="111" t="s">
        <v>143</v>
      </c>
      <c r="B48" s="112">
        <v>3.77</v>
      </c>
      <c r="C48" s="71">
        <v>1.34408602E-2</v>
      </c>
      <c r="D48" s="20">
        <v>3.77</v>
      </c>
      <c r="E48" s="21">
        <f t="shared" si="14"/>
        <v>0</v>
      </c>
      <c r="F48" s="22">
        <f>IF(ISNUMBER(D48), $B64 * E48, "")</f>
        <v>0</v>
      </c>
      <c r="G48" s="30">
        <v>3.8</v>
      </c>
      <c r="H48" s="21">
        <f t="shared" si="15"/>
        <v>7.9575596816975607E-3</v>
      </c>
      <c r="I48" s="95">
        <f>IF(ISNUMBER(G48), $B64 * H48, "")</f>
        <v>1193.6339522546341</v>
      </c>
      <c r="J48" s="20">
        <v>3.92</v>
      </c>
      <c r="K48" s="21">
        <f t="shared" si="16"/>
        <v>3.9787798408488041E-2</v>
      </c>
      <c r="L48" s="22">
        <f>IF(ISNUMBER(J48), $B64 * K48, "")</f>
        <v>5968.1697612732059</v>
      </c>
      <c r="M48" s="30">
        <v>3.89</v>
      </c>
      <c r="N48" s="21">
        <f t="shared" si="17"/>
        <v>3.1830238726790479E-2</v>
      </c>
      <c r="O48" s="22">
        <f>IF(ISNUMBER(M48), $B64 * N48, "")</f>
        <v>4774.5358090185719</v>
      </c>
      <c r="Q48" s="146"/>
      <c r="R48" s="146"/>
      <c r="S48" s="146"/>
    </row>
    <row r="49" spans="1:19" ht="17.25" customHeight="1" thickBot="1">
      <c r="A49" s="109" t="s">
        <v>323</v>
      </c>
      <c r="B49" s="113">
        <v>3.4500000000000003E-2</v>
      </c>
      <c r="C49" s="73">
        <v>1.1730205299999999E-2</v>
      </c>
      <c r="D49" s="96">
        <v>3.4500000000000003E-2</v>
      </c>
      <c r="E49" s="97">
        <f>IF(ISNUMBER(D49), (D49 - $B49) / $B49, "")</f>
        <v>0</v>
      </c>
      <c r="F49" s="98">
        <f>IF(ISNUMBER(D49), $B64 * E49, "")</f>
        <v>0</v>
      </c>
      <c r="G49" s="99">
        <v>3.4299999999999997E-2</v>
      </c>
      <c r="H49" s="97">
        <f>IF(ISNUMBER(G49), (G49 - $B49) / $B49, "")</f>
        <v>-5.7971014492755281E-3</v>
      </c>
      <c r="I49" s="100">
        <f>IF(ISNUMBER(G49), $B64 * H49, "")</f>
        <v>-869.56521739132916</v>
      </c>
      <c r="J49" s="96">
        <v>3.4200000000000001E-2</v>
      </c>
      <c r="K49" s="97">
        <f>IF(ISNUMBER(J49), (J49 - $B49) / $B49, "")</f>
        <v>-8.6956521739130904E-3</v>
      </c>
      <c r="L49" s="98">
        <f>IF(ISNUMBER(J49), $B64 * K49, "")</f>
        <v>-1304.3478260869636</v>
      </c>
      <c r="M49" s="99">
        <v>3.4000000000000002E-2</v>
      </c>
      <c r="N49" s="97">
        <f>IF(ISNUMBER(M49), (M49 - $B49) / $B49, "")</f>
        <v>-1.4492753623188418E-2</v>
      </c>
      <c r="O49" s="98">
        <f>IF(ISNUMBER(M49), $B64 * N49, "")</f>
        <v>-2173.9130434782628</v>
      </c>
      <c r="Q49" s="146"/>
      <c r="R49" s="146"/>
      <c r="S49" s="146"/>
    </row>
    <row r="50" spans="1:19" ht="17.25" customHeight="1" thickBot="1">
      <c r="A50" s="109" t="s">
        <v>185</v>
      </c>
      <c r="B50" s="110">
        <v>28.6</v>
      </c>
      <c r="C50" s="70">
        <v>1.06007067E-2</v>
      </c>
      <c r="D50" s="15">
        <v>28.6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28.7</v>
      </c>
      <c r="H50" s="32">
        <f t="shared" ref="H50:H53" si="19">IF(ISNUMBER(G50), (G50 - $B50) / $B50, "")</f>
        <v>3.4965034965034219E-3</v>
      </c>
      <c r="I50" s="91">
        <f>IF(ISNUMBER(G50), $B64 * H50, "")</f>
        <v>524.47552447551334</v>
      </c>
      <c r="J50" s="15">
        <v>28.5</v>
      </c>
      <c r="K50" s="32">
        <f t="shared" ref="K50:K53" si="20">IF(ISNUMBER(J50), (J50 - $B50) / $B50, "")</f>
        <v>-3.4965034965035459E-3</v>
      </c>
      <c r="L50" s="18">
        <f>IF(ISNUMBER(J50), $B64 * K50, "")</f>
        <v>-524.47552447553187</v>
      </c>
      <c r="M50" s="31">
        <v>28.3</v>
      </c>
      <c r="N50" s="32">
        <f t="shared" ref="N50:N53" si="21">IF(ISNUMBER(M50), (M50 - $B50) / $B50, "")</f>
        <v>-1.0489510489510514E-2</v>
      </c>
      <c r="O50" s="18">
        <f>IF(ISNUMBER(M50), $B64 * N50, "")</f>
        <v>-1573.4265734265771</v>
      </c>
      <c r="Q50" s="146"/>
      <c r="R50" s="146"/>
      <c r="S50" s="146"/>
    </row>
    <row r="51" spans="1:19" ht="17.25" customHeight="1" thickBot="1">
      <c r="A51" s="109" t="s">
        <v>181</v>
      </c>
      <c r="B51" s="110">
        <v>4.2300000000000004</v>
      </c>
      <c r="C51" s="70">
        <v>9.5465393999999999E-3</v>
      </c>
      <c r="D51" s="15">
        <v>4.2300000000000004</v>
      </c>
      <c r="E51" s="32">
        <f t="shared" si="18"/>
        <v>0</v>
      </c>
      <c r="F51" s="18">
        <f>IF(ISNUMBER(D51), $B64 * E51, "")</f>
        <v>0</v>
      </c>
      <c r="G51" s="31">
        <v>4.29</v>
      </c>
      <c r="H51" s="32">
        <f t="shared" si="19"/>
        <v>1.4184397163120473E-2</v>
      </c>
      <c r="I51" s="91">
        <f>IF(ISNUMBER(G51), $B64 * H51, "")</f>
        <v>2127.6595744680708</v>
      </c>
      <c r="J51" s="15">
        <v>4.3</v>
      </c>
      <c r="K51" s="32">
        <f t="shared" si="20"/>
        <v>1.6548463356973849E-2</v>
      </c>
      <c r="L51" s="18">
        <f>IF(ISNUMBER(J51), $B64 * K51, "")</f>
        <v>2482.2695035460774</v>
      </c>
      <c r="M51" s="31">
        <v>4.3</v>
      </c>
      <c r="N51" s="32">
        <f t="shared" si="21"/>
        <v>1.6548463356973849E-2</v>
      </c>
      <c r="O51" s="18">
        <f>IF(ISNUMBER(M51), $B64 * N51, "")</f>
        <v>2482.2695035460774</v>
      </c>
      <c r="Q51" s="146"/>
      <c r="R51" s="146"/>
      <c r="S51" s="146"/>
    </row>
    <row r="52" spans="1:19" ht="17.25" customHeight="1" thickBot="1">
      <c r="A52" s="109" t="s">
        <v>71</v>
      </c>
      <c r="B52" s="110">
        <v>10.7</v>
      </c>
      <c r="C52" s="70">
        <v>9.4339622999999994E-3</v>
      </c>
      <c r="D52" s="15">
        <v>10.7</v>
      </c>
      <c r="E52" s="32">
        <f t="shared" si="18"/>
        <v>0</v>
      </c>
      <c r="F52" s="18">
        <f>IF(ISNUMBER(D52), $B64 * E52, "")</f>
        <v>0</v>
      </c>
      <c r="G52" s="31">
        <v>10.8</v>
      </c>
      <c r="H52" s="32">
        <f t="shared" si="19"/>
        <v>9.3457943925234974E-3</v>
      </c>
      <c r="I52" s="91">
        <f>IF(ISNUMBER(G52), $B64 * H52, "")</f>
        <v>1401.8691588785246</v>
      </c>
      <c r="J52" s="15">
        <v>10.7</v>
      </c>
      <c r="K52" s="32">
        <f t="shared" si="20"/>
        <v>0</v>
      </c>
      <c r="L52" s="18">
        <f>IF(ISNUMBER(J52), $B64 * K52, "")</f>
        <v>0</v>
      </c>
      <c r="M52" s="31">
        <v>10.7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14" t="s">
        <v>241</v>
      </c>
      <c r="B53" s="115">
        <v>92.6</v>
      </c>
      <c r="C53" s="72">
        <v>8.7145968999999997E-3</v>
      </c>
      <c r="D53" s="24">
        <v>92.6</v>
      </c>
      <c r="E53" s="25">
        <f t="shared" si="18"/>
        <v>0</v>
      </c>
      <c r="F53" s="94">
        <f>IF(ISNUMBER(D53), $B64 * E53, "")</f>
        <v>0</v>
      </c>
      <c r="G53" s="92">
        <v>92.8</v>
      </c>
      <c r="H53" s="25">
        <f t="shared" si="19"/>
        <v>2.1598272138229251E-3</v>
      </c>
      <c r="I53" s="93">
        <f>IF(ISNUMBER(G53), $B64 * H53, "")</f>
        <v>323.97408207343875</v>
      </c>
      <c r="J53" s="24">
        <v>93.3</v>
      </c>
      <c r="K53" s="25">
        <f t="shared" si="20"/>
        <v>7.5593952483801611E-3</v>
      </c>
      <c r="L53" s="94">
        <f>IF(ISNUMBER(J53), $B64 * K53, "")</f>
        <v>1133.9092872570241</v>
      </c>
      <c r="M53" s="92">
        <v>92.7</v>
      </c>
      <c r="N53" s="25">
        <f t="shared" si="21"/>
        <v>1.0799136069115393E-3</v>
      </c>
      <c r="O53" s="94">
        <f>IF(ISNUMBER(M53), $B64 * N53, "")</f>
        <v>161.98704103673089</v>
      </c>
      <c r="Q53" s="147"/>
      <c r="R53" s="148"/>
      <c r="S53" s="149"/>
    </row>
    <row r="54" spans="1:19" ht="17.25" customHeight="1">
      <c r="A54" s="107" t="s">
        <v>122</v>
      </c>
      <c r="B54" s="108">
        <v>23.7</v>
      </c>
      <c r="C54" s="69">
        <v>8.5106382999999997E-3</v>
      </c>
      <c r="D54" s="13">
        <v>23.7</v>
      </c>
      <c r="E54" s="14">
        <f>IF(ISNUMBER(D54), (D54 - $B54) / $B54, "")</f>
        <v>0</v>
      </c>
      <c r="F54" s="16">
        <f>IF(ISNUMBER(D54), $B64 * E54, "")</f>
        <v>0</v>
      </c>
      <c r="G54" s="29">
        <v>24</v>
      </c>
      <c r="H54" s="14">
        <f>IF(ISNUMBER(G54), (G54 - $B54) / $B54, "")</f>
        <v>1.2658227848101297E-2</v>
      </c>
      <c r="I54" s="90">
        <f>IF(ISNUMBER(G54), $B64 * H54, "")</f>
        <v>1898.7341772151944</v>
      </c>
      <c r="J54" s="13">
        <v>24</v>
      </c>
      <c r="K54" s="14">
        <f>IF(ISNUMBER(J54), (J54 - $B54) / $B54, "")</f>
        <v>1.2658227848101297E-2</v>
      </c>
      <c r="L54" s="16">
        <f>IF(ISNUMBER(J54), $B64 * K54, "")</f>
        <v>1898.7341772151944</v>
      </c>
      <c r="M54" s="29">
        <v>24</v>
      </c>
      <c r="N54" s="14">
        <f>IF(ISNUMBER(M54), (M54 - $B54) / $B54, "")</f>
        <v>1.2658227848101297E-2</v>
      </c>
      <c r="O54" s="16">
        <f>IF(ISNUMBER(M54), $B64 * N54, "")</f>
        <v>1898.7341772151944</v>
      </c>
      <c r="Q54" s="150"/>
      <c r="R54" s="151"/>
      <c r="S54" s="152"/>
    </row>
    <row r="55" spans="1:19" ht="17.25" customHeight="1" thickBot="1">
      <c r="A55" s="109" t="s">
        <v>56</v>
      </c>
      <c r="B55" s="110">
        <v>41.6</v>
      </c>
      <c r="C55" s="70">
        <v>7.2639224999999997E-3</v>
      </c>
      <c r="D55" s="15">
        <v>41.6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41.9</v>
      </c>
      <c r="H55" s="32">
        <f t="shared" ref="H55:H58" si="23">IF(ISNUMBER(G55), (G55 - $B55) / $B55, "")</f>
        <v>7.2115384615383925E-3</v>
      </c>
      <c r="I55" s="91">
        <f>IF(ISNUMBER(G55), $B64 * H55, "")</f>
        <v>1081.7307692307588</v>
      </c>
      <c r="J55" s="15">
        <v>41.5</v>
      </c>
      <c r="K55" s="32">
        <f t="shared" ref="K55:K58" si="24">IF(ISNUMBER(J55), (J55 - $B55) / $B55, "")</f>
        <v>-2.4038461538461878E-3</v>
      </c>
      <c r="L55" s="18">
        <f>IF(ISNUMBER(J55), $B64 * K55, "")</f>
        <v>-360.57692307692815</v>
      </c>
      <c r="M55" s="31">
        <v>41.5</v>
      </c>
      <c r="N55" s="32">
        <f t="shared" ref="N55:N58" si="25">IF(ISNUMBER(M55), (M55 - $B55) / $B55, "")</f>
        <v>-2.4038461538461878E-3</v>
      </c>
      <c r="O55" s="18">
        <f>IF(ISNUMBER(M55), $B64 * N55, "")</f>
        <v>-360.57692307692815</v>
      </c>
      <c r="Q55" s="153"/>
      <c r="R55" s="154"/>
      <c r="S55" s="155"/>
    </row>
    <row r="56" spans="1:19" ht="17.25" customHeight="1" thickBot="1">
      <c r="A56" s="109" t="s">
        <v>333</v>
      </c>
      <c r="B56" s="110">
        <v>4.4400000000000004</v>
      </c>
      <c r="C56" s="70">
        <v>6.8027210999999999E-3</v>
      </c>
      <c r="D56" s="15">
        <v>4.4400000000000004</v>
      </c>
      <c r="E56" s="32">
        <f t="shared" si="22"/>
        <v>0</v>
      </c>
      <c r="F56" s="18">
        <f>IF(ISNUMBER(D56), $B64 * E56, "")</f>
        <v>0</v>
      </c>
      <c r="G56" s="31">
        <v>4.46</v>
      </c>
      <c r="H56" s="32">
        <f t="shared" si="23"/>
        <v>4.5045045045044082E-3</v>
      </c>
      <c r="I56" s="91">
        <f>IF(ISNUMBER(G56), $B64 * H56, "")</f>
        <v>675.67567567566118</v>
      </c>
      <c r="J56" s="15">
        <v>4.4800000000000004</v>
      </c>
      <c r="K56" s="32">
        <f t="shared" si="24"/>
        <v>9.0090090090090159E-3</v>
      </c>
      <c r="L56" s="18">
        <f>IF(ISNUMBER(J56), $B64 * K56, "")</f>
        <v>1351.3513513513524</v>
      </c>
      <c r="M56" s="31">
        <v>4.45</v>
      </c>
      <c r="N56" s="32">
        <f t="shared" si="25"/>
        <v>2.2522522522522041E-3</v>
      </c>
      <c r="O56" s="18">
        <f>IF(ISNUMBER(M56), $B64 * N56, "")</f>
        <v>337.83783783783059</v>
      </c>
      <c r="Q56" s="146"/>
      <c r="R56" s="146"/>
      <c r="S56" s="146"/>
    </row>
    <row r="57" spans="1:19" ht="17.25" customHeight="1" thickBot="1">
      <c r="A57" s="109" t="s">
        <v>195</v>
      </c>
      <c r="B57" s="110">
        <v>6.04</v>
      </c>
      <c r="C57" s="70">
        <v>6.6666666999999997E-3</v>
      </c>
      <c r="D57" s="15">
        <v>6.04</v>
      </c>
      <c r="E57" s="32">
        <f t="shared" si="22"/>
        <v>0</v>
      </c>
      <c r="F57" s="18">
        <f>IF(ISNUMBER(D57), $B64 * E57, "")</f>
        <v>0</v>
      </c>
      <c r="G57" s="31">
        <v>6.05</v>
      </c>
      <c r="H57" s="32">
        <f t="shared" si="23"/>
        <v>1.6556291390728123E-3</v>
      </c>
      <c r="I57" s="91">
        <f>IF(ISNUMBER(G57), $B64 * H57, "")</f>
        <v>248.34437086092186</v>
      </c>
      <c r="J57" s="15">
        <v>6.09</v>
      </c>
      <c r="K57" s="32">
        <f t="shared" si="24"/>
        <v>8.2781456953642096E-3</v>
      </c>
      <c r="L57" s="18">
        <f>IF(ISNUMBER(J57), $B64 * K57, "")</f>
        <v>1241.7218543046315</v>
      </c>
      <c r="M57" s="31">
        <v>6.06</v>
      </c>
      <c r="N57" s="32">
        <f t="shared" si="25"/>
        <v>3.3112582781456247E-3</v>
      </c>
      <c r="O57" s="18">
        <f>IF(ISNUMBER(M57), $B64 * N57, "")</f>
        <v>496.68874172184371</v>
      </c>
      <c r="Q57" s="156"/>
      <c r="R57" s="156"/>
      <c r="S57" s="156"/>
    </row>
    <row r="58" spans="1:19" ht="17.25" customHeight="1" thickBot="1">
      <c r="A58" s="111" t="s">
        <v>126</v>
      </c>
      <c r="B58" s="112">
        <v>30.2</v>
      </c>
      <c r="C58" s="71">
        <v>6.6666666999999997E-3</v>
      </c>
      <c r="D58" s="20">
        <v>30.2</v>
      </c>
      <c r="E58" s="21">
        <f t="shared" si="22"/>
        <v>0</v>
      </c>
      <c r="F58" s="22">
        <f>IF(ISNUMBER(D58), $B64 * E58, "")</f>
        <v>0</v>
      </c>
      <c r="G58" s="30">
        <v>30.9</v>
      </c>
      <c r="H58" s="21">
        <f t="shared" si="23"/>
        <v>2.3178807947019844E-2</v>
      </c>
      <c r="I58" s="95">
        <f>IF(ISNUMBER(G58), $B64 * H58, "")</f>
        <v>3476.8211920529766</v>
      </c>
      <c r="J58" s="20">
        <v>31.1</v>
      </c>
      <c r="K58" s="21">
        <f t="shared" si="24"/>
        <v>2.9801324503311331E-2</v>
      </c>
      <c r="L58" s="22">
        <f>IF(ISNUMBER(J58), $B64 * K58, "")</f>
        <v>4470.1986754966993</v>
      </c>
      <c r="M58" s="30">
        <v>30.7</v>
      </c>
      <c r="N58" s="21">
        <f t="shared" si="25"/>
        <v>1.6556291390728478E-2</v>
      </c>
      <c r="O58" s="22">
        <f>IF(ISNUMBER(M58), $B64 * N58, "")</f>
        <v>2483.4437086092717</v>
      </c>
      <c r="Q58" s="156"/>
      <c r="R58" s="156"/>
      <c r="S58" s="156"/>
    </row>
    <row r="59" spans="1:19" ht="17.25" customHeight="1" thickBot="1">
      <c r="A59" s="109" t="s">
        <v>193</v>
      </c>
      <c r="B59" s="113">
        <v>17.2</v>
      </c>
      <c r="C59" s="73">
        <v>5.8479532000000004E-3</v>
      </c>
      <c r="D59" s="96">
        <v>17.2</v>
      </c>
      <c r="E59" s="97">
        <f>IF(ISNUMBER(D59), (D59 - $B59) / $B59, "")</f>
        <v>0</v>
      </c>
      <c r="F59" s="98">
        <f>IF(ISNUMBER(D59), $B64 * E59, "")</f>
        <v>0</v>
      </c>
      <c r="G59" s="99">
        <v>17.2</v>
      </c>
      <c r="H59" s="97">
        <f>IF(ISNUMBER(G59), (G59 - $B59) / $B59, "")</f>
        <v>0</v>
      </c>
      <c r="I59" s="100">
        <f>IF(ISNUMBER(G59), $B64 * H59, "")</f>
        <v>0</v>
      </c>
      <c r="J59" s="96">
        <v>17.2</v>
      </c>
      <c r="K59" s="97">
        <f>IF(ISNUMBER(J59), (J59 - $B59) / $B59, "")</f>
        <v>0</v>
      </c>
      <c r="L59" s="98">
        <f>IF(ISNUMBER(J59), $B64 * K59, "")</f>
        <v>0</v>
      </c>
      <c r="M59" s="99">
        <v>17.2</v>
      </c>
      <c r="N59" s="97">
        <f>IF(ISNUMBER(M59), (M59 - $B59) / $B59, "")</f>
        <v>0</v>
      </c>
      <c r="O59" s="98">
        <f>IF(ISNUMBER(M59), $B64 * N59, "")</f>
        <v>0</v>
      </c>
      <c r="Q59" s="146"/>
      <c r="R59" s="146"/>
      <c r="S59" s="146"/>
    </row>
    <row r="60" spans="1:19" ht="17.25" customHeight="1" thickBot="1">
      <c r="A60" s="109" t="s">
        <v>145</v>
      </c>
      <c r="B60" s="110">
        <v>72</v>
      </c>
      <c r="C60" s="70">
        <v>5.5865921999999997E-3</v>
      </c>
      <c r="D60" s="15">
        <v>72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72.5</v>
      </c>
      <c r="H60" s="32">
        <f t="shared" ref="H60:H63" si="27">IF(ISNUMBER(G60), (G60 - $B60) / $B60, "")</f>
        <v>6.9444444444444441E-3</v>
      </c>
      <c r="I60" s="91">
        <f>IF(ISNUMBER(G60), $B64 * H60, "")</f>
        <v>1041.6666666666665</v>
      </c>
      <c r="J60" s="15">
        <v>72.2</v>
      </c>
      <c r="K60" s="32">
        <f t="shared" ref="K60:K63" si="28">IF(ISNUMBER(J60), (J60 - $B60) / $B60, "")</f>
        <v>2.7777777777778173E-3</v>
      </c>
      <c r="L60" s="18">
        <f>IF(ISNUMBER(J60), $B64 * K60, "")</f>
        <v>416.6666666666726</v>
      </c>
      <c r="M60" s="31">
        <v>72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46"/>
      <c r="R60" s="146"/>
      <c r="S60" s="146"/>
    </row>
    <row r="61" spans="1:19" ht="17.25" customHeight="1" thickBot="1">
      <c r="A61" s="109" t="s">
        <v>324</v>
      </c>
      <c r="B61" s="110">
        <v>83.9</v>
      </c>
      <c r="C61" s="70">
        <v>4.7904191999999998E-3</v>
      </c>
      <c r="D61" s="15">
        <v>83.9</v>
      </c>
      <c r="E61" s="32">
        <f t="shared" si="26"/>
        <v>0</v>
      </c>
      <c r="F61" s="18">
        <f>IF(ISNUMBER(D61), $B64 * E61, "")</f>
        <v>0</v>
      </c>
      <c r="G61" s="31">
        <v>84.3</v>
      </c>
      <c r="H61" s="32">
        <f t="shared" si="27"/>
        <v>4.7675804529200413E-3</v>
      </c>
      <c r="I61" s="91">
        <f>IF(ISNUMBER(G61), $B64 * H61, "")</f>
        <v>715.13706793800623</v>
      </c>
      <c r="J61" s="15">
        <v>84.5</v>
      </c>
      <c r="K61" s="32">
        <f t="shared" si="28"/>
        <v>7.1513706793801465E-3</v>
      </c>
      <c r="L61" s="18">
        <f>IF(ISNUMBER(J61), $B64 * K61, "")</f>
        <v>1072.7056019070219</v>
      </c>
      <c r="M61" s="31">
        <v>84.9</v>
      </c>
      <c r="N61" s="32">
        <f t="shared" si="29"/>
        <v>1.1918951132300357E-2</v>
      </c>
      <c r="O61" s="18">
        <f>IF(ISNUMBER(M61), $B64 * N61, "")</f>
        <v>1787.8426698450535</v>
      </c>
      <c r="Q61" s="146"/>
      <c r="R61" s="146"/>
      <c r="S61" s="146"/>
    </row>
    <row r="62" spans="1:19" ht="17.25" customHeight="1">
      <c r="A62" s="109" t="s">
        <v>207</v>
      </c>
      <c r="B62" s="110">
        <v>65.2</v>
      </c>
      <c r="C62" s="70">
        <v>4.6224960999999998E-3</v>
      </c>
      <c r="D62" s="15">
        <v>65.2</v>
      </c>
      <c r="E62" s="32">
        <f t="shared" si="26"/>
        <v>0</v>
      </c>
      <c r="F62" s="18">
        <f>IF(ISNUMBER(D62), $B64 * E62, "")</f>
        <v>0</v>
      </c>
      <c r="G62" s="31">
        <v>65.3</v>
      </c>
      <c r="H62" s="32">
        <f t="shared" si="27"/>
        <v>1.5337423312882562E-3</v>
      </c>
      <c r="I62" s="91">
        <f>IF(ISNUMBER(G62), $B64 * H62, "")</f>
        <v>230.06134969323844</v>
      </c>
      <c r="J62" s="15">
        <v>65.7</v>
      </c>
      <c r="K62" s="32">
        <f t="shared" si="28"/>
        <v>7.6687116564417178E-3</v>
      </c>
      <c r="L62" s="18">
        <f>IF(ISNUMBER(J62), $B64 * K62, "")</f>
        <v>1150.3067484662577</v>
      </c>
      <c r="M62" s="31">
        <v>65.099999999999994</v>
      </c>
      <c r="N62" s="32">
        <f t="shared" si="29"/>
        <v>-1.5337423312884743E-3</v>
      </c>
      <c r="O62" s="18">
        <f>IF(ISNUMBER(M62), $B64 * N62, "")</f>
        <v>-230.06134969327115</v>
      </c>
      <c r="Q62" s="135"/>
      <c r="R62" s="136"/>
      <c r="S62" s="137"/>
    </row>
    <row r="63" spans="1:19" ht="17.25" customHeight="1" thickBot="1">
      <c r="A63" s="114" t="s">
        <v>349</v>
      </c>
      <c r="B63" s="115">
        <v>23.6</v>
      </c>
      <c r="C63" s="72">
        <v>4.2553191000000001E-3</v>
      </c>
      <c r="D63" s="24">
        <v>23.6</v>
      </c>
      <c r="E63" s="25">
        <f t="shared" si="26"/>
        <v>0</v>
      </c>
      <c r="F63" s="94">
        <f>IF(ISNUMBER(D63), $B64 * E63, "")</f>
        <v>0</v>
      </c>
      <c r="G63" s="92">
        <v>23.8</v>
      </c>
      <c r="H63" s="25">
        <f t="shared" si="27"/>
        <v>8.4745762711864094E-3</v>
      </c>
      <c r="I63" s="93">
        <f>IF(ISNUMBER(G63), $B64 * H63, "")</f>
        <v>1271.1864406779614</v>
      </c>
      <c r="J63" s="24">
        <v>23.5</v>
      </c>
      <c r="K63" s="25">
        <f t="shared" si="28"/>
        <v>-4.2372881355932802E-3</v>
      </c>
      <c r="L63" s="94">
        <f>IF(ISNUMBER(J63), $B64 * K63, "")</f>
        <v>-635.59322033899207</v>
      </c>
      <c r="M63" s="92">
        <v>23.5</v>
      </c>
      <c r="N63" s="25">
        <f t="shared" si="29"/>
        <v>-4.2372881355932802E-3</v>
      </c>
      <c r="O63" s="94">
        <f>IF(ISNUMBER(M63), $B64 * N63, "")</f>
        <v>-635.59322033899207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7.5449448456494025E-3</v>
      </c>
      <c r="I64" s="28">
        <f>SUM(I44:I63)</f>
        <v>22634.834536948209</v>
      </c>
      <c r="J64" s="26" t="s">
        <v>258</v>
      </c>
      <c r="K64" s="27">
        <f>IF(COUNT(K44:K63), SUM(K44:K63) / COUNT(K44:K63), 0)</f>
        <v>7.4170755250489977E-3</v>
      </c>
      <c r="L64" s="28">
        <f>SUM(L44:L63)</f>
        <v>22251.226575146989</v>
      </c>
      <c r="M64" s="26" t="s">
        <v>258</v>
      </c>
      <c r="N64" s="27">
        <f>IF(COUNT(N44:N63), SUM(N44:N63) / COUNT(N44:N63), 0)</f>
        <v>4.1652841335649473E-3</v>
      </c>
      <c r="O64" s="28">
        <f>SUM(O44:O63)</f>
        <v>12495.852400694843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2023-01-13(금) 오전 00:00</v>
      </c>
      <c r="C69" s="198"/>
      <c r="D69" s="170" t="str">
        <f>TEXT($G$1, "[$-ko-KR]yyyy-mm-dd(ddd) ") &amp; "오후 14:00"</f>
        <v>2023-01-13(금) 오후 14:00</v>
      </c>
      <c r="E69" s="171"/>
      <c r="F69" s="172"/>
      <c r="G69" s="170" t="str">
        <f>TEXT($G$1, "[$-ko-KR]yyyy-mm-dd(ddd) ") &amp; "오후 19:00"</f>
        <v>2023-01-13(금) 오후 19:00</v>
      </c>
      <c r="H69" s="171"/>
      <c r="I69" s="172"/>
      <c r="J69" s="170" t="str">
        <f>TEXT($G$1, "[$-ko-KR]yyyy-mm-dd(ddd) ") &amp; "오후 21:00"</f>
        <v>2023-01-13(금) 오후 21:00</v>
      </c>
      <c r="K69" s="171"/>
      <c r="L69" s="172"/>
      <c r="M69" s="170" t="str">
        <f>TEXT($G$1+1, "[$-ko-KR]yyyy-mm-dd(ddd) ") &amp; "오전 00:00"</f>
        <v>2023-01-14(토)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60</v>
      </c>
      <c r="B71" s="108">
        <v>573</v>
      </c>
      <c r="C71" s="69">
        <v>0.1083172147</v>
      </c>
      <c r="D71" s="13">
        <v>573</v>
      </c>
      <c r="E71" s="14">
        <f>IF(ISNUMBER(D71), (D71 - $B71) / $B71, "")</f>
        <v>0</v>
      </c>
      <c r="F71" s="16">
        <f>IF(ISNUMBER(D71), $B91 * E71, "")</f>
        <v>0</v>
      </c>
      <c r="G71" s="29">
        <v>557</v>
      </c>
      <c r="H71" s="14">
        <f>IF(ISNUMBER(G71), (G71 - $B71) / $B71, "")</f>
        <v>-2.7923211169284468E-2</v>
      </c>
      <c r="I71" s="90">
        <f>IF(ISNUMBER(G71), $B91 * H71, "")</f>
        <v>-4188.4816753926698</v>
      </c>
      <c r="J71" s="13">
        <v>557</v>
      </c>
      <c r="K71" s="14">
        <f>IF(ISNUMBER(J71), (J71 - $B71) / $B71, "")</f>
        <v>-2.7923211169284468E-2</v>
      </c>
      <c r="L71" s="16">
        <f>IF(ISNUMBER(J71), $B91 * K71, "")</f>
        <v>-4188.4816753926698</v>
      </c>
      <c r="M71" s="29">
        <v>558</v>
      </c>
      <c r="N71" s="14">
        <f>IF(ISNUMBER(M71), (M71 - $B71) / $B71, "")</f>
        <v>-2.6178010471204188E-2</v>
      </c>
      <c r="O71" s="16">
        <f>IF(ISNUMBER(M71), $B91 * N71, "")</f>
        <v>-3926.7015706806283</v>
      </c>
      <c r="Q71" s="156"/>
      <c r="R71" s="156"/>
      <c r="S71" s="156"/>
    </row>
    <row r="72" spans="1:19" ht="17.25" thickBot="1">
      <c r="A72" s="109" t="s">
        <v>68</v>
      </c>
      <c r="B72" s="110">
        <v>311</v>
      </c>
      <c r="C72" s="70">
        <v>5.4237288100000003E-2</v>
      </c>
      <c r="D72" s="15">
        <v>311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311</v>
      </c>
      <c r="H72" s="32">
        <f t="shared" ref="H72:H75" si="31">IF(ISNUMBER(G72), (G72 - $B72) / $B72, "")</f>
        <v>0</v>
      </c>
      <c r="I72" s="91">
        <f>IF(ISNUMBER(G72), $B91 * H72, "")</f>
        <v>0</v>
      </c>
      <c r="J72" s="15">
        <v>318</v>
      </c>
      <c r="K72" s="32">
        <f t="shared" ref="K72:K75" si="32">IF(ISNUMBER(J72), (J72 - $B72) / $B72, "")</f>
        <v>2.2508038585209004E-2</v>
      </c>
      <c r="L72" s="18">
        <f>IF(ISNUMBER(J72), $B91 * K72, "")</f>
        <v>3376.2057877813504</v>
      </c>
      <c r="M72" s="31">
        <v>312</v>
      </c>
      <c r="N72" s="32">
        <f t="shared" ref="N72:N75" si="33">IF(ISNUMBER(M72), (M72 - $B72) / $B72, "")</f>
        <v>3.2154340836012861E-3</v>
      </c>
      <c r="O72" s="18">
        <f>IF(ISNUMBER(M72), $B91 * N72, "")</f>
        <v>482.3151125401929</v>
      </c>
      <c r="Q72" s="156"/>
      <c r="R72" s="156"/>
      <c r="S72" s="156"/>
    </row>
    <row r="73" spans="1:19" ht="17.25" thickBot="1">
      <c r="A73" s="109" t="s">
        <v>111</v>
      </c>
      <c r="B73" s="110">
        <v>705</v>
      </c>
      <c r="C73" s="70">
        <v>5.38116592E-2</v>
      </c>
      <c r="D73" s="15">
        <v>705</v>
      </c>
      <c r="E73" s="32">
        <f t="shared" si="30"/>
        <v>0</v>
      </c>
      <c r="F73" s="18">
        <f>IF(ISNUMBER(D73), $B91 * E73, "")</f>
        <v>0</v>
      </c>
      <c r="G73" s="31">
        <v>699</v>
      </c>
      <c r="H73" s="32">
        <f t="shared" si="31"/>
        <v>-8.5106382978723406E-3</v>
      </c>
      <c r="I73" s="91">
        <f>IF(ISNUMBER(G73), $B91 * H73, "")</f>
        <v>-1276.5957446808511</v>
      </c>
      <c r="J73" s="15">
        <v>699</v>
      </c>
      <c r="K73" s="32">
        <f t="shared" si="32"/>
        <v>-8.5106382978723406E-3</v>
      </c>
      <c r="L73" s="18">
        <f>IF(ISNUMBER(J73), $B91 * K73, "")</f>
        <v>-1276.5957446808511</v>
      </c>
      <c r="M73" s="31">
        <v>699</v>
      </c>
      <c r="N73" s="32">
        <f t="shared" si="33"/>
        <v>-8.5106382978723406E-3</v>
      </c>
      <c r="O73" s="18">
        <f>IF(ISNUMBER(M73), $B91 * N73, "")</f>
        <v>-1276.5957446808511</v>
      </c>
      <c r="Q73" s="146"/>
      <c r="R73" s="146"/>
      <c r="S73" s="146"/>
    </row>
    <row r="74" spans="1:19" ht="17.25" thickBot="1">
      <c r="A74" s="109" t="s">
        <v>201</v>
      </c>
      <c r="B74" s="110">
        <v>224</v>
      </c>
      <c r="C74" s="70">
        <v>4.1860465100000001E-2</v>
      </c>
      <c r="D74" s="15">
        <v>224</v>
      </c>
      <c r="E74" s="32">
        <f t="shared" si="30"/>
        <v>0</v>
      </c>
      <c r="F74" s="18">
        <f>IF(ISNUMBER(D74), $B91 * E74, "")</f>
        <v>0</v>
      </c>
      <c r="G74" s="31">
        <v>224</v>
      </c>
      <c r="H74" s="32">
        <f t="shared" si="31"/>
        <v>0</v>
      </c>
      <c r="I74" s="91">
        <f>IF(ISNUMBER(G74), $B91 * H74, "")</f>
        <v>0</v>
      </c>
      <c r="J74" s="15">
        <v>225</v>
      </c>
      <c r="K74" s="32">
        <f t="shared" si="32"/>
        <v>4.464285714285714E-3</v>
      </c>
      <c r="L74" s="18">
        <f>IF(ISNUMBER(J74), $B91 * K74, "")</f>
        <v>669.64285714285711</v>
      </c>
      <c r="M74" s="31">
        <v>222</v>
      </c>
      <c r="N74" s="32">
        <f t="shared" si="33"/>
        <v>-8.9285714285714281E-3</v>
      </c>
      <c r="O74" s="18">
        <f>IF(ISNUMBER(M74), $B91 * N74, "")</f>
        <v>-1339.2857142857142</v>
      </c>
      <c r="Q74" s="146"/>
      <c r="R74" s="146"/>
      <c r="S74" s="146"/>
    </row>
    <row r="75" spans="1:19" ht="17.25" thickBot="1">
      <c r="A75" s="111" t="s">
        <v>149</v>
      </c>
      <c r="B75" s="112">
        <v>395</v>
      </c>
      <c r="C75" s="71">
        <v>3.6745406799999998E-2</v>
      </c>
      <c r="D75" s="20">
        <v>395</v>
      </c>
      <c r="E75" s="21">
        <f t="shared" si="30"/>
        <v>0</v>
      </c>
      <c r="F75" s="22">
        <f>IF(ISNUMBER(D75), $B91 * E75, "")</f>
        <v>0</v>
      </c>
      <c r="G75" s="30">
        <v>392</v>
      </c>
      <c r="H75" s="21">
        <f t="shared" si="31"/>
        <v>-7.5949367088607592E-3</v>
      </c>
      <c r="I75" s="95">
        <f>IF(ISNUMBER(G75), $B91 * H75, "")</f>
        <v>-1139.2405063291139</v>
      </c>
      <c r="J75" s="20">
        <v>387</v>
      </c>
      <c r="K75" s="21">
        <f t="shared" si="32"/>
        <v>-2.0253164556962026E-2</v>
      </c>
      <c r="L75" s="22">
        <f>IF(ISNUMBER(J75), $B91 * K75, "")</f>
        <v>-3037.9746835443038</v>
      </c>
      <c r="M75" s="30">
        <v>387</v>
      </c>
      <c r="N75" s="21">
        <f t="shared" si="33"/>
        <v>-2.0253164556962026E-2</v>
      </c>
      <c r="O75" s="22">
        <f>IF(ISNUMBER(M75), $B91 * N75, "")</f>
        <v>-3037.9746835443038</v>
      </c>
      <c r="Q75" s="146"/>
      <c r="R75" s="146"/>
      <c r="S75" s="146"/>
    </row>
    <row r="76" spans="1:19" ht="17.25" thickBot="1">
      <c r="A76" s="109" t="s">
        <v>321</v>
      </c>
      <c r="B76" s="113">
        <v>185</v>
      </c>
      <c r="C76" s="73">
        <v>2.77777778E-2</v>
      </c>
      <c r="D76" s="96">
        <v>185</v>
      </c>
      <c r="E76" s="97">
        <f>IF(ISNUMBER(D76), (D76 - $B76) / $B76, "")</f>
        <v>0</v>
      </c>
      <c r="F76" s="98">
        <f>IF(ISNUMBER(D76), $B91 * E76, "")</f>
        <v>0</v>
      </c>
      <c r="G76" s="99">
        <v>185</v>
      </c>
      <c r="H76" s="97">
        <f>IF(ISNUMBER(G76), (G76 - $B76) / $B76, "")</f>
        <v>0</v>
      </c>
      <c r="I76" s="100">
        <f>IF(ISNUMBER(G76), $B91 * H76, "")</f>
        <v>0</v>
      </c>
      <c r="J76" s="96">
        <v>186</v>
      </c>
      <c r="K76" s="97">
        <f>IF(ISNUMBER(J76), (J76 - $B76) / $B76, "")</f>
        <v>5.4054054054054057E-3</v>
      </c>
      <c r="L76" s="98">
        <f>IF(ISNUMBER(J76), $B91 * K76, "")</f>
        <v>810.81081081081084</v>
      </c>
      <c r="M76" s="99">
        <v>185</v>
      </c>
      <c r="N76" s="97">
        <f>IF(ISNUMBER(M76), (M76 - $B76) / $B76, "")</f>
        <v>0</v>
      </c>
      <c r="O76" s="98">
        <f>IF(ISNUMBER(M76), $B91 * N76, "")</f>
        <v>0</v>
      </c>
      <c r="Q76" s="146"/>
      <c r="R76" s="146"/>
      <c r="S76" s="146"/>
    </row>
    <row r="77" spans="1:19" ht="17.25" thickBot="1">
      <c r="A77" s="109" t="s">
        <v>330</v>
      </c>
      <c r="B77" s="110">
        <v>305</v>
      </c>
      <c r="C77" s="70">
        <v>2.0066889599999999E-2</v>
      </c>
      <c r="D77" s="15">
        <v>305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305</v>
      </c>
      <c r="H77" s="32">
        <f t="shared" ref="H77:H80" si="35">IF(ISNUMBER(G77), (G77 - $B77) / $B77, "")</f>
        <v>0</v>
      </c>
      <c r="I77" s="91">
        <f>IF(ISNUMBER(G77), $B91 * H77, "")</f>
        <v>0</v>
      </c>
      <c r="J77" s="15">
        <v>303</v>
      </c>
      <c r="K77" s="32">
        <f t="shared" ref="K77:K80" si="36">IF(ISNUMBER(J77), (J77 - $B77) / $B77, "")</f>
        <v>-6.5573770491803279E-3</v>
      </c>
      <c r="L77" s="18">
        <f>IF(ISNUMBER(J77), $B91 * K77, "")</f>
        <v>-983.60655737704917</v>
      </c>
      <c r="M77" s="31">
        <v>301</v>
      </c>
      <c r="N77" s="32">
        <f t="shared" ref="N77:N80" si="37">IF(ISNUMBER(M77), (M77 - $B77) / $B77, "")</f>
        <v>-1.3114754098360656E-2</v>
      </c>
      <c r="O77" s="18">
        <f>IF(ISNUMBER(M77), $B91 * N77, "")</f>
        <v>-1967.2131147540983</v>
      </c>
      <c r="Q77" s="146"/>
      <c r="R77" s="146"/>
      <c r="S77" s="146"/>
    </row>
    <row r="78" spans="1:19" ht="17.25" thickBot="1">
      <c r="A78" s="109" t="s">
        <v>79</v>
      </c>
      <c r="B78" s="110">
        <v>262</v>
      </c>
      <c r="C78" s="70">
        <v>1.9455252900000001E-2</v>
      </c>
      <c r="D78" s="15">
        <v>262</v>
      </c>
      <c r="E78" s="32">
        <f t="shared" si="34"/>
        <v>0</v>
      </c>
      <c r="F78" s="18">
        <f>IF(ISNUMBER(D78), $B91 * E78, "")</f>
        <v>0</v>
      </c>
      <c r="G78" s="31">
        <v>260</v>
      </c>
      <c r="H78" s="32">
        <f t="shared" si="35"/>
        <v>-7.6335877862595417E-3</v>
      </c>
      <c r="I78" s="91">
        <f>IF(ISNUMBER(G78), $B91 * H78, "")</f>
        <v>-1145.0381679389313</v>
      </c>
      <c r="J78" s="15">
        <v>258</v>
      </c>
      <c r="K78" s="32">
        <f t="shared" si="36"/>
        <v>-1.5267175572519083E-2</v>
      </c>
      <c r="L78" s="18">
        <f>IF(ISNUMBER(J78), $B91 * K78, "")</f>
        <v>-2290.0763358778627</v>
      </c>
      <c r="M78" s="31">
        <v>257</v>
      </c>
      <c r="N78" s="32">
        <f t="shared" si="37"/>
        <v>-1.9083969465648856E-2</v>
      </c>
      <c r="O78" s="18">
        <f>IF(ISNUMBER(M78), $B91 * N78, "")</f>
        <v>-2862.5954198473282</v>
      </c>
      <c r="Q78" s="146"/>
      <c r="R78" s="146"/>
      <c r="S78" s="146"/>
    </row>
    <row r="79" spans="1:19" ht="17.25" thickBot="1">
      <c r="A79" s="109" t="s">
        <v>167</v>
      </c>
      <c r="B79" s="110">
        <v>180</v>
      </c>
      <c r="C79" s="70">
        <v>1.6949152499999998E-2</v>
      </c>
      <c r="D79" s="15">
        <v>180</v>
      </c>
      <c r="E79" s="32">
        <f t="shared" si="34"/>
        <v>0</v>
      </c>
      <c r="F79" s="18">
        <f>IF(ISNUMBER(D79), $B91 * E79, "")</f>
        <v>0</v>
      </c>
      <c r="G79" s="31">
        <v>180</v>
      </c>
      <c r="H79" s="32">
        <f t="shared" si="35"/>
        <v>0</v>
      </c>
      <c r="I79" s="91">
        <f>IF(ISNUMBER(G79), $B91 * H79, "")</f>
        <v>0</v>
      </c>
      <c r="J79" s="15">
        <v>180</v>
      </c>
      <c r="K79" s="32">
        <f t="shared" si="36"/>
        <v>0</v>
      </c>
      <c r="L79" s="18">
        <f>IF(ISNUMBER(J79), $B91 * K79, "")</f>
        <v>0</v>
      </c>
      <c r="M79" s="31">
        <v>179</v>
      </c>
      <c r="N79" s="32">
        <f t="shared" si="37"/>
        <v>-5.5555555555555558E-3</v>
      </c>
      <c r="O79" s="18">
        <f>IF(ISNUMBER(M79), $B91 * N79, "")</f>
        <v>-833.33333333333337</v>
      </c>
      <c r="Q79" s="33"/>
      <c r="R79" s="33"/>
    </row>
    <row r="80" spans="1:19" ht="17.25" thickBot="1">
      <c r="A80" s="114" t="s">
        <v>161</v>
      </c>
      <c r="B80" s="115">
        <v>313</v>
      </c>
      <c r="C80" s="72">
        <v>1.6233766199999999E-2</v>
      </c>
      <c r="D80" s="24">
        <v>313</v>
      </c>
      <c r="E80" s="25">
        <f t="shared" si="34"/>
        <v>0</v>
      </c>
      <c r="F80" s="94">
        <f>IF(ISNUMBER(D80), $B91 * E80, "")</f>
        <v>0</v>
      </c>
      <c r="G80" s="92">
        <v>313</v>
      </c>
      <c r="H80" s="25">
        <f t="shared" si="35"/>
        <v>0</v>
      </c>
      <c r="I80" s="93">
        <f>IF(ISNUMBER(G80), $B91 * H80, "")</f>
        <v>0</v>
      </c>
      <c r="J80" s="24">
        <v>311</v>
      </c>
      <c r="K80" s="25">
        <f t="shared" si="36"/>
        <v>-6.3897763578274758E-3</v>
      </c>
      <c r="L80" s="94">
        <f>IF(ISNUMBER(J80), $B91 * K80, "")</f>
        <v>-958.46645367412134</v>
      </c>
      <c r="M80" s="92">
        <v>308</v>
      </c>
      <c r="N80" s="25">
        <f t="shared" si="37"/>
        <v>-1.5974440894568689E-2</v>
      </c>
      <c r="O80" s="94">
        <f>IF(ISNUMBER(M80), $B91 * N80, "")</f>
        <v>-2396.1661341853032</v>
      </c>
      <c r="Q80" s="147"/>
      <c r="R80" s="148"/>
      <c r="S80" s="149"/>
    </row>
    <row r="81" spans="1:19">
      <c r="A81" s="107" t="s">
        <v>103</v>
      </c>
      <c r="B81" s="108">
        <v>231</v>
      </c>
      <c r="C81" s="69">
        <v>1.3157894700000001E-2</v>
      </c>
      <c r="D81" s="13">
        <v>231</v>
      </c>
      <c r="E81" s="14">
        <f>IF(ISNUMBER(D81), (D81 - $B81) / $B81, "")</f>
        <v>0</v>
      </c>
      <c r="F81" s="16">
        <f>IF(ISNUMBER(D81), $B91 * E81, "")</f>
        <v>0</v>
      </c>
      <c r="G81" s="29">
        <v>231</v>
      </c>
      <c r="H81" s="14">
        <f>IF(ISNUMBER(G81), (G81 - $B81) / $B81, "")</f>
        <v>0</v>
      </c>
      <c r="I81" s="90">
        <f>IF(ISNUMBER(G81), $B91 * H81, "")</f>
        <v>0</v>
      </c>
      <c r="J81" s="13">
        <v>229</v>
      </c>
      <c r="K81" s="14">
        <f>IF(ISNUMBER(J81), (J81 - $B81) / $B81, "")</f>
        <v>-8.658008658008658E-3</v>
      </c>
      <c r="L81" s="16">
        <f>IF(ISNUMBER(J81), $B91 * K81, "")</f>
        <v>-1298.7012987012988</v>
      </c>
      <c r="M81" s="29">
        <v>228</v>
      </c>
      <c r="N81" s="14">
        <f>IF(ISNUMBER(M81), (M81 - $B81) / $B81, "")</f>
        <v>-1.2987012987012988E-2</v>
      </c>
      <c r="O81" s="16">
        <f>IF(ISNUMBER(M81), $B91 * N81, "")</f>
        <v>-1948.0519480519481</v>
      </c>
      <c r="Q81" s="150"/>
      <c r="R81" s="151"/>
      <c r="S81" s="152"/>
    </row>
    <row r="82" spans="1:19" ht="17.25" thickBot="1">
      <c r="A82" s="109" t="s">
        <v>85</v>
      </c>
      <c r="B82" s="110">
        <v>162</v>
      </c>
      <c r="C82" s="70">
        <v>1.2500000000000001E-2</v>
      </c>
      <c r="D82" s="15">
        <v>162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161</v>
      </c>
      <c r="H82" s="32">
        <f t="shared" ref="H82:H85" si="39">IF(ISNUMBER(G82), (G82 - $B82) / $B82, "")</f>
        <v>-6.1728395061728392E-3</v>
      </c>
      <c r="I82" s="91">
        <f>IF(ISNUMBER(G82), $B91 * H82, "")</f>
        <v>-925.92592592592587</v>
      </c>
      <c r="J82" s="15">
        <v>159</v>
      </c>
      <c r="K82" s="32">
        <f t="shared" ref="K82:K85" si="40">IF(ISNUMBER(J82), (J82 - $B82) / $B82, "")</f>
        <v>-1.8518518518518517E-2</v>
      </c>
      <c r="L82" s="18">
        <f>IF(ISNUMBER(J82), $B91 * K82, "")</f>
        <v>-2777.7777777777778</v>
      </c>
      <c r="M82" s="31">
        <v>158</v>
      </c>
      <c r="N82" s="32">
        <f t="shared" ref="N82:N85" si="41">IF(ISNUMBER(M82), (M82 - $B82) / $B82, "")</f>
        <v>-2.4691358024691357E-2</v>
      </c>
      <c r="O82" s="18">
        <f>IF(ISNUMBER(M82), $B91 * N82, "")</f>
        <v>-3703.7037037037035</v>
      </c>
      <c r="Q82" s="153"/>
      <c r="R82" s="154"/>
      <c r="S82" s="155"/>
    </row>
    <row r="83" spans="1:19" ht="17.25" thickBot="1">
      <c r="A83" s="109" t="s">
        <v>153</v>
      </c>
      <c r="B83" s="110">
        <v>378</v>
      </c>
      <c r="C83" s="70">
        <v>1.0695187199999999E-2</v>
      </c>
      <c r="D83" s="15">
        <v>378</v>
      </c>
      <c r="E83" s="32">
        <f t="shared" si="38"/>
        <v>0</v>
      </c>
      <c r="F83" s="18">
        <f>IF(ISNUMBER(D83), $B91 * E83, "")</f>
        <v>0</v>
      </c>
      <c r="G83" s="31">
        <v>380</v>
      </c>
      <c r="H83" s="32">
        <f t="shared" si="39"/>
        <v>5.2910052910052907E-3</v>
      </c>
      <c r="I83" s="91">
        <f>IF(ISNUMBER(G83), $B91 * H83, "")</f>
        <v>793.65079365079362</v>
      </c>
      <c r="J83" s="15">
        <v>377</v>
      </c>
      <c r="K83" s="32">
        <f t="shared" si="40"/>
        <v>-2.6455026455026454E-3</v>
      </c>
      <c r="L83" s="18">
        <f>IF(ISNUMBER(J83), $B91 * K83, "")</f>
        <v>-396.82539682539681</v>
      </c>
      <c r="M83" s="31">
        <v>374</v>
      </c>
      <c r="N83" s="32">
        <f t="shared" si="41"/>
        <v>-1.0582010582010581E-2</v>
      </c>
      <c r="O83" s="18">
        <f>IF(ISNUMBER(M83), $B91 * N83, "")</f>
        <v>-1587.3015873015872</v>
      </c>
      <c r="Q83" s="146"/>
      <c r="R83" s="146"/>
      <c r="S83" s="146"/>
    </row>
    <row r="84" spans="1:19" ht="17.25" thickBot="1">
      <c r="A84" s="109" t="s">
        <v>89</v>
      </c>
      <c r="B84" s="110">
        <v>474</v>
      </c>
      <c r="C84" s="70">
        <v>1.0660980800000001E-2</v>
      </c>
      <c r="D84" s="15">
        <v>474</v>
      </c>
      <c r="E84" s="32">
        <f t="shared" si="38"/>
        <v>0</v>
      </c>
      <c r="F84" s="18">
        <f>IF(ISNUMBER(D84), $B91 * E84, "")</f>
        <v>0</v>
      </c>
      <c r="G84" s="31">
        <v>473</v>
      </c>
      <c r="H84" s="32">
        <f t="shared" si="39"/>
        <v>-2.1097046413502108E-3</v>
      </c>
      <c r="I84" s="91">
        <f>IF(ISNUMBER(G84), $B91 * H84, "")</f>
        <v>-316.45569620253161</v>
      </c>
      <c r="J84" s="15">
        <v>470</v>
      </c>
      <c r="K84" s="32">
        <f t="shared" si="40"/>
        <v>-8.4388185654008432E-3</v>
      </c>
      <c r="L84" s="18">
        <f>IF(ISNUMBER(J84), $B91 * K84, "")</f>
        <v>-1265.8227848101264</v>
      </c>
      <c r="M84" s="31">
        <v>469</v>
      </c>
      <c r="N84" s="32">
        <f t="shared" si="41"/>
        <v>-1.0548523206751054E-2</v>
      </c>
      <c r="O84" s="18">
        <f>IF(ISNUMBER(M84), $B91 * N84, "")</f>
        <v>-1582.2784810126582</v>
      </c>
      <c r="Q84" s="156"/>
      <c r="R84" s="156"/>
      <c r="S84" s="156"/>
    </row>
    <row r="85" spans="1:19" ht="17.25" thickBot="1">
      <c r="A85" s="111" t="s">
        <v>116</v>
      </c>
      <c r="B85" s="112">
        <v>993</v>
      </c>
      <c r="C85" s="71">
        <v>1.017294E-2</v>
      </c>
      <c r="D85" s="20">
        <v>993</v>
      </c>
      <c r="E85" s="21">
        <f t="shared" si="38"/>
        <v>0</v>
      </c>
      <c r="F85" s="22">
        <f>IF(ISNUMBER(D85), $B91 * E85, "")</f>
        <v>0</v>
      </c>
      <c r="G85" s="30">
        <v>988</v>
      </c>
      <c r="H85" s="21">
        <f t="shared" si="39"/>
        <v>-5.0352467270896274E-3</v>
      </c>
      <c r="I85" s="95">
        <f>IF(ISNUMBER(G85), $B91 * H85, "")</f>
        <v>-755.28700906344409</v>
      </c>
      <c r="J85" s="20">
        <v>985</v>
      </c>
      <c r="K85" s="21">
        <f t="shared" si="40"/>
        <v>-8.0563947633434038E-3</v>
      </c>
      <c r="L85" s="22">
        <f>IF(ISNUMBER(J85), $B91 * K85, "")</f>
        <v>-1208.4592145015106</v>
      </c>
      <c r="M85" s="30">
        <v>985</v>
      </c>
      <c r="N85" s="21">
        <f t="shared" si="41"/>
        <v>-8.0563947633434038E-3</v>
      </c>
      <c r="O85" s="22">
        <f>IF(ISNUMBER(M85), $B91 * N85, "")</f>
        <v>-1208.4592145015106</v>
      </c>
      <c r="Q85" s="156"/>
      <c r="R85" s="156"/>
      <c r="S85" s="156"/>
    </row>
    <row r="86" spans="1:19" ht="17.25" thickBot="1">
      <c r="A86" s="109" t="s">
        <v>253</v>
      </c>
      <c r="B86" s="113">
        <v>101</v>
      </c>
      <c r="C86" s="73">
        <v>0.01</v>
      </c>
      <c r="D86" s="96">
        <v>101</v>
      </c>
      <c r="E86" s="97">
        <f>IF(ISNUMBER(D86), (D86 - $B86) / $B86, "")</f>
        <v>0</v>
      </c>
      <c r="F86" s="98">
        <f>IF(ISNUMBER(D86), $B91 * E86, "")</f>
        <v>0</v>
      </c>
      <c r="G86" s="99">
        <v>101</v>
      </c>
      <c r="H86" s="97">
        <f>IF(ISNUMBER(G86), (G86 - $B86) / $B86, "")</f>
        <v>0</v>
      </c>
      <c r="I86" s="100">
        <f>IF(ISNUMBER(G86), $B91 * H86, "")</f>
        <v>0</v>
      </c>
      <c r="J86" s="96">
        <v>101</v>
      </c>
      <c r="K86" s="97">
        <f>IF(ISNUMBER(J86), (J86 - $B86) / $B86, "")</f>
        <v>0</v>
      </c>
      <c r="L86" s="98">
        <f>IF(ISNUMBER(J86), $B91 * K86, "")</f>
        <v>0</v>
      </c>
      <c r="M86" s="99">
        <v>100</v>
      </c>
      <c r="N86" s="97">
        <f>IF(ISNUMBER(M86), (M86 - $B86) / $B86, "")</f>
        <v>-9.9009900990099011E-3</v>
      </c>
      <c r="O86" s="98">
        <f>IF(ISNUMBER(M86), $B91 * N86, "")</f>
        <v>-1485.1485148514851</v>
      </c>
      <c r="Q86" s="146"/>
      <c r="R86" s="146"/>
      <c r="S86" s="146"/>
    </row>
    <row r="87" spans="1:19" ht="17.25" thickBot="1">
      <c r="A87" s="109" t="s">
        <v>120</v>
      </c>
      <c r="B87" s="110">
        <v>111</v>
      </c>
      <c r="C87" s="70">
        <v>9.0909091000000008E-3</v>
      </c>
      <c r="D87" s="15">
        <v>111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111</v>
      </c>
      <c r="H87" s="32">
        <f t="shared" ref="H87:H90" si="43">IF(ISNUMBER(G87), (G87 - $B87) / $B87, "")</f>
        <v>0</v>
      </c>
      <c r="I87" s="91">
        <f>IF(ISNUMBER(G87), $B91 * H87, "")</f>
        <v>0</v>
      </c>
      <c r="J87" s="15">
        <v>111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110</v>
      </c>
      <c r="N87" s="32">
        <f t="shared" ref="N87:N90" si="45">IF(ISNUMBER(M87), (M87 - $B87) / $B87, "")</f>
        <v>-9.0090090090090089E-3</v>
      </c>
      <c r="O87" s="18">
        <f>IF(ISNUMBER(M87), $B91 * N87, "")</f>
        <v>-1351.3513513513512</v>
      </c>
      <c r="Q87" s="146"/>
      <c r="R87" s="146"/>
      <c r="S87" s="146"/>
    </row>
    <row r="88" spans="1:19" ht="17.25" thickBot="1">
      <c r="A88" s="109" t="s">
        <v>332</v>
      </c>
      <c r="B88" s="110">
        <v>569</v>
      </c>
      <c r="C88" s="70">
        <v>8.8652482000000001E-3</v>
      </c>
      <c r="D88" s="15">
        <v>569</v>
      </c>
      <c r="E88" s="32">
        <f t="shared" si="42"/>
        <v>0</v>
      </c>
      <c r="F88" s="18">
        <f>IF(ISNUMBER(D88), $B91 * E88, "")</f>
        <v>0</v>
      </c>
      <c r="G88" s="31">
        <v>568</v>
      </c>
      <c r="H88" s="32">
        <f t="shared" si="43"/>
        <v>-1.7574692442882249E-3</v>
      </c>
      <c r="I88" s="91">
        <f>IF(ISNUMBER(G88), $B91 * H88, "")</f>
        <v>-263.6203866432337</v>
      </c>
      <c r="J88" s="15">
        <v>565</v>
      </c>
      <c r="K88" s="32">
        <f t="shared" si="44"/>
        <v>-7.0298769771528994E-3</v>
      </c>
      <c r="L88" s="18">
        <f>IF(ISNUMBER(J88), $B91 * K88, "")</f>
        <v>-1054.4815465729348</v>
      </c>
      <c r="M88" s="31">
        <v>565</v>
      </c>
      <c r="N88" s="32">
        <f t="shared" si="45"/>
        <v>-7.0298769771528994E-3</v>
      </c>
      <c r="O88" s="18">
        <f>IF(ISNUMBER(M88), $B91 * N88, "")</f>
        <v>-1054.4815465729348</v>
      </c>
      <c r="Q88" s="146"/>
      <c r="R88" s="146"/>
      <c r="S88" s="146"/>
    </row>
    <row r="89" spans="1:19">
      <c r="A89" s="109" t="s">
        <v>101</v>
      </c>
      <c r="B89" s="110">
        <v>228</v>
      </c>
      <c r="C89" s="70">
        <v>8.8495575000000007E-3</v>
      </c>
      <c r="D89" s="15">
        <v>228</v>
      </c>
      <c r="E89" s="32">
        <f t="shared" si="42"/>
        <v>0</v>
      </c>
      <c r="F89" s="18">
        <f>IF(ISNUMBER(D89), $B91 * E89, "")</f>
        <v>0</v>
      </c>
      <c r="G89" s="31">
        <v>230</v>
      </c>
      <c r="H89" s="32">
        <f t="shared" si="43"/>
        <v>8.771929824561403E-3</v>
      </c>
      <c r="I89" s="91">
        <f>IF(ISNUMBER(G89), $B91 * H89, "")</f>
        <v>1315.7894736842104</v>
      </c>
      <c r="J89" s="15">
        <v>229</v>
      </c>
      <c r="K89" s="32">
        <f t="shared" si="44"/>
        <v>4.3859649122807015E-3</v>
      </c>
      <c r="L89" s="18">
        <f>IF(ISNUMBER(J89), $B91 * K89, "")</f>
        <v>657.8947368421052</v>
      </c>
      <c r="M89" s="31">
        <v>229</v>
      </c>
      <c r="N89" s="32">
        <f t="shared" si="45"/>
        <v>4.3859649122807015E-3</v>
      </c>
      <c r="O89" s="18">
        <f>IF(ISNUMBER(M89), $B91 * N89, "")</f>
        <v>657.8947368421052</v>
      </c>
      <c r="Q89" s="135"/>
      <c r="R89" s="136"/>
      <c r="S89" s="137"/>
    </row>
    <row r="90" spans="1:19" ht="17.25" thickBot="1">
      <c r="A90" s="114" t="s">
        <v>229</v>
      </c>
      <c r="B90" s="115">
        <v>258</v>
      </c>
      <c r="C90" s="72">
        <v>7.8125E-3</v>
      </c>
      <c r="D90" s="24">
        <v>258</v>
      </c>
      <c r="E90" s="25">
        <f t="shared" si="42"/>
        <v>0</v>
      </c>
      <c r="F90" s="94">
        <f>IF(ISNUMBER(D90), $B91 * E90, "")</f>
        <v>0</v>
      </c>
      <c r="G90" s="92">
        <v>258</v>
      </c>
      <c r="H90" s="25">
        <f t="shared" si="43"/>
        <v>0</v>
      </c>
      <c r="I90" s="93">
        <f>IF(ISNUMBER(G90), $B91 * H90, "")</f>
        <v>0</v>
      </c>
      <c r="J90" s="24">
        <v>260</v>
      </c>
      <c r="K90" s="25">
        <f t="shared" si="44"/>
        <v>7.7519379844961239E-3</v>
      </c>
      <c r="L90" s="94">
        <f>IF(ISNUMBER(J90), $B91 * K90, "")</f>
        <v>1162.7906976744187</v>
      </c>
      <c r="M90" s="92">
        <v>258</v>
      </c>
      <c r="N90" s="25">
        <f t="shared" si="45"/>
        <v>0</v>
      </c>
      <c r="O90" s="94">
        <f>IF(ISNUMBER(M90), $B91 * N90, "")</f>
        <v>0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-2.633734948280566E-3</v>
      </c>
      <c r="I91" s="28">
        <f>SUM(I71:I90)</f>
        <v>-7901.2048448416972</v>
      </c>
      <c r="J91" s="26" t="s">
        <v>258</v>
      </c>
      <c r="K91" s="27">
        <f>IF(COUNT(K71:K90), SUM(K71:K90) / COUNT(K71:K90), 0)</f>
        <v>-4.6866415264947862E-3</v>
      </c>
      <c r="L91" s="28">
        <f>SUM(L71:L90)</f>
        <v>-14059.924579484363</v>
      </c>
      <c r="M91" s="26" t="s">
        <v>258</v>
      </c>
      <c r="N91" s="27">
        <f>IF(COUNT(N71:N90), SUM(N71:N90) / COUNT(N71:N90), 0)</f>
        <v>-1.0140144071092146E-2</v>
      </c>
      <c r="O91" s="28">
        <f>SUM(O71:O90)</f>
        <v>-30420.432213276439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2023-01-13(금) 오전 00:00</v>
      </c>
      <c r="C96" s="198"/>
      <c r="D96" s="170" t="str">
        <f>TEXT($G$1, "[$-ko-KR]yyyy-mm-dd(ddd) ") &amp; "오후 14:00"</f>
        <v>2023-01-13(금) 오후 14:00</v>
      </c>
      <c r="E96" s="171"/>
      <c r="F96" s="172"/>
      <c r="G96" s="170" t="str">
        <f>TEXT($G$1, "[$-ko-KR]yyyy-mm-dd(ddd) ") &amp; "오후 19:00"</f>
        <v>2023-01-13(금) 오후 19:00</v>
      </c>
      <c r="H96" s="171"/>
      <c r="I96" s="172"/>
      <c r="J96" s="170" t="str">
        <f>TEXT($G$1, "[$-ko-KR]yyyy-mm-dd(ddd) ") &amp; "오후 21:00"</f>
        <v>2023-01-13(금) 오후 21:00</v>
      </c>
      <c r="K96" s="171"/>
      <c r="L96" s="172"/>
      <c r="M96" s="170" t="str">
        <f>TEXT($G$1+1, "[$-ko-KR]yyyy-mm-dd(ddd) ") &amp; "오전 00:00"</f>
        <v>2023-01-14(토)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60</v>
      </c>
      <c r="B98" s="108">
        <v>573</v>
      </c>
      <c r="C98" s="69">
        <v>0.1083172147</v>
      </c>
      <c r="D98" s="13">
        <v>573</v>
      </c>
      <c r="E98" s="14">
        <f>IF(ISNUMBER(D98), (D98 - $B98) / $B98, "")</f>
        <v>0</v>
      </c>
      <c r="F98" s="16">
        <f>IF(ISNUMBER(D98), $B118 * E98, "")</f>
        <v>0</v>
      </c>
      <c r="G98" s="29">
        <v>557</v>
      </c>
      <c r="H98" s="14">
        <f>IF(ISNUMBER(G98), (G98 - $B98) / $B98, "")</f>
        <v>-2.7923211169284468E-2</v>
      </c>
      <c r="I98" s="90">
        <f>IF(ISNUMBER(G98), $B118 * H98, "")</f>
        <v>-4188.4816753926698</v>
      </c>
      <c r="J98" s="13">
        <v>557</v>
      </c>
      <c r="K98" s="14">
        <f>IF(ISNUMBER(J98), (J98 - $B98) / $B98, "")</f>
        <v>-2.7923211169284468E-2</v>
      </c>
      <c r="L98" s="16">
        <f>IF(ISNUMBER(J98), $B118 * K98, "")</f>
        <v>-4188.4816753926698</v>
      </c>
      <c r="M98" s="29">
        <v>558</v>
      </c>
      <c r="N98" s="14">
        <f>IF(ISNUMBER(M98), (M98 - $B98) / $B98, "")</f>
        <v>-2.6178010471204188E-2</v>
      </c>
      <c r="O98" s="16">
        <f>IF(ISNUMBER(M98), $B118 * N98, "")</f>
        <v>-3926.7015706806283</v>
      </c>
      <c r="Q98" s="156"/>
      <c r="R98" s="156"/>
      <c r="S98" s="156"/>
    </row>
    <row r="99" spans="1:19" ht="17.25" thickBot="1">
      <c r="A99" s="109" t="s">
        <v>68</v>
      </c>
      <c r="B99" s="110">
        <v>311</v>
      </c>
      <c r="C99" s="70">
        <v>5.4237288100000003E-2</v>
      </c>
      <c r="D99" s="15">
        <v>311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311</v>
      </c>
      <c r="H99" s="32">
        <f t="shared" ref="H99:H102" si="47">IF(ISNUMBER(G99), (G99 - $B99) / $B99, "")</f>
        <v>0</v>
      </c>
      <c r="I99" s="91">
        <f>IF(ISNUMBER(G99), $B118 * H99, "")</f>
        <v>0</v>
      </c>
      <c r="J99" s="15">
        <v>318</v>
      </c>
      <c r="K99" s="32">
        <f t="shared" ref="K99:K102" si="48">IF(ISNUMBER(J99), (J99 - $B99) / $B99, "")</f>
        <v>2.2508038585209004E-2</v>
      </c>
      <c r="L99" s="18">
        <f>IF(ISNUMBER(J99), $B118 * K99, "")</f>
        <v>3376.2057877813504</v>
      </c>
      <c r="M99" s="31">
        <v>312</v>
      </c>
      <c r="N99" s="32">
        <f t="shared" ref="N99:N102" si="49">IF(ISNUMBER(M99), (M99 - $B99) / $B99, "")</f>
        <v>3.2154340836012861E-3</v>
      </c>
      <c r="O99" s="18">
        <f>IF(ISNUMBER(M99), $B118 * N99, "")</f>
        <v>482.3151125401929</v>
      </c>
      <c r="Q99" s="156"/>
      <c r="R99" s="156"/>
      <c r="S99" s="156"/>
    </row>
    <row r="100" spans="1:19" ht="17.25" thickBot="1">
      <c r="A100" s="109" t="s">
        <v>111</v>
      </c>
      <c r="B100" s="110">
        <v>705</v>
      </c>
      <c r="C100" s="70">
        <v>5.38116592E-2</v>
      </c>
      <c r="D100" s="15">
        <v>705</v>
      </c>
      <c r="E100" s="32">
        <f t="shared" si="46"/>
        <v>0</v>
      </c>
      <c r="F100" s="18">
        <f>IF(ISNUMBER(D100), $B118 * E100, "")</f>
        <v>0</v>
      </c>
      <c r="G100" s="31">
        <v>699</v>
      </c>
      <c r="H100" s="32">
        <f t="shared" si="47"/>
        <v>-8.5106382978723406E-3</v>
      </c>
      <c r="I100" s="91">
        <f>IF(ISNUMBER(G100), $B118 * H100, "")</f>
        <v>-1276.5957446808511</v>
      </c>
      <c r="J100" s="15">
        <v>699</v>
      </c>
      <c r="K100" s="32">
        <f t="shared" si="48"/>
        <v>-8.5106382978723406E-3</v>
      </c>
      <c r="L100" s="18">
        <f>IF(ISNUMBER(J100), $B118 * K100, "")</f>
        <v>-1276.5957446808511</v>
      </c>
      <c r="M100" s="31">
        <v>699</v>
      </c>
      <c r="N100" s="32">
        <f t="shared" si="49"/>
        <v>-8.5106382978723406E-3</v>
      </c>
      <c r="O100" s="18">
        <f>IF(ISNUMBER(M100), $B118 * N100, "")</f>
        <v>-1276.5957446808511</v>
      </c>
      <c r="Q100" s="146"/>
      <c r="R100" s="146"/>
      <c r="S100" s="146"/>
    </row>
    <row r="101" spans="1:19" ht="17.25" thickBot="1">
      <c r="A101" s="109" t="s">
        <v>174</v>
      </c>
      <c r="B101" s="110">
        <v>15320</v>
      </c>
      <c r="C101" s="70">
        <v>4.3596730200000003E-2</v>
      </c>
      <c r="D101" s="15">
        <v>15320</v>
      </c>
      <c r="E101" s="32">
        <f t="shared" si="46"/>
        <v>0</v>
      </c>
      <c r="F101" s="18">
        <f>IF(ISNUMBER(D101), $B118 * E101, "")</f>
        <v>0</v>
      </c>
      <c r="G101" s="31">
        <v>15500</v>
      </c>
      <c r="H101" s="32">
        <f t="shared" si="47"/>
        <v>1.1749347258485639E-2</v>
      </c>
      <c r="I101" s="91">
        <f>IF(ISNUMBER(G101), $B118 * H101, "")</f>
        <v>1762.4020887728459</v>
      </c>
      <c r="J101" s="15">
        <v>15510</v>
      </c>
      <c r="K101" s="32">
        <f t="shared" si="48"/>
        <v>1.2402088772845953E-2</v>
      </c>
      <c r="L101" s="18">
        <f>IF(ISNUMBER(J101), $B118 * K101, "")</f>
        <v>1860.313315926893</v>
      </c>
      <c r="M101" s="31">
        <v>15460</v>
      </c>
      <c r="N101" s="32">
        <f t="shared" si="49"/>
        <v>9.138381201044387E-3</v>
      </c>
      <c r="O101" s="18">
        <f>IF(ISNUMBER(M101), $B118 * N101, "")</f>
        <v>1370.757180156658</v>
      </c>
      <c r="Q101" s="146"/>
      <c r="R101" s="146"/>
      <c r="S101" s="146"/>
    </row>
    <row r="102" spans="1:19" ht="17.25" thickBot="1">
      <c r="A102" s="111" t="s">
        <v>201</v>
      </c>
      <c r="B102" s="112">
        <v>224</v>
      </c>
      <c r="C102" s="71">
        <v>4.1860465100000001E-2</v>
      </c>
      <c r="D102" s="20">
        <v>224</v>
      </c>
      <c r="E102" s="21">
        <f t="shared" si="46"/>
        <v>0</v>
      </c>
      <c r="F102" s="22">
        <f>IF(ISNUMBER(D102), $B118 * E102, "")</f>
        <v>0</v>
      </c>
      <c r="G102" s="30">
        <v>224</v>
      </c>
      <c r="H102" s="21">
        <f t="shared" si="47"/>
        <v>0</v>
      </c>
      <c r="I102" s="95">
        <f>IF(ISNUMBER(G102), $B118 * H102, "")</f>
        <v>0</v>
      </c>
      <c r="J102" s="20">
        <v>225</v>
      </c>
      <c r="K102" s="21">
        <f t="shared" si="48"/>
        <v>4.464285714285714E-3</v>
      </c>
      <c r="L102" s="22">
        <f>IF(ISNUMBER(J102), $B118 * K102, "")</f>
        <v>669.64285714285711</v>
      </c>
      <c r="M102" s="30">
        <v>222</v>
      </c>
      <c r="N102" s="21">
        <f t="shared" si="49"/>
        <v>-8.9285714285714281E-3</v>
      </c>
      <c r="O102" s="22">
        <f>IF(ISNUMBER(M102), $B118 * N102, "")</f>
        <v>-1339.2857142857142</v>
      </c>
      <c r="Q102" s="146"/>
      <c r="R102" s="146"/>
      <c r="S102" s="146"/>
    </row>
    <row r="103" spans="1:19" ht="17.25" thickBot="1">
      <c r="A103" s="109" t="s">
        <v>149</v>
      </c>
      <c r="B103" s="113">
        <v>395</v>
      </c>
      <c r="C103" s="73">
        <v>3.6745406799999998E-2</v>
      </c>
      <c r="D103" s="96">
        <v>395</v>
      </c>
      <c r="E103" s="97">
        <f>IF(ISNUMBER(D103), (D103 - $B103) / $B103, "")</f>
        <v>0</v>
      </c>
      <c r="F103" s="98">
        <f>IF(ISNUMBER(D103), $B118 * E103, "")</f>
        <v>0</v>
      </c>
      <c r="G103" s="99">
        <v>392</v>
      </c>
      <c r="H103" s="97">
        <f>IF(ISNUMBER(G103), (G103 - $B103) / $B103, "")</f>
        <v>-7.5949367088607592E-3</v>
      </c>
      <c r="I103" s="100">
        <f>IF(ISNUMBER(G103), $B118 * H103, "")</f>
        <v>-1139.2405063291139</v>
      </c>
      <c r="J103" s="96">
        <v>387</v>
      </c>
      <c r="K103" s="97">
        <f>IF(ISNUMBER(J103), (J103 - $B103) / $B103, "")</f>
        <v>-2.0253164556962026E-2</v>
      </c>
      <c r="L103" s="98">
        <f>IF(ISNUMBER(J103), $B118 * K103, "")</f>
        <v>-3037.9746835443038</v>
      </c>
      <c r="M103" s="99">
        <v>387</v>
      </c>
      <c r="N103" s="97">
        <f>IF(ISNUMBER(M103), (M103 - $B103) / $B103, "")</f>
        <v>-2.0253164556962026E-2</v>
      </c>
      <c r="O103" s="98">
        <f>IF(ISNUMBER(M103), $B118 * N103, "")</f>
        <v>-3037.9746835443038</v>
      </c>
      <c r="Q103" s="146"/>
      <c r="R103" s="146"/>
      <c r="S103" s="146"/>
    </row>
    <row r="104" spans="1:19" ht="17.25" thickBot="1">
      <c r="A104" s="109" t="s">
        <v>189</v>
      </c>
      <c r="B104" s="110">
        <v>1125</v>
      </c>
      <c r="C104" s="70">
        <v>3.2110091700000003E-2</v>
      </c>
      <c r="D104" s="15">
        <v>1125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1155</v>
      </c>
      <c r="H104" s="32">
        <f t="shared" ref="H104:H107" si="51">IF(ISNUMBER(G104), (G104 - $B104) / $B104, "")</f>
        <v>2.6666666666666668E-2</v>
      </c>
      <c r="I104" s="91">
        <f>IF(ISNUMBER(G104), $B118 * H104, "")</f>
        <v>4000.0000000000005</v>
      </c>
      <c r="J104" s="15">
        <v>1130</v>
      </c>
      <c r="K104" s="32">
        <f t="shared" ref="K104:K107" si="52">IF(ISNUMBER(J104), (J104 - $B104) / $B104, "")</f>
        <v>4.4444444444444444E-3</v>
      </c>
      <c r="L104" s="18">
        <f>IF(ISNUMBER(J104), $B118 * K104, "")</f>
        <v>666.66666666666663</v>
      </c>
      <c r="M104" s="31">
        <v>1130</v>
      </c>
      <c r="N104" s="32">
        <f t="shared" ref="N104:N107" si="53">IF(ISNUMBER(M104), (M104 - $B104) / $B104, "")</f>
        <v>4.4444444444444444E-3</v>
      </c>
      <c r="O104" s="18">
        <f>IF(ISNUMBER(M104), $B118 * N104, "")</f>
        <v>666.66666666666663</v>
      </c>
      <c r="Q104" s="146"/>
      <c r="R104" s="146"/>
      <c r="S104" s="146"/>
    </row>
    <row r="105" spans="1:19" ht="17.25" thickBot="1">
      <c r="A105" s="109" t="s">
        <v>321</v>
      </c>
      <c r="B105" s="110">
        <v>185</v>
      </c>
      <c r="C105" s="70">
        <v>2.77777778E-2</v>
      </c>
      <c r="D105" s="15">
        <v>185</v>
      </c>
      <c r="E105" s="32">
        <f t="shared" si="50"/>
        <v>0</v>
      </c>
      <c r="F105" s="18">
        <f>IF(ISNUMBER(D105), $B118 * E105, "")</f>
        <v>0</v>
      </c>
      <c r="G105" s="31">
        <v>185</v>
      </c>
      <c r="H105" s="32">
        <f t="shared" si="51"/>
        <v>0</v>
      </c>
      <c r="I105" s="91">
        <f>IF(ISNUMBER(G105), $B118 * H105, "")</f>
        <v>0</v>
      </c>
      <c r="J105" s="15">
        <v>186</v>
      </c>
      <c r="K105" s="32">
        <f t="shared" si="52"/>
        <v>5.4054054054054057E-3</v>
      </c>
      <c r="L105" s="18">
        <f>IF(ISNUMBER(J105), $B118 * K105, "")</f>
        <v>810.81081081081084</v>
      </c>
      <c r="M105" s="31">
        <v>185</v>
      </c>
      <c r="N105" s="32">
        <f t="shared" si="53"/>
        <v>0</v>
      </c>
      <c r="O105" s="18">
        <f>IF(ISNUMBER(M105), $B118 * N105, "")</f>
        <v>0</v>
      </c>
      <c r="Q105" s="146"/>
      <c r="R105" s="146"/>
      <c r="S105" s="146"/>
    </row>
    <row r="106" spans="1:19" ht="17.25" thickBot="1">
      <c r="A106" s="109" t="s">
        <v>138</v>
      </c>
      <c r="B106" s="110">
        <v>26</v>
      </c>
      <c r="C106" s="70">
        <v>2.7667984199999999E-2</v>
      </c>
      <c r="D106" s="15">
        <v>26</v>
      </c>
      <c r="E106" s="32">
        <f t="shared" si="50"/>
        <v>0</v>
      </c>
      <c r="F106" s="18">
        <f>IF(ISNUMBER(D106), $B118 * E106, "")</f>
        <v>0</v>
      </c>
      <c r="G106" s="31">
        <v>27.4</v>
      </c>
      <c r="H106" s="32">
        <f t="shared" si="51"/>
        <v>5.3846153846153794E-2</v>
      </c>
      <c r="I106" s="91">
        <f>IF(ISNUMBER(G106), $B118 * H106, "")</f>
        <v>8076.9230769230689</v>
      </c>
      <c r="J106" s="15">
        <v>27.2</v>
      </c>
      <c r="K106" s="32">
        <f t="shared" si="52"/>
        <v>4.6153846153846129E-2</v>
      </c>
      <c r="L106" s="18">
        <f>IF(ISNUMBER(J106), $B118 * K106, "")</f>
        <v>6923.0769230769192</v>
      </c>
      <c r="M106" s="31">
        <v>27</v>
      </c>
      <c r="N106" s="32">
        <f t="shared" si="53"/>
        <v>3.8461538461538464E-2</v>
      </c>
      <c r="O106" s="18">
        <f>IF(ISNUMBER(M106), $B118 * N106, "")</f>
        <v>5769.2307692307695</v>
      </c>
      <c r="Q106" s="33"/>
      <c r="R106" s="33"/>
    </row>
    <row r="107" spans="1:19" ht="17.25" thickBot="1">
      <c r="A107" s="114" t="s">
        <v>118</v>
      </c>
      <c r="B107" s="115">
        <v>5.59</v>
      </c>
      <c r="C107" s="72">
        <v>2.7573529400000001E-2</v>
      </c>
      <c r="D107" s="24">
        <v>5.59</v>
      </c>
      <c r="E107" s="25">
        <f t="shared" si="50"/>
        <v>0</v>
      </c>
      <c r="F107" s="94">
        <f>IF(ISNUMBER(D107), $B118 * E107, "")</f>
        <v>0</v>
      </c>
      <c r="G107" s="92">
        <v>5.62</v>
      </c>
      <c r="H107" s="25">
        <f t="shared" si="51"/>
        <v>5.3667262969588998E-3</v>
      </c>
      <c r="I107" s="93">
        <f>IF(ISNUMBER(G107), $B118 * H107, "")</f>
        <v>805.00894454383501</v>
      </c>
      <c r="J107" s="24">
        <v>5.57</v>
      </c>
      <c r="K107" s="25">
        <f t="shared" si="52"/>
        <v>-3.5778175313058271E-3</v>
      </c>
      <c r="L107" s="94">
        <f>IF(ISNUMBER(J107), $B118 * K107, "")</f>
        <v>-536.67262969587409</v>
      </c>
      <c r="M107" s="92">
        <v>5.59</v>
      </c>
      <c r="N107" s="25">
        <f t="shared" si="53"/>
        <v>0</v>
      </c>
      <c r="O107" s="94">
        <f>IF(ISNUMBER(M107), $B118 * N107, "")</f>
        <v>0</v>
      </c>
      <c r="Q107" s="147"/>
      <c r="R107" s="148"/>
      <c r="S107" s="149"/>
    </row>
    <row r="108" spans="1:19">
      <c r="A108" s="107" t="s">
        <v>343</v>
      </c>
      <c r="B108" s="108">
        <v>21240</v>
      </c>
      <c r="C108" s="69">
        <v>2.2136669899999999E-2</v>
      </c>
      <c r="D108" s="13">
        <v>21240</v>
      </c>
      <c r="E108" s="14">
        <f>IF(ISNUMBER(D108), (D108 - $B108) / $B108, "")</f>
        <v>0</v>
      </c>
      <c r="F108" s="16">
        <f>IF(ISNUMBER(D108), $B118 * E108, "")</f>
        <v>0</v>
      </c>
      <c r="G108" s="29">
        <v>21240</v>
      </c>
      <c r="H108" s="14">
        <f>IF(ISNUMBER(G108), (G108 - $B108) / $B108, "")</f>
        <v>0</v>
      </c>
      <c r="I108" s="90">
        <f>IF(ISNUMBER(G108), $B118 * H108, "")</f>
        <v>0</v>
      </c>
      <c r="J108" s="13">
        <v>20960</v>
      </c>
      <c r="K108" s="14">
        <f>IF(ISNUMBER(J108), (J108 - $B108) / $B108, "")</f>
        <v>-1.3182674199623353E-2</v>
      </c>
      <c r="L108" s="16">
        <f>IF(ISNUMBER(J108), $B118 * K108, "")</f>
        <v>-1977.4011299435028</v>
      </c>
      <c r="M108" s="29">
        <v>21000</v>
      </c>
      <c r="N108" s="14">
        <f>IF(ISNUMBER(M108), (M108 - $B108) / $B108, "")</f>
        <v>-1.1299435028248588E-2</v>
      </c>
      <c r="O108" s="16">
        <f>IF(ISNUMBER(M108), $B118 * N108, "")</f>
        <v>-1694.9152542372881</v>
      </c>
      <c r="Q108" s="150"/>
      <c r="R108" s="151"/>
      <c r="S108" s="152"/>
    </row>
    <row r="109" spans="1:19" ht="17.25" thickBot="1">
      <c r="A109" s="109" t="s">
        <v>217</v>
      </c>
      <c r="B109" s="110">
        <v>66.099999999999994</v>
      </c>
      <c r="C109" s="70">
        <v>2.1638330800000001E-2</v>
      </c>
      <c r="D109" s="15">
        <v>66.099999999999994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65.400000000000006</v>
      </c>
      <c r="H109" s="32">
        <f t="shared" ref="H109:H112" si="55">IF(ISNUMBER(G109), (G109 - $B109) / $B109, "")</f>
        <v>-1.059001512859287E-2</v>
      </c>
      <c r="I109" s="91">
        <f>IF(ISNUMBER(G109), $B118 * H109, "")</f>
        <v>-1588.5022692889306</v>
      </c>
      <c r="J109" s="15">
        <v>65</v>
      </c>
      <c r="K109" s="32">
        <f t="shared" ref="K109:K112" si="56">IF(ISNUMBER(J109), (J109 - $B109) / $B109, "")</f>
        <v>-1.6641452344931838E-2</v>
      </c>
      <c r="L109" s="18">
        <f>IF(ISNUMBER(J109), $B118 * K109, "")</f>
        <v>-2496.2178517397756</v>
      </c>
      <c r="M109" s="31">
        <v>64.900000000000006</v>
      </c>
      <c r="N109" s="32">
        <f t="shared" ref="N109:N112" si="57">IF(ISNUMBER(M109), (M109 - $B109) / $B109, "")</f>
        <v>-1.8154311649016472E-2</v>
      </c>
      <c r="O109" s="18">
        <f>IF(ISNUMBER(M109), $B118 * N109, "")</f>
        <v>-2723.1467473524708</v>
      </c>
      <c r="Q109" s="153"/>
      <c r="R109" s="154"/>
      <c r="S109" s="155"/>
    </row>
    <row r="110" spans="1:19" ht="17.25" thickBot="1">
      <c r="A110" s="109" t="s">
        <v>330</v>
      </c>
      <c r="B110" s="110">
        <v>305</v>
      </c>
      <c r="C110" s="70">
        <v>2.0066889599999999E-2</v>
      </c>
      <c r="D110" s="15">
        <v>305</v>
      </c>
      <c r="E110" s="32">
        <f t="shared" si="54"/>
        <v>0</v>
      </c>
      <c r="F110" s="18">
        <f>IF(ISNUMBER(D110), $B118 * E110, "")</f>
        <v>0</v>
      </c>
      <c r="G110" s="31">
        <v>305</v>
      </c>
      <c r="H110" s="32">
        <f t="shared" si="55"/>
        <v>0</v>
      </c>
      <c r="I110" s="91">
        <f>IF(ISNUMBER(G110), $B118 * H110, "")</f>
        <v>0</v>
      </c>
      <c r="J110" s="15">
        <v>303</v>
      </c>
      <c r="K110" s="32">
        <f t="shared" si="56"/>
        <v>-6.5573770491803279E-3</v>
      </c>
      <c r="L110" s="18">
        <f>IF(ISNUMBER(J110), $B118 * K110, "")</f>
        <v>-983.60655737704917</v>
      </c>
      <c r="M110" s="31">
        <v>301</v>
      </c>
      <c r="N110" s="32">
        <f t="shared" si="57"/>
        <v>-1.3114754098360656E-2</v>
      </c>
      <c r="O110" s="18">
        <f>IF(ISNUMBER(M110), $B118 * N110, "")</f>
        <v>-1967.2131147540983</v>
      </c>
      <c r="Q110" s="146"/>
      <c r="R110" s="146"/>
      <c r="S110" s="146"/>
    </row>
    <row r="111" spans="1:19" ht="17.25" thickBot="1">
      <c r="A111" s="109" t="s">
        <v>79</v>
      </c>
      <c r="B111" s="110">
        <v>262</v>
      </c>
      <c r="C111" s="70">
        <v>1.9455252900000001E-2</v>
      </c>
      <c r="D111" s="15">
        <v>262</v>
      </c>
      <c r="E111" s="32">
        <f t="shared" si="54"/>
        <v>0</v>
      </c>
      <c r="F111" s="18">
        <f>IF(ISNUMBER(D111), $B118 * E111, "")</f>
        <v>0</v>
      </c>
      <c r="G111" s="31">
        <v>260</v>
      </c>
      <c r="H111" s="32">
        <f t="shared" si="55"/>
        <v>-7.6335877862595417E-3</v>
      </c>
      <c r="I111" s="91">
        <f>IF(ISNUMBER(G111), $B118 * H111, "")</f>
        <v>-1145.0381679389313</v>
      </c>
      <c r="J111" s="15">
        <v>258</v>
      </c>
      <c r="K111" s="32">
        <f t="shared" si="56"/>
        <v>-1.5267175572519083E-2</v>
      </c>
      <c r="L111" s="18">
        <f>IF(ISNUMBER(J111), $B118 * K111, "")</f>
        <v>-2290.0763358778627</v>
      </c>
      <c r="M111" s="31">
        <v>257</v>
      </c>
      <c r="N111" s="32">
        <f t="shared" si="57"/>
        <v>-1.9083969465648856E-2</v>
      </c>
      <c r="O111" s="18">
        <f>IF(ISNUMBER(M111), $B118 * N111, "")</f>
        <v>-2862.5954198473282</v>
      </c>
      <c r="Q111" s="156"/>
      <c r="R111" s="156"/>
      <c r="S111" s="156"/>
    </row>
    <row r="112" spans="1:19" ht="17.25" thickBot="1">
      <c r="A112" s="111" t="s">
        <v>64</v>
      </c>
      <c r="B112" s="112">
        <v>10.5</v>
      </c>
      <c r="C112" s="71">
        <v>1.9417475699999999E-2</v>
      </c>
      <c r="D112" s="20">
        <v>10.5</v>
      </c>
      <c r="E112" s="21">
        <f t="shared" si="54"/>
        <v>0</v>
      </c>
      <c r="F112" s="22">
        <f>IF(ISNUMBER(D112), $B118 * E112, "")</f>
        <v>0</v>
      </c>
      <c r="G112" s="30">
        <v>10.5</v>
      </c>
      <c r="H112" s="21">
        <f t="shared" si="55"/>
        <v>0</v>
      </c>
      <c r="I112" s="95">
        <f>IF(ISNUMBER(G112), $B118 * H112, "")</f>
        <v>0</v>
      </c>
      <c r="J112" s="20">
        <v>10.5</v>
      </c>
      <c r="K112" s="21">
        <f t="shared" si="56"/>
        <v>0</v>
      </c>
      <c r="L112" s="22">
        <f>IF(ISNUMBER(J112), $B118 * K112, "")</f>
        <v>0</v>
      </c>
      <c r="M112" s="30">
        <v>10.5</v>
      </c>
      <c r="N112" s="21">
        <f t="shared" si="57"/>
        <v>0</v>
      </c>
      <c r="O112" s="22">
        <f>IF(ISNUMBER(M112), $B118 * N112, "")</f>
        <v>0</v>
      </c>
      <c r="Q112" s="156"/>
      <c r="R112" s="156"/>
      <c r="S112" s="156"/>
    </row>
    <row r="113" spans="1:19" ht="17.25" thickBot="1">
      <c r="A113" s="109" t="s">
        <v>151</v>
      </c>
      <c r="B113" s="113">
        <v>2230</v>
      </c>
      <c r="C113" s="73">
        <v>1.82648402E-2</v>
      </c>
      <c r="D113" s="96">
        <v>2230</v>
      </c>
      <c r="E113" s="97">
        <f>IF(ISNUMBER(D113), (D113 - $B113) / $B113, "")</f>
        <v>0</v>
      </c>
      <c r="F113" s="98">
        <f>IF(ISNUMBER(D113), $B118 * E113, "")</f>
        <v>0</v>
      </c>
      <c r="G113" s="99">
        <v>2275</v>
      </c>
      <c r="H113" s="97">
        <f>IF(ISNUMBER(G113), (G113 - $B113) / $B113, "")</f>
        <v>2.0179372197309416E-2</v>
      </c>
      <c r="I113" s="100">
        <f>IF(ISNUMBER(G113), $B118 * H113, "")</f>
        <v>3026.9058295964123</v>
      </c>
      <c r="J113" s="96">
        <v>2240</v>
      </c>
      <c r="K113" s="97">
        <f>IF(ISNUMBER(J113), (J113 - $B113) / $B113, "")</f>
        <v>4.4843049327354259E-3</v>
      </c>
      <c r="L113" s="98">
        <f>IF(ISNUMBER(J113), $B118 * K113, "")</f>
        <v>672.64573991031386</v>
      </c>
      <c r="M113" s="99">
        <v>2215</v>
      </c>
      <c r="N113" s="97">
        <f>IF(ISNUMBER(M113), (M113 - $B113) / $B113, "")</f>
        <v>-6.7264573991031393E-3</v>
      </c>
      <c r="O113" s="98">
        <f>IF(ISNUMBER(M113), $B118 * N113, "")</f>
        <v>-1008.9686098654709</v>
      </c>
      <c r="Q113" s="146"/>
      <c r="R113" s="146"/>
      <c r="S113" s="146"/>
    </row>
    <row r="114" spans="1:19" ht="17.25" thickBot="1">
      <c r="A114" s="109" t="s">
        <v>167</v>
      </c>
      <c r="B114" s="110">
        <v>180</v>
      </c>
      <c r="C114" s="70">
        <v>1.6949152499999998E-2</v>
      </c>
      <c r="D114" s="15">
        <v>180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180</v>
      </c>
      <c r="H114" s="32">
        <f t="shared" ref="H114:H117" si="59">IF(ISNUMBER(G114), (G114 - $B114) / $B114, "")</f>
        <v>0</v>
      </c>
      <c r="I114" s="91">
        <f>IF(ISNUMBER(G114), $B118 * H114, "")</f>
        <v>0</v>
      </c>
      <c r="J114" s="15">
        <v>180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179</v>
      </c>
      <c r="N114" s="32">
        <f t="shared" ref="N114:N117" si="61">IF(ISNUMBER(M114), (M114 - $B114) / $B114, "")</f>
        <v>-5.5555555555555558E-3</v>
      </c>
      <c r="O114" s="18">
        <f>IF(ISNUMBER(M114), $B118 * N114, "")</f>
        <v>-833.33333333333337</v>
      </c>
      <c r="Q114" s="146"/>
      <c r="R114" s="146"/>
      <c r="S114" s="146"/>
    </row>
    <row r="115" spans="1:19" ht="17.25" thickBot="1">
      <c r="A115" s="109" t="s">
        <v>99</v>
      </c>
      <c r="B115" s="110">
        <v>26560</v>
      </c>
      <c r="C115" s="70">
        <v>1.6456180599999998E-2</v>
      </c>
      <c r="D115" s="15">
        <v>26560</v>
      </c>
      <c r="E115" s="32">
        <f t="shared" si="58"/>
        <v>0</v>
      </c>
      <c r="F115" s="18">
        <f>IF(ISNUMBER(D115), $B118 * E115, "")</f>
        <v>0</v>
      </c>
      <c r="G115" s="31">
        <v>26460</v>
      </c>
      <c r="H115" s="32">
        <f t="shared" si="59"/>
        <v>-3.7650602409638554E-3</v>
      </c>
      <c r="I115" s="91">
        <f>IF(ISNUMBER(G115), $B118 * H115, "")</f>
        <v>-564.75903614457832</v>
      </c>
      <c r="J115" s="15">
        <v>26270</v>
      </c>
      <c r="K115" s="32">
        <f t="shared" si="60"/>
        <v>-1.0918674698795181E-2</v>
      </c>
      <c r="L115" s="18">
        <f>IF(ISNUMBER(J115), $B118 * K115, "")</f>
        <v>-1637.8012048192772</v>
      </c>
      <c r="M115" s="31">
        <v>26250</v>
      </c>
      <c r="N115" s="32">
        <f t="shared" si="61"/>
        <v>-1.1671686746987951E-2</v>
      </c>
      <c r="O115" s="18">
        <f>IF(ISNUMBER(M115), $B118 * N115, "")</f>
        <v>-1750.7530120481927</v>
      </c>
      <c r="Q115" s="146"/>
      <c r="R115" s="146"/>
      <c r="S115" s="146"/>
    </row>
    <row r="116" spans="1:19">
      <c r="A116" s="109" t="s">
        <v>161</v>
      </c>
      <c r="B116" s="110">
        <v>313</v>
      </c>
      <c r="C116" s="70">
        <v>1.6233766199999999E-2</v>
      </c>
      <c r="D116" s="15">
        <v>313</v>
      </c>
      <c r="E116" s="32">
        <f t="shared" si="58"/>
        <v>0</v>
      </c>
      <c r="F116" s="18">
        <f>IF(ISNUMBER(D116), $B118 * E116, "")</f>
        <v>0</v>
      </c>
      <c r="G116" s="31">
        <v>313</v>
      </c>
      <c r="H116" s="32">
        <f t="shared" si="59"/>
        <v>0</v>
      </c>
      <c r="I116" s="91">
        <f>IF(ISNUMBER(G116), $B118 * H116, "")</f>
        <v>0</v>
      </c>
      <c r="J116" s="15">
        <v>311</v>
      </c>
      <c r="K116" s="32">
        <f t="shared" si="60"/>
        <v>-6.3897763578274758E-3</v>
      </c>
      <c r="L116" s="18">
        <f>IF(ISNUMBER(J116), $B118 * K116, "")</f>
        <v>-958.46645367412134</v>
      </c>
      <c r="M116" s="31">
        <v>308</v>
      </c>
      <c r="N116" s="32">
        <f t="shared" si="61"/>
        <v>-1.5974440894568689E-2</v>
      </c>
      <c r="O116" s="18">
        <f>IF(ISNUMBER(M116), $B118 * N116, "")</f>
        <v>-2396.1661341853032</v>
      </c>
      <c r="Q116" s="135"/>
      <c r="R116" s="136"/>
      <c r="S116" s="137"/>
    </row>
    <row r="117" spans="1:19" ht="17.25" thickBot="1">
      <c r="A117" s="114" t="s">
        <v>143</v>
      </c>
      <c r="B117" s="115">
        <v>3.77</v>
      </c>
      <c r="C117" s="72">
        <v>1.34408602E-2</v>
      </c>
      <c r="D117" s="24">
        <v>3.77</v>
      </c>
      <c r="E117" s="25">
        <f t="shared" si="58"/>
        <v>0</v>
      </c>
      <c r="F117" s="94">
        <f>IF(ISNUMBER(D117), $B118 * E117, "")</f>
        <v>0</v>
      </c>
      <c r="G117" s="92">
        <v>3.8</v>
      </c>
      <c r="H117" s="25">
        <f t="shared" si="59"/>
        <v>7.9575596816975607E-3</v>
      </c>
      <c r="I117" s="93">
        <f>IF(ISNUMBER(G117), $B118 * H117, "")</f>
        <v>1193.6339522546341</v>
      </c>
      <c r="J117" s="24">
        <v>3.92</v>
      </c>
      <c r="K117" s="25">
        <f t="shared" si="60"/>
        <v>3.9787798408488041E-2</v>
      </c>
      <c r="L117" s="94">
        <f>IF(ISNUMBER(J117), $B118 * K117, "")</f>
        <v>5968.1697612732059</v>
      </c>
      <c r="M117" s="92">
        <v>3.89</v>
      </c>
      <c r="N117" s="25">
        <f t="shared" si="61"/>
        <v>3.1830238726790479E-2</v>
      </c>
      <c r="O117" s="94">
        <f>IF(ISNUMBER(M117), $B118 * N117, "")</f>
        <v>4774.5358090185719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2.9874188307719074E-3</v>
      </c>
      <c r="I118" s="28">
        <f>SUM(I98:I117)</f>
        <v>8962.2564923157224</v>
      </c>
      <c r="J118" s="26" t="s">
        <v>258</v>
      </c>
      <c r="K118" s="27">
        <f>IF(COUNT(K98:K117), SUM(K98:K117) / COUNT(K98:K117), 0)</f>
        <v>5.2141253194790962E-4</v>
      </c>
      <c r="L118" s="28">
        <f>SUM(L98:L117)</f>
        <v>1564.2375958437287</v>
      </c>
      <c r="M118" s="26" t="s">
        <v>258</v>
      </c>
      <c r="N118" s="27">
        <f>IF(COUNT(N98:N117), SUM(N98:N117) / COUNT(N98:N117), 0)</f>
        <v>-3.9180479337340406E-3</v>
      </c>
      <c r="O118" s="28">
        <f>SUM(O98:O117)</f>
        <v>-11754.143801202124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2023-01-13(금) 오전 00:00</v>
      </c>
      <c r="C123" s="198"/>
      <c r="D123" s="170" t="str">
        <f>TEXT($G$1, "[$-ko-KR]yyyy-mm-dd(ddd) ") &amp; "오후 14:00"</f>
        <v>2023-01-13(금) 오후 14:00</v>
      </c>
      <c r="E123" s="171"/>
      <c r="F123" s="172"/>
      <c r="G123" s="170" t="str">
        <f>TEXT($G$1, "[$-ko-KR]yyyy-mm-dd(ddd) ") &amp; "오후 19:00"</f>
        <v>2023-01-13(금) 오후 19:00</v>
      </c>
      <c r="H123" s="171"/>
      <c r="I123" s="172"/>
      <c r="J123" s="170" t="str">
        <f>TEXT($G$1, "[$-ko-KR]yyyy-mm-dd(ddd) ") &amp; "오후 21:00"</f>
        <v>2023-01-13(금) 오후 21:00</v>
      </c>
      <c r="K123" s="171"/>
      <c r="L123" s="172"/>
      <c r="M123" s="170" t="str">
        <f>TEXT($G$1+1, "[$-ko-KR]yyyy-mm-dd(ddd) ") &amp; "오전 00:00"</f>
        <v>2023-01-14(토)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145</v>
      </c>
      <c r="B125" s="108">
        <v>72</v>
      </c>
      <c r="C125" s="69">
        <v>5.5865921999999997E-3</v>
      </c>
      <c r="D125" s="13">
        <v>72</v>
      </c>
      <c r="E125" s="14">
        <f>IF(ISNUMBER(D125), (D125 - $B125) / $B125, "")</f>
        <v>0</v>
      </c>
      <c r="F125" s="16">
        <f>IF(ISNUMBER(D125), $B145 * E125, "")</f>
        <v>0</v>
      </c>
      <c r="G125" s="29">
        <v>72.5</v>
      </c>
      <c r="H125" s="14">
        <f>IF(ISNUMBER(G125), (G125 - $B125) / $B125, "")</f>
        <v>6.9444444444444441E-3</v>
      </c>
      <c r="I125" s="90">
        <f>IF(ISNUMBER(G125), $B145 * H125, "")</f>
        <v>1041.6666666666665</v>
      </c>
      <c r="J125" s="13">
        <v>72.2</v>
      </c>
      <c r="K125" s="14">
        <f>IF(ISNUMBER(J125), (J125 - $B125) / $B125, "")</f>
        <v>2.7777777777778173E-3</v>
      </c>
      <c r="L125" s="16">
        <f>IF(ISNUMBER(J125), $B145 * K125, "")</f>
        <v>416.6666666666726</v>
      </c>
      <c r="M125" s="29">
        <v>72</v>
      </c>
      <c r="N125" s="14">
        <f>IF(ISNUMBER(M125), (M125 - $B125) / $B125, "")</f>
        <v>0</v>
      </c>
      <c r="O125" s="16">
        <f>IF(ISNUMBER(M125), $B145 * N125, "")</f>
        <v>0</v>
      </c>
      <c r="Q125" s="156"/>
      <c r="R125" s="156"/>
      <c r="S125" s="156"/>
    </row>
    <row r="126" spans="1:19" ht="17.25" thickBot="1">
      <c r="A126" s="109" t="s">
        <v>324</v>
      </c>
      <c r="B126" s="110">
        <v>83.9</v>
      </c>
      <c r="C126" s="70">
        <v>4.7904191999999998E-3</v>
      </c>
      <c r="D126" s="15">
        <v>83.9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84.3</v>
      </c>
      <c r="H126" s="32">
        <f t="shared" ref="H126:H129" si="63">IF(ISNUMBER(G126), (G126 - $B126) / $B126, "")</f>
        <v>4.7675804529200413E-3</v>
      </c>
      <c r="I126" s="91">
        <f>IF(ISNUMBER(G126), $B145 * H126, "")</f>
        <v>715.13706793800623</v>
      </c>
      <c r="J126" s="15">
        <v>84.5</v>
      </c>
      <c r="K126" s="32">
        <f t="shared" ref="K126:K129" si="64">IF(ISNUMBER(J126), (J126 - $B126) / $B126, "")</f>
        <v>7.1513706793801465E-3</v>
      </c>
      <c r="L126" s="18">
        <f>IF(ISNUMBER(J126), $B145 * K126, "")</f>
        <v>1072.7056019070219</v>
      </c>
      <c r="M126" s="31">
        <v>84.9</v>
      </c>
      <c r="N126" s="32">
        <f t="shared" ref="N126:N129" si="65">IF(ISNUMBER(M126), (M126 - $B126) / $B126, "")</f>
        <v>1.1918951132300357E-2</v>
      </c>
      <c r="O126" s="18">
        <f>IF(ISNUMBER(M126), $B145 * N126, "")</f>
        <v>1787.8426698450535</v>
      </c>
      <c r="Q126" s="156"/>
      <c r="R126" s="156"/>
      <c r="S126" s="156"/>
    </row>
    <row r="127" spans="1:19" ht="17.25" thickBot="1">
      <c r="A127" s="109" t="s">
        <v>207</v>
      </c>
      <c r="B127" s="110">
        <v>65.2</v>
      </c>
      <c r="C127" s="70">
        <v>4.6224960999999998E-3</v>
      </c>
      <c r="D127" s="15">
        <v>65.2</v>
      </c>
      <c r="E127" s="32">
        <f t="shared" si="62"/>
        <v>0</v>
      </c>
      <c r="F127" s="18">
        <f>IF(ISNUMBER(D127), $B145 * E127, "")</f>
        <v>0</v>
      </c>
      <c r="G127" s="31">
        <v>65.3</v>
      </c>
      <c r="H127" s="32">
        <f t="shared" si="63"/>
        <v>1.5337423312882562E-3</v>
      </c>
      <c r="I127" s="91">
        <f>IF(ISNUMBER(G127), $B145 * H127, "")</f>
        <v>230.06134969323844</v>
      </c>
      <c r="J127" s="15">
        <v>65.7</v>
      </c>
      <c r="K127" s="32">
        <f t="shared" si="64"/>
        <v>7.6687116564417178E-3</v>
      </c>
      <c r="L127" s="18">
        <f>IF(ISNUMBER(J127), $B145 * K127, "")</f>
        <v>1150.3067484662577</v>
      </c>
      <c r="M127" s="31">
        <v>65.099999999999994</v>
      </c>
      <c r="N127" s="32">
        <f t="shared" si="65"/>
        <v>-1.5337423312884743E-3</v>
      </c>
      <c r="O127" s="18">
        <f>IF(ISNUMBER(M127), $B145 * N127, "")</f>
        <v>-230.06134969327115</v>
      </c>
      <c r="Q127" s="146"/>
      <c r="R127" s="146"/>
      <c r="S127" s="146"/>
    </row>
    <row r="128" spans="1:19" ht="17.25" thickBot="1">
      <c r="A128" s="109" t="s">
        <v>349</v>
      </c>
      <c r="B128" s="110">
        <v>23.6</v>
      </c>
      <c r="C128" s="70">
        <v>4.2553191000000001E-3</v>
      </c>
      <c r="D128" s="15">
        <v>23.6</v>
      </c>
      <c r="E128" s="32">
        <f t="shared" si="62"/>
        <v>0</v>
      </c>
      <c r="F128" s="18">
        <f>IF(ISNUMBER(D128), $B145 * E128, "")</f>
        <v>0</v>
      </c>
      <c r="G128" s="31">
        <v>23.8</v>
      </c>
      <c r="H128" s="32">
        <f t="shared" si="63"/>
        <v>8.4745762711864094E-3</v>
      </c>
      <c r="I128" s="91">
        <f>IF(ISNUMBER(G128), $B145 * H128, "")</f>
        <v>1271.1864406779614</v>
      </c>
      <c r="J128" s="15">
        <v>23.5</v>
      </c>
      <c r="K128" s="32">
        <f t="shared" si="64"/>
        <v>-4.2372881355932802E-3</v>
      </c>
      <c r="L128" s="18">
        <f>IF(ISNUMBER(J128), $B145 * K128, "")</f>
        <v>-635.59322033899207</v>
      </c>
      <c r="M128" s="31">
        <v>23.5</v>
      </c>
      <c r="N128" s="32">
        <f t="shared" si="65"/>
        <v>-4.2372881355932802E-3</v>
      </c>
      <c r="O128" s="18">
        <f>IF(ISNUMBER(M128), $B145 * N128, "")</f>
        <v>-635.59322033899207</v>
      </c>
      <c r="Q128" s="146"/>
      <c r="R128" s="146"/>
      <c r="S128" s="146"/>
    </row>
    <row r="129" spans="1:19" ht="17.25" thickBot="1">
      <c r="A129" s="111" t="s">
        <v>141</v>
      </c>
      <c r="B129" s="112">
        <v>3.26</v>
      </c>
      <c r="C129" s="71">
        <v>3.0769231000000001E-3</v>
      </c>
      <c r="D129" s="20">
        <v>3.26</v>
      </c>
      <c r="E129" s="21">
        <f t="shared" si="62"/>
        <v>0</v>
      </c>
      <c r="F129" s="22">
        <f>IF(ISNUMBER(D129), $B145 * E129, "")</f>
        <v>0</v>
      </c>
      <c r="G129" s="30">
        <v>3.28</v>
      </c>
      <c r="H129" s="21">
        <f t="shared" si="63"/>
        <v>6.1349693251533804E-3</v>
      </c>
      <c r="I129" s="95">
        <f>IF(ISNUMBER(G129), $B145 * H129, "")</f>
        <v>920.24539877300708</v>
      </c>
      <c r="J129" s="20">
        <v>3.3</v>
      </c>
      <c r="K129" s="21">
        <f t="shared" si="64"/>
        <v>1.2269938650306761E-2</v>
      </c>
      <c r="L129" s="22">
        <f>IF(ISNUMBER(J129), $B145 * K129, "")</f>
        <v>1840.4907975460142</v>
      </c>
      <c r="M129" s="30">
        <v>3.29</v>
      </c>
      <c r="N129" s="21">
        <f t="shared" si="65"/>
        <v>9.2024539877301383E-3</v>
      </c>
      <c r="O129" s="22">
        <f>IF(ISNUMBER(M129), $B145 * N129, "")</f>
        <v>1380.3680981595207</v>
      </c>
      <c r="Q129" s="146"/>
      <c r="R129" s="146"/>
      <c r="S129" s="146"/>
    </row>
    <row r="130" spans="1:19" ht="17.25" thickBot="1">
      <c r="A130" s="109" t="s">
        <v>227</v>
      </c>
      <c r="B130" s="113">
        <v>39</v>
      </c>
      <c r="C130" s="73">
        <v>2.5706941000000001E-3</v>
      </c>
      <c r="D130" s="96">
        <v>39</v>
      </c>
      <c r="E130" s="97">
        <f>IF(ISNUMBER(D130), (D130 - $B130) / $B130, "")</f>
        <v>0</v>
      </c>
      <c r="F130" s="98">
        <f>IF(ISNUMBER(D130), $B145 * E130, "")</f>
        <v>0</v>
      </c>
      <c r="G130" s="99">
        <v>39.1</v>
      </c>
      <c r="H130" s="97">
        <f>IF(ISNUMBER(G130), (G130 - $B130) / $B130, "")</f>
        <v>2.5641025641026005E-3</v>
      </c>
      <c r="I130" s="100">
        <f>IF(ISNUMBER(G130), $B145 * H130, "")</f>
        <v>384.6153846153901</v>
      </c>
      <c r="J130" s="96">
        <v>39.6</v>
      </c>
      <c r="K130" s="97">
        <f>IF(ISNUMBER(J130), (J130 - $B130) / $B130, "")</f>
        <v>1.5384615384615422E-2</v>
      </c>
      <c r="L130" s="98">
        <f>IF(ISNUMBER(J130), $B145 * K130, "")</f>
        <v>2307.6923076923131</v>
      </c>
      <c r="M130" s="99">
        <v>39.6</v>
      </c>
      <c r="N130" s="97">
        <f>IF(ISNUMBER(M130), (M130 - $B130) / $B130, "")</f>
        <v>1.5384615384615422E-2</v>
      </c>
      <c r="O130" s="98">
        <f>IF(ISNUMBER(M130), $B145 * N130, "")</f>
        <v>2307.6923076923131</v>
      </c>
      <c r="Q130" s="146"/>
      <c r="R130" s="146"/>
      <c r="S130" s="146"/>
    </row>
    <row r="131" spans="1:19" ht="17.25" thickBot="1">
      <c r="A131" s="109" t="s">
        <v>197</v>
      </c>
      <c r="B131" s="110">
        <v>6.2</v>
      </c>
      <c r="C131" s="70">
        <v>0</v>
      </c>
      <c r="D131" s="15">
        <v>6.2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6.23</v>
      </c>
      <c r="H131" s="32">
        <f t="shared" ref="H131:H134" si="67">IF(ISNUMBER(G131), (G131 - $B131) / $B131, "")</f>
        <v>4.8387096774193949E-3</v>
      </c>
      <c r="I131" s="91">
        <f>IF(ISNUMBER(G131), $B145 * H131, "")</f>
        <v>725.8064516129092</v>
      </c>
      <c r="J131" s="15">
        <v>6.3</v>
      </c>
      <c r="K131" s="32">
        <f t="shared" ref="K131:K134" si="68">IF(ISNUMBER(J131), (J131 - $B131) / $B131, "")</f>
        <v>1.6129032258064457E-2</v>
      </c>
      <c r="L131" s="18">
        <f>IF(ISNUMBER(J131), $B145 * K131, "")</f>
        <v>2419.3548387096685</v>
      </c>
      <c r="M131" s="31">
        <v>6.27</v>
      </c>
      <c r="N131" s="32">
        <f t="shared" ref="N131:N134" si="69">IF(ISNUMBER(M131), (M131 - $B131) / $B131, "")</f>
        <v>1.1290322580645063E-2</v>
      </c>
      <c r="O131" s="18">
        <f>IF(ISNUMBER(M131), $B145 * N131, "")</f>
        <v>1693.5483870967596</v>
      </c>
      <c r="Q131" s="146"/>
      <c r="R131" s="146"/>
      <c r="S131" s="146"/>
    </row>
    <row r="132" spans="1:19" ht="17.25" thickBot="1">
      <c r="A132" s="109" t="s">
        <v>191</v>
      </c>
      <c r="B132" s="110">
        <v>53.8</v>
      </c>
      <c r="C132" s="70">
        <v>0</v>
      </c>
      <c r="D132" s="15">
        <v>53.8</v>
      </c>
      <c r="E132" s="32">
        <f t="shared" si="66"/>
        <v>0</v>
      </c>
      <c r="F132" s="18">
        <f>IF(ISNUMBER(D132), $B145 * E132, "")</f>
        <v>0</v>
      </c>
      <c r="G132" s="31">
        <v>53.9</v>
      </c>
      <c r="H132" s="32">
        <f t="shared" si="67"/>
        <v>1.8587360594795805E-3</v>
      </c>
      <c r="I132" s="91">
        <f>IF(ISNUMBER(G132), $B145 * H132, "")</f>
        <v>278.8104089219371</v>
      </c>
      <c r="J132" s="15">
        <v>53.8</v>
      </c>
      <c r="K132" s="32">
        <f t="shared" si="68"/>
        <v>0</v>
      </c>
      <c r="L132" s="18">
        <f>IF(ISNUMBER(J132), $B145 * K132, "")</f>
        <v>0</v>
      </c>
      <c r="M132" s="31">
        <v>53.8</v>
      </c>
      <c r="N132" s="32">
        <f t="shared" si="69"/>
        <v>0</v>
      </c>
      <c r="O132" s="18">
        <f>IF(ISNUMBER(M132), $B145 * N132, "")</f>
        <v>0</v>
      </c>
      <c r="Q132" s="146"/>
      <c r="R132" s="146"/>
      <c r="S132" s="146"/>
    </row>
    <row r="133" spans="1:19" ht="17.25" thickBot="1">
      <c r="A133" s="109" t="s">
        <v>203</v>
      </c>
      <c r="B133" s="110">
        <v>3.25</v>
      </c>
      <c r="C133" s="70">
        <v>0</v>
      </c>
      <c r="D133" s="15">
        <v>3.25</v>
      </c>
      <c r="E133" s="32">
        <f t="shared" si="66"/>
        <v>0</v>
      </c>
      <c r="F133" s="18">
        <f>IF(ISNUMBER(D133), $B145 * E133, "")</f>
        <v>0</v>
      </c>
      <c r="G133" s="31">
        <v>3.27</v>
      </c>
      <c r="H133" s="32">
        <f t="shared" si="67"/>
        <v>6.153846153846159E-3</v>
      </c>
      <c r="I133" s="91">
        <f>IF(ISNUMBER(G133), $B145 * H133, "")</f>
        <v>923.07692307692389</v>
      </c>
      <c r="J133" s="15">
        <v>3.31</v>
      </c>
      <c r="K133" s="32">
        <f t="shared" si="68"/>
        <v>1.8461538461538477E-2</v>
      </c>
      <c r="L133" s="18">
        <f>IF(ISNUMBER(J133), $B145 * K133, "")</f>
        <v>2769.2307692307718</v>
      </c>
      <c r="M133" s="31">
        <v>3.28</v>
      </c>
      <c r="N133" s="32">
        <f t="shared" si="69"/>
        <v>9.2307692307691709E-3</v>
      </c>
      <c r="O133" s="18">
        <f>IF(ISNUMBER(M133), $B145 * N133, "")</f>
        <v>1384.6153846153757</v>
      </c>
      <c r="Q133" s="33"/>
      <c r="R133" s="33"/>
    </row>
    <row r="134" spans="1:19" ht="17.25" thickBot="1">
      <c r="A134" s="114" t="s">
        <v>221</v>
      </c>
      <c r="B134" s="115">
        <v>19.399999999999999</v>
      </c>
      <c r="C134" s="72">
        <v>0</v>
      </c>
      <c r="D134" s="24">
        <v>19.399999999999999</v>
      </c>
      <c r="E134" s="25">
        <f t="shared" si="66"/>
        <v>0</v>
      </c>
      <c r="F134" s="94">
        <f>IF(ISNUMBER(D134), $B145 * E134, "")</f>
        <v>0</v>
      </c>
      <c r="G134" s="92">
        <v>19.600000000000001</v>
      </c>
      <c r="H134" s="25">
        <f t="shared" si="67"/>
        <v>1.0309278350515611E-2</v>
      </c>
      <c r="I134" s="93">
        <f>IF(ISNUMBER(G134), $B145 * H134, "")</f>
        <v>1546.3917525773418</v>
      </c>
      <c r="J134" s="24">
        <v>19.5</v>
      </c>
      <c r="K134" s="25">
        <f t="shared" si="68"/>
        <v>5.1546391752578056E-3</v>
      </c>
      <c r="L134" s="94">
        <f>IF(ISNUMBER(J134), $B145 * K134, "")</f>
        <v>773.19587628867089</v>
      </c>
      <c r="M134" s="92">
        <v>19.399999999999999</v>
      </c>
      <c r="N134" s="25">
        <f t="shared" si="69"/>
        <v>0</v>
      </c>
      <c r="O134" s="94">
        <f>IF(ISNUMBER(M134), $B145 * N134, "")</f>
        <v>0</v>
      </c>
      <c r="Q134" s="147"/>
      <c r="R134" s="148"/>
      <c r="S134" s="149"/>
    </row>
    <row r="135" spans="1:19">
      <c r="A135" s="107" t="s">
        <v>209</v>
      </c>
      <c r="B135" s="108">
        <v>79.3</v>
      </c>
      <c r="C135" s="69">
        <v>-1.2594457999999999E-3</v>
      </c>
      <c r="D135" s="13">
        <v>79.3</v>
      </c>
      <c r="E135" s="14">
        <f>IF(ISNUMBER(D135), (D135 - $B135) / $B135, "")</f>
        <v>0</v>
      </c>
      <c r="F135" s="16">
        <f>IF(ISNUMBER(D135), $B145 * E135, "")</f>
        <v>0</v>
      </c>
      <c r="G135" s="29">
        <v>79.5</v>
      </c>
      <c r="H135" s="14">
        <f>IF(ISNUMBER(G135), (G135 - $B135) / $B135, "")</f>
        <v>2.5220680958386236E-3</v>
      </c>
      <c r="I135" s="90">
        <f>IF(ISNUMBER(G135), $B145 * H135, "")</f>
        <v>378.31021437579352</v>
      </c>
      <c r="J135" s="13">
        <v>79.099999999999994</v>
      </c>
      <c r="K135" s="14">
        <f>IF(ISNUMBER(J135), (J135 - $B135) / $B135, "")</f>
        <v>-2.5220680958386236E-3</v>
      </c>
      <c r="L135" s="16">
        <f>IF(ISNUMBER(J135), $B145 * K135, "")</f>
        <v>-378.31021437579352</v>
      </c>
      <c r="M135" s="29">
        <v>77.8</v>
      </c>
      <c r="N135" s="14">
        <f>IF(ISNUMBER(M135), (M135 - $B135) / $B135, "")</f>
        <v>-1.8915510718789406E-2</v>
      </c>
      <c r="O135" s="16">
        <f>IF(ISNUMBER(M135), $B145 * N135, "")</f>
        <v>-2837.326607818411</v>
      </c>
      <c r="Q135" s="150"/>
      <c r="R135" s="151"/>
      <c r="S135" s="152"/>
    </row>
    <row r="136" spans="1:19" ht="17.25" thickBot="1">
      <c r="A136" s="109" t="s">
        <v>132</v>
      </c>
      <c r="B136" s="110">
        <v>49.7</v>
      </c>
      <c r="C136" s="70">
        <v>-2.0080320999999999E-3</v>
      </c>
      <c r="D136" s="15">
        <v>49.7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49.7</v>
      </c>
      <c r="H136" s="32">
        <f t="shared" ref="H136:H139" si="71">IF(ISNUMBER(G136), (G136 - $B136) / $B136, "")</f>
        <v>0</v>
      </c>
      <c r="I136" s="91">
        <f>IF(ISNUMBER(G136), $B145 * H136, "")</f>
        <v>0</v>
      </c>
      <c r="J136" s="15">
        <v>49.3</v>
      </c>
      <c r="K136" s="32">
        <f t="shared" ref="K136:K139" si="72">IF(ISNUMBER(J136), (J136 - $B136) / $B136, "")</f>
        <v>-8.0482897384306969E-3</v>
      </c>
      <c r="L136" s="18">
        <f>IF(ISNUMBER(J136), $B145 * K136, "")</f>
        <v>-1207.2434607646046</v>
      </c>
      <c r="M136" s="31">
        <v>49.1</v>
      </c>
      <c r="N136" s="32">
        <f t="shared" ref="N136:N139" si="73">IF(ISNUMBER(M136), (M136 - $B136) / $B136, "")</f>
        <v>-1.2072434607645902E-2</v>
      </c>
      <c r="O136" s="18">
        <f>IF(ISNUMBER(M136), $B145 * N136, "")</f>
        <v>-1810.8651911468853</v>
      </c>
      <c r="Q136" s="153"/>
      <c r="R136" s="154"/>
      <c r="S136" s="155"/>
    </row>
    <row r="137" spans="1:19" ht="17.25" thickBot="1">
      <c r="A137" s="109" t="s">
        <v>107</v>
      </c>
      <c r="B137" s="110">
        <v>38</v>
      </c>
      <c r="C137" s="70">
        <v>-2.6246719000000002E-3</v>
      </c>
      <c r="D137" s="15">
        <v>38</v>
      </c>
      <c r="E137" s="32">
        <f t="shared" si="70"/>
        <v>0</v>
      </c>
      <c r="F137" s="18">
        <f>IF(ISNUMBER(D137), $B145 * E137, "")</f>
        <v>0</v>
      </c>
      <c r="G137" s="31">
        <v>38.1</v>
      </c>
      <c r="H137" s="32">
        <f t="shared" si="71"/>
        <v>2.6315789473684583E-3</v>
      </c>
      <c r="I137" s="91">
        <f>IF(ISNUMBER(G137), $B145 * H137, "")</f>
        <v>394.73684210526875</v>
      </c>
      <c r="J137" s="15">
        <v>38.1</v>
      </c>
      <c r="K137" s="32">
        <f t="shared" si="72"/>
        <v>2.6315789473684583E-3</v>
      </c>
      <c r="L137" s="18">
        <f>IF(ISNUMBER(J137), $B145 * K137, "")</f>
        <v>394.73684210526875</v>
      </c>
      <c r="M137" s="31">
        <v>38</v>
      </c>
      <c r="N137" s="32">
        <f t="shared" si="73"/>
        <v>0</v>
      </c>
      <c r="O137" s="18">
        <f>IF(ISNUMBER(M137), $B145 * N137, "")</f>
        <v>0</v>
      </c>
      <c r="Q137" s="146"/>
      <c r="R137" s="146"/>
      <c r="S137" s="146"/>
    </row>
    <row r="138" spans="1:19" ht="17.25" thickBot="1">
      <c r="A138" s="109" t="s">
        <v>350</v>
      </c>
      <c r="B138" s="110">
        <v>6.16</v>
      </c>
      <c r="C138" s="70">
        <v>-3.2362459999999999E-3</v>
      </c>
      <c r="D138" s="15">
        <v>6.16</v>
      </c>
      <c r="E138" s="32">
        <f t="shared" si="70"/>
        <v>0</v>
      </c>
      <c r="F138" s="18">
        <f>IF(ISNUMBER(D138), $B145 * E138, "")</f>
        <v>0</v>
      </c>
      <c r="G138" s="31">
        <v>6.19</v>
      </c>
      <c r="H138" s="32">
        <f t="shared" si="71"/>
        <v>4.8701298701299108E-3</v>
      </c>
      <c r="I138" s="91">
        <f>IF(ISNUMBER(G138), $B145 * H138, "")</f>
        <v>730.51948051948659</v>
      </c>
      <c r="J138" s="15">
        <v>6.2</v>
      </c>
      <c r="K138" s="32">
        <f t="shared" si="72"/>
        <v>6.4935064935064991E-3</v>
      </c>
      <c r="L138" s="18">
        <f>IF(ISNUMBER(J138), $B145 * K138, "")</f>
        <v>974.02597402597485</v>
      </c>
      <c r="M138" s="31">
        <v>6.17</v>
      </c>
      <c r="N138" s="32">
        <f t="shared" si="73"/>
        <v>1.6233766233765888E-3</v>
      </c>
      <c r="O138" s="18">
        <f>IF(ISNUMBER(M138), $B145 * N138, "")</f>
        <v>243.50649350648831</v>
      </c>
      <c r="Q138" s="156"/>
      <c r="R138" s="156"/>
      <c r="S138" s="156"/>
    </row>
    <row r="139" spans="1:19" ht="17.25" thickBot="1">
      <c r="A139" s="111" t="s">
        <v>124</v>
      </c>
      <c r="B139" s="112">
        <v>30.6</v>
      </c>
      <c r="C139" s="71">
        <v>-3.2573290000000002E-3</v>
      </c>
      <c r="D139" s="20">
        <v>30.6</v>
      </c>
      <c r="E139" s="21">
        <f t="shared" si="70"/>
        <v>0</v>
      </c>
      <c r="F139" s="22">
        <f>IF(ISNUMBER(D139), $B145 * E139, "")</f>
        <v>0</v>
      </c>
      <c r="G139" s="30">
        <v>30.7</v>
      </c>
      <c r="H139" s="21">
        <f t="shared" si="71"/>
        <v>3.2679738562090806E-3</v>
      </c>
      <c r="I139" s="95">
        <f>IF(ISNUMBER(G139), $B145 * H139, "")</f>
        <v>490.19607843136208</v>
      </c>
      <c r="J139" s="20">
        <v>30.7</v>
      </c>
      <c r="K139" s="21">
        <f t="shared" si="72"/>
        <v>3.2679738562090806E-3</v>
      </c>
      <c r="L139" s="22">
        <f>IF(ISNUMBER(J139), $B145 * K139, "")</f>
        <v>490.19607843136208</v>
      </c>
      <c r="M139" s="30">
        <v>30.5</v>
      </c>
      <c r="N139" s="21">
        <f t="shared" si="73"/>
        <v>-3.2679738562091968E-3</v>
      </c>
      <c r="O139" s="22">
        <f>IF(ISNUMBER(M139), $B145 * N139, "")</f>
        <v>-490.19607843137953</v>
      </c>
      <c r="Q139" s="156"/>
      <c r="R139" s="156"/>
      <c r="S139" s="156"/>
    </row>
    <row r="140" spans="1:19" ht="17.25" thickBot="1">
      <c r="A140" s="109" t="s">
        <v>225</v>
      </c>
      <c r="B140" s="113">
        <v>57.2</v>
      </c>
      <c r="C140" s="73">
        <v>-3.4843206000000002E-3</v>
      </c>
      <c r="D140" s="96">
        <v>57.2</v>
      </c>
      <c r="E140" s="97">
        <f>IF(ISNUMBER(D140), (D140 - $B140) / $B140, "")</f>
        <v>0</v>
      </c>
      <c r="F140" s="98">
        <f>IF(ISNUMBER(D140), $B145 * E140, "")</f>
        <v>0</v>
      </c>
      <c r="G140" s="99">
        <v>57.6</v>
      </c>
      <c r="H140" s="97">
        <f>IF(ISNUMBER(G140), (G140 - $B140) / $B140, "")</f>
        <v>6.9930069930069678E-3</v>
      </c>
      <c r="I140" s="100">
        <f>IF(ISNUMBER(G140), $B145 * H140, "")</f>
        <v>1048.9510489510451</v>
      </c>
      <c r="J140" s="96">
        <v>57.2</v>
      </c>
      <c r="K140" s="97">
        <f>IF(ISNUMBER(J140), (J140 - $B140) / $B140, "")</f>
        <v>0</v>
      </c>
      <c r="L140" s="98">
        <f>IF(ISNUMBER(J140), $B145 * K140, "")</f>
        <v>0</v>
      </c>
      <c r="M140" s="99">
        <v>57</v>
      </c>
      <c r="N140" s="97">
        <f>IF(ISNUMBER(M140), (M140 - $B140) / $B140, "")</f>
        <v>-3.4965034965035459E-3</v>
      </c>
      <c r="O140" s="98">
        <f>IF(ISNUMBER(M140), $B145 * N140, "")</f>
        <v>-524.47552447553187</v>
      </c>
      <c r="Q140" s="146"/>
      <c r="R140" s="146"/>
      <c r="S140" s="146"/>
    </row>
    <row r="141" spans="1:19" ht="17.25" thickBot="1">
      <c r="A141" s="109" t="s">
        <v>155</v>
      </c>
      <c r="B141" s="110">
        <v>27.7</v>
      </c>
      <c r="C141" s="70">
        <v>-3.5971223E-3</v>
      </c>
      <c r="D141" s="15">
        <v>27.7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27.9</v>
      </c>
      <c r="H141" s="32">
        <f t="shared" ref="H141:H144" si="75">IF(ISNUMBER(G141), (G141 - $B141) / $B141, "")</f>
        <v>7.2202166064981692E-3</v>
      </c>
      <c r="I141" s="91">
        <f>IF(ISNUMBER(G141), $B145 * H141, "")</f>
        <v>1083.0324909747253</v>
      </c>
      <c r="J141" s="15">
        <v>27.9</v>
      </c>
      <c r="K141" s="32">
        <f t="shared" ref="K141:K144" si="76">IF(ISNUMBER(J141), (J141 - $B141) / $B141, "")</f>
        <v>7.2202166064981692E-3</v>
      </c>
      <c r="L141" s="18">
        <f>IF(ISNUMBER(J141), $B145 * K141, "")</f>
        <v>1083.0324909747253</v>
      </c>
      <c r="M141" s="31">
        <v>27.8</v>
      </c>
      <c r="N141" s="32">
        <f t="shared" ref="N141:N144" si="77">IF(ISNUMBER(M141), (M141 - $B141) / $B141, "")</f>
        <v>3.6101083032491488E-3</v>
      </c>
      <c r="O141" s="18">
        <f>IF(ISNUMBER(M141), $B145 * N141, "")</f>
        <v>541.51624548737232</v>
      </c>
      <c r="Q141" s="146"/>
      <c r="R141" s="146"/>
      <c r="S141" s="146"/>
    </row>
    <row r="142" spans="1:19" ht="17.25" thickBot="1">
      <c r="A142" s="109" t="s">
        <v>237</v>
      </c>
      <c r="B142" s="110">
        <v>27.5</v>
      </c>
      <c r="C142" s="70">
        <v>-3.6231884E-3</v>
      </c>
      <c r="D142" s="15">
        <v>27.5</v>
      </c>
      <c r="E142" s="32">
        <f t="shared" si="74"/>
        <v>0</v>
      </c>
      <c r="F142" s="18">
        <f>IF(ISNUMBER(D142), $B145 * E142, "")</f>
        <v>0</v>
      </c>
      <c r="G142" s="31">
        <v>27.8</v>
      </c>
      <c r="H142" s="32">
        <f t="shared" si="75"/>
        <v>1.0909090909090934E-2</v>
      </c>
      <c r="I142" s="91">
        <f>IF(ISNUMBER(G142), $B145 * H142, "")</f>
        <v>1636.3636363636401</v>
      </c>
      <c r="J142" s="15">
        <v>27.6</v>
      </c>
      <c r="K142" s="32">
        <f t="shared" si="76"/>
        <v>3.636363636363688E-3</v>
      </c>
      <c r="L142" s="18">
        <f>IF(ISNUMBER(J142), $B145 * K142, "")</f>
        <v>545.45454545455323</v>
      </c>
      <c r="M142" s="31">
        <v>27.5</v>
      </c>
      <c r="N142" s="32">
        <f t="shared" si="77"/>
        <v>0</v>
      </c>
      <c r="O142" s="18">
        <f>IF(ISNUMBER(M142), $B145 * N142, "")</f>
        <v>0</v>
      </c>
      <c r="Q142" s="146"/>
      <c r="R142" s="146"/>
      <c r="S142" s="146"/>
    </row>
    <row r="143" spans="1:19">
      <c r="A143" s="109" t="s">
        <v>329</v>
      </c>
      <c r="B143" s="110">
        <v>59.2</v>
      </c>
      <c r="C143" s="70">
        <v>-5.0420168000000001E-3</v>
      </c>
      <c r="D143" s="15">
        <v>59.2</v>
      </c>
      <c r="E143" s="32">
        <f t="shared" si="74"/>
        <v>0</v>
      </c>
      <c r="F143" s="18">
        <f>IF(ISNUMBER(D143), $B145 * E143, "")</f>
        <v>0</v>
      </c>
      <c r="G143" s="31">
        <v>59.3</v>
      </c>
      <c r="H143" s="32">
        <f t="shared" si="75"/>
        <v>1.689189189189093E-3</v>
      </c>
      <c r="I143" s="91">
        <f>IF(ISNUMBER(G143), $B145 * H143, "")</f>
        <v>253.37837837836395</v>
      </c>
      <c r="J143" s="15">
        <v>59.2</v>
      </c>
      <c r="K143" s="32">
        <f t="shared" si="76"/>
        <v>0</v>
      </c>
      <c r="L143" s="18">
        <f>IF(ISNUMBER(J143), $B145 * K143, "")</f>
        <v>0</v>
      </c>
      <c r="M143" s="31">
        <v>59.1</v>
      </c>
      <c r="N143" s="32">
        <f t="shared" si="77"/>
        <v>-1.6891891891892131E-3</v>
      </c>
      <c r="O143" s="18">
        <f>IF(ISNUMBER(M143), $B145 * N143, "")</f>
        <v>-253.37837837838197</v>
      </c>
      <c r="Q143" s="135"/>
      <c r="R143" s="136"/>
      <c r="S143" s="137"/>
    </row>
    <row r="144" spans="1:19" ht="17.25" thickBot="1">
      <c r="A144" s="114" t="s">
        <v>97</v>
      </c>
      <c r="B144" s="115">
        <v>8.0000000000000004E-4</v>
      </c>
      <c r="C144" s="72">
        <v>-0.11111111110000001</v>
      </c>
      <c r="D144" s="24">
        <v>8.0000000000000004E-4</v>
      </c>
      <c r="E144" s="25">
        <f t="shared" si="74"/>
        <v>0</v>
      </c>
      <c r="F144" s="94">
        <f>IF(ISNUMBER(D144), $B145 * E144, "")</f>
        <v>0</v>
      </c>
      <c r="G144" s="92">
        <v>8.9999999999999998E-4</v>
      </c>
      <c r="H144" s="25">
        <f t="shared" si="75"/>
        <v>0.12499999999999992</v>
      </c>
      <c r="I144" s="93">
        <f>IF(ISNUMBER(G144), $B145 * H144, "")</f>
        <v>18749.999999999989</v>
      </c>
      <c r="J144" s="24">
        <v>8.9999999999999998E-4</v>
      </c>
      <c r="K144" s="25">
        <f t="shared" si="76"/>
        <v>0.12499999999999992</v>
      </c>
      <c r="L144" s="94">
        <f>IF(ISNUMBER(J144), $B145 * K144, "")</f>
        <v>18749.999999999989</v>
      </c>
      <c r="M144" s="92">
        <v>8.9999999999999998E-4</v>
      </c>
      <c r="N144" s="25">
        <f t="shared" si="77"/>
        <v>0.12499999999999992</v>
      </c>
      <c r="O144" s="94">
        <f>IF(ISNUMBER(M144), $B145 * N144, "")</f>
        <v>18749.999999999989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1.0934162004884351E-2</v>
      </c>
      <c r="I145" s="28">
        <f>SUM(I125:I144)</f>
        <v>32802.486014653055</v>
      </c>
      <c r="J145" s="26" t="s">
        <v>258</v>
      </c>
      <c r="K145" s="27">
        <f>IF(COUNT(K125:K144), SUM(K125:K144) / COUNT(K125:K144), 0)</f>
        <v>1.0921980880673291E-2</v>
      </c>
      <c r="L145" s="28">
        <f>SUM(L125:L144)</f>
        <v>32765.942642019872</v>
      </c>
      <c r="M145" s="26" t="s">
        <v>258</v>
      </c>
      <c r="N145" s="27">
        <f>IF(COUNT(N125:N144), SUM(N125:N144) / COUNT(N125:N144), 0)</f>
        <v>7.1023977453733402E-3</v>
      </c>
      <c r="O145" s="28">
        <f>SUM(O125:O144)</f>
        <v>21307.19323612002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2023-01-13(금) 오전 00:00</v>
      </c>
      <c r="C150" s="198"/>
      <c r="D150" s="170" t="str">
        <f>TEXT($G$1, "[$-ko-KR]yyyy-mm-dd(ddd) ") &amp; "오후 14:00"</f>
        <v>2023-01-13(금) 오후 14:00</v>
      </c>
      <c r="E150" s="171"/>
      <c r="F150" s="172"/>
      <c r="G150" s="170" t="str">
        <f>TEXT($G$1, "[$-ko-KR]yyyy-mm-dd(ddd) ") &amp; "오후 19:00"</f>
        <v>2023-01-13(금) 오후 19:00</v>
      </c>
      <c r="H150" s="171"/>
      <c r="I150" s="172"/>
      <c r="J150" s="170" t="str">
        <f>TEXT($G$1, "[$-ko-KR]yyyy-mm-dd(ddd) ") &amp; "오후 21:00"</f>
        <v>2023-01-13(금) 오후 21:00</v>
      </c>
      <c r="K150" s="171"/>
      <c r="L150" s="172"/>
      <c r="M150" s="170" t="str">
        <f>TEXT($G$1+1, "[$-ko-KR]yyyy-mm-dd(ddd) ") &amp; "오전 00:00"</f>
        <v>2023-01-14(토)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199</v>
      </c>
      <c r="B152" s="108">
        <v>301</v>
      </c>
      <c r="C152" s="69">
        <v>3.3333333000000001E-3</v>
      </c>
      <c r="D152" s="13">
        <v>301</v>
      </c>
      <c r="E152" s="14">
        <f>IF(ISNUMBER(D152), (D152 - $B152) / $B152, "")</f>
        <v>0</v>
      </c>
      <c r="F152" s="16">
        <f>IF(ISNUMBER(D152), $B172 * E152, "")</f>
        <v>0</v>
      </c>
      <c r="G152" s="29">
        <v>302</v>
      </c>
      <c r="H152" s="14">
        <f>IF(ISNUMBER(G152), (G152 - $B152) / $B152, "")</f>
        <v>3.3222591362126247E-3</v>
      </c>
      <c r="I152" s="90">
        <f>IF(ISNUMBER(G152), $B172 * H152, "")</f>
        <v>498.33887043189372</v>
      </c>
      <c r="J152" s="13">
        <v>300</v>
      </c>
      <c r="K152" s="14">
        <f>IF(ISNUMBER(J152), (J152 - $B152) / $B152, "")</f>
        <v>-3.3222591362126247E-3</v>
      </c>
      <c r="L152" s="16">
        <f>IF(ISNUMBER(J152), $B172 * K152, "")</f>
        <v>-498.33887043189372</v>
      </c>
      <c r="M152" s="29">
        <v>300</v>
      </c>
      <c r="N152" s="14">
        <f>IF(ISNUMBER(M152), (M152 - $B152) / $B152, "")</f>
        <v>-3.3222591362126247E-3</v>
      </c>
      <c r="O152" s="16">
        <f>IF(ISNUMBER(M152), $B172 * N152, "")</f>
        <v>-498.33887043189372</v>
      </c>
      <c r="Q152" s="156"/>
      <c r="R152" s="156"/>
      <c r="S152" s="156"/>
    </row>
    <row r="153" spans="1:19" ht="17.25" thickBot="1">
      <c r="A153" s="109" t="s">
        <v>231</v>
      </c>
      <c r="B153" s="110">
        <v>341</v>
      </c>
      <c r="C153" s="70">
        <v>2.9411764999999999E-3</v>
      </c>
      <c r="D153" s="15">
        <v>341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343</v>
      </c>
      <c r="H153" s="32">
        <f t="shared" ref="H153:H156" si="79">IF(ISNUMBER(G153), (G153 - $B153) / $B153, "")</f>
        <v>5.8651026392961877E-3</v>
      </c>
      <c r="I153" s="91">
        <f>IF(ISNUMBER(G153), $B172 * H153, "")</f>
        <v>879.76539589442814</v>
      </c>
      <c r="J153" s="15">
        <v>342</v>
      </c>
      <c r="K153" s="32">
        <f t="shared" ref="K153:K156" si="80">IF(ISNUMBER(J153), (J153 - $B153) / $B153, "")</f>
        <v>2.9325513196480938E-3</v>
      </c>
      <c r="L153" s="18">
        <f>IF(ISNUMBER(J153), $B172 * K153, "")</f>
        <v>439.88269794721407</v>
      </c>
      <c r="M153" s="31">
        <v>339</v>
      </c>
      <c r="N153" s="32">
        <f t="shared" ref="N153:N156" si="81">IF(ISNUMBER(M153), (M153 - $B153) / $B153, "")</f>
        <v>-5.8651026392961877E-3</v>
      </c>
      <c r="O153" s="18">
        <f>IF(ISNUMBER(M153), $B172 * N153, "")</f>
        <v>-879.76539589442814</v>
      </c>
      <c r="Q153" s="156"/>
      <c r="R153" s="156"/>
      <c r="S153" s="156"/>
    </row>
    <row r="154" spans="1:19" ht="17.25" thickBot="1">
      <c r="A154" s="109" t="s">
        <v>341</v>
      </c>
      <c r="B154" s="110">
        <v>729</v>
      </c>
      <c r="C154" s="70">
        <v>2.7510315999999999E-3</v>
      </c>
      <c r="D154" s="15">
        <v>729</v>
      </c>
      <c r="E154" s="32">
        <f t="shared" si="78"/>
        <v>0</v>
      </c>
      <c r="F154" s="18">
        <f>IF(ISNUMBER(D154), $B172 * E154, "")</f>
        <v>0</v>
      </c>
      <c r="G154" s="31">
        <v>731</v>
      </c>
      <c r="H154" s="32">
        <f t="shared" si="79"/>
        <v>2.7434842249657062E-3</v>
      </c>
      <c r="I154" s="91">
        <f>IF(ISNUMBER(G154), $B172 * H154, "")</f>
        <v>411.52263374485591</v>
      </c>
      <c r="J154" s="15">
        <v>729</v>
      </c>
      <c r="K154" s="32">
        <f t="shared" si="80"/>
        <v>0</v>
      </c>
      <c r="L154" s="18">
        <f>IF(ISNUMBER(J154), $B172 * K154, "")</f>
        <v>0</v>
      </c>
      <c r="M154" s="31">
        <v>727</v>
      </c>
      <c r="N154" s="32">
        <f t="shared" si="81"/>
        <v>-2.7434842249657062E-3</v>
      </c>
      <c r="O154" s="18">
        <f>IF(ISNUMBER(M154), $B172 * N154, "")</f>
        <v>-411.52263374485591</v>
      </c>
      <c r="Q154" s="146"/>
      <c r="R154" s="146"/>
      <c r="S154" s="146"/>
    </row>
    <row r="155" spans="1:19" ht="17.25" thickBot="1">
      <c r="A155" s="109" t="s">
        <v>219</v>
      </c>
      <c r="B155" s="110">
        <v>389</v>
      </c>
      <c r="C155" s="70">
        <v>2.5773196E-3</v>
      </c>
      <c r="D155" s="15">
        <v>389</v>
      </c>
      <c r="E155" s="32">
        <f t="shared" si="78"/>
        <v>0</v>
      </c>
      <c r="F155" s="18">
        <f>IF(ISNUMBER(D155), $B172 * E155, "")</f>
        <v>0</v>
      </c>
      <c r="G155" s="31">
        <v>389</v>
      </c>
      <c r="H155" s="32">
        <f t="shared" si="79"/>
        <v>0</v>
      </c>
      <c r="I155" s="91">
        <f>IF(ISNUMBER(G155), $B172 * H155, "")</f>
        <v>0</v>
      </c>
      <c r="J155" s="15">
        <v>386</v>
      </c>
      <c r="K155" s="32">
        <f t="shared" si="80"/>
        <v>-7.7120822622107968E-3</v>
      </c>
      <c r="L155" s="18">
        <f>IF(ISNUMBER(J155), $B172 * K155, "")</f>
        <v>-1156.8123393316196</v>
      </c>
      <c r="M155" s="31">
        <v>385</v>
      </c>
      <c r="N155" s="32">
        <f t="shared" si="81"/>
        <v>-1.0282776349614395E-2</v>
      </c>
      <c r="O155" s="18">
        <f>IF(ISNUMBER(M155), $B172 * N155, "")</f>
        <v>-1542.4164524421592</v>
      </c>
      <c r="Q155" s="146"/>
      <c r="R155" s="146"/>
      <c r="S155" s="146"/>
    </row>
    <row r="156" spans="1:19" ht="17.25" thickBot="1">
      <c r="A156" s="111" t="s">
        <v>81</v>
      </c>
      <c r="B156" s="112">
        <v>413</v>
      </c>
      <c r="C156" s="71">
        <v>0</v>
      </c>
      <c r="D156" s="20">
        <v>413</v>
      </c>
      <c r="E156" s="21">
        <f t="shared" si="78"/>
        <v>0</v>
      </c>
      <c r="F156" s="22">
        <f>IF(ISNUMBER(D156), $B172 * E156, "")</f>
        <v>0</v>
      </c>
      <c r="G156" s="30">
        <v>418</v>
      </c>
      <c r="H156" s="21">
        <f t="shared" si="79"/>
        <v>1.2106537530266344E-2</v>
      </c>
      <c r="I156" s="95">
        <f>IF(ISNUMBER(G156), $B172 * H156, "")</f>
        <v>1815.9806295399515</v>
      </c>
      <c r="J156" s="20">
        <v>415</v>
      </c>
      <c r="K156" s="21">
        <f t="shared" si="80"/>
        <v>4.8426150121065378E-3</v>
      </c>
      <c r="L156" s="22">
        <f>IF(ISNUMBER(J156), $B172 * K156, "")</f>
        <v>726.39225181598067</v>
      </c>
      <c r="M156" s="30">
        <v>412</v>
      </c>
      <c r="N156" s="21">
        <f t="shared" si="81"/>
        <v>-2.4213075060532689E-3</v>
      </c>
      <c r="O156" s="22">
        <f>IF(ISNUMBER(M156), $B172 * N156, "")</f>
        <v>-363.19612590799034</v>
      </c>
      <c r="Q156" s="146"/>
      <c r="R156" s="146"/>
      <c r="S156" s="146"/>
    </row>
    <row r="157" spans="1:19" ht="17.25" thickBot="1">
      <c r="A157" s="109" t="s">
        <v>183</v>
      </c>
      <c r="B157" s="113">
        <v>129</v>
      </c>
      <c r="C157" s="73">
        <v>0</v>
      </c>
      <c r="D157" s="96">
        <v>129</v>
      </c>
      <c r="E157" s="97">
        <f>IF(ISNUMBER(D157), (D157 - $B157) / $B157, "")</f>
        <v>0</v>
      </c>
      <c r="F157" s="98">
        <f>IF(ISNUMBER(D157), $B172 * E157, "")</f>
        <v>0</v>
      </c>
      <c r="G157" s="99">
        <v>129</v>
      </c>
      <c r="H157" s="97">
        <f>IF(ISNUMBER(G157), (G157 - $B157) / $B157, "")</f>
        <v>0</v>
      </c>
      <c r="I157" s="100">
        <f>IF(ISNUMBER(G157), $B172 * H157, "")</f>
        <v>0</v>
      </c>
      <c r="J157" s="96">
        <v>129</v>
      </c>
      <c r="K157" s="97">
        <f>IF(ISNUMBER(J157), (J157 - $B157) / $B157, "")</f>
        <v>0</v>
      </c>
      <c r="L157" s="98">
        <f>IF(ISNUMBER(J157), $B172 * K157, "")</f>
        <v>0</v>
      </c>
      <c r="M157" s="99">
        <v>128</v>
      </c>
      <c r="N157" s="97">
        <f>IF(ISNUMBER(M157), (M157 - $B157) / $B157, "")</f>
        <v>-7.7519379844961239E-3</v>
      </c>
      <c r="O157" s="98">
        <f>IF(ISNUMBER(M157), $B172 * N157, "")</f>
        <v>-1162.7906976744187</v>
      </c>
      <c r="Q157" s="146"/>
      <c r="R157" s="146"/>
      <c r="S157" s="146"/>
    </row>
    <row r="158" spans="1:19" ht="17.25" thickBot="1">
      <c r="A158" s="109" t="s">
        <v>326</v>
      </c>
      <c r="B158" s="110">
        <v>266</v>
      </c>
      <c r="C158" s="70">
        <v>0</v>
      </c>
      <c r="D158" s="15">
        <v>266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269</v>
      </c>
      <c r="H158" s="32">
        <f t="shared" ref="H158:H161" si="83">IF(ISNUMBER(G158), (G158 - $B158) / $B158, "")</f>
        <v>1.1278195488721804E-2</v>
      </c>
      <c r="I158" s="91">
        <f>IF(ISNUMBER(G158), $B172 * H158, "")</f>
        <v>1691.7293233082705</v>
      </c>
      <c r="J158" s="15">
        <v>266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264</v>
      </c>
      <c r="N158" s="32">
        <f t="shared" ref="N158:N161" si="85">IF(ISNUMBER(M158), (M158 - $B158) / $B158, "")</f>
        <v>-7.5187969924812026E-3</v>
      </c>
      <c r="O158" s="18">
        <f>IF(ISNUMBER(M158), $B172 * N158, "")</f>
        <v>-1127.8195488721803</v>
      </c>
      <c r="Q158" s="146"/>
      <c r="R158" s="146"/>
      <c r="S158" s="146"/>
    </row>
    <row r="159" spans="1:19" ht="17.25" thickBot="1">
      <c r="A159" s="109" t="s">
        <v>159</v>
      </c>
      <c r="B159" s="110">
        <v>170</v>
      </c>
      <c r="C159" s="70">
        <v>0</v>
      </c>
      <c r="D159" s="15">
        <v>170</v>
      </c>
      <c r="E159" s="32">
        <f t="shared" si="82"/>
        <v>0</v>
      </c>
      <c r="F159" s="18">
        <f>IF(ISNUMBER(D159), $B172 * E159, "")</f>
        <v>0</v>
      </c>
      <c r="G159" s="31">
        <v>169</v>
      </c>
      <c r="H159" s="32">
        <f t="shared" si="83"/>
        <v>-5.8823529411764705E-3</v>
      </c>
      <c r="I159" s="91">
        <f>IF(ISNUMBER(G159), $B172 * H159, "")</f>
        <v>-882.35294117647061</v>
      </c>
      <c r="J159" s="15">
        <v>169</v>
      </c>
      <c r="K159" s="32">
        <f t="shared" si="84"/>
        <v>-5.8823529411764705E-3</v>
      </c>
      <c r="L159" s="18">
        <f>IF(ISNUMBER(J159), $B172 * K159, "")</f>
        <v>-882.35294117647061</v>
      </c>
      <c r="M159" s="31">
        <v>169</v>
      </c>
      <c r="N159" s="32">
        <f t="shared" si="85"/>
        <v>-5.8823529411764705E-3</v>
      </c>
      <c r="O159" s="18">
        <f>IF(ISNUMBER(M159), $B172 * N159, "")</f>
        <v>-882.35294117647061</v>
      </c>
      <c r="Q159" s="146"/>
      <c r="R159" s="146"/>
      <c r="S159" s="146"/>
    </row>
    <row r="160" spans="1:19" ht="17.25" thickBot="1">
      <c r="A160" s="109" t="s">
        <v>66</v>
      </c>
      <c r="B160" s="110">
        <v>664</v>
      </c>
      <c r="C160" s="70">
        <v>0</v>
      </c>
      <c r="D160" s="15">
        <v>664</v>
      </c>
      <c r="E160" s="32">
        <f t="shared" si="82"/>
        <v>0</v>
      </c>
      <c r="F160" s="18">
        <f>IF(ISNUMBER(D160), $B172 * E160, "")</f>
        <v>0</v>
      </c>
      <c r="G160" s="31">
        <v>661</v>
      </c>
      <c r="H160" s="32">
        <f t="shared" si="83"/>
        <v>-4.5180722891566263E-3</v>
      </c>
      <c r="I160" s="91">
        <f>IF(ISNUMBER(G160), $B172 * H160, "")</f>
        <v>-677.71084337349396</v>
      </c>
      <c r="J160" s="15">
        <v>663</v>
      </c>
      <c r="K160" s="32">
        <f t="shared" si="84"/>
        <v>-1.5060240963855422E-3</v>
      </c>
      <c r="L160" s="18">
        <f>IF(ISNUMBER(J160), $B172 * K160, "")</f>
        <v>-225.90361445783134</v>
      </c>
      <c r="M160" s="31">
        <v>662</v>
      </c>
      <c r="N160" s="32">
        <f t="shared" si="85"/>
        <v>-3.0120481927710845E-3</v>
      </c>
      <c r="O160" s="18">
        <f>IF(ISNUMBER(M160), $B172 * N160, "")</f>
        <v>-451.80722891566268</v>
      </c>
      <c r="Q160" s="33"/>
      <c r="R160" s="33"/>
    </row>
    <row r="161" spans="1:19" ht="17.25" thickBot="1">
      <c r="A161" s="114" t="s">
        <v>317</v>
      </c>
      <c r="B161" s="115">
        <v>635</v>
      </c>
      <c r="C161" s="72">
        <v>0</v>
      </c>
      <c r="D161" s="24">
        <v>635</v>
      </c>
      <c r="E161" s="25">
        <f t="shared" si="82"/>
        <v>0</v>
      </c>
      <c r="F161" s="94">
        <f>IF(ISNUMBER(D161), $B172 * E161, "")</f>
        <v>0</v>
      </c>
      <c r="G161" s="92">
        <v>637</v>
      </c>
      <c r="H161" s="25">
        <f t="shared" si="83"/>
        <v>3.1496062992125984E-3</v>
      </c>
      <c r="I161" s="93">
        <f>IF(ISNUMBER(G161), $B172 * H161, "")</f>
        <v>472.44094488188978</v>
      </c>
      <c r="J161" s="24">
        <v>633</v>
      </c>
      <c r="K161" s="25">
        <f t="shared" si="84"/>
        <v>-3.1496062992125984E-3</v>
      </c>
      <c r="L161" s="94">
        <f>IF(ISNUMBER(J161), $B172 * K161, "")</f>
        <v>-472.44094488188978</v>
      </c>
      <c r="M161" s="92">
        <v>628</v>
      </c>
      <c r="N161" s="25">
        <f t="shared" si="85"/>
        <v>-1.1023622047244094E-2</v>
      </c>
      <c r="O161" s="94">
        <f>IF(ISNUMBER(M161), $B172 * N161, "")</f>
        <v>-1653.543307086614</v>
      </c>
      <c r="Q161" s="147"/>
      <c r="R161" s="148"/>
      <c r="S161" s="149"/>
    </row>
    <row r="162" spans="1:19">
      <c r="A162" s="107" t="s">
        <v>345</v>
      </c>
      <c r="B162" s="108">
        <v>120</v>
      </c>
      <c r="C162" s="69">
        <v>0</v>
      </c>
      <c r="D162" s="13">
        <v>120</v>
      </c>
      <c r="E162" s="14">
        <f>IF(ISNUMBER(D162), (D162 - $B162) / $B162, "")</f>
        <v>0</v>
      </c>
      <c r="F162" s="16">
        <f>IF(ISNUMBER(D162), $B172 * E162, "")</f>
        <v>0</v>
      </c>
      <c r="G162" s="29">
        <v>121</v>
      </c>
      <c r="H162" s="14">
        <f>IF(ISNUMBER(G162), (G162 - $B162) / $B162, "")</f>
        <v>8.3333333333333332E-3</v>
      </c>
      <c r="I162" s="90">
        <f>IF(ISNUMBER(G162), $B172 * H162, "")</f>
        <v>1250</v>
      </c>
      <c r="J162" s="13">
        <v>119</v>
      </c>
      <c r="K162" s="14">
        <f>IF(ISNUMBER(J162), (J162 - $B162) / $B162, "")</f>
        <v>-8.3333333333333332E-3</v>
      </c>
      <c r="L162" s="16">
        <f>IF(ISNUMBER(J162), $B172 * K162, "")</f>
        <v>-1250</v>
      </c>
      <c r="M162" s="29">
        <v>120</v>
      </c>
      <c r="N162" s="14">
        <f>IF(ISNUMBER(M162), (M162 - $B162) / $B162, "")</f>
        <v>0</v>
      </c>
      <c r="O162" s="16">
        <f>IF(ISNUMBER(M162), $B172 * N162, "")</f>
        <v>0</v>
      </c>
      <c r="Q162" s="150"/>
      <c r="R162" s="151"/>
      <c r="S162" s="152"/>
    </row>
    <row r="163" spans="1:19" ht="17.25" thickBot="1">
      <c r="A163" s="109" t="s">
        <v>51</v>
      </c>
      <c r="B163" s="110">
        <v>103</v>
      </c>
      <c r="C163" s="70">
        <v>0</v>
      </c>
      <c r="D163" s="15">
        <v>103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104</v>
      </c>
      <c r="H163" s="32">
        <f t="shared" ref="H163:H166" si="87">IF(ISNUMBER(G163), (G163 - $B163) / $B163, "")</f>
        <v>9.7087378640776691E-3</v>
      </c>
      <c r="I163" s="91">
        <f>IF(ISNUMBER(G163), $B172 * H163, "")</f>
        <v>1456.3106796116504</v>
      </c>
      <c r="J163" s="15">
        <v>102</v>
      </c>
      <c r="K163" s="32">
        <f t="shared" ref="K163:K166" si="88">IF(ISNUMBER(J163), (J163 - $B163) / $B163, "")</f>
        <v>-9.7087378640776691E-3</v>
      </c>
      <c r="L163" s="18">
        <f>IF(ISNUMBER(J163), $B172 * K163, "")</f>
        <v>-1456.3106796116504</v>
      </c>
      <c r="M163" s="31">
        <v>102</v>
      </c>
      <c r="N163" s="32">
        <f t="shared" ref="N163:N166" si="89">IF(ISNUMBER(M163), (M163 - $B163) / $B163, "")</f>
        <v>-9.7087378640776691E-3</v>
      </c>
      <c r="O163" s="18">
        <f>IF(ISNUMBER(M163), $B172 * N163, "")</f>
        <v>-1456.3106796116504</v>
      </c>
      <c r="Q163" s="153"/>
      <c r="R163" s="154"/>
      <c r="S163" s="155"/>
    </row>
    <row r="164" spans="1:19" ht="17.25" thickBot="1">
      <c r="A164" s="109" t="s">
        <v>130</v>
      </c>
      <c r="B164" s="110">
        <v>732</v>
      </c>
      <c r="C164" s="70">
        <v>-1.3642565000000001E-3</v>
      </c>
      <c r="D164" s="15">
        <v>732</v>
      </c>
      <c r="E164" s="32">
        <f t="shared" si="86"/>
        <v>0</v>
      </c>
      <c r="F164" s="18">
        <f>IF(ISNUMBER(D164), $B172 * E164, "")</f>
        <v>0</v>
      </c>
      <c r="G164" s="31">
        <v>738</v>
      </c>
      <c r="H164" s="32">
        <f t="shared" si="87"/>
        <v>8.1967213114754103E-3</v>
      </c>
      <c r="I164" s="91">
        <f>IF(ISNUMBER(G164), $B172 * H164, "")</f>
        <v>1229.5081967213116</v>
      </c>
      <c r="J164" s="15">
        <v>734</v>
      </c>
      <c r="K164" s="32">
        <f t="shared" si="88"/>
        <v>2.7322404371584699E-3</v>
      </c>
      <c r="L164" s="18">
        <f>IF(ISNUMBER(J164), $B172 * K164, "")</f>
        <v>409.8360655737705</v>
      </c>
      <c r="M164" s="31">
        <v>727</v>
      </c>
      <c r="N164" s="32">
        <f t="shared" si="89"/>
        <v>-6.8306010928961746E-3</v>
      </c>
      <c r="O164" s="18">
        <f>IF(ISNUMBER(M164), $B172 * N164, "")</f>
        <v>-1024.5901639344263</v>
      </c>
      <c r="Q164" s="146"/>
      <c r="R164" s="146"/>
      <c r="S164" s="146"/>
    </row>
    <row r="165" spans="1:19" ht="17.25" thickBot="1">
      <c r="A165" s="109" t="s">
        <v>239</v>
      </c>
      <c r="B165" s="110">
        <v>441</v>
      </c>
      <c r="C165" s="70">
        <v>-2.2624434E-3</v>
      </c>
      <c r="D165" s="15">
        <v>441</v>
      </c>
      <c r="E165" s="32">
        <f t="shared" si="86"/>
        <v>0</v>
      </c>
      <c r="F165" s="18">
        <f>IF(ISNUMBER(D165), $B172 * E165, "")</f>
        <v>0</v>
      </c>
      <c r="G165" s="31">
        <v>442</v>
      </c>
      <c r="H165" s="32">
        <f t="shared" si="87"/>
        <v>2.2675736961451248E-3</v>
      </c>
      <c r="I165" s="91">
        <f>IF(ISNUMBER(G165), $B172 * H165, "")</f>
        <v>340.13605442176873</v>
      </c>
      <c r="J165" s="15">
        <v>442</v>
      </c>
      <c r="K165" s="32">
        <f t="shared" si="88"/>
        <v>2.2675736961451248E-3</v>
      </c>
      <c r="L165" s="18">
        <f>IF(ISNUMBER(J165), $B172 * K165, "")</f>
        <v>340.13605442176873</v>
      </c>
      <c r="M165" s="31">
        <v>439</v>
      </c>
      <c r="N165" s="32">
        <f t="shared" si="89"/>
        <v>-4.5351473922902496E-3</v>
      </c>
      <c r="O165" s="18">
        <f>IF(ISNUMBER(M165), $B172 * N165, "")</f>
        <v>-680.27210884353747</v>
      </c>
      <c r="Q165" s="156"/>
      <c r="R165" s="156"/>
      <c r="S165" s="156"/>
    </row>
    <row r="166" spans="1:19" ht="17.25" thickBot="1">
      <c r="A166" s="111" t="s">
        <v>187</v>
      </c>
      <c r="B166" s="112">
        <v>766</v>
      </c>
      <c r="C166" s="71">
        <v>-3.9011703999999999E-3</v>
      </c>
      <c r="D166" s="20">
        <v>766</v>
      </c>
      <c r="E166" s="21">
        <f t="shared" si="86"/>
        <v>0</v>
      </c>
      <c r="F166" s="22">
        <f>IF(ISNUMBER(D166), $B172 * E166, "")</f>
        <v>0</v>
      </c>
      <c r="G166" s="30">
        <v>768</v>
      </c>
      <c r="H166" s="21">
        <f t="shared" si="87"/>
        <v>2.6109660574412533E-3</v>
      </c>
      <c r="I166" s="95">
        <f>IF(ISNUMBER(G166), $B172 * H166, "")</f>
        <v>391.64490861618799</v>
      </c>
      <c r="J166" s="20">
        <v>771</v>
      </c>
      <c r="K166" s="21">
        <f t="shared" si="88"/>
        <v>6.5274151436031328E-3</v>
      </c>
      <c r="L166" s="22">
        <f>IF(ISNUMBER(J166), $B172 * K166, "")</f>
        <v>979.11227154046992</v>
      </c>
      <c r="M166" s="30">
        <v>765</v>
      </c>
      <c r="N166" s="21">
        <f t="shared" si="89"/>
        <v>-1.3054830287206266E-3</v>
      </c>
      <c r="O166" s="22">
        <f>IF(ISNUMBER(M166), $B172 * N166, "")</f>
        <v>-195.822454308094</v>
      </c>
      <c r="Q166" s="156"/>
      <c r="R166" s="156"/>
      <c r="S166" s="156"/>
    </row>
    <row r="167" spans="1:19" ht="17.25" thickBot="1">
      <c r="A167" s="109" t="s">
        <v>223</v>
      </c>
      <c r="B167" s="113">
        <v>209</v>
      </c>
      <c r="C167" s="73">
        <v>-4.7619048000000002E-3</v>
      </c>
      <c r="D167" s="96">
        <v>209</v>
      </c>
      <c r="E167" s="97">
        <f>IF(ISNUMBER(D167), (D167 - $B167) / $B167, "")</f>
        <v>0</v>
      </c>
      <c r="F167" s="98">
        <f>IF(ISNUMBER(D167), $B172 * E167, "")</f>
        <v>0</v>
      </c>
      <c r="G167" s="99">
        <v>211</v>
      </c>
      <c r="H167" s="97">
        <f>IF(ISNUMBER(G167), (G167 - $B167) / $B167, "")</f>
        <v>9.5693779904306216E-3</v>
      </c>
      <c r="I167" s="100">
        <f>IF(ISNUMBER(G167), $B172 * H167, "")</f>
        <v>1435.4066985645932</v>
      </c>
      <c r="J167" s="96">
        <v>210</v>
      </c>
      <c r="K167" s="97">
        <f>IF(ISNUMBER(J167), (J167 - $B167) / $B167, "")</f>
        <v>4.7846889952153108E-3</v>
      </c>
      <c r="L167" s="98">
        <f>IF(ISNUMBER(J167), $B172 * K167, "")</f>
        <v>717.70334928229659</v>
      </c>
      <c r="M167" s="99">
        <v>210</v>
      </c>
      <c r="N167" s="97">
        <f>IF(ISNUMBER(M167), (M167 - $B167) / $B167, "")</f>
        <v>4.7846889952153108E-3</v>
      </c>
      <c r="O167" s="98">
        <f>IF(ISNUMBER(M167), $B172 * N167, "")</f>
        <v>717.70334928229659</v>
      </c>
      <c r="Q167" s="146"/>
      <c r="R167" s="146"/>
      <c r="S167" s="146"/>
    </row>
    <row r="168" spans="1:19" ht="17.25" thickBot="1">
      <c r="A168" s="109" t="s">
        <v>157</v>
      </c>
      <c r="B168" s="110">
        <v>215</v>
      </c>
      <c r="C168" s="70">
        <v>-9.2165899000000006E-3</v>
      </c>
      <c r="D168" s="15">
        <v>215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216</v>
      </c>
      <c r="H168" s="32">
        <f t="shared" ref="H168:H171" si="91">IF(ISNUMBER(G168), (G168 - $B168) / $B168, "")</f>
        <v>4.6511627906976744E-3</v>
      </c>
      <c r="I168" s="91">
        <f>IF(ISNUMBER(G168), $B172 * H168, "")</f>
        <v>697.67441860465112</v>
      </c>
      <c r="J168" s="15">
        <v>216</v>
      </c>
      <c r="K168" s="32">
        <f t="shared" ref="K168:K171" si="92">IF(ISNUMBER(J168), (J168 - $B168) / $B168, "")</f>
        <v>4.6511627906976744E-3</v>
      </c>
      <c r="L168" s="18">
        <f>IF(ISNUMBER(J168), $B172 * K168, "")</f>
        <v>697.67441860465112</v>
      </c>
      <c r="M168" s="31">
        <v>214</v>
      </c>
      <c r="N168" s="32">
        <f t="shared" ref="N168:N171" si="93">IF(ISNUMBER(M168), (M168 - $B168) / $B168, "")</f>
        <v>-4.6511627906976744E-3</v>
      </c>
      <c r="O168" s="18">
        <f>IF(ISNUMBER(M168), $B172 * N168, "")</f>
        <v>-697.67441860465112</v>
      </c>
      <c r="Q168" s="146"/>
      <c r="R168" s="146"/>
      <c r="S168" s="146"/>
    </row>
    <row r="169" spans="1:19" ht="17.25" thickBot="1">
      <c r="A169" s="109" t="s">
        <v>176</v>
      </c>
      <c r="B169" s="110">
        <v>304</v>
      </c>
      <c r="C169" s="70">
        <v>-9.7719869999999993E-3</v>
      </c>
      <c r="D169" s="15">
        <v>304</v>
      </c>
      <c r="E169" s="32">
        <f t="shared" si="90"/>
        <v>0</v>
      </c>
      <c r="F169" s="18">
        <f>IF(ISNUMBER(D169), $B172 * E169, "")</f>
        <v>0</v>
      </c>
      <c r="G169" s="31">
        <v>307</v>
      </c>
      <c r="H169" s="32">
        <f t="shared" si="91"/>
        <v>9.8684210526315784E-3</v>
      </c>
      <c r="I169" s="91">
        <f>IF(ISNUMBER(G169), $B172 * H169, "")</f>
        <v>1480.2631578947367</v>
      </c>
      <c r="J169" s="15">
        <v>306</v>
      </c>
      <c r="K169" s="32">
        <f t="shared" si="92"/>
        <v>6.5789473684210523E-3</v>
      </c>
      <c r="L169" s="18">
        <f>IF(ISNUMBER(J169), $B172 * K169, "")</f>
        <v>986.8421052631578</v>
      </c>
      <c r="M169" s="31">
        <v>307</v>
      </c>
      <c r="N169" s="32">
        <f t="shared" si="93"/>
        <v>9.8684210526315784E-3</v>
      </c>
      <c r="O169" s="18">
        <f>IF(ISNUMBER(M169), $B172 * N169, "")</f>
        <v>1480.2631578947367</v>
      </c>
      <c r="Q169" s="146"/>
      <c r="R169" s="146"/>
      <c r="S169" s="146"/>
    </row>
    <row r="170" spans="1:19">
      <c r="A170" s="109" t="s">
        <v>205</v>
      </c>
      <c r="B170" s="110">
        <v>100</v>
      </c>
      <c r="C170" s="70">
        <v>-9.9009900999999997E-3</v>
      </c>
      <c r="D170" s="15">
        <v>100</v>
      </c>
      <c r="E170" s="32">
        <f t="shared" si="90"/>
        <v>0</v>
      </c>
      <c r="F170" s="18">
        <f>IF(ISNUMBER(D170), $B172 * E170, "")</f>
        <v>0</v>
      </c>
      <c r="G170" s="31">
        <v>101</v>
      </c>
      <c r="H170" s="32">
        <f t="shared" si="91"/>
        <v>0.01</v>
      </c>
      <c r="I170" s="91">
        <f>IF(ISNUMBER(G170), $B172 * H170, "")</f>
        <v>1500</v>
      </c>
      <c r="J170" s="15">
        <v>101</v>
      </c>
      <c r="K170" s="32">
        <f t="shared" si="92"/>
        <v>0.01</v>
      </c>
      <c r="L170" s="18">
        <f>IF(ISNUMBER(J170), $B172 * K170, "")</f>
        <v>1500</v>
      </c>
      <c r="M170" s="31">
        <v>100</v>
      </c>
      <c r="N170" s="32">
        <f t="shared" si="93"/>
        <v>0</v>
      </c>
      <c r="O170" s="18">
        <f>IF(ISNUMBER(M170), $B172 * N170, "")</f>
        <v>0</v>
      </c>
      <c r="Q170" s="135"/>
      <c r="R170" s="136"/>
      <c r="S170" s="137"/>
    </row>
    <row r="171" spans="1:19" ht="17.25" thickBot="1">
      <c r="A171" s="114" t="s">
        <v>319</v>
      </c>
      <c r="B171" s="115">
        <v>431</v>
      </c>
      <c r="C171" s="72">
        <v>-1.14678899E-2</v>
      </c>
      <c r="D171" s="24">
        <v>431</v>
      </c>
      <c r="E171" s="25">
        <f t="shared" si="90"/>
        <v>0</v>
      </c>
      <c r="F171" s="94">
        <f>IF(ISNUMBER(D171), $B172 * E171, "")</f>
        <v>0</v>
      </c>
      <c r="G171" s="92">
        <v>443</v>
      </c>
      <c r="H171" s="25">
        <f t="shared" si="91"/>
        <v>2.7842227378190254E-2</v>
      </c>
      <c r="I171" s="93">
        <f>IF(ISNUMBER(G171), $B172 * H171, "")</f>
        <v>4176.3341067285382</v>
      </c>
      <c r="J171" s="24">
        <v>439</v>
      </c>
      <c r="K171" s="25">
        <f t="shared" si="92"/>
        <v>1.8561484918793503E-2</v>
      </c>
      <c r="L171" s="94">
        <f>IF(ISNUMBER(J171), $B172 * K171, "")</f>
        <v>2784.2227378190255</v>
      </c>
      <c r="M171" s="92">
        <v>431</v>
      </c>
      <c r="N171" s="25">
        <f t="shared" si="93"/>
        <v>0</v>
      </c>
      <c r="O171" s="94">
        <f>IF(ISNUMBER(M171), $B172 * N171, "")</f>
        <v>0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6.0556640781382542E-3</v>
      </c>
      <c r="I172" s="28">
        <f>SUM(I152:I171)</f>
        <v>18166.992234414764</v>
      </c>
      <c r="J172" s="26" t="s">
        <v>258</v>
      </c>
      <c r="K172" s="27">
        <f>IF(COUNT(K152:K171), SUM(K152:K171) / COUNT(K152:K171), 0)</f>
        <v>1.213214187458993E-3</v>
      </c>
      <c r="L172" s="28">
        <f>SUM(L152:L171)</f>
        <v>3639.6425623769801</v>
      </c>
      <c r="M172" s="26" t="s">
        <v>258</v>
      </c>
      <c r="N172" s="27">
        <f>IF(COUNT(N152:N171), SUM(N152:N171) / COUNT(N152:N171), 0)</f>
        <v>-3.610085506757333E-3</v>
      </c>
      <c r="O172" s="28">
        <f>SUM(O152:O171)</f>
        <v>-10830.256520271998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2023-01-13(금) 오전 00:00</v>
      </c>
      <c r="C177" s="198"/>
      <c r="D177" s="170" t="str">
        <f>TEXT($G$1, "[$-ko-KR]yyyy-mm-dd(ddd) ") &amp; "오후 14:00"</f>
        <v>2023-01-13(금) 오후 14:00</v>
      </c>
      <c r="E177" s="171"/>
      <c r="F177" s="172"/>
      <c r="G177" s="170" t="str">
        <f>TEXT($G$1, "[$-ko-KR]yyyy-mm-dd(ddd) ") &amp; "오후 19:00"</f>
        <v>2023-01-13(금) 오후 19:00</v>
      </c>
      <c r="H177" s="171"/>
      <c r="I177" s="172"/>
      <c r="J177" s="170" t="str">
        <f>TEXT($G$1, "[$-ko-KR]yyyy-mm-dd(ddd) ") &amp; "오후 21:00"</f>
        <v>2023-01-13(금) 오후 21:00</v>
      </c>
      <c r="K177" s="171"/>
      <c r="L177" s="172"/>
      <c r="M177" s="170" t="str">
        <f>TEXT($G$1+1, "[$-ko-KR]yyyy-mm-dd(ddd) ") &amp; "오전 00:00"</f>
        <v>2023-01-14(토)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73</v>
      </c>
      <c r="B179" s="108">
        <v>15310</v>
      </c>
      <c r="C179" s="69">
        <v>-2.6058632E-3</v>
      </c>
      <c r="D179" s="13">
        <v>15310</v>
      </c>
      <c r="E179" s="14">
        <f>IF(ISNUMBER(D179), (D179 - $B179) / $B179, "")</f>
        <v>0</v>
      </c>
      <c r="F179" s="16">
        <f>IF(ISNUMBER(D179), $B199 * E179, "")</f>
        <v>0</v>
      </c>
      <c r="G179" s="29">
        <v>15390</v>
      </c>
      <c r="H179" s="14">
        <f>IF(ISNUMBER(G179), (G179 - $B179) / $B179, "")</f>
        <v>5.2253429131286742E-3</v>
      </c>
      <c r="I179" s="90">
        <f>IF(ISNUMBER(G179), $B199 * H179, "")</f>
        <v>783.80143696930111</v>
      </c>
      <c r="J179" s="13">
        <v>15180</v>
      </c>
      <c r="K179" s="14">
        <f>IF(ISNUMBER(J179), (J179 - $B179) / $B179, "")</f>
        <v>-8.4911822338340961E-3</v>
      </c>
      <c r="L179" s="16">
        <f>IF(ISNUMBER(J179), $B199 * K179, "")</f>
        <v>-1273.6773350751143</v>
      </c>
      <c r="M179" s="29">
        <v>15130</v>
      </c>
      <c r="N179" s="14">
        <f>IF(ISNUMBER(M179), (M179 - $B179) / $B179, "")</f>
        <v>-1.1757021554539516E-2</v>
      </c>
      <c r="O179" s="16">
        <f>IF(ISNUMBER(M179), $B199 * N179, "")</f>
        <v>-1763.5532331809275</v>
      </c>
      <c r="Q179" s="156"/>
      <c r="R179" s="156"/>
      <c r="S179" s="156"/>
    </row>
    <row r="180" spans="1:19" ht="17.25" thickBot="1">
      <c r="A180" s="109" t="s">
        <v>107</v>
      </c>
      <c r="B180" s="110">
        <v>38</v>
      </c>
      <c r="C180" s="70">
        <v>-2.6246719000000002E-3</v>
      </c>
      <c r="D180" s="15">
        <v>38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38.1</v>
      </c>
      <c r="H180" s="32">
        <f t="shared" ref="H180:H183" si="95">IF(ISNUMBER(G180), (G180 - $B180) / $B180, "")</f>
        <v>2.6315789473684583E-3</v>
      </c>
      <c r="I180" s="91">
        <f>IF(ISNUMBER(G180), $B199 * H180, "")</f>
        <v>394.73684210526875</v>
      </c>
      <c r="J180" s="15">
        <v>38.1</v>
      </c>
      <c r="K180" s="32">
        <f t="shared" ref="K180:K183" si="96">IF(ISNUMBER(J180), (J180 - $B180) / $B180, "")</f>
        <v>2.6315789473684583E-3</v>
      </c>
      <c r="L180" s="18">
        <f>IF(ISNUMBER(J180), $B199 * K180, "")</f>
        <v>394.73684210526875</v>
      </c>
      <c r="M180" s="31">
        <v>38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56"/>
      <c r="R180" s="156"/>
      <c r="S180" s="156"/>
    </row>
    <row r="181" spans="1:19" ht="17.25" thickBot="1">
      <c r="A181" s="109" t="s">
        <v>350</v>
      </c>
      <c r="B181" s="110">
        <v>6.16</v>
      </c>
      <c r="C181" s="70">
        <v>-3.2362459999999999E-3</v>
      </c>
      <c r="D181" s="15">
        <v>6.16</v>
      </c>
      <c r="E181" s="32">
        <f t="shared" si="94"/>
        <v>0</v>
      </c>
      <c r="F181" s="18">
        <f>IF(ISNUMBER(D181), $B199 * E181, "")</f>
        <v>0</v>
      </c>
      <c r="G181" s="31">
        <v>6.19</v>
      </c>
      <c r="H181" s="32">
        <f t="shared" si="95"/>
        <v>4.8701298701299108E-3</v>
      </c>
      <c r="I181" s="91">
        <f>IF(ISNUMBER(G181), $B199 * H181, "")</f>
        <v>730.51948051948659</v>
      </c>
      <c r="J181" s="15">
        <v>6.2</v>
      </c>
      <c r="K181" s="32">
        <f t="shared" si="96"/>
        <v>6.4935064935064991E-3</v>
      </c>
      <c r="L181" s="18">
        <f>IF(ISNUMBER(J181), $B199 * K181, "")</f>
        <v>974.02597402597485</v>
      </c>
      <c r="M181" s="31">
        <v>6.17</v>
      </c>
      <c r="N181" s="32">
        <f t="shared" si="97"/>
        <v>1.6233766233765888E-3</v>
      </c>
      <c r="O181" s="18">
        <f>IF(ISNUMBER(M181), $B199 * N181, "")</f>
        <v>243.50649350648831</v>
      </c>
      <c r="Q181" s="146"/>
      <c r="R181" s="146"/>
      <c r="S181" s="146"/>
    </row>
    <row r="182" spans="1:19" ht="17.25" thickBot="1">
      <c r="A182" s="109" t="s">
        <v>124</v>
      </c>
      <c r="B182" s="110">
        <v>30.6</v>
      </c>
      <c r="C182" s="70">
        <v>-3.2573290000000002E-3</v>
      </c>
      <c r="D182" s="15">
        <v>30.6</v>
      </c>
      <c r="E182" s="32">
        <f t="shared" si="94"/>
        <v>0</v>
      </c>
      <c r="F182" s="18">
        <f>IF(ISNUMBER(D182), $B199 * E182, "")</f>
        <v>0</v>
      </c>
      <c r="G182" s="31">
        <v>30.7</v>
      </c>
      <c r="H182" s="32">
        <f t="shared" si="95"/>
        <v>3.2679738562090806E-3</v>
      </c>
      <c r="I182" s="91">
        <f>IF(ISNUMBER(G182), $B199 * H182, "")</f>
        <v>490.19607843136208</v>
      </c>
      <c r="J182" s="15">
        <v>30.7</v>
      </c>
      <c r="K182" s="32">
        <f t="shared" si="96"/>
        <v>3.2679738562090806E-3</v>
      </c>
      <c r="L182" s="18">
        <f>IF(ISNUMBER(J182), $B199 * K182, "")</f>
        <v>490.19607843136208</v>
      </c>
      <c r="M182" s="31">
        <v>30.5</v>
      </c>
      <c r="N182" s="32">
        <f t="shared" si="97"/>
        <v>-3.2679738562091968E-3</v>
      </c>
      <c r="O182" s="18">
        <f>IF(ISNUMBER(M182), $B199 * N182, "")</f>
        <v>-490.19607843137953</v>
      </c>
      <c r="Q182" s="146"/>
      <c r="R182" s="146"/>
      <c r="S182" s="146"/>
    </row>
    <row r="183" spans="1:19" ht="17.25" thickBot="1">
      <c r="A183" s="111" t="s">
        <v>225</v>
      </c>
      <c r="B183" s="112">
        <v>57.2</v>
      </c>
      <c r="C183" s="71">
        <v>-3.4843206000000002E-3</v>
      </c>
      <c r="D183" s="20">
        <v>57.2</v>
      </c>
      <c r="E183" s="21">
        <f t="shared" si="94"/>
        <v>0</v>
      </c>
      <c r="F183" s="22">
        <f>IF(ISNUMBER(D183), $B199 * E183, "")</f>
        <v>0</v>
      </c>
      <c r="G183" s="30">
        <v>57.6</v>
      </c>
      <c r="H183" s="21">
        <f t="shared" si="95"/>
        <v>6.9930069930069678E-3</v>
      </c>
      <c r="I183" s="95">
        <f>IF(ISNUMBER(G183), $B199 * H183, "")</f>
        <v>1048.9510489510451</v>
      </c>
      <c r="J183" s="20">
        <v>57.2</v>
      </c>
      <c r="K183" s="21">
        <f t="shared" si="96"/>
        <v>0</v>
      </c>
      <c r="L183" s="22">
        <f>IF(ISNUMBER(J183), $B199 * K183, "")</f>
        <v>0</v>
      </c>
      <c r="M183" s="30">
        <v>57</v>
      </c>
      <c r="N183" s="21">
        <f t="shared" si="97"/>
        <v>-3.4965034965035459E-3</v>
      </c>
      <c r="O183" s="22">
        <f>IF(ISNUMBER(M183), $B199 * N183, "")</f>
        <v>-524.47552447553187</v>
      </c>
      <c r="Q183" s="146"/>
      <c r="R183" s="146"/>
      <c r="S183" s="146"/>
    </row>
    <row r="184" spans="1:19" ht="17.25" thickBot="1">
      <c r="A184" s="109" t="s">
        <v>155</v>
      </c>
      <c r="B184" s="113">
        <v>27.7</v>
      </c>
      <c r="C184" s="73">
        <v>-3.5971223E-3</v>
      </c>
      <c r="D184" s="96">
        <v>27.7</v>
      </c>
      <c r="E184" s="97">
        <f>IF(ISNUMBER(D184), (D184 - $B184) / $B184, "")</f>
        <v>0</v>
      </c>
      <c r="F184" s="98">
        <f>IF(ISNUMBER(D184), $B199 * E184, "")</f>
        <v>0</v>
      </c>
      <c r="G184" s="99">
        <v>27.9</v>
      </c>
      <c r="H184" s="97">
        <f>IF(ISNUMBER(G184), (G184 - $B184) / $B184, "")</f>
        <v>7.2202166064981692E-3</v>
      </c>
      <c r="I184" s="100">
        <f>IF(ISNUMBER(G184), $B199 * H184, "")</f>
        <v>1083.0324909747253</v>
      </c>
      <c r="J184" s="96">
        <v>27.9</v>
      </c>
      <c r="K184" s="97">
        <f>IF(ISNUMBER(J184), (J184 - $B184) / $B184, "")</f>
        <v>7.2202166064981692E-3</v>
      </c>
      <c r="L184" s="98">
        <f>IF(ISNUMBER(J184), $B199 * K184, "")</f>
        <v>1083.0324909747253</v>
      </c>
      <c r="M184" s="99">
        <v>27.8</v>
      </c>
      <c r="N184" s="97">
        <f>IF(ISNUMBER(M184), (M184 - $B184) / $B184, "")</f>
        <v>3.6101083032491488E-3</v>
      </c>
      <c r="O184" s="98">
        <f>IF(ISNUMBER(M184), $B199 * N184, "")</f>
        <v>541.51624548737232</v>
      </c>
      <c r="Q184" s="146"/>
      <c r="R184" s="146"/>
      <c r="S184" s="146"/>
    </row>
    <row r="185" spans="1:19" ht="17.25" thickBot="1">
      <c r="A185" s="109" t="s">
        <v>237</v>
      </c>
      <c r="B185" s="110">
        <v>27.5</v>
      </c>
      <c r="C185" s="70">
        <v>-3.6231884E-3</v>
      </c>
      <c r="D185" s="15">
        <v>27.5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27.8</v>
      </c>
      <c r="H185" s="32">
        <f t="shared" ref="H185:H188" si="99">IF(ISNUMBER(G185), (G185 - $B185) / $B185, "")</f>
        <v>1.0909090909090934E-2</v>
      </c>
      <c r="I185" s="91">
        <f>IF(ISNUMBER(G185), $B199 * H185, "")</f>
        <v>1636.3636363636401</v>
      </c>
      <c r="J185" s="15">
        <v>27.6</v>
      </c>
      <c r="K185" s="32">
        <f t="shared" ref="K185:K188" si="100">IF(ISNUMBER(J185), (J185 - $B185) / $B185, "")</f>
        <v>3.636363636363688E-3</v>
      </c>
      <c r="L185" s="18">
        <f>IF(ISNUMBER(J185), $B199 * K185, "")</f>
        <v>545.45454545455323</v>
      </c>
      <c r="M185" s="31">
        <v>27.5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46"/>
      <c r="R185" s="146"/>
      <c r="S185" s="146"/>
    </row>
    <row r="186" spans="1:19" ht="17.25" thickBot="1">
      <c r="A186" s="109" t="s">
        <v>187</v>
      </c>
      <c r="B186" s="110">
        <v>766</v>
      </c>
      <c r="C186" s="70">
        <v>-3.9011703999999999E-3</v>
      </c>
      <c r="D186" s="15">
        <v>766</v>
      </c>
      <c r="E186" s="32">
        <f t="shared" si="98"/>
        <v>0</v>
      </c>
      <c r="F186" s="18">
        <f>IF(ISNUMBER(D186), $B199 * E186, "")</f>
        <v>0</v>
      </c>
      <c r="G186" s="31">
        <v>768</v>
      </c>
      <c r="H186" s="32">
        <f t="shared" si="99"/>
        <v>2.6109660574412533E-3</v>
      </c>
      <c r="I186" s="91">
        <f>IF(ISNUMBER(G186), $B199 * H186, "")</f>
        <v>391.64490861618799</v>
      </c>
      <c r="J186" s="15">
        <v>771</v>
      </c>
      <c r="K186" s="32">
        <f t="shared" si="100"/>
        <v>6.5274151436031328E-3</v>
      </c>
      <c r="L186" s="18">
        <f>IF(ISNUMBER(J186), $B199 * K186, "")</f>
        <v>979.11227154046992</v>
      </c>
      <c r="M186" s="31">
        <v>765</v>
      </c>
      <c r="N186" s="32">
        <f t="shared" si="101"/>
        <v>-1.3054830287206266E-3</v>
      </c>
      <c r="O186" s="18">
        <f>IF(ISNUMBER(M186), $B199 * N186, "")</f>
        <v>-195.822454308094</v>
      </c>
      <c r="Q186" s="146"/>
      <c r="R186" s="146"/>
      <c r="S186" s="146"/>
    </row>
    <row r="187" spans="1:19" ht="17.25" thickBot="1">
      <c r="A187" s="109" t="s">
        <v>83</v>
      </c>
      <c r="B187" s="110">
        <v>1235</v>
      </c>
      <c r="C187" s="70">
        <v>-4.0322581E-3</v>
      </c>
      <c r="D187" s="15">
        <v>1235</v>
      </c>
      <c r="E187" s="32">
        <f t="shared" si="98"/>
        <v>0</v>
      </c>
      <c r="F187" s="18">
        <f>IF(ISNUMBER(D187), $B199 * E187, "")</f>
        <v>0</v>
      </c>
      <c r="G187" s="31">
        <v>1240</v>
      </c>
      <c r="H187" s="32">
        <f t="shared" si="99"/>
        <v>4.048582995951417E-3</v>
      </c>
      <c r="I187" s="91">
        <f>IF(ISNUMBER(G187), $B199 * H187, "")</f>
        <v>607.28744939271257</v>
      </c>
      <c r="J187" s="15">
        <v>1235</v>
      </c>
      <c r="K187" s="32">
        <f t="shared" si="100"/>
        <v>0</v>
      </c>
      <c r="L187" s="18">
        <f>IF(ISNUMBER(J187), $B199 * K187, "")</f>
        <v>0</v>
      </c>
      <c r="M187" s="31">
        <v>1230</v>
      </c>
      <c r="N187" s="32">
        <f t="shared" si="101"/>
        <v>-4.048582995951417E-3</v>
      </c>
      <c r="O187" s="18">
        <f>IF(ISNUMBER(M187), $B199 * N187, "")</f>
        <v>-607.28744939271257</v>
      </c>
      <c r="Q187" s="33"/>
      <c r="R187" s="33"/>
    </row>
    <row r="188" spans="1:19" ht="17.25" thickBot="1">
      <c r="A188" s="114" t="s">
        <v>113</v>
      </c>
      <c r="B188" s="115">
        <v>1215</v>
      </c>
      <c r="C188" s="72">
        <v>-4.0983607000000003E-3</v>
      </c>
      <c r="D188" s="24">
        <v>1215</v>
      </c>
      <c r="E188" s="25">
        <f t="shared" si="98"/>
        <v>0</v>
      </c>
      <c r="F188" s="94">
        <f>IF(ISNUMBER(D188), $B199 * E188, "")</f>
        <v>0</v>
      </c>
      <c r="G188" s="92">
        <v>1225</v>
      </c>
      <c r="H188" s="25">
        <f t="shared" si="99"/>
        <v>8.23045267489712E-3</v>
      </c>
      <c r="I188" s="93">
        <f>IF(ISNUMBER(G188), $B199 * H188, "")</f>
        <v>1234.5679012345679</v>
      </c>
      <c r="J188" s="24">
        <v>1235</v>
      </c>
      <c r="K188" s="25">
        <f t="shared" si="100"/>
        <v>1.646090534979424E-2</v>
      </c>
      <c r="L188" s="94">
        <f>IF(ISNUMBER(J188), $B199 * K188, "")</f>
        <v>2469.1358024691358</v>
      </c>
      <c r="M188" s="92">
        <v>1210</v>
      </c>
      <c r="N188" s="25">
        <f t="shared" si="101"/>
        <v>-4.11522633744856E-3</v>
      </c>
      <c r="O188" s="94">
        <f>IF(ISNUMBER(M188), $B199 * N188, "")</f>
        <v>-617.28395061728395</v>
      </c>
      <c r="Q188" s="147"/>
      <c r="R188" s="148"/>
      <c r="S188" s="149"/>
    </row>
    <row r="189" spans="1:19">
      <c r="A189" s="107" t="s">
        <v>223</v>
      </c>
      <c r="B189" s="108">
        <v>209</v>
      </c>
      <c r="C189" s="69">
        <v>-4.7619048000000002E-3</v>
      </c>
      <c r="D189" s="13">
        <v>209</v>
      </c>
      <c r="E189" s="14">
        <f>IF(ISNUMBER(D189), (D189 - $B189) / $B189, "")</f>
        <v>0</v>
      </c>
      <c r="F189" s="16">
        <f>IF(ISNUMBER(D189), $B199 * E189, "")</f>
        <v>0</v>
      </c>
      <c r="G189" s="29">
        <v>211</v>
      </c>
      <c r="H189" s="14">
        <f>IF(ISNUMBER(G189), (G189 - $B189) / $B189, "")</f>
        <v>9.5693779904306216E-3</v>
      </c>
      <c r="I189" s="90">
        <f>IF(ISNUMBER(G189), $B199 * H189, "")</f>
        <v>1435.4066985645932</v>
      </c>
      <c r="J189" s="13">
        <v>210</v>
      </c>
      <c r="K189" s="14">
        <f>IF(ISNUMBER(J189), (J189 - $B189) / $B189, "")</f>
        <v>4.7846889952153108E-3</v>
      </c>
      <c r="L189" s="16">
        <f>IF(ISNUMBER(J189), $B199 * K189, "")</f>
        <v>717.70334928229659</v>
      </c>
      <c r="M189" s="29">
        <v>210</v>
      </c>
      <c r="N189" s="14">
        <f>IF(ISNUMBER(M189), (M189 - $B189) / $B189, "")</f>
        <v>4.7846889952153108E-3</v>
      </c>
      <c r="O189" s="16">
        <f>IF(ISNUMBER(M189), $B199 * N189, "")</f>
        <v>717.70334928229659</v>
      </c>
      <c r="Q189" s="150"/>
      <c r="R189" s="151"/>
      <c r="S189" s="152"/>
    </row>
    <row r="190" spans="1:19" ht="17.25" thickBot="1">
      <c r="A190" s="109" t="s">
        <v>165</v>
      </c>
      <c r="B190" s="110">
        <v>1005</v>
      </c>
      <c r="C190" s="70">
        <v>-4.9504950000000001E-3</v>
      </c>
      <c r="D190" s="15">
        <v>1005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1010</v>
      </c>
      <c r="H190" s="32">
        <f t="shared" ref="H190:H193" si="103">IF(ISNUMBER(G190), (G190 - $B190) / $B190, "")</f>
        <v>4.9751243781094526E-3</v>
      </c>
      <c r="I190" s="91">
        <f>IF(ISNUMBER(G190), $B199 * H190, "")</f>
        <v>746.26865671641792</v>
      </c>
      <c r="J190" s="15">
        <v>1005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1000</v>
      </c>
      <c r="N190" s="32">
        <f t="shared" ref="N190:N193" si="105">IF(ISNUMBER(M190), (M190 - $B190) / $B190, "")</f>
        <v>-4.9751243781094526E-3</v>
      </c>
      <c r="O190" s="18">
        <f>IF(ISNUMBER(M190), $B199 * N190, "")</f>
        <v>-746.26865671641792</v>
      </c>
      <c r="Q190" s="153"/>
      <c r="R190" s="154"/>
      <c r="S190" s="155"/>
    </row>
    <row r="191" spans="1:19" ht="17.25" thickBot="1">
      <c r="A191" s="109" t="s">
        <v>211</v>
      </c>
      <c r="B191" s="110">
        <v>1000</v>
      </c>
      <c r="C191" s="70">
        <v>-4.9751244000000002E-3</v>
      </c>
      <c r="D191" s="15">
        <v>1000</v>
      </c>
      <c r="E191" s="32">
        <f t="shared" si="102"/>
        <v>0</v>
      </c>
      <c r="F191" s="18">
        <f>IF(ISNUMBER(D191), $B199 * E191, "")</f>
        <v>0</v>
      </c>
      <c r="G191" s="31">
        <v>1005</v>
      </c>
      <c r="H191" s="32">
        <f t="shared" si="103"/>
        <v>5.0000000000000001E-3</v>
      </c>
      <c r="I191" s="91">
        <f>IF(ISNUMBER(G191), $B199 * H191, "")</f>
        <v>750</v>
      </c>
      <c r="J191" s="15">
        <v>1005</v>
      </c>
      <c r="K191" s="32">
        <f t="shared" si="104"/>
        <v>5.0000000000000001E-3</v>
      </c>
      <c r="L191" s="18">
        <f>IF(ISNUMBER(J191), $B199 * K191, "")</f>
        <v>750</v>
      </c>
      <c r="M191" s="31">
        <v>1000</v>
      </c>
      <c r="N191" s="32">
        <f t="shared" si="105"/>
        <v>0</v>
      </c>
      <c r="O191" s="18">
        <f>IF(ISNUMBER(M191), $B199 * N191, "")</f>
        <v>0</v>
      </c>
      <c r="Q191" s="146"/>
      <c r="R191" s="146"/>
      <c r="S191" s="146"/>
    </row>
    <row r="192" spans="1:19" ht="17.25" thickBot="1">
      <c r="A192" s="109" t="s">
        <v>329</v>
      </c>
      <c r="B192" s="110">
        <v>59.2</v>
      </c>
      <c r="C192" s="70">
        <v>-5.0420168000000001E-3</v>
      </c>
      <c r="D192" s="15">
        <v>59.2</v>
      </c>
      <c r="E192" s="32">
        <f t="shared" si="102"/>
        <v>0</v>
      </c>
      <c r="F192" s="18">
        <f>IF(ISNUMBER(D192), $B199 * E192, "")</f>
        <v>0</v>
      </c>
      <c r="G192" s="31">
        <v>59.3</v>
      </c>
      <c r="H192" s="32">
        <f t="shared" si="103"/>
        <v>1.689189189189093E-3</v>
      </c>
      <c r="I192" s="91">
        <f>IF(ISNUMBER(G192), $B199 * H192, "")</f>
        <v>253.37837837836395</v>
      </c>
      <c r="J192" s="15">
        <v>59.2</v>
      </c>
      <c r="K192" s="32">
        <f t="shared" si="104"/>
        <v>0</v>
      </c>
      <c r="L192" s="18">
        <f>IF(ISNUMBER(J192), $B199 * K192, "")</f>
        <v>0</v>
      </c>
      <c r="M192" s="31">
        <v>59.1</v>
      </c>
      <c r="N192" s="32">
        <f t="shared" si="105"/>
        <v>-1.6891891891892131E-3</v>
      </c>
      <c r="O192" s="18">
        <f>IF(ISNUMBER(M192), $B199 * N192, "")</f>
        <v>-253.37837837838197</v>
      </c>
      <c r="Q192" s="156"/>
      <c r="R192" s="156"/>
      <c r="S192" s="156"/>
    </row>
    <row r="193" spans="1:19" ht="17.25" thickBot="1">
      <c r="A193" s="111" t="s">
        <v>157</v>
      </c>
      <c r="B193" s="112">
        <v>215</v>
      </c>
      <c r="C193" s="71">
        <v>-9.2165899000000006E-3</v>
      </c>
      <c r="D193" s="20">
        <v>215</v>
      </c>
      <c r="E193" s="21">
        <f t="shared" si="102"/>
        <v>0</v>
      </c>
      <c r="F193" s="22">
        <f>IF(ISNUMBER(D193), $B199 * E193, "")</f>
        <v>0</v>
      </c>
      <c r="G193" s="30">
        <v>216</v>
      </c>
      <c r="H193" s="21">
        <f t="shared" si="103"/>
        <v>4.6511627906976744E-3</v>
      </c>
      <c r="I193" s="95">
        <f>IF(ISNUMBER(G193), $B199 * H193, "")</f>
        <v>697.67441860465112</v>
      </c>
      <c r="J193" s="20">
        <v>216</v>
      </c>
      <c r="K193" s="21">
        <f t="shared" si="104"/>
        <v>4.6511627906976744E-3</v>
      </c>
      <c r="L193" s="22">
        <f>IF(ISNUMBER(J193), $B199 * K193, "")</f>
        <v>697.67441860465112</v>
      </c>
      <c r="M193" s="30">
        <v>214</v>
      </c>
      <c r="N193" s="21">
        <f t="shared" si="105"/>
        <v>-4.6511627906976744E-3</v>
      </c>
      <c r="O193" s="22">
        <f>IF(ISNUMBER(M193), $B199 * N193, "")</f>
        <v>-697.67441860465112</v>
      </c>
      <c r="Q193" s="156"/>
      <c r="R193" s="156"/>
      <c r="S193" s="156"/>
    </row>
    <row r="194" spans="1:19" ht="17.25" thickBot="1">
      <c r="A194" s="109" t="s">
        <v>176</v>
      </c>
      <c r="B194" s="113">
        <v>304</v>
      </c>
      <c r="C194" s="73">
        <v>-9.7719869999999993E-3</v>
      </c>
      <c r="D194" s="96">
        <v>304</v>
      </c>
      <c r="E194" s="97">
        <f>IF(ISNUMBER(D194), (D194 - $B194) / $B194, "")</f>
        <v>0</v>
      </c>
      <c r="F194" s="98">
        <f>IF(ISNUMBER(D194), $B199 * E194, "")</f>
        <v>0</v>
      </c>
      <c r="G194" s="99">
        <v>307</v>
      </c>
      <c r="H194" s="97">
        <f>IF(ISNUMBER(G194), (G194 - $B194) / $B194, "")</f>
        <v>9.8684210526315784E-3</v>
      </c>
      <c r="I194" s="100">
        <f>IF(ISNUMBER(G194), $B199 * H194, "")</f>
        <v>1480.2631578947367</v>
      </c>
      <c r="J194" s="96">
        <v>306</v>
      </c>
      <c r="K194" s="97">
        <f>IF(ISNUMBER(J194), (J194 - $B194) / $B194, "")</f>
        <v>6.5789473684210523E-3</v>
      </c>
      <c r="L194" s="98">
        <f>IF(ISNUMBER(J194), $B199 * K194, "")</f>
        <v>986.8421052631578</v>
      </c>
      <c r="M194" s="99">
        <v>307</v>
      </c>
      <c r="N194" s="97">
        <f>IF(ISNUMBER(M194), (M194 - $B194) / $B194, "")</f>
        <v>9.8684210526315784E-3</v>
      </c>
      <c r="O194" s="98">
        <f>IF(ISNUMBER(M194), $B199 * N194, "")</f>
        <v>1480.2631578947367</v>
      </c>
      <c r="Q194" s="146"/>
      <c r="R194" s="146"/>
      <c r="S194" s="146"/>
    </row>
    <row r="195" spans="1:19" ht="17.25" thickBot="1">
      <c r="A195" s="109" t="s">
        <v>205</v>
      </c>
      <c r="B195" s="110">
        <v>100</v>
      </c>
      <c r="C195" s="70">
        <v>-9.9009900999999997E-3</v>
      </c>
      <c r="D195" s="15">
        <v>100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101</v>
      </c>
      <c r="H195" s="32">
        <f t="shared" ref="H195:H198" si="107">IF(ISNUMBER(G195), (G195 - $B195) / $B195, "")</f>
        <v>0.01</v>
      </c>
      <c r="I195" s="91">
        <f>IF(ISNUMBER(G195), $B199 * H195, "")</f>
        <v>1500</v>
      </c>
      <c r="J195" s="15">
        <v>101</v>
      </c>
      <c r="K195" s="32">
        <f t="shared" ref="K195:K198" si="108">IF(ISNUMBER(J195), (J195 - $B195) / $B195, "")</f>
        <v>0.01</v>
      </c>
      <c r="L195" s="18">
        <f>IF(ISNUMBER(J195), $B199 * K195, "")</f>
        <v>1500</v>
      </c>
      <c r="M195" s="31">
        <v>100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146"/>
      <c r="R195" s="146"/>
      <c r="S195" s="146"/>
    </row>
    <row r="196" spans="1:19" ht="17.25" thickBot="1">
      <c r="A196" s="109" t="s">
        <v>319</v>
      </c>
      <c r="B196" s="110">
        <v>431</v>
      </c>
      <c r="C196" s="70">
        <v>-1.14678899E-2</v>
      </c>
      <c r="D196" s="15">
        <v>431</v>
      </c>
      <c r="E196" s="32">
        <f t="shared" si="106"/>
        <v>0</v>
      </c>
      <c r="F196" s="18">
        <f>IF(ISNUMBER(D196), $B199 * E196, "")</f>
        <v>0</v>
      </c>
      <c r="G196" s="31">
        <v>443</v>
      </c>
      <c r="H196" s="32">
        <f t="shared" si="107"/>
        <v>2.7842227378190254E-2</v>
      </c>
      <c r="I196" s="91">
        <f>IF(ISNUMBER(G196), $B199 * H196, "")</f>
        <v>4176.3341067285382</v>
      </c>
      <c r="J196" s="15">
        <v>439</v>
      </c>
      <c r="K196" s="32">
        <f t="shared" si="108"/>
        <v>1.8561484918793503E-2</v>
      </c>
      <c r="L196" s="18">
        <f>IF(ISNUMBER(J196), $B199 * K196, "")</f>
        <v>2784.2227378190255</v>
      </c>
      <c r="M196" s="31">
        <v>431</v>
      </c>
      <c r="N196" s="32">
        <f t="shared" si="109"/>
        <v>0</v>
      </c>
      <c r="O196" s="18">
        <f>IF(ISNUMBER(M196), $B199 * N196, "")</f>
        <v>0</v>
      </c>
      <c r="Q196" s="146"/>
      <c r="R196" s="146"/>
      <c r="S196" s="146"/>
    </row>
    <row r="197" spans="1:19">
      <c r="A197" s="109" t="s">
        <v>328</v>
      </c>
      <c r="B197" s="110">
        <v>7950</v>
      </c>
      <c r="C197" s="70">
        <v>-2.4539877299999999E-2</v>
      </c>
      <c r="D197" s="15">
        <v>7950</v>
      </c>
      <c r="E197" s="32">
        <f t="shared" si="106"/>
        <v>0</v>
      </c>
      <c r="F197" s="18">
        <f>IF(ISNUMBER(D197), $B199 * E197, "")</f>
        <v>0</v>
      </c>
      <c r="G197" s="31">
        <v>8380</v>
      </c>
      <c r="H197" s="32">
        <f t="shared" si="107"/>
        <v>5.4088050314465411E-2</v>
      </c>
      <c r="I197" s="91">
        <f>IF(ISNUMBER(G197), $B199 * H197, "")</f>
        <v>8113.2075471698117</v>
      </c>
      <c r="J197" s="15">
        <v>8435</v>
      </c>
      <c r="K197" s="32">
        <f t="shared" si="108"/>
        <v>6.1006289308176101E-2</v>
      </c>
      <c r="L197" s="18">
        <f>IF(ISNUMBER(J197), $B199 * K197, "")</f>
        <v>9150.9433962264156</v>
      </c>
      <c r="M197" s="31">
        <v>8485</v>
      </c>
      <c r="N197" s="32">
        <f t="shared" si="109"/>
        <v>6.7295597484276728E-2</v>
      </c>
      <c r="O197" s="18">
        <f>IF(ISNUMBER(M197), $B199 * N197, "")</f>
        <v>10094.33962264151</v>
      </c>
      <c r="Q197" s="135"/>
      <c r="R197" s="136"/>
      <c r="S197" s="137"/>
    </row>
    <row r="198" spans="1:19" ht="17.25" thickBot="1">
      <c r="A198" s="114" t="s">
        <v>97</v>
      </c>
      <c r="B198" s="115">
        <v>8.0000000000000004E-4</v>
      </c>
      <c r="C198" s="72">
        <v>-0.11111111110000001</v>
      </c>
      <c r="D198" s="24">
        <v>8.0000000000000004E-4</v>
      </c>
      <c r="E198" s="25">
        <f t="shared" si="106"/>
        <v>0</v>
      </c>
      <c r="F198" s="94">
        <f>IF(ISNUMBER(D198), $B199 * E198, "")</f>
        <v>0</v>
      </c>
      <c r="G198" s="92">
        <v>8.9999999999999998E-4</v>
      </c>
      <c r="H198" s="25">
        <f t="shared" si="107"/>
        <v>0.12499999999999992</v>
      </c>
      <c r="I198" s="93">
        <f>IF(ISNUMBER(G198), $B199 * H198, "")</f>
        <v>18749.999999999989</v>
      </c>
      <c r="J198" s="24">
        <v>8.9999999999999998E-4</v>
      </c>
      <c r="K198" s="25">
        <f t="shared" si="108"/>
        <v>0.12499999999999992</v>
      </c>
      <c r="L198" s="94">
        <f>IF(ISNUMBER(J198), $B199 * K198, "")</f>
        <v>18749.999999999989</v>
      </c>
      <c r="M198" s="92">
        <v>8.9999999999999998E-4</v>
      </c>
      <c r="N198" s="25">
        <f t="shared" si="109"/>
        <v>0.12499999999999992</v>
      </c>
      <c r="O198" s="94">
        <f>IF(ISNUMBER(M198), $B199 * N198, "")</f>
        <v>18749.999999999989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1.5434544745871798E-2</v>
      </c>
      <c r="I199" s="28">
        <f>SUM(I179:I198)</f>
        <v>46303.634237615399</v>
      </c>
      <c r="J199" s="26" t="s">
        <v>258</v>
      </c>
      <c r="K199" s="27">
        <f>IF(COUNT(K179:K198), SUM(K179:K198) / COUNT(K179:K198), 0)</f>
        <v>1.3666467559040635E-2</v>
      </c>
      <c r="L199" s="28">
        <f>SUM(L179:L198)</f>
        <v>40999.402677121907</v>
      </c>
      <c r="M199" s="26" t="s">
        <v>258</v>
      </c>
      <c r="N199" s="27">
        <f>IF(COUNT(N179:N198), SUM(N179:N198) / COUNT(N179:N198), 0)</f>
        <v>8.6437962415690048E-3</v>
      </c>
      <c r="O199" s="28">
        <f>SUM(O179:O198)</f>
        <v>25931.388724707012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938B-2CF8-47F7-8F7B-82652AE12EB4}">
  <sheetPr codeName="Sheet1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44940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329,160 KRW (10.97%)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163,460 KRW (5.45%)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324,894 KRW (10.83%)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270,650 KRW (9.02%)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2023-01-14(토) 오전 00:00</v>
      </c>
      <c r="C15" s="196"/>
      <c r="D15" s="170" t="str">
        <f>TEXT($G$1, "[$-ko-KR]yyyy-mm-dd(ddd) ") &amp; "오후 14:00"</f>
        <v>2023-01-14(토) 오후 14:00</v>
      </c>
      <c r="E15" s="171"/>
      <c r="F15" s="172"/>
      <c r="G15" s="170" t="str">
        <f>TEXT($G$1, "[$-ko-KR]yyyy-mm-dd(ddd) ") &amp; "오후 19:00"</f>
        <v>2023-01-14(토) 오후 19:00</v>
      </c>
      <c r="H15" s="171"/>
      <c r="I15" s="172"/>
      <c r="J15" s="170" t="str">
        <f>TEXT($G$1, "[$-ko-KR]yyyy-mm-dd(ddd) ") &amp; "오후 21:00"</f>
        <v>2023-01-14(토) 오후 21:00</v>
      </c>
      <c r="K15" s="171"/>
      <c r="L15" s="172"/>
      <c r="M15" s="170" t="str">
        <f>TEXT($G$1+1, "[$-ko-KR]yyyy-mm-dd(ddd) ") &amp; "오전 00:00"</f>
        <v>2023-01-15(일)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2023-01-14(토) 오전 00:00</v>
      </c>
      <c r="C42" s="198"/>
      <c r="D42" s="170" t="str">
        <f>TEXT($G$1, "[$-ko-KR]yyyy-mm-dd(ddd) ") &amp; "오후 14:00"</f>
        <v>2023-01-14(토) 오후 14:00</v>
      </c>
      <c r="E42" s="171"/>
      <c r="F42" s="172"/>
      <c r="G42" s="170" t="str">
        <f>TEXT($G$1, "[$-ko-KR]yyyy-mm-dd(ddd) ") &amp; "오후 19:00"</f>
        <v>2023-01-14(토) 오후 19:00</v>
      </c>
      <c r="H42" s="171"/>
      <c r="I42" s="172"/>
      <c r="J42" s="170" t="str">
        <f>TEXT($G$1, "[$-ko-KR]yyyy-mm-dd(ddd) ") &amp; "오후 21:00"</f>
        <v>2023-01-14(토) 오후 21:00</v>
      </c>
      <c r="K42" s="171"/>
      <c r="L42" s="172"/>
      <c r="M42" s="170" t="str">
        <f>TEXT($G$1+1, "[$-ko-KR]yyyy-mm-dd(ddd) ") &amp; "오전 00:00"</f>
        <v>2023-01-15(일)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138</v>
      </c>
      <c r="B44" s="108">
        <v>27</v>
      </c>
      <c r="C44" s="69">
        <v>6.7193675899999999E-2</v>
      </c>
      <c r="D44" s="13">
        <v>27.8</v>
      </c>
      <c r="E44" s="14">
        <f>IF(ISNUMBER(D44), (D44 - $B44) / $B44, "")</f>
        <v>2.9629629629629655E-2</v>
      </c>
      <c r="F44" s="16">
        <f>IF(ISNUMBER(D44), $B64 * E44, "")</f>
        <v>4444.444444444448</v>
      </c>
      <c r="G44" s="29">
        <v>27.9</v>
      </c>
      <c r="H44" s="14">
        <f>IF(ISNUMBER(G44), (G44 - $B44) / $B44, "")</f>
        <v>3.3333333333333277E-2</v>
      </c>
      <c r="I44" s="90">
        <f>IF(ISNUMBER(G44), $B64 * H44, "")</f>
        <v>4999.9999999999918</v>
      </c>
      <c r="J44" s="13">
        <v>28.4</v>
      </c>
      <c r="K44" s="14">
        <f>IF(ISNUMBER(J44), (J44 - $B44) / $B44, "")</f>
        <v>5.1851851851851802E-2</v>
      </c>
      <c r="L44" s="16">
        <f>IF(ISNUMBER(J44), $B64 * K44, "")</f>
        <v>7777.7777777777701</v>
      </c>
      <c r="M44" s="29">
        <v>28.7</v>
      </c>
      <c r="N44" s="14">
        <f>IF(ISNUMBER(M44), (M44 - $B44) / $B44, "")</f>
        <v>6.2962962962962943E-2</v>
      </c>
      <c r="O44" s="16">
        <f>IF(ISNUMBER(M44), $B64 * N44, "")</f>
        <v>9444.4444444444416</v>
      </c>
      <c r="Q44" s="156"/>
      <c r="R44" s="156"/>
      <c r="S44" s="156"/>
    </row>
    <row r="45" spans="1:19" ht="17.25" customHeight="1" thickBot="1">
      <c r="A45" s="109" t="s">
        <v>143</v>
      </c>
      <c r="B45" s="110">
        <v>3.89</v>
      </c>
      <c r="C45" s="70">
        <v>4.5698924699999997E-2</v>
      </c>
      <c r="D45" s="15">
        <v>3.99</v>
      </c>
      <c r="E45" s="32">
        <f t="shared" ref="E45:E48" si="14">IF(ISNUMBER(D45), (D45 - $B45) / $B45, "")</f>
        <v>2.5706940874036011E-2</v>
      </c>
      <c r="F45" s="18">
        <f>IF(ISNUMBER(D45), $B64 * E45, "")</f>
        <v>3856.0411311054017</v>
      </c>
      <c r="G45" s="31">
        <v>3.9</v>
      </c>
      <c r="H45" s="32">
        <f t="shared" ref="H45:H48" si="15">IF(ISNUMBER(G45), (G45 - $B45) / $B45, "")</f>
        <v>2.5706940874035441E-3</v>
      </c>
      <c r="I45" s="91">
        <f>IF(ISNUMBER(G45), $B64 * H45, "")</f>
        <v>385.60411311053161</v>
      </c>
      <c r="J45" s="15">
        <v>3.95</v>
      </c>
      <c r="K45" s="32">
        <f t="shared" ref="K45:K48" si="16">IF(ISNUMBER(J45), (J45 - $B45) / $B45, "")</f>
        <v>1.5424164524421607E-2</v>
      </c>
      <c r="L45" s="18">
        <f>IF(ISNUMBER(J45), $B64 * K45, "")</f>
        <v>2313.624678663241</v>
      </c>
      <c r="M45" s="31">
        <v>3.95</v>
      </c>
      <c r="N45" s="32">
        <f t="shared" ref="N45:N48" si="17">IF(ISNUMBER(M45), (M45 - $B45) / $B45, "")</f>
        <v>1.5424164524421607E-2</v>
      </c>
      <c r="O45" s="18">
        <f>IF(ISNUMBER(M45), $B64 * N45, "")</f>
        <v>2313.624678663241</v>
      </c>
      <c r="Q45" s="156"/>
      <c r="R45" s="156"/>
      <c r="S45" s="156"/>
    </row>
    <row r="46" spans="1:19" ht="17.25" customHeight="1" thickBot="1">
      <c r="A46" s="109" t="s">
        <v>118</v>
      </c>
      <c r="B46" s="110">
        <v>5.59</v>
      </c>
      <c r="C46" s="70">
        <v>2.7573529400000001E-2</v>
      </c>
      <c r="D46" s="15">
        <v>5.85</v>
      </c>
      <c r="E46" s="32">
        <f t="shared" si="14"/>
        <v>4.6511627906976709E-2</v>
      </c>
      <c r="F46" s="18">
        <f>IF(ISNUMBER(D46), $B64 * E46, "")</f>
        <v>6976.744186046506</v>
      </c>
      <c r="G46" s="31">
        <v>5.81</v>
      </c>
      <c r="H46" s="32">
        <f t="shared" si="15"/>
        <v>3.9355992844364897E-2</v>
      </c>
      <c r="I46" s="91">
        <f>IF(ISNUMBER(G46), $B64 * H46, "")</f>
        <v>5903.3989266547342</v>
      </c>
      <c r="J46" s="15">
        <v>5.87</v>
      </c>
      <c r="K46" s="32">
        <f t="shared" si="16"/>
        <v>5.0089445438282691E-2</v>
      </c>
      <c r="L46" s="18">
        <f>IF(ISNUMBER(J46), $B64 * K46, "")</f>
        <v>7513.4168157424037</v>
      </c>
      <c r="M46" s="31">
        <v>5.92</v>
      </c>
      <c r="N46" s="32">
        <f t="shared" si="17"/>
        <v>5.9033989266547418E-2</v>
      </c>
      <c r="O46" s="18">
        <f>IF(ISNUMBER(M46), $B64 * N46, "")</f>
        <v>8855.0983899821131</v>
      </c>
      <c r="Q46" s="146"/>
      <c r="R46" s="146"/>
      <c r="S46" s="146"/>
    </row>
    <row r="47" spans="1:19" ht="17.25" customHeight="1" thickBot="1">
      <c r="A47" s="109" t="s">
        <v>181</v>
      </c>
      <c r="B47" s="110">
        <v>4.3</v>
      </c>
      <c r="C47" s="70">
        <v>2.6252983300000001E-2</v>
      </c>
      <c r="D47" s="15">
        <v>4.51</v>
      </c>
      <c r="E47" s="32">
        <f t="shared" si="14"/>
        <v>4.8837209302325574E-2</v>
      </c>
      <c r="F47" s="18">
        <f>IF(ISNUMBER(D47), $B64 * E47, "")</f>
        <v>7325.5813953488359</v>
      </c>
      <c r="G47" s="31">
        <v>4.37</v>
      </c>
      <c r="H47" s="32">
        <f t="shared" si="15"/>
        <v>1.6279069767441926E-2</v>
      </c>
      <c r="I47" s="91">
        <f>IF(ISNUMBER(G47), $B64 * H47, "")</f>
        <v>2441.8604651162891</v>
      </c>
      <c r="J47" s="15">
        <v>4.43</v>
      </c>
      <c r="K47" s="32">
        <f t="shared" si="16"/>
        <v>3.0232558139534859E-2</v>
      </c>
      <c r="L47" s="18">
        <f>IF(ISNUMBER(J47), $B64 * K47, "")</f>
        <v>4534.8837209302292</v>
      </c>
      <c r="M47" s="31">
        <v>4.41</v>
      </c>
      <c r="N47" s="32">
        <f t="shared" si="17"/>
        <v>2.5581395348837285E-2</v>
      </c>
      <c r="O47" s="18">
        <f>IF(ISNUMBER(M47), $B64 * N47, "")</f>
        <v>3837.2093023255929</v>
      </c>
      <c r="Q47" s="146"/>
      <c r="R47" s="146"/>
      <c r="S47" s="146"/>
    </row>
    <row r="48" spans="1:19" ht="17.25" customHeight="1" thickBot="1">
      <c r="A48" s="111" t="s">
        <v>126</v>
      </c>
      <c r="B48" s="112">
        <v>30.7</v>
      </c>
      <c r="C48" s="71">
        <v>2.3333333299999998E-2</v>
      </c>
      <c r="D48" s="20">
        <v>32.9</v>
      </c>
      <c r="E48" s="21">
        <f t="shared" si="14"/>
        <v>7.1661237785016263E-2</v>
      </c>
      <c r="F48" s="22">
        <f>IF(ISNUMBER(D48), $B64 * E48, "")</f>
        <v>10749.185667752439</v>
      </c>
      <c r="G48" s="30">
        <v>32.1</v>
      </c>
      <c r="H48" s="21">
        <f t="shared" si="15"/>
        <v>4.5602605863192251E-2</v>
      </c>
      <c r="I48" s="95">
        <f>IF(ISNUMBER(G48), $B64 * H48, "")</f>
        <v>6840.3908794788376</v>
      </c>
      <c r="J48" s="20">
        <v>32.5</v>
      </c>
      <c r="K48" s="21">
        <f t="shared" si="16"/>
        <v>5.8631921824104261E-2</v>
      </c>
      <c r="L48" s="22">
        <f>IF(ISNUMBER(J48), $B64 * K48, "")</f>
        <v>8794.7882736156389</v>
      </c>
      <c r="M48" s="30">
        <v>32.5</v>
      </c>
      <c r="N48" s="21">
        <f t="shared" si="17"/>
        <v>5.8631921824104261E-2</v>
      </c>
      <c r="O48" s="22">
        <f>IF(ISNUMBER(M48), $B64 * N48, "")</f>
        <v>8794.7882736156389</v>
      </c>
      <c r="Q48" s="146"/>
      <c r="R48" s="146"/>
      <c r="S48" s="146"/>
    </row>
    <row r="49" spans="1:19" ht="17.25" customHeight="1" thickBot="1">
      <c r="A49" s="109" t="s">
        <v>122</v>
      </c>
      <c r="B49" s="113">
        <v>24</v>
      </c>
      <c r="C49" s="73">
        <v>2.1276595700000001E-2</v>
      </c>
      <c r="D49" s="96">
        <v>25.9</v>
      </c>
      <c r="E49" s="97">
        <f>IF(ISNUMBER(D49), (D49 - $B49) / $B49, "")</f>
        <v>7.9166666666666607E-2</v>
      </c>
      <c r="F49" s="98">
        <f>IF(ISNUMBER(D49), $B64 * E49, "")</f>
        <v>11874.999999999991</v>
      </c>
      <c r="G49" s="99">
        <v>25.5</v>
      </c>
      <c r="H49" s="97">
        <f>IF(ISNUMBER(G49), (G49 - $B49) / $B49, "")</f>
        <v>6.25E-2</v>
      </c>
      <c r="I49" s="100">
        <f>IF(ISNUMBER(G49), $B64 * H49, "")</f>
        <v>9375</v>
      </c>
      <c r="J49" s="96">
        <v>25.6</v>
      </c>
      <c r="K49" s="97">
        <f>IF(ISNUMBER(J49), (J49 - $B49) / $B49, "")</f>
        <v>6.6666666666666721E-2</v>
      </c>
      <c r="L49" s="98">
        <f>IF(ISNUMBER(J49), $B64 * K49, "")</f>
        <v>10000.000000000009</v>
      </c>
      <c r="M49" s="99">
        <v>25.6</v>
      </c>
      <c r="N49" s="97">
        <f>IF(ISNUMBER(M49), (M49 - $B49) / $B49, "")</f>
        <v>6.6666666666666721E-2</v>
      </c>
      <c r="O49" s="98">
        <f>IF(ISNUMBER(M49), $B64 * N49, "")</f>
        <v>10000.000000000009</v>
      </c>
      <c r="Q49" s="146"/>
      <c r="R49" s="146"/>
      <c r="S49" s="146"/>
    </row>
    <row r="50" spans="1:19" ht="17.25" customHeight="1" thickBot="1">
      <c r="A50" s="109" t="s">
        <v>64</v>
      </c>
      <c r="B50" s="110">
        <v>10.5</v>
      </c>
      <c r="C50" s="70">
        <v>1.9417475699999999E-2</v>
      </c>
      <c r="D50" s="15">
        <v>11.4</v>
      </c>
      <c r="E50" s="32">
        <f t="shared" ref="E50:E53" si="18">IF(ISNUMBER(D50), (D50 - $B50) / $B50, "")</f>
        <v>8.5714285714285743E-2</v>
      </c>
      <c r="F50" s="18">
        <f>IF(ISNUMBER(D50), $B64 * E50, "")</f>
        <v>12857.142857142861</v>
      </c>
      <c r="G50" s="31">
        <v>11.3</v>
      </c>
      <c r="H50" s="32">
        <f t="shared" ref="H50:H53" si="19">IF(ISNUMBER(G50), (G50 - $B50) / $B50, "")</f>
        <v>7.6190476190476253E-2</v>
      </c>
      <c r="I50" s="91">
        <f>IF(ISNUMBER(G50), $B64 * H50, "")</f>
        <v>11428.571428571438</v>
      </c>
      <c r="J50" s="15">
        <v>11.3</v>
      </c>
      <c r="K50" s="32">
        <f t="shared" ref="K50:K53" si="20">IF(ISNUMBER(J50), (J50 - $B50) / $B50, "")</f>
        <v>7.6190476190476253E-2</v>
      </c>
      <c r="L50" s="18">
        <f>IF(ISNUMBER(J50), $B64 * K50, "")</f>
        <v>11428.571428571438</v>
      </c>
      <c r="M50" s="31">
        <v>11.3</v>
      </c>
      <c r="N50" s="32">
        <f t="shared" ref="N50:N53" si="21">IF(ISNUMBER(M50), (M50 - $B50) / $B50, "")</f>
        <v>7.6190476190476253E-2</v>
      </c>
      <c r="O50" s="18">
        <f>IF(ISNUMBER(M50), $B64 * N50, "")</f>
        <v>11428.571428571438</v>
      </c>
      <c r="Q50" s="146"/>
      <c r="R50" s="146"/>
      <c r="S50" s="146"/>
    </row>
    <row r="51" spans="1:19" ht="17.25" customHeight="1" thickBot="1">
      <c r="A51" s="109" t="s">
        <v>227</v>
      </c>
      <c r="B51" s="110">
        <v>39.6</v>
      </c>
      <c r="C51" s="70">
        <v>1.79948586E-2</v>
      </c>
      <c r="D51" s="15">
        <v>40.700000000000003</v>
      </c>
      <c r="E51" s="32">
        <f t="shared" si="18"/>
        <v>2.7777777777777814E-2</v>
      </c>
      <c r="F51" s="18">
        <f>IF(ISNUMBER(D51), $B64 * E51, "")</f>
        <v>4166.6666666666724</v>
      </c>
      <c r="G51" s="31">
        <v>40</v>
      </c>
      <c r="H51" s="32">
        <f t="shared" si="19"/>
        <v>1.0101010101010065E-2</v>
      </c>
      <c r="I51" s="91">
        <f>IF(ISNUMBER(G51), $B64 * H51, "")</f>
        <v>1515.1515151515098</v>
      </c>
      <c r="J51" s="15">
        <v>40.4</v>
      </c>
      <c r="K51" s="32">
        <f t="shared" si="20"/>
        <v>2.0202020202020131E-2</v>
      </c>
      <c r="L51" s="18">
        <f>IF(ISNUMBER(J51), $B64 * K51, "")</f>
        <v>3030.3030303030196</v>
      </c>
      <c r="M51" s="31">
        <v>40.4</v>
      </c>
      <c r="N51" s="32">
        <f t="shared" si="21"/>
        <v>2.0202020202020131E-2</v>
      </c>
      <c r="O51" s="18">
        <f>IF(ISNUMBER(M51), $B64 * N51, "")</f>
        <v>3030.3030303030196</v>
      </c>
      <c r="Q51" s="146"/>
      <c r="R51" s="146"/>
      <c r="S51" s="146"/>
    </row>
    <row r="52" spans="1:19" ht="17.25" customHeight="1" thickBot="1">
      <c r="A52" s="109" t="s">
        <v>324</v>
      </c>
      <c r="B52" s="110">
        <v>84.9</v>
      </c>
      <c r="C52" s="70">
        <v>1.6766467100000002E-2</v>
      </c>
      <c r="D52" s="15">
        <v>92.7</v>
      </c>
      <c r="E52" s="32">
        <f t="shared" si="18"/>
        <v>9.1872791519434588E-2</v>
      </c>
      <c r="F52" s="18">
        <f>IF(ISNUMBER(D52), $B64 * E52, "")</f>
        <v>13780.918727915188</v>
      </c>
      <c r="G52" s="31">
        <v>90.4</v>
      </c>
      <c r="H52" s="32">
        <f t="shared" si="19"/>
        <v>6.4782096584216728E-2</v>
      </c>
      <c r="I52" s="91">
        <f>IF(ISNUMBER(G52), $B64 * H52, "")</f>
        <v>9717.3144876325096</v>
      </c>
      <c r="J52" s="15">
        <v>91.9</v>
      </c>
      <c r="K52" s="32">
        <f t="shared" si="20"/>
        <v>8.2449941107184913E-2</v>
      </c>
      <c r="L52" s="18">
        <f>IF(ISNUMBER(J52), $B64 * K52, "")</f>
        <v>12367.491166077736</v>
      </c>
      <c r="M52" s="31">
        <v>92.3</v>
      </c>
      <c r="N52" s="32">
        <f t="shared" si="21"/>
        <v>8.7161366313309674E-2</v>
      </c>
      <c r="O52" s="18">
        <f>IF(ISNUMBER(M52), $B64 * N52, "")</f>
        <v>13074.204946996451</v>
      </c>
      <c r="Q52" s="33"/>
      <c r="R52" s="33"/>
    </row>
    <row r="53" spans="1:19" ht="17.25" customHeight="1" thickBot="1">
      <c r="A53" s="114" t="s">
        <v>141</v>
      </c>
      <c r="B53" s="115">
        <v>3.29</v>
      </c>
      <c r="C53" s="72">
        <v>1.2307692300000001E-2</v>
      </c>
      <c r="D53" s="24">
        <v>3.44</v>
      </c>
      <c r="E53" s="25">
        <f t="shared" si="18"/>
        <v>4.5592705167173224E-2</v>
      </c>
      <c r="F53" s="94">
        <f>IF(ISNUMBER(D53), $B64 * E53, "")</f>
        <v>6838.9057750759839</v>
      </c>
      <c r="G53" s="92">
        <v>3.37</v>
      </c>
      <c r="H53" s="25">
        <f t="shared" si="19"/>
        <v>2.4316109422492422E-2</v>
      </c>
      <c r="I53" s="93">
        <f>IF(ISNUMBER(G53), $B64 * H53, "")</f>
        <v>3647.4164133738632</v>
      </c>
      <c r="J53" s="24">
        <v>3.41</v>
      </c>
      <c r="K53" s="25">
        <f t="shared" si="20"/>
        <v>3.6474164133738635E-2</v>
      </c>
      <c r="L53" s="94">
        <f>IF(ISNUMBER(J53), $B64 * K53, "")</f>
        <v>5471.1246200607948</v>
      </c>
      <c r="M53" s="92">
        <v>3.41</v>
      </c>
      <c r="N53" s="25">
        <f t="shared" si="21"/>
        <v>3.6474164133738635E-2</v>
      </c>
      <c r="O53" s="94">
        <f>IF(ISNUMBER(M53), $B64 * N53, "")</f>
        <v>5471.1246200607948</v>
      </c>
      <c r="Q53" s="147"/>
      <c r="R53" s="148"/>
      <c r="S53" s="149"/>
    </row>
    <row r="54" spans="1:19" ht="17.25" customHeight="1">
      <c r="A54" s="107" t="s">
        <v>197</v>
      </c>
      <c r="B54" s="108">
        <v>6.27</v>
      </c>
      <c r="C54" s="69">
        <v>1.12903226E-2</v>
      </c>
      <c r="D54" s="13">
        <v>6.52</v>
      </c>
      <c r="E54" s="14">
        <f>IF(ISNUMBER(D54), (D54 - $B54) / $B54, "")</f>
        <v>3.9872408293460927E-2</v>
      </c>
      <c r="F54" s="16">
        <f>IF(ISNUMBER(D54), $B64 * E54, "")</f>
        <v>5980.8612440191391</v>
      </c>
      <c r="G54" s="29">
        <v>6.39</v>
      </c>
      <c r="H54" s="14">
        <f>IF(ISNUMBER(G54), (G54 - $B54) / $B54, "")</f>
        <v>1.9138755980861261E-2</v>
      </c>
      <c r="I54" s="90">
        <f>IF(ISNUMBER(G54), $B64 * H54, "")</f>
        <v>2870.8133971291891</v>
      </c>
      <c r="J54" s="13">
        <v>6.47</v>
      </c>
      <c r="K54" s="14">
        <f>IF(ISNUMBER(J54), (J54 - $B54) / $B54, "")</f>
        <v>3.1897926634768772E-2</v>
      </c>
      <c r="L54" s="16">
        <f>IF(ISNUMBER(J54), $B64 * K54, "")</f>
        <v>4784.688995215316</v>
      </c>
      <c r="M54" s="29">
        <v>6.48</v>
      </c>
      <c r="N54" s="14">
        <f>IF(ISNUMBER(M54), (M54 - $B54) / $B54, "")</f>
        <v>3.3492822966507317E-2</v>
      </c>
      <c r="O54" s="16">
        <f>IF(ISNUMBER(M54), $B64 * N54, "")</f>
        <v>5023.9234449760979</v>
      </c>
      <c r="Q54" s="150"/>
      <c r="R54" s="151"/>
      <c r="S54" s="152"/>
    </row>
    <row r="55" spans="1:19" ht="17.25" customHeight="1" thickBot="1">
      <c r="A55" s="109" t="s">
        <v>195</v>
      </c>
      <c r="B55" s="110">
        <v>6.06</v>
      </c>
      <c r="C55" s="70">
        <v>0.01</v>
      </c>
      <c r="D55" s="15">
        <v>6.29</v>
      </c>
      <c r="E55" s="32">
        <f t="shared" ref="E55:E58" si="22">IF(ISNUMBER(D55), (D55 - $B55) / $B55, "")</f>
        <v>3.7953795379538025E-2</v>
      </c>
      <c r="F55" s="18">
        <f>IF(ISNUMBER(D55), $B64 * E55, "")</f>
        <v>5693.0693069307035</v>
      </c>
      <c r="G55" s="31">
        <v>6.16</v>
      </c>
      <c r="H55" s="32">
        <f t="shared" ref="H55:H58" si="23">IF(ISNUMBER(G55), (G55 - $B55) / $B55, "")</f>
        <v>1.650165016501659E-2</v>
      </c>
      <c r="I55" s="91">
        <f>IF(ISNUMBER(G55), $B64 * H55, "")</f>
        <v>2475.2475247524885</v>
      </c>
      <c r="J55" s="15">
        <v>6.26</v>
      </c>
      <c r="K55" s="32">
        <f t="shared" ref="K55:K58" si="24">IF(ISNUMBER(J55), (J55 - $B55) / $B55, "")</f>
        <v>3.3003300330033035E-2</v>
      </c>
      <c r="L55" s="18">
        <f>IF(ISNUMBER(J55), $B64 * K55, "")</f>
        <v>4950.4950495049552</v>
      </c>
      <c r="M55" s="31">
        <v>6.24</v>
      </c>
      <c r="N55" s="32">
        <f t="shared" ref="N55:N58" si="25">IF(ISNUMBER(M55), (M55 - $B55) / $B55, "")</f>
        <v>2.9702970297029806E-2</v>
      </c>
      <c r="O55" s="18">
        <f>IF(ISNUMBER(M55), $B64 * N55, "")</f>
        <v>4455.4455445544709</v>
      </c>
      <c r="Q55" s="153"/>
      <c r="R55" s="154"/>
      <c r="S55" s="155"/>
    </row>
    <row r="56" spans="1:19" ht="17.25" customHeight="1" thickBot="1">
      <c r="A56" s="109" t="s">
        <v>241</v>
      </c>
      <c r="B56" s="110">
        <v>92.7</v>
      </c>
      <c r="C56" s="70">
        <v>9.8039215999999995E-3</v>
      </c>
      <c r="D56" s="15">
        <v>96.9</v>
      </c>
      <c r="E56" s="32">
        <f t="shared" si="22"/>
        <v>4.5307443365695824E-2</v>
      </c>
      <c r="F56" s="18">
        <f>IF(ISNUMBER(D56), $B64 * E56, "")</f>
        <v>6796.1165048543735</v>
      </c>
      <c r="G56" s="31">
        <v>95.3</v>
      </c>
      <c r="H56" s="32">
        <f t="shared" si="23"/>
        <v>2.8047464940668763E-2</v>
      </c>
      <c r="I56" s="91">
        <f>IF(ISNUMBER(G56), $B64 * H56, "")</f>
        <v>4207.1197411003141</v>
      </c>
      <c r="J56" s="15">
        <v>96.1</v>
      </c>
      <c r="K56" s="32">
        <f t="shared" si="24"/>
        <v>3.6677454153182215E-2</v>
      </c>
      <c r="L56" s="18">
        <f>IF(ISNUMBER(J56), $B64 * K56, "")</f>
        <v>5501.618122977332</v>
      </c>
      <c r="M56" s="31">
        <v>97.2</v>
      </c>
      <c r="N56" s="32">
        <f t="shared" si="25"/>
        <v>4.8543689320388349E-2</v>
      </c>
      <c r="O56" s="18">
        <f>IF(ISNUMBER(M56), $B64 * N56, "")</f>
        <v>7281.5533980582522</v>
      </c>
      <c r="Q56" s="146"/>
      <c r="R56" s="146"/>
      <c r="S56" s="146"/>
    </row>
    <row r="57" spans="1:19" ht="17.25" customHeight="1" thickBot="1">
      <c r="A57" s="109" t="s">
        <v>71</v>
      </c>
      <c r="B57" s="110">
        <v>10.7</v>
      </c>
      <c r="C57" s="70">
        <v>9.4339622999999994E-3</v>
      </c>
      <c r="D57" s="15">
        <v>11.3</v>
      </c>
      <c r="E57" s="32">
        <f t="shared" si="22"/>
        <v>5.6074766355140325E-2</v>
      </c>
      <c r="F57" s="18">
        <f>IF(ISNUMBER(D57), $B64 * E57, "")</f>
        <v>8411.2149532710482</v>
      </c>
      <c r="G57" s="31">
        <v>11</v>
      </c>
      <c r="H57" s="32">
        <f t="shared" si="23"/>
        <v>2.8037383177570162E-2</v>
      </c>
      <c r="I57" s="91">
        <f>IF(ISNUMBER(G57), $B64 * H57, "")</f>
        <v>4205.6074766355241</v>
      </c>
      <c r="J57" s="15">
        <v>11.3</v>
      </c>
      <c r="K57" s="32">
        <f t="shared" si="24"/>
        <v>5.6074766355140325E-2</v>
      </c>
      <c r="L57" s="18">
        <f>IF(ISNUMBER(J57), $B64 * K57, "")</f>
        <v>8411.2149532710482</v>
      </c>
      <c r="M57" s="31">
        <v>11.2</v>
      </c>
      <c r="N57" s="32">
        <f t="shared" si="25"/>
        <v>4.6728971962616828E-2</v>
      </c>
      <c r="O57" s="18">
        <f>IF(ISNUMBER(M57), $B64 * N57, "")</f>
        <v>7009.3457943925241</v>
      </c>
      <c r="Q57" s="156"/>
      <c r="R57" s="156"/>
      <c r="S57" s="156"/>
    </row>
    <row r="58" spans="1:19" ht="17.25" customHeight="1" thickBot="1">
      <c r="A58" s="111" t="s">
        <v>203</v>
      </c>
      <c r="B58" s="112">
        <v>3.28</v>
      </c>
      <c r="C58" s="71">
        <v>9.2307692000000007E-3</v>
      </c>
      <c r="D58" s="20">
        <v>3.43</v>
      </c>
      <c r="E58" s="21">
        <f t="shared" si="22"/>
        <v>4.5731707317073281E-2</v>
      </c>
      <c r="F58" s="22">
        <f>IF(ISNUMBER(D58), $B64 * E58, "")</f>
        <v>6859.7560975609922</v>
      </c>
      <c r="G58" s="30">
        <v>3.38</v>
      </c>
      <c r="H58" s="21">
        <f t="shared" si="23"/>
        <v>3.0487804878048811E-2</v>
      </c>
      <c r="I58" s="95">
        <f>IF(ISNUMBER(G58), $B64 * H58, "")</f>
        <v>4573.1707317073215</v>
      </c>
      <c r="J58" s="20">
        <v>3.42</v>
      </c>
      <c r="K58" s="21">
        <f t="shared" si="24"/>
        <v>4.2682926829268331E-2</v>
      </c>
      <c r="L58" s="22">
        <f>IF(ISNUMBER(J58), $B64 * K58, "")</f>
        <v>6402.4390243902499</v>
      </c>
      <c r="M58" s="30">
        <v>3.4</v>
      </c>
      <c r="N58" s="21">
        <f t="shared" si="25"/>
        <v>3.6585365853658569E-2</v>
      </c>
      <c r="O58" s="22">
        <f>IF(ISNUMBER(M58), $B64 * N58, "")</f>
        <v>5487.8048780487852</v>
      </c>
      <c r="Q58" s="156"/>
      <c r="R58" s="156"/>
      <c r="S58" s="156"/>
    </row>
    <row r="59" spans="1:19" ht="17.25" customHeight="1" thickBot="1">
      <c r="A59" s="109" t="s">
        <v>333</v>
      </c>
      <c r="B59" s="113">
        <v>4.45</v>
      </c>
      <c r="C59" s="73">
        <v>9.0702947999999999E-3</v>
      </c>
      <c r="D59" s="96">
        <v>4.66</v>
      </c>
      <c r="E59" s="97">
        <f>IF(ISNUMBER(D59), (D59 - $B59) / $B59, "")</f>
        <v>4.7191011235955045E-2</v>
      </c>
      <c r="F59" s="98">
        <f>IF(ISNUMBER(D59), $B64 * E59, "")</f>
        <v>7078.6516853932571</v>
      </c>
      <c r="G59" s="99">
        <v>4.53</v>
      </c>
      <c r="H59" s="97">
        <f>IF(ISNUMBER(G59), (G59 - $B59) / $B59, "")</f>
        <v>1.7977528089887656E-2</v>
      </c>
      <c r="I59" s="100">
        <f>IF(ISNUMBER(G59), $B64 * H59, "")</f>
        <v>2696.6292134831483</v>
      </c>
      <c r="J59" s="96">
        <v>4.58</v>
      </c>
      <c r="K59" s="97">
        <f>IF(ISNUMBER(J59), (J59 - $B59) / $B59, "")</f>
        <v>2.9213483146067389E-2</v>
      </c>
      <c r="L59" s="98">
        <f>IF(ISNUMBER(J59), $B64 * K59, "")</f>
        <v>4382.0224719101088</v>
      </c>
      <c r="M59" s="99">
        <v>4.5599999999999996</v>
      </c>
      <c r="N59" s="97">
        <f>IF(ISNUMBER(M59), (M59 - $B59) / $B59, "")</f>
        <v>2.4719101123595377E-2</v>
      </c>
      <c r="O59" s="98">
        <f>IF(ISNUMBER(M59), $B64 * N59, "")</f>
        <v>3707.8651685393065</v>
      </c>
      <c r="Q59" s="146"/>
      <c r="R59" s="146"/>
      <c r="S59" s="146"/>
    </row>
    <row r="60" spans="1:19" ht="17.25" customHeight="1" thickBot="1">
      <c r="A60" s="109" t="s">
        <v>193</v>
      </c>
      <c r="B60" s="110">
        <v>17.2</v>
      </c>
      <c r="C60" s="70">
        <v>5.8479532000000004E-3</v>
      </c>
      <c r="D60" s="15">
        <v>18.2</v>
      </c>
      <c r="E60" s="32">
        <f t="shared" ref="E60:E63" si="26">IF(ISNUMBER(D60), (D60 - $B60) / $B60, "")</f>
        <v>5.8139534883720929E-2</v>
      </c>
      <c r="F60" s="18">
        <f>IF(ISNUMBER(D60), $B64 * E60, "")</f>
        <v>8720.9302325581393</v>
      </c>
      <c r="G60" s="31">
        <v>17.899999999999999</v>
      </c>
      <c r="H60" s="32">
        <f t="shared" ref="H60:H63" si="27">IF(ISNUMBER(G60), (G60 - $B60) / $B60, "")</f>
        <v>4.0697674418604612E-2</v>
      </c>
      <c r="I60" s="91">
        <f>IF(ISNUMBER(G60), $B64 * H60, "")</f>
        <v>6104.6511627906921</v>
      </c>
      <c r="J60" s="15">
        <v>18.3</v>
      </c>
      <c r="K60" s="32">
        <f t="shared" ref="K60:K63" si="28">IF(ISNUMBER(J60), (J60 - $B60) / $B60, "")</f>
        <v>6.3953488372093109E-2</v>
      </c>
      <c r="L60" s="18">
        <f>IF(ISNUMBER(J60), $B64 * K60, "")</f>
        <v>9593.0232558139669</v>
      </c>
      <c r="M60" s="31">
        <v>18.2</v>
      </c>
      <c r="N60" s="32">
        <f t="shared" ref="N60:N63" si="29">IF(ISNUMBER(M60), (M60 - $B60) / $B60, "")</f>
        <v>5.8139534883720929E-2</v>
      </c>
      <c r="O60" s="18">
        <f>IF(ISNUMBER(M60), $B64 * N60, "")</f>
        <v>8720.9302325581393</v>
      </c>
      <c r="Q60" s="146"/>
      <c r="R60" s="146"/>
      <c r="S60" s="146"/>
    </row>
    <row r="61" spans="1:19" ht="17.25" customHeight="1" thickBot="1">
      <c r="A61" s="109" t="s">
        <v>145</v>
      </c>
      <c r="B61" s="110">
        <v>72</v>
      </c>
      <c r="C61" s="70">
        <v>5.5865921999999997E-3</v>
      </c>
      <c r="D61" s="15">
        <v>78.900000000000006</v>
      </c>
      <c r="E61" s="32">
        <f t="shared" si="26"/>
        <v>9.5833333333333409E-2</v>
      </c>
      <c r="F61" s="18">
        <f>IF(ISNUMBER(D61), $B64 * E61, "")</f>
        <v>14375.000000000011</v>
      </c>
      <c r="G61" s="31">
        <v>78.7</v>
      </c>
      <c r="H61" s="32">
        <f t="shared" si="27"/>
        <v>9.30555555555556E-2</v>
      </c>
      <c r="I61" s="91">
        <f>IF(ISNUMBER(G61), $B64 * H61, "")</f>
        <v>13958.333333333339</v>
      </c>
      <c r="J61" s="15">
        <v>78.900000000000006</v>
      </c>
      <c r="K61" s="32">
        <f t="shared" si="28"/>
        <v>9.5833333333333409E-2</v>
      </c>
      <c r="L61" s="18">
        <f>IF(ISNUMBER(J61), $B64 * K61, "")</f>
        <v>14375.000000000011</v>
      </c>
      <c r="M61" s="31">
        <v>77.7</v>
      </c>
      <c r="N61" s="32">
        <f t="shared" si="29"/>
        <v>7.9166666666666705E-2</v>
      </c>
      <c r="O61" s="18">
        <f>IF(ISNUMBER(M61), $B64 * N61, "")</f>
        <v>11875.000000000005</v>
      </c>
      <c r="Q61" s="146"/>
      <c r="R61" s="146"/>
      <c r="S61" s="146"/>
    </row>
    <row r="62" spans="1:19" ht="17.25" customHeight="1">
      <c r="A62" s="109" t="s">
        <v>56</v>
      </c>
      <c r="B62" s="110">
        <v>41.5</v>
      </c>
      <c r="C62" s="70">
        <v>4.8426149999999998E-3</v>
      </c>
      <c r="D62" s="15">
        <v>43.8</v>
      </c>
      <c r="E62" s="32">
        <f t="shared" si="26"/>
        <v>5.5421686746987886E-2</v>
      </c>
      <c r="F62" s="18">
        <f>IF(ISNUMBER(D62), $B64 * E62, "")</f>
        <v>8313.2530120481824</v>
      </c>
      <c r="G62" s="31">
        <v>42.9</v>
      </c>
      <c r="H62" s="32">
        <f t="shared" si="27"/>
        <v>3.373493975903611E-2</v>
      </c>
      <c r="I62" s="91">
        <f>IF(ISNUMBER(G62), $B64 * H62, "")</f>
        <v>5060.2409638554163</v>
      </c>
      <c r="J62" s="15">
        <v>43.4</v>
      </c>
      <c r="K62" s="32">
        <f t="shared" si="28"/>
        <v>4.5783132530120445E-2</v>
      </c>
      <c r="L62" s="18">
        <f>IF(ISNUMBER(J62), $B64 * K62, "")</f>
        <v>6867.4698795180666</v>
      </c>
      <c r="M62" s="31">
        <v>43.2</v>
      </c>
      <c r="N62" s="32">
        <f t="shared" si="29"/>
        <v>4.0963855421686818E-2</v>
      </c>
      <c r="O62" s="18">
        <f>IF(ISNUMBER(M62), $B64 * N62, "")</f>
        <v>6144.5783132530223</v>
      </c>
      <c r="Q62" s="135"/>
      <c r="R62" s="136"/>
      <c r="S62" s="137"/>
    </row>
    <row r="63" spans="1:19" ht="17.25" customHeight="1" thickBot="1">
      <c r="A63" s="114" t="s">
        <v>217</v>
      </c>
      <c r="B63" s="115">
        <v>64.900000000000006</v>
      </c>
      <c r="C63" s="72">
        <v>3.0911901000000002E-3</v>
      </c>
      <c r="D63" s="24">
        <v>71.8</v>
      </c>
      <c r="E63" s="25">
        <f t="shared" si="26"/>
        <v>0.10631741140215703</v>
      </c>
      <c r="F63" s="94">
        <f>IF(ISNUMBER(D63), $B64 * E63, "")</f>
        <v>15947.611710323554</v>
      </c>
      <c r="G63" s="92">
        <v>70.8</v>
      </c>
      <c r="H63" s="25">
        <f t="shared" si="27"/>
        <v>9.0909090909090773E-2</v>
      </c>
      <c r="I63" s="93">
        <f>IF(ISNUMBER(G63), $B64 * H63, "")</f>
        <v>13636.363636363616</v>
      </c>
      <c r="J63" s="24">
        <v>72.2</v>
      </c>
      <c r="K63" s="25">
        <f t="shared" si="28"/>
        <v>0.11248073959938361</v>
      </c>
      <c r="L63" s="94">
        <f>IF(ISNUMBER(J63), $B64 * K63, "")</f>
        <v>16872.110939907543</v>
      </c>
      <c r="M63" s="92">
        <v>76.8</v>
      </c>
      <c r="N63" s="25">
        <f t="shared" si="29"/>
        <v>0.18335901386748829</v>
      </c>
      <c r="O63" s="94">
        <f>IF(ISNUMBER(M63), $B64 * N63, "")</f>
        <v>27503.852080123244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5.7015698532819251E-2</v>
      </c>
      <c r="F64" s="28">
        <f>SUM(F44:F63)</f>
        <v>171047.09559845773</v>
      </c>
      <c r="G64" s="26" t="s">
        <v>258</v>
      </c>
      <c r="H64" s="27">
        <f>IF(COUNT(H44:H63), SUM(H44:H63) / COUNT(H44:H63), 0)</f>
        <v>3.8680961803413585E-2</v>
      </c>
      <c r="I64" s="28">
        <f>SUM(I44:I63)</f>
        <v>116042.88541024076</v>
      </c>
      <c r="J64" s="26" t="s">
        <v>258</v>
      </c>
      <c r="K64" s="27">
        <f>IF(COUNT(K44:K63), SUM(K44:K63) / COUNT(K44:K63), 0)</f>
        <v>5.1790688068083623E-2</v>
      </c>
      <c r="L64" s="28">
        <f>SUM(L44:L63)</f>
        <v>155372.06420425087</v>
      </c>
      <c r="M64" s="26" t="s">
        <v>258</v>
      </c>
      <c r="N64" s="27">
        <f>IF(COUNT(N44:N63), SUM(N44:N63) / COUNT(N44:N63), 0)</f>
        <v>5.4486555989822195E-2</v>
      </c>
      <c r="O64" s="28">
        <f>SUM(O44:O63)</f>
        <v>163459.66796946659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2023-01-14(토) 오전 00:00</v>
      </c>
      <c r="C69" s="198"/>
      <c r="D69" s="170" t="str">
        <f>TEXT($G$1, "[$-ko-KR]yyyy-mm-dd(ddd) ") &amp; "오후 14:00"</f>
        <v>2023-01-14(토) 오후 14:00</v>
      </c>
      <c r="E69" s="171"/>
      <c r="F69" s="172"/>
      <c r="G69" s="170" t="str">
        <f>TEXT($G$1, "[$-ko-KR]yyyy-mm-dd(ddd) ") &amp; "오후 19:00"</f>
        <v>2023-01-14(토) 오후 19:00</v>
      </c>
      <c r="H69" s="171"/>
      <c r="I69" s="172"/>
      <c r="J69" s="170" t="str">
        <f>TEXT($G$1, "[$-ko-KR]yyyy-mm-dd(ddd) ") &amp; "오후 21:00"</f>
        <v>2023-01-14(토) 오후 21:00</v>
      </c>
      <c r="K69" s="171"/>
      <c r="L69" s="172"/>
      <c r="M69" s="170" t="str">
        <f>TEXT($G$1+1, "[$-ko-KR]yyyy-mm-dd(ddd) ") &amp; "오전 00:00"</f>
        <v>2023-01-15(일)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60</v>
      </c>
      <c r="B71" s="108">
        <v>558</v>
      </c>
      <c r="C71" s="69">
        <v>7.9303675000000004E-2</v>
      </c>
      <c r="D71" s="13">
        <v>698</v>
      </c>
      <c r="E71" s="14">
        <f>IF(ISNUMBER(D71), (D71 - $B71) / $B71, "")</f>
        <v>0.25089605734767023</v>
      </c>
      <c r="F71" s="16">
        <f>IF(ISNUMBER(D71), $B91 * E71, "")</f>
        <v>37634.408602150535</v>
      </c>
      <c r="G71" s="29">
        <v>729</v>
      </c>
      <c r="H71" s="14">
        <f>IF(ISNUMBER(G71), (G71 - $B71) / $B71, "")</f>
        <v>0.30645161290322581</v>
      </c>
      <c r="I71" s="90">
        <f>IF(ISNUMBER(G71), $B91 * H71, "")</f>
        <v>45967.741935483871</v>
      </c>
      <c r="J71" s="13">
        <v>749</v>
      </c>
      <c r="K71" s="14">
        <f>IF(ISNUMBER(J71), (J71 - $B71) / $B71, "")</f>
        <v>0.34229390681003585</v>
      </c>
      <c r="L71" s="16">
        <f>IF(ISNUMBER(J71), $B91 * K71, "")</f>
        <v>51344.086021505376</v>
      </c>
      <c r="M71" s="29">
        <v>725</v>
      </c>
      <c r="N71" s="14">
        <f>IF(ISNUMBER(M71), (M71 - $B71) / $B71, "")</f>
        <v>0.29928315412186379</v>
      </c>
      <c r="O71" s="16">
        <f>IF(ISNUMBER(M71), $B91 * N71, "")</f>
        <v>44892.473118279566</v>
      </c>
      <c r="Q71" s="156"/>
      <c r="R71" s="156"/>
      <c r="S71" s="156"/>
    </row>
    <row r="72" spans="1:19" ht="17.25" thickBot="1">
      <c r="A72" s="109" t="s">
        <v>68</v>
      </c>
      <c r="B72" s="110">
        <v>312</v>
      </c>
      <c r="C72" s="70">
        <v>5.7627118599999999E-2</v>
      </c>
      <c r="D72" s="15">
        <v>373</v>
      </c>
      <c r="E72" s="32">
        <f t="shared" ref="E72:E75" si="30">IF(ISNUMBER(D72), (D72 - $B72) / $B72, "")</f>
        <v>0.19551282051282051</v>
      </c>
      <c r="F72" s="18">
        <f>IF(ISNUMBER(D72), $B91 * E72, "")</f>
        <v>29326.923076923078</v>
      </c>
      <c r="G72" s="31">
        <v>510</v>
      </c>
      <c r="H72" s="32">
        <f t="shared" ref="H72:H75" si="31">IF(ISNUMBER(G72), (G72 - $B72) / $B72, "")</f>
        <v>0.63461538461538458</v>
      </c>
      <c r="I72" s="91">
        <f>IF(ISNUMBER(G72), $B91 * H72, "")</f>
        <v>95192.307692307688</v>
      </c>
      <c r="J72" s="15">
        <v>559</v>
      </c>
      <c r="K72" s="32">
        <f t="shared" ref="K72:K75" si="32">IF(ISNUMBER(J72), (J72 - $B72) / $B72, "")</f>
        <v>0.79166666666666663</v>
      </c>
      <c r="L72" s="18">
        <f>IF(ISNUMBER(J72), $B91 * K72, "")</f>
        <v>118750</v>
      </c>
      <c r="M72" s="31">
        <v>535</v>
      </c>
      <c r="N72" s="32">
        <f t="shared" ref="N72:N75" si="33">IF(ISNUMBER(M72), (M72 - $B72) / $B72, "")</f>
        <v>0.71474358974358976</v>
      </c>
      <c r="O72" s="18">
        <f>IF(ISNUMBER(M72), $B91 * N72, "")</f>
        <v>107211.53846153847</v>
      </c>
      <c r="Q72" s="156"/>
      <c r="R72" s="156"/>
      <c r="S72" s="156"/>
    </row>
    <row r="73" spans="1:19" ht="17.25" thickBot="1">
      <c r="A73" s="109" t="s">
        <v>111</v>
      </c>
      <c r="B73" s="110">
        <v>699</v>
      </c>
      <c r="C73" s="70">
        <v>4.48430493E-2</v>
      </c>
      <c r="D73" s="15">
        <v>805</v>
      </c>
      <c r="E73" s="32">
        <f t="shared" si="30"/>
        <v>0.15164520743919885</v>
      </c>
      <c r="F73" s="18">
        <f>IF(ISNUMBER(D73), $B91 * E73, "")</f>
        <v>22746.781115879829</v>
      </c>
      <c r="G73" s="31">
        <v>806</v>
      </c>
      <c r="H73" s="32">
        <f t="shared" si="31"/>
        <v>0.1530758226037196</v>
      </c>
      <c r="I73" s="91">
        <f>IF(ISNUMBER(G73), $B91 * H73, "")</f>
        <v>22961.373390557939</v>
      </c>
      <c r="J73" s="15">
        <v>828</v>
      </c>
      <c r="K73" s="32">
        <f t="shared" si="32"/>
        <v>0.18454935622317598</v>
      </c>
      <c r="L73" s="18">
        <f>IF(ISNUMBER(J73), $B91 * K73, "")</f>
        <v>27682.403433476396</v>
      </c>
      <c r="M73" s="31">
        <v>808</v>
      </c>
      <c r="N73" s="32">
        <f t="shared" si="33"/>
        <v>0.15593705293276108</v>
      </c>
      <c r="O73" s="18">
        <f>IF(ISNUMBER(M73), $B91 * N73, "")</f>
        <v>23390.557939914164</v>
      </c>
      <c r="Q73" s="146"/>
      <c r="R73" s="146"/>
      <c r="S73" s="146"/>
    </row>
    <row r="74" spans="1:19" ht="17.25" thickBot="1">
      <c r="A74" s="109" t="s">
        <v>201</v>
      </c>
      <c r="B74" s="110">
        <v>222</v>
      </c>
      <c r="C74" s="70">
        <v>3.25581395E-2</v>
      </c>
      <c r="D74" s="15">
        <v>241</v>
      </c>
      <c r="E74" s="32">
        <f t="shared" si="30"/>
        <v>8.5585585585585586E-2</v>
      </c>
      <c r="F74" s="18">
        <f>IF(ISNUMBER(D74), $B91 * E74, "")</f>
        <v>12837.837837837838</v>
      </c>
      <c r="G74" s="31">
        <v>235</v>
      </c>
      <c r="H74" s="32">
        <f t="shared" si="31"/>
        <v>5.8558558558558557E-2</v>
      </c>
      <c r="I74" s="91">
        <f>IF(ISNUMBER(G74), $B91 * H74, "")</f>
        <v>8783.7837837837833</v>
      </c>
      <c r="J74" s="15">
        <v>244</v>
      </c>
      <c r="K74" s="32">
        <f t="shared" si="32"/>
        <v>9.90990990990991E-2</v>
      </c>
      <c r="L74" s="18">
        <f>IF(ISNUMBER(J74), $B91 * K74, "")</f>
        <v>14864.864864864865</v>
      </c>
      <c r="M74" s="31">
        <v>244</v>
      </c>
      <c r="N74" s="32">
        <f t="shared" si="33"/>
        <v>9.90990990990991E-2</v>
      </c>
      <c r="O74" s="18">
        <f>IF(ISNUMBER(M74), $B91 * N74, "")</f>
        <v>14864.864864864865</v>
      </c>
      <c r="Q74" s="146"/>
      <c r="R74" s="146"/>
      <c r="S74" s="146"/>
    </row>
    <row r="75" spans="1:19" ht="17.25" thickBot="1">
      <c r="A75" s="111" t="s">
        <v>321</v>
      </c>
      <c r="B75" s="112">
        <v>185</v>
      </c>
      <c r="C75" s="71">
        <v>2.77777778E-2</v>
      </c>
      <c r="D75" s="20">
        <v>193</v>
      </c>
      <c r="E75" s="21">
        <f t="shared" si="30"/>
        <v>4.3243243243243246E-2</v>
      </c>
      <c r="F75" s="22">
        <f>IF(ISNUMBER(D75), $B91 * E75, "")</f>
        <v>6486.4864864864867</v>
      </c>
      <c r="G75" s="30">
        <v>188</v>
      </c>
      <c r="H75" s="21">
        <f t="shared" si="31"/>
        <v>1.6216216216216217E-2</v>
      </c>
      <c r="I75" s="95">
        <f>IF(ISNUMBER(G75), $B91 * H75, "")</f>
        <v>2432.4324324324325</v>
      </c>
      <c r="J75" s="20">
        <v>192</v>
      </c>
      <c r="K75" s="21">
        <f t="shared" si="32"/>
        <v>3.783783783783784E-2</v>
      </c>
      <c r="L75" s="22">
        <f>IF(ISNUMBER(J75), $B91 * K75, "")</f>
        <v>5675.6756756756758</v>
      </c>
      <c r="M75" s="30">
        <v>193</v>
      </c>
      <c r="N75" s="21">
        <f t="shared" si="33"/>
        <v>4.3243243243243246E-2</v>
      </c>
      <c r="O75" s="22">
        <f>IF(ISNUMBER(M75), $B91 * N75, "")</f>
        <v>6486.4864864864867</v>
      </c>
      <c r="Q75" s="146"/>
      <c r="R75" s="146"/>
      <c r="S75" s="146"/>
    </row>
    <row r="76" spans="1:19" ht="17.25" thickBot="1">
      <c r="A76" s="109" t="s">
        <v>149</v>
      </c>
      <c r="B76" s="113">
        <v>387</v>
      </c>
      <c r="C76" s="73">
        <v>1.5748031499999999E-2</v>
      </c>
      <c r="D76" s="96">
        <v>426</v>
      </c>
      <c r="E76" s="97">
        <f>IF(ISNUMBER(D76), (D76 - $B76) / $B76, "")</f>
        <v>0.10077519379844961</v>
      </c>
      <c r="F76" s="98">
        <f>IF(ISNUMBER(D76), $B91 * E76, "")</f>
        <v>15116.279069767441</v>
      </c>
      <c r="G76" s="99">
        <v>418</v>
      </c>
      <c r="H76" s="97">
        <f>IF(ISNUMBER(G76), (G76 - $B76) / $B76, "")</f>
        <v>8.0103359173126609E-2</v>
      </c>
      <c r="I76" s="100">
        <f>IF(ISNUMBER(G76), $B91 * H76, "")</f>
        <v>12015.503875968991</v>
      </c>
      <c r="J76" s="96">
        <v>430</v>
      </c>
      <c r="K76" s="97">
        <f>IF(ISNUMBER(J76), (J76 - $B76) / $B76, "")</f>
        <v>0.1111111111111111</v>
      </c>
      <c r="L76" s="98">
        <f>IF(ISNUMBER(J76), $B91 * K76, "")</f>
        <v>16666.666666666664</v>
      </c>
      <c r="M76" s="99">
        <v>429</v>
      </c>
      <c r="N76" s="97">
        <f>IF(ISNUMBER(M76), (M76 - $B76) / $B76, "")</f>
        <v>0.10852713178294573</v>
      </c>
      <c r="O76" s="98">
        <f>IF(ISNUMBER(M76), $B91 * N76, "")</f>
        <v>16279.069767441861</v>
      </c>
      <c r="Q76" s="146"/>
      <c r="R76" s="146"/>
      <c r="S76" s="146"/>
    </row>
    <row r="77" spans="1:19" ht="17.25" thickBot="1">
      <c r="A77" s="109" t="s">
        <v>101</v>
      </c>
      <c r="B77" s="110">
        <v>229</v>
      </c>
      <c r="C77" s="70">
        <v>1.32743363E-2</v>
      </c>
      <c r="D77" s="15">
        <v>242</v>
      </c>
      <c r="E77" s="32">
        <f t="shared" ref="E77:E80" si="34">IF(ISNUMBER(D77), (D77 - $B77) / $B77, "")</f>
        <v>5.6768558951965066E-2</v>
      </c>
      <c r="F77" s="18">
        <f>IF(ISNUMBER(D77), $B91 * E77, "")</f>
        <v>8515.283842794759</v>
      </c>
      <c r="G77" s="31">
        <v>234</v>
      </c>
      <c r="H77" s="32">
        <f t="shared" ref="H77:H80" si="35">IF(ISNUMBER(G77), (G77 - $B77) / $B77, "")</f>
        <v>2.1834061135371178E-2</v>
      </c>
      <c r="I77" s="91">
        <f>IF(ISNUMBER(G77), $B91 * H77, "")</f>
        <v>3275.1091703056768</v>
      </c>
      <c r="J77" s="15">
        <v>239</v>
      </c>
      <c r="K77" s="32">
        <f t="shared" ref="K77:K80" si="36">IF(ISNUMBER(J77), (J77 - $B77) / $B77, "")</f>
        <v>4.3668122270742356E-2</v>
      </c>
      <c r="L77" s="18">
        <f>IF(ISNUMBER(J77), $B91 * K77, "")</f>
        <v>6550.2183406113536</v>
      </c>
      <c r="M77" s="31">
        <v>239</v>
      </c>
      <c r="N77" s="32">
        <f t="shared" ref="N77:N80" si="37">IF(ISNUMBER(M77), (M77 - $B77) / $B77, "")</f>
        <v>4.3668122270742356E-2</v>
      </c>
      <c r="O77" s="18">
        <f>IF(ISNUMBER(M77), $B91 * N77, "")</f>
        <v>6550.2183406113536</v>
      </c>
      <c r="Q77" s="146"/>
      <c r="R77" s="146"/>
      <c r="S77" s="146"/>
    </row>
    <row r="78" spans="1:19" ht="17.25" thickBot="1">
      <c r="A78" s="109" t="s">
        <v>167</v>
      </c>
      <c r="B78" s="110">
        <v>179</v>
      </c>
      <c r="C78" s="70">
        <v>1.1299435E-2</v>
      </c>
      <c r="D78" s="15">
        <v>189</v>
      </c>
      <c r="E78" s="32">
        <f t="shared" si="34"/>
        <v>5.5865921787709494E-2</v>
      </c>
      <c r="F78" s="18">
        <f>IF(ISNUMBER(D78), $B91 * E78, "")</f>
        <v>8379.8882681564246</v>
      </c>
      <c r="G78" s="31">
        <v>183</v>
      </c>
      <c r="H78" s="32">
        <f t="shared" si="35"/>
        <v>2.23463687150838E-2</v>
      </c>
      <c r="I78" s="91">
        <f>IF(ISNUMBER(G78), $B91 * H78, "")</f>
        <v>3351.9553072625699</v>
      </c>
      <c r="J78" s="15">
        <v>191</v>
      </c>
      <c r="K78" s="32">
        <f t="shared" si="36"/>
        <v>6.7039106145251395E-2</v>
      </c>
      <c r="L78" s="18">
        <f>IF(ISNUMBER(J78), $B91 * K78, "")</f>
        <v>10055.865921787708</v>
      </c>
      <c r="M78" s="31">
        <v>188</v>
      </c>
      <c r="N78" s="32">
        <f t="shared" si="37"/>
        <v>5.027932960893855E-2</v>
      </c>
      <c r="O78" s="18">
        <f>IF(ISNUMBER(M78), $B91 * N78, "")</f>
        <v>7541.8994413407827</v>
      </c>
      <c r="Q78" s="146"/>
      <c r="R78" s="146"/>
      <c r="S78" s="146"/>
    </row>
    <row r="79" spans="1:19" ht="17.25" thickBot="1">
      <c r="A79" s="109" t="s">
        <v>229</v>
      </c>
      <c r="B79" s="110">
        <v>258</v>
      </c>
      <c r="C79" s="70">
        <v>7.8125E-3</v>
      </c>
      <c r="D79" s="15">
        <v>274</v>
      </c>
      <c r="E79" s="32">
        <f t="shared" si="34"/>
        <v>6.2015503875968991E-2</v>
      </c>
      <c r="F79" s="18">
        <f>IF(ISNUMBER(D79), $B91 * E79, "")</f>
        <v>9302.3255813953492</v>
      </c>
      <c r="G79" s="31">
        <v>264</v>
      </c>
      <c r="H79" s="32">
        <f t="shared" si="35"/>
        <v>2.3255813953488372E-2</v>
      </c>
      <c r="I79" s="91">
        <f>IF(ISNUMBER(G79), $B91 * H79, "")</f>
        <v>3488.3720930232557</v>
      </c>
      <c r="J79" s="15">
        <v>269</v>
      </c>
      <c r="K79" s="32">
        <f t="shared" si="36"/>
        <v>4.2635658914728682E-2</v>
      </c>
      <c r="L79" s="18">
        <f>IF(ISNUMBER(J79), $B91 * K79, "")</f>
        <v>6395.3488372093025</v>
      </c>
      <c r="M79" s="31">
        <v>269</v>
      </c>
      <c r="N79" s="32">
        <f t="shared" si="37"/>
        <v>4.2635658914728682E-2</v>
      </c>
      <c r="O79" s="18">
        <f>IF(ISNUMBER(M79), $B91 * N79, "")</f>
        <v>6395.3488372093025</v>
      </c>
      <c r="Q79" s="33"/>
      <c r="R79" s="33"/>
    </row>
    <row r="80" spans="1:19" ht="17.25" thickBot="1">
      <c r="A80" s="114" t="s">
        <v>235</v>
      </c>
      <c r="B80" s="115">
        <v>562</v>
      </c>
      <c r="C80" s="72">
        <v>7.1684588000000002E-3</v>
      </c>
      <c r="D80" s="24">
        <v>582</v>
      </c>
      <c r="E80" s="25">
        <f t="shared" si="34"/>
        <v>3.5587188612099648E-2</v>
      </c>
      <c r="F80" s="94">
        <f>IF(ISNUMBER(D80), $B91 * E80, "")</f>
        <v>5338.0782918149471</v>
      </c>
      <c r="G80" s="92">
        <v>571</v>
      </c>
      <c r="H80" s="25">
        <f t="shared" si="35"/>
        <v>1.601423487544484E-2</v>
      </c>
      <c r="I80" s="93">
        <f>IF(ISNUMBER(G80), $B91 * H80, "")</f>
        <v>2402.1352313167263</v>
      </c>
      <c r="J80" s="24">
        <v>580</v>
      </c>
      <c r="K80" s="25">
        <f t="shared" si="36"/>
        <v>3.2028469750889681E-2</v>
      </c>
      <c r="L80" s="94">
        <f>IF(ISNUMBER(J80), $B91 * K80, "")</f>
        <v>4804.2704626334526</v>
      </c>
      <c r="M80" s="92">
        <v>577</v>
      </c>
      <c r="N80" s="25">
        <f t="shared" si="37"/>
        <v>2.6690391459074734E-2</v>
      </c>
      <c r="O80" s="94">
        <f>IF(ISNUMBER(M80), $B91 * N80, "")</f>
        <v>4003.5587188612103</v>
      </c>
      <c r="Q80" s="147"/>
      <c r="R80" s="148"/>
      <c r="S80" s="149"/>
    </row>
    <row r="81" spans="1:19">
      <c r="A81" s="107" t="s">
        <v>330</v>
      </c>
      <c r="B81" s="108">
        <v>301</v>
      </c>
      <c r="C81" s="69">
        <v>6.6889632000000001E-3</v>
      </c>
      <c r="D81" s="13">
        <v>320</v>
      </c>
      <c r="E81" s="14">
        <f>IF(ISNUMBER(D81), (D81 - $B81) / $B81, "")</f>
        <v>6.3122923588039864E-2</v>
      </c>
      <c r="F81" s="16">
        <f>IF(ISNUMBER(D81), $B91 * E81, "")</f>
        <v>9468.4385382059791</v>
      </c>
      <c r="G81" s="29">
        <v>313</v>
      </c>
      <c r="H81" s="14">
        <f>IF(ISNUMBER(G81), (G81 - $B81) / $B81, "")</f>
        <v>3.9867109634551492E-2</v>
      </c>
      <c r="I81" s="90">
        <f>IF(ISNUMBER(G81), $B91 * H81, "")</f>
        <v>5980.0664451827242</v>
      </c>
      <c r="J81" s="13">
        <v>318</v>
      </c>
      <c r="K81" s="14">
        <f>IF(ISNUMBER(J81), (J81 - $B81) / $B81, "")</f>
        <v>5.647840531561462E-2</v>
      </c>
      <c r="L81" s="16">
        <f>IF(ISNUMBER(J81), $B91 * K81, "")</f>
        <v>8471.7607973421927</v>
      </c>
      <c r="M81" s="29">
        <v>319</v>
      </c>
      <c r="N81" s="14">
        <f>IF(ISNUMBER(M81), (M81 - $B81) / $B81, "")</f>
        <v>5.9800664451827246E-2</v>
      </c>
      <c r="O81" s="16">
        <f>IF(ISNUMBER(M81), $B91 * N81, "")</f>
        <v>8970.0996677740877</v>
      </c>
      <c r="Q81" s="150"/>
      <c r="R81" s="151"/>
      <c r="S81" s="152"/>
    </row>
    <row r="82" spans="1:19" ht="17.25" thickBot="1">
      <c r="A82" s="109" t="s">
        <v>105</v>
      </c>
      <c r="B82" s="110">
        <v>215</v>
      </c>
      <c r="C82" s="70">
        <v>4.6728971999999997E-3</v>
      </c>
      <c r="D82" s="15">
        <v>227</v>
      </c>
      <c r="E82" s="32">
        <f t="shared" ref="E82:E85" si="38">IF(ISNUMBER(D82), (D82 - $B82) / $B82, "")</f>
        <v>5.5813953488372092E-2</v>
      </c>
      <c r="F82" s="18">
        <f>IF(ISNUMBER(D82), $B91 * E82, "")</f>
        <v>8372.093023255813</v>
      </c>
      <c r="G82" s="31">
        <v>225</v>
      </c>
      <c r="H82" s="32">
        <f t="shared" ref="H82:H85" si="39">IF(ISNUMBER(G82), (G82 - $B82) / $B82, "")</f>
        <v>4.6511627906976744E-2</v>
      </c>
      <c r="I82" s="91">
        <f>IF(ISNUMBER(G82), $B91 * H82, "")</f>
        <v>6976.7441860465115</v>
      </c>
      <c r="J82" s="15">
        <v>228</v>
      </c>
      <c r="K82" s="32">
        <f t="shared" ref="K82:K85" si="40">IF(ISNUMBER(J82), (J82 - $B82) / $B82, "")</f>
        <v>6.0465116279069767E-2</v>
      </c>
      <c r="L82" s="18">
        <f>IF(ISNUMBER(J82), $B91 * K82, "")</f>
        <v>9069.7674418604656</v>
      </c>
      <c r="M82" s="31">
        <v>228</v>
      </c>
      <c r="N82" s="32">
        <f t="shared" ref="N82:N85" si="41">IF(ISNUMBER(M82), (M82 - $B82) / $B82, "")</f>
        <v>6.0465116279069767E-2</v>
      </c>
      <c r="O82" s="18">
        <f>IF(ISNUMBER(M82), $B91 * N82, "")</f>
        <v>9069.7674418604656</v>
      </c>
      <c r="Q82" s="153"/>
      <c r="R82" s="154"/>
      <c r="S82" s="155"/>
    </row>
    <row r="83" spans="1:19" ht="17.25" thickBot="1">
      <c r="A83" s="109" t="s">
        <v>213</v>
      </c>
      <c r="B83" s="110">
        <v>472</v>
      </c>
      <c r="C83" s="70">
        <v>4.2553191000000001E-3</v>
      </c>
      <c r="D83" s="15">
        <v>490</v>
      </c>
      <c r="E83" s="32">
        <f t="shared" si="38"/>
        <v>3.8135593220338986E-2</v>
      </c>
      <c r="F83" s="18">
        <f>IF(ISNUMBER(D83), $B91 * E83, "")</f>
        <v>5720.3389830508477</v>
      </c>
      <c r="G83" s="31">
        <v>481</v>
      </c>
      <c r="H83" s="32">
        <f t="shared" si="39"/>
        <v>1.9067796610169493E-2</v>
      </c>
      <c r="I83" s="91">
        <f>IF(ISNUMBER(G83), $B91 * H83, "")</f>
        <v>2860.1694915254238</v>
      </c>
      <c r="J83" s="15">
        <v>489</v>
      </c>
      <c r="K83" s="32">
        <f t="shared" si="40"/>
        <v>3.6016949152542374E-2</v>
      </c>
      <c r="L83" s="18">
        <f>IF(ISNUMBER(J83), $B91 * K83, "")</f>
        <v>5402.5423728813557</v>
      </c>
      <c r="M83" s="31">
        <v>487</v>
      </c>
      <c r="N83" s="32">
        <f t="shared" si="41"/>
        <v>3.1779661016949151E-2</v>
      </c>
      <c r="O83" s="18">
        <f>IF(ISNUMBER(M83), $B91 * N83, "")</f>
        <v>4766.9491525423728</v>
      </c>
      <c r="Q83" s="146"/>
      <c r="R83" s="146"/>
      <c r="S83" s="146"/>
    </row>
    <row r="84" spans="1:19" ht="17.25" thickBot="1">
      <c r="A84" s="109" t="s">
        <v>116</v>
      </c>
      <c r="B84" s="110">
        <v>985</v>
      </c>
      <c r="C84" s="70">
        <v>2.0345879999999999E-3</v>
      </c>
      <c r="D84" s="15">
        <v>1055</v>
      </c>
      <c r="E84" s="32">
        <f t="shared" si="38"/>
        <v>7.1065989847715741E-2</v>
      </c>
      <c r="F84" s="18">
        <f>IF(ISNUMBER(D84), $B91 * E84, "")</f>
        <v>10659.898477157361</v>
      </c>
      <c r="G84" s="31">
        <v>1025</v>
      </c>
      <c r="H84" s="32">
        <f t="shared" si="39"/>
        <v>4.060913705583756E-2</v>
      </c>
      <c r="I84" s="91">
        <f>IF(ISNUMBER(G84), $B91 * H84, "")</f>
        <v>6091.3705583756337</v>
      </c>
      <c r="J84" s="15">
        <v>1045</v>
      </c>
      <c r="K84" s="32">
        <f t="shared" si="40"/>
        <v>6.0913705583756347E-2</v>
      </c>
      <c r="L84" s="18">
        <f>IF(ISNUMBER(J84), $B91 * K84, "")</f>
        <v>9137.0558375634519</v>
      </c>
      <c r="M84" s="31">
        <v>1040</v>
      </c>
      <c r="N84" s="32">
        <f t="shared" si="41"/>
        <v>5.5837563451776651E-2</v>
      </c>
      <c r="O84" s="18">
        <f>IF(ISNUMBER(M84), $B91 * N84, "")</f>
        <v>8375.6345177664971</v>
      </c>
      <c r="Q84" s="156"/>
      <c r="R84" s="156"/>
      <c r="S84" s="156"/>
    </row>
    <row r="85" spans="1:19" ht="17.25" thickBot="1">
      <c r="A85" s="111" t="s">
        <v>332</v>
      </c>
      <c r="B85" s="112">
        <v>565</v>
      </c>
      <c r="C85" s="71">
        <v>1.7730496000000001E-3</v>
      </c>
      <c r="D85" s="20">
        <v>596</v>
      </c>
      <c r="E85" s="21">
        <f t="shared" si="38"/>
        <v>5.4867256637168141E-2</v>
      </c>
      <c r="F85" s="22">
        <f>IF(ISNUMBER(D85), $B91 * E85, "")</f>
        <v>8230.0884955752208</v>
      </c>
      <c r="G85" s="30">
        <v>584</v>
      </c>
      <c r="H85" s="21">
        <f t="shared" si="39"/>
        <v>3.3628318584070796E-2</v>
      </c>
      <c r="I85" s="95">
        <f>IF(ISNUMBER(G85), $B91 * H85, "")</f>
        <v>5044.2477876106195</v>
      </c>
      <c r="J85" s="20">
        <v>589</v>
      </c>
      <c r="K85" s="21">
        <f t="shared" si="40"/>
        <v>4.247787610619469E-2</v>
      </c>
      <c r="L85" s="22">
        <f>IF(ISNUMBER(J85), $B91 * K85, "")</f>
        <v>6371.6814159292035</v>
      </c>
      <c r="M85" s="30">
        <v>592</v>
      </c>
      <c r="N85" s="21">
        <f t="shared" si="41"/>
        <v>4.7787610619469026E-2</v>
      </c>
      <c r="O85" s="22">
        <f>IF(ISNUMBER(M85), $B91 * N85, "")</f>
        <v>7168.141592920354</v>
      </c>
      <c r="Q85" s="156"/>
      <c r="R85" s="156"/>
      <c r="S85" s="156"/>
    </row>
    <row r="86" spans="1:19" ht="17.25" thickBot="1">
      <c r="A86" s="109" t="s">
        <v>79</v>
      </c>
      <c r="B86" s="113">
        <v>257</v>
      </c>
      <c r="C86" s="73">
        <v>0</v>
      </c>
      <c r="D86" s="96">
        <v>278</v>
      </c>
      <c r="E86" s="97">
        <f>IF(ISNUMBER(D86), (D86 - $B86) / $B86, "")</f>
        <v>8.171206225680934E-2</v>
      </c>
      <c r="F86" s="98">
        <f>IF(ISNUMBER(D86), $B91 * E86, "")</f>
        <v>12256.809338521402</v>
      </c>
      <c r="G86" s="99">
        <v>275</v>
      </c>
      <c r="H86" s="97">
        <f>IF(ISNUMBER(G86), (G86 - $B86) / $B86, "")</f>
        <v>7.0038910505836577E-2</v>
      </c>
      <c r="I86" s="100">
        <f>IF(ISNUMBER(G86), $B91 * H86, "")</f>
        <v>10505.836575875486</v>
      </c>
      <c r="J86" s="96">
        <v>277</v>
      </c>
      <c r="K86" s="97">
        <f>IF(ISNUMBER(J86), (J86 - $B86) / $B86, "")</f>
        <v>7.7821011673151752E-2</v>
      </c>
      <c r="L86" s="98">
        <f>IF(ISNUMBER(J86), $B91 * K86, "")</f>
        <v>11673.151750972764</v>
      </c>
      <c r="M86" s="99">
        <v>278</v>
      </c>
      <c r="N86" s="97">
        <f>IF(ISNUMBER(M86), (M86 - $B86) / $B86, "")</f>
        <v>8.171206225680934E-2</v>
      </c>
      <c r="O86" s="98">
        <f>IF(ISNUMBER(M86), $B91 * N86, "")</f>
        <v>12256.809338521402</v>
      </c>
      <c r="Q86" s="146"/>
      <c r="R86" s="146"/>
      <c r="S86" s="146"/>
    </row>
    <row r="87" spans="1:19" ht="17.25" thickBot="1">
      <c r="A87" s="109" t="s">
        <v>341</v>
      </c>
      <c r="B87" s="110">
        <v>727</v>
      </c>
      <c r="C87" s="70">
        <v>0</v>
      </c>
      <c r="D87" s="15">
        <v>776</v>
      </c>
      <c r="E87" s="32">
        <f t="shared" ref="E87:E90" si="42">IF(ISNUMBER(D87), (D87 - $B87) / $B87, "")</f>
        <v>6.7400275103163682E-2</v>
      </c>
      <c r="F87" s="18">
        <f>IF(ISNUMBER(D87), $B91 * E87, "")</f>
        <v>10110.041265474552</v>
      </c>
      <c r="G87" s="31">
        <v>765</v>
      </c>
      <c r="H87" s="32">
        <f t="shared" ref="H87:H90" si="43">IF(ISNUMBER(G87), (G87 - $B87) / $B87, "")</f>
        <v>5.2269601100412656E-2</v>
      </c>
      <c r="I87" s="91">
        <f>IF(ISNUMBER(G87), $B91 * H87, "")</f>
        <v>7840.4401650618984</v>
      </c>
      <c r="J87" s="15">
        <v>776</v>
      </c>
      <c r="K87" s="32">
        <f t="shared" ref="K87:K90" si="44">IF(ISNUMBER(J87), (J87 - $B87) / $B87, "")</f>
        <v>6.7400275103163682E-2</v>
      </c>
      <c r="L87" s="18">
        <f>IF(ISNUMBER(J87), $B91 * K87, "")</f>
        <v>10110.041265474552</v>
      </c>
      <c r="M87" s="31">
        <v>780</v>
      </c>
      <c r="N87" s="32">
        <f t="shared" ref="N87:N90" si="45">IF(ISNUMBER(M87), (M87 - $B87) / $B87, "")</f>
        <v>7.2902338376891335E-2</v>
      </c>
      <c r="O87" s="18">
        <f>IF(ISNUMBER(M87), $B91 * N87, "")</f>
        <v>10935.3507565337</v>
      </c>
      <c r="Q87" s="146"/>
      <c r="R87" s="146"/>
      <c r="S87" s="146"/>
    </row>
    <row r="88" spans="1:19" ht="17.25" thickBot="1">
      <c r="A88" s="109" t="s">
        <v>120</v>
      </c>
      <c r="B88" s="110">
        <v>110</v>
      </c>
      <c r="C88" s="70">
        <v>0</v>
      </c>
      <c r="D88" s="15">
        <v>116</v>
      </c>
      <c r="E88" s="32">
        <f t="shared" si="42"/>
        <v>5.4545454545454543E-2</v>
      </c>
      <c r="F88" s="18">
        <f>IF(ISNUMBER(D88), $B91 * E88, "")</f>
        <v>8181.8181818181811</v>
      </c>
      <c r="G88" s="31">
        <v>114</v>
      </c>
      <c r="H88" s="32">
        <f t="shared" si="43"/>
        <v>3.6363636363636362E-2</v>
      </c>
      <c r="I88" s="91">
        <f>IF(ISNUMBER(G88), $B91 * H88, "")</f>
        <v>5454.545454545454</v>
      </c>
      <c r="J88" s="15">
        <v>116</v>
      </c>
      <c r="K88" s="32">
        <f t="shared" si="44"/>
        <v>5.4545454545454543E-2</v>
      </c>
      <c r="L88" s="18">
        <f>IF(ISNUMBER(J88), $B91 * K88, "")</f>
        <v>8181.8181818181811</v>
      </c>
      <c r="M88" s="31">
        <v>116</v>
      </c>
      <c r="N88" s="32">
        <f t="shared" si="45"/>
        <v>5.4545454545454543E-2</v>
      </c>
      <c r="O88" s="18">
        <f>IF(ISNUMBER(M88), $B91 * N88, "")</f>
        <v>8181.8181818181811</v>
      </c>
      <c r="Q88" s="146"/>
      <c r="R88" s="146"/>
      <c r="S88" s="146"/>
    </row>
    <row r="89" spans="1:19">
      <c r="A89" s="109" t="s">
        <v>253</v>
      </c>
      <c r="B89" s="110">
        <v>100</v>
      </c>
      <c r="C89" s="70">
        <v>0</v>
      </c>
      <c r="D89" s="15">
        <v>110</v>
      </c>
      <c r="E89" s="32">
        <f t="shared" si="42"/>
        <v>0.1</v>
      </c>
      <c r="F89" s="18">
        <f>IF(ISNUMBER(D89), $B91 * E89, "")</f>
        <v>15000</v>
      </c>
      <c r="G89" s="31">
        <v>106</v>
      </c>
      <c r="H89" s="32">
        <f t="shared" si="43"/>
        <v>0.06</v>
      </c>
      <c r="I89" s="91">
        <f>IF(ISNUMBER(G89), $B91 * H89, "")</f>
        <v>9000</v>
      </c>
      <c r="J89" s="15">
        <v>106</v>
      </c>
      <c r="K89" s="32">
        <f t="shared" si="44"/>
        <v>0.06</v>
      </c>
      <c r="L89" s="18">
        <f>IF(ISNUMBER(J89), $B91 * K89, "")</f>
        <v>9000</v>
      </c>
      <c r="M89" s="31">
        <v>107</v>
      </c>
      <c r="N89" s="32">
        <f t="shared" si="45"/>
        <v>7.0000000000000007E-2</v>
      </c>
      <c r="O89" s="18">
        <f>IF(ISNUMBER(M89), $B91 * N89, "")</f>
        <v>10500.000000000002</v>
      </c>
      <c r="Q89" s="135"/>
      <c r="R89" s="136"/>
      <c r="S89" s="137"/>
    </row>
    <row r="90" spans="1:19" ht="17.25" thickBot="1">
      <c r="A90" s="114" t="s">
        <v>215</v>
      </c>
      <c r="B90" s="115">
        <v>319</v>
      </c>
      <c r="C90" s="72">
        <v>0</v>
      </c>
      <c r="D90" s="24">
        <v>337</v>
      </c>
      <c r="E90" s="25">
        <f t="shared" si="42"/>
        <v>5.6426332288401257E-2</v>
      </c>
      <c r="F90" s="94">
        <f>IF(ISNUMBER(D90), $B91 * E90, "")</f>
        <v>8463.9498432601886</v>
      </c>
      <c r="G90" s="92">
        <v>326</v>
      </c>
      <c r="H90" s="25">
        <f t="shared" si="43"/>
        <v>2.1943573667711599E-2</v>
      </c>
      <c r="I90" s="93">
        <f>IF(ISNUMBER(G90), $B91 * H90, "")</f>
        <v>3291.5360501567397</v>
      </c>
      <c r="J90" s="24">
        <v>333</v>
      </c>
      <c r="K90" s="25">
        <f t="shared" si="44"/>
        <v>4.3887147335423198E-2</v>
      </c>
      <c r="L90" s="94">
        <f>IF(ISNUMBER(J90), $B91 * K90, "")</f>
        <v>6583.0721003134795</v>
      </c>
      <c r="M90" s="92">
        <v>334</v>
      </c>
      <c r="N90" s="25">
        <f t="shared" si="45"/>
        <v>4.7021943573667714E-2</v>
      </c>
      <c r="O90" s="94">
        <f>IF(ISNUMBER(M90), $B91 * N90, "")</f>
        <v>7053.2915360501574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8.4049256106508749E-2</v>
      </c>
      <c r="F91" s="28">
        <f>SUM(F71:F90)</f>
        <v>252147.76831952622</v>
      </c>
      <c r="G91" s="26" t="s">
        <v>258</v>
      </c>
      <c r="H91" s="27">
        <f>IF(COUNT(H71:H90), SUM(H71:H90) / COUNT(H71:H90), 0)</f>
        <v>8.7638557208941162E-2</v>
      </c>
      <c r="I91" s="28">
        <f>SUM(I71:I90)</f>
        <v>262915.67162682343</v>
      </c>
      <c r="J91" s="26" t="s">
        <v>258</v>
      </c>
      <c r="K91" s="27">
        <f>IF(COUNT(K71:K90), SUM(K71:K90) / COUNT(K71:K90), 0)</f>
        <v>0.1155967637961955</v>
      </c>
      <c r="L91" s="28">
        <f>SUM(L71:L90)</f>
        <v>346790.29138858651</v>
      </c>
      <c r="M91" s="26" t="s">
        <v>258</v>
      </c>
      <c r="N91" s="27">
        <f>IF(COUNT(N71:N90), SUM(N71:N90) / COUNT(N71:N90), 0)</f>
        <v>0.10829795938744509</v>
      </c>
      <c r="O91" s="28">
        <f>SUM(O71:O90)</f>
        <v>324893.8781623352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2023-01-14(토) 오전 00:00</v>
      </c>
      <c r="C96" s="198"/>
      <c r="D96" s="170" t="str">
        <f>TEXT($G$1, "[$-ko-KR]yyyy-mm-dd(ddd) ") &amp; "오후 14:00"</f>
        <v>2023-01-14(토) 오후 14:00</v>
      </c>
      <c r="E96" s="171"/>
      <c r="F96" s="172"/>
      <c r="G96" s="170" t="str">
        <f>TEXT($G$1, "[$-ko-KR]yyyy-mm-dd(ddd) ") &amp; "오후 19:00"</f>
        <v>2023-01-14(토) 오후 19:00</v>
      </c>
      <c r="H96" s="171"/>
      <c r="I96" s="172"/>
      <c r="J96" s="170" t="str">
        <f>TEXT($G$1, "[$-ko-KR]yyyy-mm-dd(ddd) ") &amp; "오후 21:00"</f>
        <v>2023-01-14(토) 오후 21:00</v>
      </c>
      <c r="K96" s="171"/>
      <c r="L96" s="172"/>
      <c r="M96" s="170" t="str">
        <f>TEXT($G$1+1, "[$-ko-KR]yyyy-mm-dd(ddd) ") &amp; "오전 00:00"</f>
        <v>2023-01-15(일)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60</v>
      </c>
      <c r="B98" s="108">
        <v>558</v>
      </c>
      <c r="C98" s="69">
        <v>7.9303675000000004E-2</v>
      </c>
      <c r="D98" s="13">
        <v>698</v>
      </c>
      <c r="E98" s="14">
        <f>IF(ISNUMBER(D98), (D98 - $B98) / $B98, "")</f>
        <v>0.25089605734767023</v>
      </c>
      <c r="F98" s="16">
        <f>IF(ISNUMBER(D98), $B118 * E98, "")</f>
        <v>37634.408602150535</v>
      </c>
      <c r="G98" s="29">
        <v>729</v>
      </c>
      <c r="H98" s="14">
        <f>IF(ISNUMBER(G98), (G98 - $B98) / $B98, "")</f>
        <v>0.30645161290322581</v>
      </c>
      <c r="I98" s="90">
        <f>IF(ISNUMBER(G98), $B118 * H98, "")</f>
        <v>45967.741935483871</v>
      </c>
      <c r="J98" s="13">
        <v>749</v>
      </c>
      <c r="K98" s="14">
        <f>IF(ISNUMBER(J98), (J98 - $B98) / $B98, "")</f>
        <v>0.34229390681003585</v>
      </c>
      <c r="L98" s="16">
        <f>IF(ISNUMBER(J98), $B118 * K98, "")</f>
        <v>51344.086021505376</v>
      </c>
      <c r="M98" s="29">
        <v>725</v>
      </c>
      <c r="N98" s="14">
        <f>IF(ISNUMBER(M98), (M98 - $B98) / $B98, "")</f>
        <v>0.29928315412186379</v>
      </c>
      <c r="O98" s="16">
        <f>IF(ISNUMBER(M98), $B118 * N98, "")</f>
        <v>44892.473118279566</v>
      </c>
      <c r="Q98" s="156"/>
      <c r="R98" s="156"/>
      <c r="S98" s="156"/>
    </row>
    <row r="99" spans="1:19" ht="17.25" thickBot="1">
      <c r="A99" s="109" t="s">
        <v>138</v>
      </c>
      <c r="B99" s="110">
        <v>27</v>
      </c>
      <c r="C99" s="70">
        <v>6.7193675899999999E-2</v>
      </c>
      <c r="D99" s="15">
        <v>27.8</v>
      </c>
      <c r="E99" s="32">
        <f t="shared" ref="E99:E102" si="46">IF(ISNUMBER(D99), (D99 - $B99) / $B99, "")</f>
        <v>2.9629629629629655E-2</v>
      </c>
      <c r="F99" s="18">
        <f>IF(ISNUMBER(D99), $B118 * E99, "")</f>
        <v>4444.444444444448</v>
      </c>
      <c r="G99" s="31">
        <v>27.9</v>
      </c>
      <c r="H99" s="32">
        <f t="shared" ref="H99:H102" si="47">IF(ISNUMBER(G99), (G99 - $B99) / $B99, "")</f>
        <v>3.3333333333333277E-2</v>
      </c>
      <c r="I99" s="91">
        <f>IF(ISNUMBER(G99), $B118 * H99, "")</f>
        <v>4999.9999999999918</v>
      </c>
      <c r="J99" s="15">
        <v>28.4</v>
      </c>
      <c r="K99" s="32">
        <f t="shared" ref="K99:K102" si="48">IF(ISNUMBER(J99), (J99 - $B99) / $B99, "")</f>
        <v>5.1851851851851802E-2</v>
      </c>
      <c r="L99" s="18">
        <f>IF(ISNUMBER(J99), $B118 * K99, "")</f>
        <v>7777.7777777777701</v>
      </c>
      <c r="M99" s="31">
        <v>28.7</v>
      </c>
      <c r="N99" s="32">
        <f t="shared" ref="N99:N102" si="49">IF(ISNUMBER(M99), (M99 - $B99) / $B99, "")</f>
        <v>6.2962962962962943E-2</v>
      </c>
      <c r="O99" s="18">
        <f>IF(ISNUMBER(M99), $B118 * N99, "")</f>
        <v>9444.4444444444416</v>
      </c>
      <c r="Q99" s="156"/>
      <c r="R99" s="156"/>
      <c r="S99" s="156"/>
    </row>
    <row r="100" spans="1:19" ht="17.25" thickBot="1">
      <c r="A100" s="109" t="s">
        <v>68</v>
      </c>
      <c r="B100" s="110">
        <v>312</v>
      </c>
      <c r="C100" s="70">
        <v>5.7627118599999999E-2</v>
      </c>
      <c r="D100" s="15">
        <v>373</v>
      </c>
      <c r="E100" s="32">
        <f t="shared" si="46"/>
        <v>0.19551282051282051</v>
      </c>
      <c r="F100" s="18">
        <f>IF(ISNUMBER(D100), $B118 * E100, "")</f>
        <v>29326.923076923078</v>
      </c>
      <c r="G100" s="31">
        <v>510</v>
      </c>
      <c r="H100" s="32">
        <f t="shared" si="47"/>
        <v>0.63461538461538458</v>
      </c>
      <c r="I100" s="91">
        <f>IF(ISNUMBER(G100), $B118 * H100, "")</f>
        <v>95192.307692307688</v>
      </c>
      <c r="J100" s="15">
        <v>559</v>
      </c>
      <c r="K100" s="32">
        <f t="shared" si="48"/>
        <v>0.79166666666666663</v>
      </c>
      <c r="L100" s="18">
        <f>IF(ISNUMBER(J100), $B118 * K100, "")</f>
        <v>118750</v>
      </c>
      <c r="M100" s="31">
        <v>535</v>
      </c>
      <c r="N100" s="32">
        <f t="shared" si="49"/>
        <v>0.71474358974358976</v>
      </c>
      <c r="O100" s="18">
        <f>IF(ISNUMBER(M100), $B118 * N100, "")</f>
        <v>107211.53846153847</v>
      </c>
      <c r="Q100" s="146"/>
      <c r="R100" s="146"/>
      <c r="S100" s="146"/>
    </row>
    <row r="101" spans="1:19" ht="17.25" thickBot="1">
      <c r="A101" s="109" t="s">
        <v>174</v>
      </c>
      <c r="B101" s="110">
        <v>15460</v>
      </c>
      <c r="C101" s="70">
        <v>5.3133514999999999E-2</v>
      </c>
      <c r="D101" s="15">
        <v>15890</v>
      </c>
      <c r="E101" s="32">
        <f t="shared" si="46"/>
        <v>2.7813712807244501E-2</v>
      </c>
      <c r="F101" s="18">
        <f>IF(ISNUMBER(D101), $B118 * E101, "")</f>
        <v>4172.0569210866752</v>
      </c>
      <c r="G101" s="31">
        <v>15360</v>
      </c>
      <c r="H101" s="32">
        <f t="shared" si="47"/>
        <v>-6.4683053040103496E-3</v>
      </c>
      <c r="I101" s="91">
        <f>IF(ISNUMBER(G101), $B118 * H101, "")</f>
        <v>-970.24579560155246</v>
      </c>
      <c r="J101" s="15">
        <v>15660</v>
      </c>
      <c r="K101" s="32">
        <f t="shared" si="48"/>
        <v>1.2936610608020699E-2</v>
      </c>
      <c r="L101" s="18">
        <f>IF(ISNUMBER(J101), $B118 * K101, "")</f>
        <v>1940.4915912031049</v>
      </c>
      <c r="M101" s="31">
        <v>15520</v>
      </c>
      <c r="N101" s="32">
        <f t="shared" si="49"/>
        <v>3.8809831824062097E-3</v>
      </c>
      <c r="O101" s="18">
        <f>IF(ISNUMBER(M101), $B118 * N101, "")</f>
        <v>582.14747736093148</v>
      </c>
      <c r="Q101" s="146"/>
      <c r="R101" s="146"/>
      <c r="S101" s="146"/>
    </row>
    <row r="102" spans="1:19" ht="17.25" thickBot="1">
      <c r="A102" s="111" t="s">
        <v>143</v>
      </c>
      <c r="B102" s="112">
        <v>3.89</v>
      </c>
      <c r="C102" s="71">
        <v>4.5698924699999997E-2</v>
      </c>
      <c r="D102" s="20">
        <v>3.99</v>
      </c>
      <c r="E102" s="21">
        <f t="shared" si="46"/>
        <v>2.5706940874036011E-2</v>
      </c>
      <c r="F102" s="22">
        <f>IF(ISNUMBER(D102), $B118 * E102, "")</f>
        <v>3856.0411311054017</v>
      </c>
      <c r="G102" s="30">
        <v>3.9</v>
      </c>
      <c r="H102" s="21">
        <f t="shared" si="47"/>
        <v>2.5706940874035441E-3</v>
      </c>
      <c r="I102" s="95">
        <f>IF(ISNUMBER(G102), $B118 * H102, "")</f>
        <v>385.60411311053161</v>
      </c>
      <c r="J102" s="20">
        <v>3.95</v>
      </c>
      <c r="K102" s="21">
        <f t="shared" si="48"/>
        <v>1.5424164524421607E-2</v>
      </c>
      <c r="L102" s="22">
        <f>IF(ISNUMBER(J102), $B118 * K102, "")</f>
        <v>2313.624678663241</v>
      </c>
      <c r="M102" s="30">
        <v>3.95</v>
      </c>
      <c r="N102" s="21">
        <f t="shared" si="49"/>
        <v>1.5424164524421607E-2</v>
      </c>
      <c r="O102" s="22">
        <f>IF(ISNUMBER(M102), $B118 * N102, "")</f>
        <v>2313.624678663241</v>
      </c>
      <c r="Q102" s="146"/>
      <c r="R102" s="146"/>
      <c r="S102" s="146"/>
    </row>
    <row r="103" spans="1:19" ht="17.25" thickBot="1">
      <c r="A103" s="109" t="s">
        <v>111</v>
      </c>
      <c r="B103" s="113">
        <v>699</v>
      </c>
      <c r="C103" s="73">
        <v>4.48430493E-2</v>
      </c>
      <c r="D103" s="96">
        <v>805</v>
      </c>
      <c r="E103" s="97">
        <f>IF(ISNUMBER(D103), (D103 - $B103) / $B103, "")</f>
        <v>0.15164520743919885</v>
      </c>
      <c r="F103" s="98">
        <f>IF(ISNUMBER(D103), $B118 * E103, "")</f>
        <v>22746.781115879829</v>
      </c>
      <c r="G103" s="99">
        <v>806</v>
      </c>
      <c r="H103" s="97">
        <f>IF(ISNUMBER(G103), (G103 - $B103) / $B103, "")</f>
        <v>0.1530758226037196</v>
      </c>
      <c r="I103" s="100">
        <f>IF(ISNUMBER(G103), $B118 * H103, "")</f>
        <v>22961.373390557939</v>
      </c>
      <c r="J103" s="96">
        <v>828</v>
      </c>
      <c r="K103" s="97">
        <f>IF(ISNUMBER(J103), (J103 - $B103) / $B103, "")</f>
        <v>0.18454935622317598</v>
      </c>
      <c r="L103" s="98">
        <f>IF(ISNUMBER(J103), $B118 * K103, "")</f>
        <v>27682.403433476396</v>
      </c>
      <c r="M103" s="99">
        <v>808</v>
      </c>
      <c r="N103" s="97">
        <f>IF(ISNUMBER(M103), (M103 - $B103) / $B103, "")</f>
        <v>0.15593705293276108</v>
      </c>
      <c r="O103" s="98">
        <f>IF(ISNUMBER(M103), $B118 * N103, "")</f>
        <v>23390.557939914164</v>
      </c>
      <c r="Q103" s="146"/>
      <c r="R103" s="146"/>
      <c r="S103" s="146"/>
    </row>
    <row r="104" spans="1:19" ht="17.25" thickBot="1">
      <c r="A104" s="109" t="s">
        <v>328</v>
      </c>
      <c r="B104" s="110">
        <v>8485</v>
      </c>
      <c r="C104" s="70">
        <v>4.1104294499999999E-2</v>
      </c>
      <c r="D104" s="15">
        <v>9780</v>
      </c>
      <c r="E104" s="32">
        <f t="shared" ref="E104:E107" si="50">IF(ISNUMBER(D104), (D104 - $B104) / $B104, "")</f>
        <v>0.15262227460223923</v>
      </c>
      <c r="F104" s="18">
        <f>IF(ISNUMBER(D104), $B118 * E104, "")</f>
        <v>22893.341190335886</v>
      </c>
      <c r="G104" s="31">
        <v>9275</v>
      </c>
      <c r="H104" s="32">
        <f t="shared" ref="H104:H107" si="51">IF(ISNUMBER(G104), (G104 - $B104) / $B104, "")</f>
        <v>9.3105480259281087E-2</v>
      </c>
      <c r="I104" s="91">
        <f>IF(ISNUMBER(G104), $B118 * H104, "")</f>
        <v>13965.822038892164</v>
      </c>
      <c r="J104" s="15">
        <v>9510</v>
      </c>
      <c r="K104" s="32">
        <f t="shared" ref="K104:K107" si="52">IF(ISNUMBER(J104), (J104 - $B104) / $B104, "")</f>
        <v>0.12080141426045964</v>
      </c>
      <c r="L104" s="18">
        <f>IF(ISNUMBER(J104), $B118 * K104, "")</f>
        <v>18120.212139068946</v>
      </c>
      <c r="M104" s="31">
        <v>9165</v>
      </c>
      <c r="N104" s="32">
        <f t="shared" ref="N104:N107" si="53">IF(ISNUMBER(M104), (M104 - $B104) / $B104, "")</f>
        <v>8.0141426045963471E-2</v>
      </c>
      <c r="O104" s="18">
        <f>IF(ISNUMBER(M104), $B118 * N104, "")</f>
        <v>12021.21390689452</v>
      </c>
      <c r="Q104" s="146"/>
      <c r="R104" s="146"/>
      <c r="S104" s="146"/>
    </row>
    <row r="105" spans="1:19" ht="17.25" thickBot="1">
      <c r="A105" s="109" t="s">
        <v>189</v>
      </c>
      <c r="B105" s="110">
        <v>1130</v>
      </c>
      <c r="C105" s="70">
        <v>3.6697247699999998E-2</v>
      </c>
      <c r="D105" s="15">
        <v>1210</v>
      </c>
      <c r="E105" s="32">
        <f t="shared" si="50"/>
        <v>7.0796460176991149E-2</v>
      </c>
      <c r="F105" s="18">
        <f>IF(ISNUMBER(D105), $B118 * E105, "")</f>
        <v>10619.469026548672</v>
      </c>
      <c r="G105" s="31">
        <v>1215</v>
      </c>
      <c r="H105" s="32">
        <f t="shared" si="51"/>
        <v>7.5221238938053103E-2</v>
      </c>
      <c r="I105" s="91">
        <f>IF(ISNUMBER(G105), $B118 * H105, "")</f>
        <v>11283.185840707965</v>
      </c>
      <c r="J105" s="15">
        <v>1250</v>
      </c>
      <c r="K105" s="32">
        <f t="shared" si="52"/>
        <v>0.10619469026548672</v>
      </c>
      <c r="L105" s="18">
        <f>IF(ISNUMBER(J105), $B118 * K105, "")</f>
        <v>15929.203539823009</v>
      </c>
      <c r="M105" s="31">
        <v>1235</v>
      </c>
      <c r="N105" s="32">
        <f t="shared" si="53"/>
        <v>9.2920353982300891E-2</v>
      </c>
      <c r="O105" s="18">
        <f>IF(ISNUMBER(M105), $B118 * N105, "")</f>
        <v>13938.053097345133</v>
      </c>
      <c r="Q105" s="146"/>
      <c r="R105" s="146"/>
      <c r="S105" s="146"/>
    </row>
    <row r="106" spans="1:19" ht="17.25" thickBot="1">
      <c r="A106" s="109" t="s">
        <v>201</v>
      </c>
      <c r="B106" s="110">
        <v>222</v>
      </c>
      <c r="C106" s="70">
        <v>3.25581395E-2</v>
      </c>
      <c r="D106" s="15">
        <v>241</v>
      </c>
      <c r="E106" s="32">
        <f t="shared" si="50"/>
        <v>8.5585585585585586E-2</v>
      </c>
      <c r="F106" s="18">
        <f>IF(ISNUMBER(D106), $B118 * E106, "")</f>
        <v>12837.837837837838</v>
      </c>
      <c r="G106" s="31">
        <v>235</v>
      </c>
      <c r="H106" s="32">
        <f t="shared" si="51"/>
        <v>5.8558558558558557E-2</v>
      </c>
      <c r="I106" s="91">
        <f>IF(ISNUMBER(G106), $B118 * H106, "")</f>
        <v>8783.7837837837833</v>
      </c>
      <c r="J106" s="15">
        <v>244</v>
      </c>
      <c r="K106" s="32">
        <f t="shared" si="52"/>
        <v>9.90990990990991E-2</v>
      </c>
      <c r="L106" s="18">
        <f>IF(ISNUMBER(J106), $B118 * K106, "")</f>
        <v>14864.864864864865</v>
      </c>
      <c r="M106" s="31">
        <v>244</v>
      </c>
      <c r="N106" s="32">
        <f t="shared" si="53"/>
        <v>9.90990990990991E-2</v>
      </c>
      <c r="O106" s="18">
        <f>IF(ISNUMBER(M106), $B118 * N106, "")</f>
        <v>14864.864864864865</v>
      </c>
      <c r="Q106" s="33"/>
      <c r="R106" s="33"/>
    </row>
    <row r="107" spans="1:19" ht="17.25" thickBot="1">
      <c r="A107" s="114" t="s">
        <v>321</v>
      </c>
      <c r="B107" s="115">
        <v>185</v>
      </c>
      <c r="C107" s="72">
        <v>2.77777778E-2</v>
      </c>
      <c r="D107" s="24">
        <v>193</v>
      </c>
      <c r="E107" s="25">
        <f t="shared" si="50"/>
        <v>4.3243243243243246E-2</v>
      </c>
      <c r="F107" s="94">
        <f>IF(ISNUMBER(D107), $B118 * E107, "")</f>
        <v>6486.4864864864867</v>
      </c>
      <c r="G107" s="92">
        <v>188</v>
      </c>
      <c r="H107" s="25">
        <f t="shared" si="51"/>
        <v>1.6216216216216217E-2</v>
      </c>
      <c r="I107" s="93">
        <f>IF(ISNUMBER(G107), $B118 * H107, "")</f>
        <v>2432.4324324324325</v>
      </c>
      <c r="J107" s="24">
        <v>192</v>
      </c>
      <c r="K107" s="25">
        <f t="shared" si="52"/>
        <v>3.783783783783784E-2</v>
      </c>
      <c r="L107" s="94">
        <f>IF(ISNUMBER(J107), $B118 * K107, "")</f>
        <v>5675.6756756756758</v>
      </c>
      <c r="M107" s="92">
        <v>193</v>
      </c>
      <c r="N107" s="25">
        <f t="shared" si="53"/>
        <v>4.3243243243243246E-2</v>
      </c>
      <c r="O107" s="94">
        <f>IF(ISNUMBER(M107), $B118 * N107, "")</f>
        <v>6486.4864864864867</v>
      </c>
      <c r="Q107" s="147"/>
      <c r="R107" s="148"/>
      <c r="S107" s="149"/>
    </row>
    <row r="108" spans="1:19">
      <c r="A108" s="107" t="s">
        <v>118</v>
      </c>
      <c r="B108" s="108">
        <v>5.59</v>
      </c>
      <c r="C108" s="69">
        <v>2.7573529400000001E-2</v>
      </c>
      <c r="D108" s="13">
        <v>5.85</v>
      </c>
      <c r="E108" s="14">
        <f>IF(ISNUMBER(D108), (D108 - $B108) / $B108, "")</f>
        <v>4.6511627906976709E-2</v>
      </c>
      <c r="F108" s="16">
        <f>IF(ISNUMBER(D108), $B118 * E108, "")</f>
        <v>6976.744186046506</v>
      </c>
      <c r="G108" s="29">
        <v>5.81</v>
      </c>
      <c r="H108" s="14">
        <f>IF(ISNUMBER(G108), (G108 - $B108) / $B108, "")</f>
        <v>3.9355992844364897E-2</v>
      </c>
      <c r="I108" s="90">
        <f>IF(ISNUMBER(G108), $B118 * H108, "")</f>
        <v>5903.3989266547342</v>
      </c>
      <c r="J108" s="13">
        <v>5.87</v>
      </c>
      <c r="K108" s="14">
        <f>IF(ISNUMBER(J108), (J108 - $B108) / $B108, "")</f>
        <v>5.0089445438282691E-2</v>
      </c>
      <c r="L108" s="16">
        <f>IF(ISNUMBER(J108), $B118 * K108, "")</f>
        <v>7513.4168157424037</v>
      </c>
      <c r="M108" s="29">
        <v>5.92</v>
      </c>
      <c r="N108" s="14">
        <f>IF(ISNUMBER(M108), (M108 - $B108) / $B108, "")</f>
        <v>5.9033989266547418E-2</v>
      </c>
      <c r="O108" s="16">
        <f>IF(ISNUMBER(M108), $B118 * N108, "")</f>
        <v>8855.0983899821131</v>
      </c>
      <c r="Q108" s="150"/>
      <c r="R108" s="151"/>
      <c r="S108" s="152"/>
    </row>
    <row r="109" spans="1:19" ht="17.25" thickBot="1">
      <c r="A109" s="109" t="s">
        <v>181</v>
      </c>
      <c r="B109" s="110">
        <v>4.3</v>
      </c>
      <c r="C109" s="70">
        <v>2.6252983300000001E-2</v>
      </c>
      <c r="D109" s="15">
        <v>4.51</v>
      </c>
      <c r="E109" s="32">
        <f t="shared" ref="E109:E112" si="54">IF(ISNUMBER(D109), (D109 - $B109) / $B109, "")</f>
        <v>4.8837209302325574E-2</v>
      </c>
      <c r="F109" s="18">
        <f>IF(ISNUMBER(D109), $B118 * E109, "")</f>
        <v>7325.5813953488359</v>
      </c>
      <c r="G109" s="31">
        <v>4.37</v>
      </c>
      <c r="H109" s="32">
        <f t="shared" ref="H109:H112" si="55">IF(ISNUMBER(G109), (G109 - $B109) / $B109, "")</f>
        <v>1.6279069767441926E-2</v>
      </c>
      <c r="I109" s="91">
        <f>IF(ISNUMBER(G109), $B118 * H109, "")</f>
        <v>2441.8604651162891</v>
      </c>
      <c r="J109" s="15">
        <v>4.43</v>
      </c>
      <c r="K109" s="32">
        <f t="shared" ref="K109:K112" si="56">IF(ISNUMBER(J109), (J109 - $B109) / $B109, "")</f>
        <v>3.0232558139534859E-2</v>
      </c>
      <c r="L109" s="18">
        <f>IF(ISNUMBER(J109), $B118 * K109, "")</f>
        <v>4534.8837209302292</v>
      </c>
      <c r="M109" s="31">
        <v>4.41</v>
      </c>
      <c r="N109" s="32">
        <f t="shared" ref="N109:N112" si="57">IF(ISNUMBER(M109), (M109 - $B109) / $B109, "")</f>
        <v>2.5581395348837285E-2</v>
      </c>
      <c r="O109" s="18">
        <f>IF(ISNUMBER(M109), $B118 * N109, "")</f>
        <v>3837.2093023255929</v>
      </c>
      <c r="Q109" s="153"/>
      <c r="R109" s="154"/>
      <c r="S109" s="155"/>
    </row>
    <row r="110" spans="1:19" ht="17.25" thickBot="1">
      <c r="A110" s="109" t="s">
        <v>126</v>
      </c>
      <c r="B110" s="110">
        <v>30.7</v>
      </c>
      <c r="C110" s="70">
        <v>2.3333333299999998E-2</v>
      </c>
      <c r="D110" s="15">
        <v>32.9</v>
      </c>
      <c r="E110" s="32">
        <f t="shared" si="54"/>
        <v>7.1661237785016263E-2</v>
      </c>
      <c r="F110" s="18">
        <f>IF(ISNUMBER(D110), $B118 * E110, "")</f>
        <v>10749.185667752439</v>
      </c>
      <c r="G110" s="31">
        <v>32.1</v>
      </c>
      <c r="H110" s="32">
        <f t="shared" si="55"/>
        <v>4.5602605863192251E-2</v>
      </c>
      <c r="I110" s="91">
        <f>IF(ISNUMBER(G110), $B118 * H110, "")</f>
        <v>6840.3908794788376</v>
      </c>
      <c r="J110" s="15">
        <v>32.5</v>
      </c>
      <c r="K110" s="32">
        <f t="shared" si="56"/>
        <v>5.8631921824104261E-2</v>
      </c>
      <c r="L110" s="18">
        <f>IF(ISNUMBER(J110), $B118 * K110, "")</f>
        <v>8794.7882736156389</v>
      </c>
      <c r="M110" s="31">
        <v>32.5</v>
      </c>
      <c r="N110" s="32">
        <f t="shared" si="57"/>
        <v>5.8631921824104261E-2</v>
      </c>
      <c r="O110" s="18">
        <f>IF(ISNUMBER(M110), $B118 * N110, "")</f>
        <v>8794.7882736156389</v>
      </c>
      <c r="Q110" s="146"/>
      <c r="R110" s="146"/>
      <c r="S110" s="146"/>
    </row>
    <row r="111" spans="1:19" ht="17.25" thickBot="1">
      <c r="A111" s="109" t="s">
        <v>122</v>
      </c>
      <c r="B111" s="110">
        <v>24</v>
      </c>
      <c r="C111" s="70">
        <v>2.1276595700000001E-2</v>
      </c>
      <c r="D111" s="15">
        <v>25.9</v>
      </c>
      <c r="E111" s="32">
        <f t="shared" si="54"/>
        <v>7.9166666666666607E-2</v>
      </c>
      <c r="F111" s="18">
        <f>IF(ISNUMBER(D111), $B118 * E111, "")</f>
        <v>11874.999999999991</v>
      </c>
      <c r="G111" s="31">
        <v>25.5</v>
      </c>
      <c r="H111" s="32">
        <f t="shared" si="55"/>
        <v>6.25E-2</v>
      </c>
      <c r="I111" s="91">
        <f>IF(ISNUMBER(G111), $B118 * H111, "")</f>
        <v>9375</v>
      </c>
      <c r="J111" s="15">
        <v>25.6</v>
      </c>
      <c r="K111" s="32">
        <f t="shared" si="56"/>
        <v>6.6666666666666721E-2</v>
      </c>
      <c r="L111" s="18">
        <f>IF(ISNUMBER(J111), $B118 * K111, "")</f>
        <v>10000.000000000009</v>
      </c>
      <c r="M111" s="31">
        <v>25.6</v>
      </c>
      <c r="N111" s="32">
        <f t="shared" si="57"/>
        <v>6.6666666666666721E-2</v>
      </c>
      <c r="O111" s="18">
        <f>IF(ISNUMBER(M111), $B118 * N111, "")</f>
        <v>10000.000000000009</v>
      </c>
      <c r="Q111" s="156"/>
      <c r="R111" s="156"/>
      <c r="S111" s="156"/>
    </row>
    <row r="112" spans="1:19" ht="17.25" thickBot="1">
      <c r="A112" s="111" t="s">
        <v>64</v>
      </c>
      <c r="B112" s="112">
        <v>10.5</v>
      </c>
      <c r="C112" s="71">
        <v>1.9417475699999999E-2</v>
      </c>
      <c r="D112" s="20">
        <v>11.4</v>
      </c>
      <c r="E112" s="21">
        <f t="shared" si="54"/>
        <v>8.5714285714285743E-2</v>
      </c>
      <c r="F112" s="22">
        <f>IF(ISNUMBER(D112), $B118 * E112, "")</f>
        <v>12857.142857142861</v>
      </c>
      <c r="G112" s="30">
        <v>11.3</v>
      </c>
      <c r="H112" s="21">
        <f t="shared" si="55"/>
        <v>7.6190476190476253E-2</v>
      </c>
      <c r="I112" s="95">
        <f>IF(ISNUMBER(G112), $B118 * H112, "")</f>
        <v>11428.571428571438</v>
      </c>
      <c r="J112" s="20">
        <v>11.3</v>
      </c>
      <c r="K112" s="21">
        <f t="shared" si="56"/>
        <v>7.6190476190476253E-2</v>
      </c>
      <c r="L112" s="22">
        <f>IF(ISNUMBER(J112), $B118 * K112, "")</f>
        <v>11428.571428571438</v>
      </c>
      <c r="M112" s="30">
        <v>11.3</v>
      </c>
      <c r="N112" s="21">
        <f t="shared" si="57"/>
        <v>7.6190476190476253E-2</v>
      </c>
      <c r="O112" s="22">
        <f>IF(ISNUMBER(M112), $B118 * N112, "")</f>
        <v>11428.571428571438</v>
      </c>
      <c r="Q112" s="156"/>
      <c r="R112" s="156"/>
      <c r="S112" s="156"/>
    </row>
    <row r="113" spans="1:19" ht="17.25" thickBot="1">
      <c r="A113" s="109" t="s">
        <v>227</v>
      </c>
      <c r="B113" s="113">
        <v>39.6</v>
      </c>
      <c r="C113" s="73">
        <v>1.79948586E-2</v>
      </c>
      <c r="D113" s="96">
        <v>40.700000000000003</v>
      </c>
      <c r="E113" s="97">
        <f>IF(ISNUMBER(D113), (D113 - $B113) / $B113, "")</f>
        <v>2.7777777777777814E-2</v>
      </c>
      <c r="F113" s="98">
        <f>IF(ISNUMBER(D113), $B118 * E113, "")</f>
        <v>4166.6666666666724</v>
      </c>
      <c r="G113" s="99">
        <v>40</v>
      </c>
      <c r="H113" s="97">
        <f>IF(ISNUMBER(G113), (G113 - $B113) / $B113, "")</f>
        <v>1.0101010101010065E-2</v>
      </c>
      <c r="I113" s="100">
        <f>IF(ISNUMBER(G113), $B118 * H113, "")</f>
        <v>1515.1515151515098</v>
      </c>
      <c r="J113" s="96">
        <v>40.4</v>
      </c>
      <c r="K113" s="97">
        <f>IF(ISNUMBER(J113), (J113 - $B113) / $B113, "")</f>
        <v>2.0202020202020131E-2</v>
      </c>
      <c r="L113" s="98">
        <f>IF(ISNUMBER(J113), $B118 * K113, "")</f>
        <v>3030.3030303030196</v>
      </c>
      <c r="M113" s="99">
        <v>40.4</v>
      </c>
      <c r="N113" s="97">
        <f>IF(ISNUMBER(M113), (M113 - $B113) / $B113, "")</f>
        <v>2.0202020202020131E-2</v>
      </c>
      <c r="O113" s="98">
        <f>IF(ISNUMBER(M113), $B118 * N113, "")</f>
        <v>3030.3030303030196</v>
      </c>
      <c r="Q113" s="146"/>
      <c r="R113" s="146"/>
      <c r="S113" s="146"/>
    </row>
    <row r="114" spans="1:19" ht="17.25" thickBot="1">
      <c r="A114" s="109" t="s">
        <v>324</v>
      </c>
      <c r="B114" s="110">
        <v>84.9</v>
      </c>
      <c r="C114" s="70">
        <v>1.6766467100000002E-2</v>
      </c>
      <c r="D114" s="15">
        <v>92.7</v>
      </c>
      <c r="E114" s="32">
        <f t="shared" ref="E114:E117" si="58">IF(ISNUMBER(D114), (D114 - $B114) / $B114, "")</f>
        <v>9.1872791519434588E-2</v>
      </c>
      <c r="F114" s="18">
        <f>IF(ISNUMBER(D114), $B118 * E114, "")</f>
        <v>13780.918727915188</v>
      </c>
      <c r="G114" s="31">
        <v>90.4</v>
      </c>
      <c r="H114" s="32">
        <f t="shared" ref="H114:H117" si="59">IF(ISNUMBER(G114), (G114 - $B114) / $B114, "")</f>
        <v>6.4782096584216728E-2</v>
      </c>
      <c r="I114" s="91">
        <f>IF(ISNUMBER(G114), $B118 * H114, "")</f>
        <v>9717.3144876325096</v>
      </c>
      <c r="J114" s="15">
        <v>91.9</v>
      </c>
      <c r="K114" s="32">
        <f t="shared" ref="K114:K117" si="60">IF(ISNUMBER(J114), (J114 - $B114) / $B114, "")</f>
        <v>8.2449941107184913E-2</v>
      </c>
      <c r="L114" s="18">
        <f>IF(ISNUMBER(J114), $B118 * K114, "")</f>
        <v>12367.491166077736</v>
      </c>
      <c r="M114" s="31">
        <v>92.3</v>
      </c>
      <c r="N114" s="32">
        <f t="shared" ref="N114:N117" si="61">IF(ISNUMBER(M114), (M114 - $B114) / $B114, "")</f>
        <v>8.7161366313309674E-2</v>
      </c>
      <c r="O114" s="18">
        <f>IF(ISNUMBER(M114), $B118 * N114, "")</f>
        <v>13074.204946996451</v>
      </c>
      <c r="Q114" s="146"/>
      <c r="R114" s="146"/>
      <c r="S114" s="146"/>
    </row>
    <row r="115" spans="1:19" ht="17.25" thickBot="1">
      <c r="A115" s="109" t="s">
        <v>149</v>
      </c>
      <c r="B115" s="110">
        <v>387</v>
      </c>
      <c r="C115" s="70">
        <v>1.5748031499999999E-2</v>
      </c>
      <c r="D115" s="15">
        <v>426</v>
      </c>
      <c r="E115" s="32">
        <f t="shared" si="58"/>
        <v>0.10077519379844961</v>
      </c>
      <c r="F115" s="18">
        <f>IF(ISNUMBER(D115), $B118 * E115, "")</f>
        <v>15116.279069767441</v>
      </c>
      <c r="G115" s="31">
        <v>418</v>
      </c>
      <c r="H115" s="32">
        <f t="shared" si="59"/>
        <v>8.0103359173126609E-2</v>
      </c>
      <c r="I115" s="91">
        <f>IF(ISNUMBER(G115), $B118 * H115, "")</f>
        <v>12015.503875968991</v>
      </c>
      <c r="J115" s="15">
        <v>430</v>
      </c>
      <c r="K115" s="32">
        <f t="shared" si="60"/>
        <v>0.1111111111111111</v>
      </c>
      <c r="L115" s="18">
        <f>IF(ISNUMBER(J115), $B118 * K115, "")</f>
        <v>16666.666666666664</v>
      </c>
      <c r="M115" s="31">
        <v>429</v>
      </c>
      <c r="N115" s="32">
        <f t="shared" si="61"/>
        <v>0.10852713178294573</v>
      </c>
      <c r="O115" s="18">
        <f>IF(ISNUMBER(M115), $B118 * N115, "")</f>
        <v>16279.069767441861</v>
      </c>
      <c r="Q115" s="146"/>
      <c r="R115" s="146"/>
      <c r="S115" s="146"/>
    </row>
    <row r="116" spans="1:19">
      <c r="A116" s="109" t="s">
        <v>49</v>
      </c>
      <c r="B116" s="110">
        <v>23884000</v>
      </c>
      <c r="C116" s="70">
        <v>1.40964674E-2</v>
      </c>
      <c r="D116" s="15">
        <v>25950000</v>
      </c>
      <c r="E116" s="32">
        <f t="shared" si="58"/>
        <v>8.6501423547144532E-2</v>
      </c>
      <c r="F116" s="18">
        <f>IF(ISNUMBER(D116), $B118 * E116, "")</f>
        <v>12975.213532071681</v>
      </c>
      <c r="G116" s="31">
        <v>25413000</v>
      </c>
      <c r="H116" s="32">
        <f t="shared" si="59"/>
        <v>6.4017752470272984E-2</v>
      </c>
      <c r="I116" s="91">
        <f>IF(ISNUMBER(G116), $B118 * H116, "")</f>
        <v>9602.6628705409476</v>
      </c>
      <c r="J116" s="15">
        <v>25699000</v>
      </c>
      <c r="K116" s="32">
        <f t="shared" si="60"/>
        <v>7.5992296097806056E-2</v>
      </c>
      <c r="L116" s="18">
        <f>IF(ISNUMBER(J116), $B118 * K116, "")</f>
        <v>11398.844414670908</v>
      </c>
      <c r="M116" s="31">
        <v>25821000</v>
      </c>
      <c r="N116" s="32">
        <f t="shared" si="61"/>
        <v>8.1100318204655839E-2</v>
      </c>
      <c r="O116" s="18">
        <f>IF(ISNUMBER(M116), $B118 * N116, "")</f>
        <v>12165.047730698376</v>
      </c>
      <c r="Q116" s="135"/>
      <c r="R116" s="136"/>
      <c r="S116" s="137"/>
    </row>
    <row r="117" spans="1:19" ht="17.25" thickBot="1">
      <c r="A117" s="114" t="s">
        <v>101</v>
      </c>
      <c r="B117" s="115">
        <v>229</v>
      </c>
      <c r="C117" s="72">
        <v>1.32743363E-2</v>
      </c>
      <c r="D117" s="24">
        <v>242</v>
      </c>
      <c r="E117" s="25">
        <f t="shared" si="58"/>
        <v>5.6768558951965066E-2</v>
      </c>
      <c r="F117" s="94">
        <f>IF(ISNUMBER(D117), $B118 * E117, "")</f>
        <v>8515.283842794759</v>
      </c>
      <c r="G117" s="92">
        <v>234</v>
      </c>
      <c r="H117" s="25">
        <f t="shared" si="59"/>
        <v>2.1834061135371178E-2</v>
      </c>
      <c r="I117" s="93">
        <f>IF(ISNUMBER(G117), $B118 * H117, "")</f>
        <v>3275.1091703056768</v>
      </c>
      <c r="J117" s="24">
        <v>239</v>
      </c>
      <c r="K117" s="25">
        <f t="shared" si="60"/>
        <v>4.3668122270742356E-2</v>
      </c>
      <c r="L117" s="94">
        <f>IF(ISNUMBER(J117), $B118 * K117, "")</f>
        <v>6550.2183406113536</v>
      </c>
      <c r="M117" s="92">
        <v>239</v>
      </c>
      <c r="N117" s="25">
        <f t="shared" si="61"/>
        <v>4.3668122270742356E-2</v>
      </c>
      <c r="O117" s="94">
        <f>IF(ISNUMBER(M117), $B118 * N117, "")</f>
        <v>6550.2183406113536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8.6451935259435078E-2</v>
      </c>
      <c r="F118" s="28">
        <f>SUM(F98:F117)</f>
        <v>259355.80577830525</v>
      </c>
      <c r="G118" s="26" t="s">
        <v>258</v>
      </c>
      <c r="H118" s="27">
        <f>IF(COUNT(H98:H117), SUM(H98:H117) / COUNT(H98:H117), 0)</f>
        <v>9.2372323017031924E-2</v>
      </c>
      <c r="I118" s="28">
        <f>SUM(I98:I117)</f>
        <v>277116.96905109577</v>
      </c>
      <c r="J118" s="26" t="s">
        <v>258</v>
      </c>
      <c r="K118" s="27">
        <f>IF(COUNT(K98:K117), SUM(K98:K117) / COUNT(K98:K117), 0)</f>
        <v>0.11889450785974927</v>
      </c>
      <c r="L118" s="28">
        <f>SUM(L98:L117)</f>
        <v>356683.52357924776</v>
      </c>
      <c r="M118" s="26" t="s">
        <v>258</v>
      </c>
      <c r="N118" s="27">
        <f>IF(COUNT(N98:N117), SUM(N98:N117) / COUNT(N98:N117), 0)</f>
        <v>0.10971997189544588</v>
      </c>
      <c r="O118" s="28">
        <f>SUM(O98:O117)</f>
        <v>329159.91568633768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2023-01-14(토) 오전 00:00</v>
      </c>
      <c r="C123" s="198"/>
      <c r="D123" s="170" t="str">
        <f>TEXT($G$1, "[$-ko-KR]yyyy-mm-dd(ddd) ") &amp; "오후 14:00"</f>
        <v>2023-01-14(토) 오후 14:00</v>
      </c>
      <c r="E123" s="171"/>
      <c r="F123" s="172"/>
      <c r="G123" s="170" t="str">
        <f>TEXT($G$1, "[$-ko-KR]yyyy-mm-dd(ddd) ") &amp; "오후 19:00"</f>
        <v>2023-01-14(토) 오후 19:00</v>
      </c>
      <c r="H123" s="171"/>
      <c r="I123" s="172"/>
      <c r="J123" s="170" t="str">
        <f>TEXT($G$1, "[$-ko-KR]yyyy-mm-dd(ddd) ") &amp; "오후 21:00"</f>
        <v>2023-01-14(토) 오후 21:00</v>
      </c>
      <c r="K123" s="171"/>
      <c r="L123" s="172"/>
      <c r="M123" s="170" t="str">
        <f>TEXT($G$1+1, "[$-ko-KR]yyyy-mm-dd(ddd) ") &amp; "오전 00:00"</f>
        <v>2023-01-15(일)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193</v>
      </c>
      <c r="B125" s="108">
        <v>17.2</v>
      </c>
      <c r="C125" s="69">
        <v>5.8479532000000004E-3</v>
      </c>
      <c r="D125" s="13">
        <v>18.2</v>
      </c>
      <c r="E125" s="14">
        <f>IF(ISNUMBER(D125), (D125 - $B125) / $B125, "")</f>
        <v>5.8139534883720929E-2</v>
      </c>
      <c r="F125" s="16">
        <f>IF(ISNUMBER(D125), $B145 * E125, "")</f>
        <v>8720.9302325581393</v>
      </c>
      <c r="G125" s="29">
        <v>17.899999999999999</v>
      </c>
      <c r="H125" s="14">
        <f>IF(ISNUMBER(G125), (G125 - $B125) / $B125, "")</f>
        <v>4.0697674418604612E-2</v>
      </c>
      <c r="I125" s="90">
        <f>IF(ISNUMBER(G125), $B145 * H125, "")</f>
        <v>6104.6511627906921</v>
      </c>
      <c r="J125" s="13">
        <v>18.3</v>
      </c>
      <c r="K125" s="14">
        <f>IF(ISNUMBER(J125), (J125 - $B125) / $B125, "")</f>
        <v>6.3953488372093109E-2</v>
      </c>
      <c r="L125" s="16">
        <f>IF(ISNUMBER(J125), $B145 * K125, "")</f>
        <v>9593.0232558139669</v>
      </c>
      <c r="M125" s="29">
        <v>18.2</v>
      </c>
      <c r="N125" s="14">
        <f>IF(ISNUMBER(M125), (M125 - $B125) / $B125, "")</f>
        <v>5.8139534883720929E-2</v>
      </c>
      <c r="O125" s="16">
        <f>IF(ISNUMBER(M125), $B145 * N125, "")</f>
        <v>8720.9302325581393</v>
      </c>
      <c r="Q125" s="156"/>
      <c r="R125" s="156"/>
      <c r="S125" s="156"/>
    </row>
    <row r="126" spans="1:19" ht="17.25" thickBot="1">
      <c r="A126" s="109" t="s">
        <v>145</v>
      </c>
      <c r="B126" s="110">
        <v>72</v>
      </c>
      <c r="C126" s="70">
        <v>5.5865921999999997E-3</v>
      </c>
      <c r="D126" s="15">
        <v>78.900000000000006</v>
      </c>
      <c r="E126" s="32">
        <f t="shared" ref="E126:E129" si="62">IF(ISNUMBER(D126), (D126 - $B126) / $B126, "")</f>
        <v>9.5833333333333409E-2</v>
      </c>
      <c r="F126" s="18">
        <f>IF(ISNUMBER(D126), $B145 * E126, "")</f>
        <v>14375.000000000011</v>
      </c>
      <c r="G126" s="31">
        <v>78.7</v>
      </c>
      <c r="H126" s="32">
        <f t="shared" ref="H126:H129" si="63">IF(ISNUMBER(G126), (G126 - $B126) / $B126, "")</f>
        <v>9.30555555555556E-2</v>
      </c>
      <c r="I126" s="91">
        <f>IF(ISNUMBER(G126), $B145 * H126, "")</f>
        <v>13958.333333333339</v>
      </c>
      <c r="J126" s="15">
        <v>78.900000000000006</v>
      </c>
      <c r="K126" s="32">
        <f t="shared" ref="K126:K129" si="64">IF(ISNUMBER(J126), (J126 - $B126) / $B126, "")</f>
        <v>9.5833333333333409E-2</v>
      </c>
      <c r="L126" s="18">
        <f>IF(ISNUMBER(J126), $B145 * K126, "")</f>
        <v>14375.000000000011</v>
      </c>
      <c r="M126" s="31">
        <v>77.7</v>
      </c>
      <c r="N126" s="32">
        <f t="shared" ref="N126:N129" si="65">IF(ISNUMBER(M126), (M126 - $B126) / $B126, "")</f>
        <v>7.9166666666666705E-2</v>
      </c>
      <c r="O126" s="18">
        <f>IF(ISNUMBER(M126), $B145 * N126, "")</f>
        <v>11875.000000000005</v>
      </c>
      <c r="Q126" s="156"/>
      <c r="R126" s="156"/>
      <c r="S126" s="156"/>
    </row>
    <row r="127" spans="1:19" ht="17.25" thickBot="1">
      <c r="A127" s="109" t="s">
        <v>56</v>
      </c>
      <c r="B127" s="110">
        <v>41.5</v>
      </c>
      <c r="C127" s="70">
        <v>4.8426149999999998E-3</v>
      </c>
      <c r="D127" s="15">
        <v>43.8</v>
      </c>
      <c r="E127" s="32">
        <f t="shared" si="62"/>
        <v>5.5421686746987886E-2</v>
      </c>
      <c r="F127" s="18">
        <f>IF(ISNUMBER(D127), $B145 * E127, "")</f>
        <v>8313.2530120481824</v>
      </c>
      <c r="G127" s="31">
        <v>42.9</v>
      </c>
      <c r="H127" s="32">
        <f t="shared" si="63"/>
        <v>3.373493975903611E-2</v>
      </c>
      <c r="I127" s="91">
        <f>IF(ISNUMBER(G127), $B145 * H127, "")</f>
        <v>5060.2409638554163</v>
      </c>
      <c r="J127" s="15">
        <v>43.4</v>
      </c>
      <c r="K127" s="32">
        <f t="shared" si="64"/>
        <v>4.5783132530120445E-2</v>
      </c>
      <c r="L127" s="18">
        <f>IF(ISNUMBER(J127), $B145 * K127, "")</f>
        <v>6867.4698795180666</v>
      </c>
      <c r="M127" s="31">
        <v>43.2</v>
      </c>
      <c r="N127" s="32">
        <f t="shared" si="65"/>
        <v>4.0963855421686818E-2</v>
      </c>
      <c r="O127" s="18">
        <f>IF(ISNUMBER(M127), $B145 * N127, "")</f>
        <v>6144.5783132530223</v>
      </c>
      <c r="Q127" s="146"/>
      <c r="R127" s="146"/>
      <c r="S127" s="146"/>
    </row>
    <row r="128" spans="1:19" ht="17.25" thickBot="1">
      <c r="A128" s="109" t="s">
        <v>217</v>
      </c>
      <c r="B128" s="110">
        <v>64.900000000000006</v>
      </c>
      <c r="C128" s="70">
        <v>3.0911901000000002E-3</v>
      </c>
      <c r="D128" s="15">
        <v>71.8</v>
      </c>
      <c r="E128" s="32">
        <f t="shared" si="62"/>
        <v>0.10631741140215703</v>
      </c>
      <c r="F128" s="18">
        <f>IF(ISNUMBER(D128), $B145 * E128, "")</f>
        <v>15947.611710323554</v>
      </c>
      <c r="G128" s="31">
        <v>70.8</v>
      </c>
      <c r="H128" s="32">
        <f t="shared" si="63"/>
        <v>9.0909090909090773E-2</v>
      </c>
      <c r="I128" s="91">
        <f>IF(ISNUMBER(G128), $B145 * H128, "")</f>
        <v>13636.363636363616</v>
      </c>
      <c r="J128" s="15">
        <v>72.2</v>
      </c>
      <c r="K128" s="32">
        <f t="shared" si="64"/>
        <v>0.11248073959938361</v>
      </c>
      <c r="L128" s="18">
        <f>IF(ISNUMBER(J128), $B145 * K128, "")</f>
        <v>16872.110939907543</v>
      </c>
      <c r="M128" s="31">
        <v>76.8</v>
      </c>
      <c r="N128" s="32">
        <f t="shared" si="65"/>
        <v>0.18335901386748829</v>
      </c>
      <c r="O128" s="18">
        <f>IF(ISNUMBER(M128), $B145 * N128, "")</f>
        <v>27503.852080123244</v>
      </c>
      <c r="Q128" s="146"/>
      <c r="R128" s="146"/>
      <c r="S128" s="146"/>
    </row>
    <row r="129" spans="1:19" ht="17.25" thickBot="1">
      <c r="A129" s="111" t="s">
        <v>207</v>
      </c>
      <c r="B129" s="112">
        <v>65.099999999999994</v>
      </c>
      <c r="C129" s="71">
        <v>3.0816641000000001E-3</v>
      </c>
      <c r="D129" s="20">
        <v>68.2</v>
      </c>
      <c r="E129" s="21">
        <f t="shared" si="62"/>
        <v>4.7619047619047755E-2</v>
      </c>
      <c r="F129" s="22">
        <f>IF(ISNUMBER(D129), $B145 * E129, "")</f>
        <v>7142.8571428571631</v>
      </c>
      <c r="G129" s="30">
        <v>66.900000000000006</v>
      </c>
      <c r="H129" s="21">
        <f t="shared" si="63"/>
        <v>2.7649769585253635E-2</v>
      </c>
      <c r="I129" s="95">
        <f>IF(ISNUMBER(G129), $B145 * H129, "")</f>
        <v>4147.4654377880452</v>
      </c>
      <c r="J129" s="20">
        <v>67.5</v>
      </c>
      <c r="K129" s="21">
        <f t="shared" si="64"/>
        <v>3.6866359447004698E-2</v>
      </c>
      <c r="L129" s="22">
        <f>IF(ISNUMBER(J129), $B145 * K129, "")</f>
        <v>5529.9539170507051</v>
      </c>
      <c r="M129" s="30">
        <v>67.400000000000006</v>
      </c>
      <c r="N129" s="21">
        <f t="shared" si="65"/>
        <v>3.5330261136712927E-2</v>
      </c>
      <c r="O129" s="22">
        <f>IF(ISNUMBER(M129), $B145 * N129, "")</f>
        <v>5299.5391705069387</v>
      </c>
      <c r="Q129" s="146"/>
      <c r="R129" s="146"/>
      <c r="S129" s="146"/>
    </row>
    <row r="130" spans="1:19" ht="17.25" thickBot="1">
      <c r="A130" s="109" t="s">
        <v>97</v>
      </c>
      <c r="B130" s="113">
        <v>8.9999999999999998E-4</v>
      </c>
      <c r="C130" s="73">
        <v>0</v>
      </c>
      <c r="D130" s="96">
        <v>8.9999999999999998E-4</v>
      </c>
      <c r="E130" s="97">
        <f>IF(ISNUMBER(D130), (D130 - $B130) / $B130, "")</f>
        <v>0</v>
      </c>
      <c r="F130" s="98">
        <f>IF(ISNUMBER(D130), $B145 * E130, "")</f>
        <v>0</v>
      </c>
      <c r="G130" s="99">
        <v>8.9999999999999998E-4</v>
      </c>
      <c r="H130" s="97">
        <f>IF(ISNUMBER(G130), (G130 - $B130) / $B130, "")</f>
        <v>0</v>
      </c>
      <c r="I130" s="100">
        <f>IF(ISNUMBER(G130), $B145 * H130, "")</f>
        <v>0</v>
      </c>
      <c r="J130" s="96">
        <v>8.9999999999999998E-4</v>
      </c>
      <c r="K130" s="97">
        <f>IF(ISNUMBER(J130), (J130 - $B130) / $B130, "")</f>
        <v>0</v>
      </c>
      <c r="L130" s="98">
        <f>IF(ISNUMBER(J130), $B145 * K130, "")</f>
        <v>0</v>
      </c>
      <c r="M130" s="99">
        <v>8.9999999999999998E-4</v>
      </c>
      <c r="N130" s="97">
        <f>IF(ISNUMBER(M130), (M130 - $B130) / $B130, "")</f>
        <v>0</v>
      </c>
      <c r="O130" s="98">
        <f>IF(ISNUMBER(M130), $B145 * N130, "")</f>
        <v>0</v>
      </c>
      <c r="Q130" s="146"/>
      <c r="R130" s="146"/>
      <c r="S130" s="146"/>
    </row>
    <row r="131" spans="1:19" ht="17.25" thickBot="1">
      <c r="A131" s="109" t="s">
        <v>191</v>
      </c>
      <c r="B131" s="110">
        <v>53.8</v>
      </c>
      <c r="C131" s="70">
        <v>0</v>
      </c>
      <c r="D131" s="15">
        <v>56.2</v>
      </c>
      <c r="E131" s="32">
        <f t="shared" ref="E131:E134" si="66">IF(ISNUMBER(D131), (D131 - $B131) / $B131, "")</f>
        <v>4.4609665427509403E-2</v>
      </c>
      <c r="F131" s="18">
        <f>IF(ISNUMBER(D131), $B145 * E131, "")</f>
        <v>6691.4498141264103</v>
      </c>
      <c r="G131" s="31">
        <v>54.6</v>
      </c>
      <c r="H131" s="32">
        <f t="shared" ref="H131:H134" si="67">IF(ISNUMBER(G131), (G131 - $B131) / $B131, "")</f>
        <v>1.4869888475836512E-2</v>
      </c>
      <c r="I131" s="91">
        <f>IF(ISNUMBER(G131), $B145 * H131, "")</f>
        <v>2230.4832713754768</v>
      </c>
      <c r="J131" s="15">
        <v>55.7</v>
      </c>
      <c r="K131" s="32">
        <f t="shared" ref="K131:K134" si="68">IF(ISNUMBER(J131), (J131 - $B131) / $B131, "")</f>
        <v>3.5315985130111631E-2</v>
      </c>
      <c r="L131" s="18">
        <f>IF(ISNUMBER(J131), $B145 * K131, "")</f>
        <v>5297.397769516745</v>
      </c>
      <c r="M131" s="31">
        <v>55.3</v>
      </c>
      <c r="N131" s="32">
        <f t="shared" ref="N131:N134" si="69">IF(ISNUMBER(M131), (M131 - $B131) / $B131, "")</f>
        <v>2.7881040892193312E-2</v>
      </c>
      <c r="O131" s="18">
        <f>IF(ISNUMBER(M131), $B145 * N131, "")</f>
        <v>4182.1561338289966</v>
      </c>
      <c r="Q131" s="146"/>
      <c r="R131" s="146"/>
      <c r="S131" s="146"/>
    </row>
    <row r="132" spans="1:19" ht="17.25" thickBot="1">
      <c r="A132" s="109" t="s">
        <v>185</v>
      </c>
      <c r="B132" s="110">
        <v>28.3</v>
      </c>
      <c r="C132" s="70">
        <v>0</v>
      </c>
      <c r="D132" s="15">
        <v>29.8</v>
      </c>
      <c r="E132" s="32">
        <f t="shared" si="66"/>
        <v>5.3003533568904596E-2</v>
      </c>
      <c r="F132" s="18">
        <f>IF(ISNUMBER(D132), $B145 * E132, "")</f>
        <v>7950.5300353356897</v>
      </c>
      <c r="G132" s="31">
        <v>29.3</v>
      </c>
      <c r="H132" s="32">
        <f t="shared" si="67"/>
        <v>3.5335689045936397E-2</v>
      </c>
      <c r="I132" s="91">
        <f>IF(ISNUMBER(G132), $B145 * H132, "")</f>
        <v>5300.3533568904595</v>
      </c>
      <c r="J132" s="15">
        <v>29.6</v>
      </c>
      <c r="K132" s="32">
        <f t="shared" si="68"/>
        <v>4.5936395759717336E-2</v>
      </c>
      <c r="L132" s="18">
        <f>IF(ISNUMBER(J132), $B145 * K132, "")</f>
        <v>6890.4593639576005</v>
      </c>
      <c r="M132" s="31">
        <v>29.6</v>
      </c>
      <c r="N132" s="32">
        <f t="shared" si="69"/>
        <v>4.5936395759717336E-2</v>
      </c>
      <c r="O132" s="18">
        <f>IF(ISNUMBER(M132), $B145 * N132, "")</f>
        <v>6890.4593639576005</v>
      </c>
      <c r="Q132" s="146"/>
      <c r="R132" s="146"/>
      <c r="S132" s="146"/>
    </row>
    <row r="133" spans="1:19" ht="17.25" thickBot="1">
      <c r="A133" s="109" t="s">
        <v>155</v>
      </c>
      <c r="B133" s="110">
        <v>27.8</v>
      </c>
      <c r="C133" s="70">
        <v>0</v>
      </c>
      <c r="D133" s="15">
        <v>29</v>
      </c>
      <c r="E133" s="32">
        <f t="shared" si="66"/>
        <v>4.3165467625899255E-2</v>
      </c>
      <c r="F133" s="18">
        <f>IF(ISNUMBER(D133), $B145 * E133, "")</f>
        <v>6474.8201438848882</v>
      </c>
      <c r="G133" s="31">
        <v>28.5</v>
      </c>
      <c r="H133" s="32">
        <f t="shared" si="67"/>
        <v>2.5179856115107889E-2</v>
      </c>
      <c r="I133" s="91">
        <f>IF(ISNUMBER(G133), $B145 * H133, "")</f>
        <v>3776.9784172661834</v>
      </c>
      <c r="J133" s="15">
        <v>29</v>
      </c>
      <c r="K133" s="32">
        <f t="shared" si="68"/>
        <v>4.3165467625899255E-2</v>
      </c>
      <c r="L133" s="18">
        <f>IF(ISNUMBER(J133), $B145 * K133, "")</f>
        <v>6474.8201438848882</v>
      </c>
      <c r="M133" s="31">
        <v>29</v>
      </c>
      <c r="N133" s="32">
        <f t="shared" si="69"/>
        <v>4.3165467625899255E-2</v>
      </c>
      <c r="O133" s="18">
        <f>IF(ISNUMBER(M133), $B145 * N133, "")</f>
        <v>6474.8201438848882</v>
      </c>
      <c r="Q133" s="33"/>
      <c r="R133" s="33"/>
    </row>
    <row r="134" spans="1:19" ht="17.25" thickBot="1">
      <c r="A134" s="114" t="s">
        <v>221</v>
      </c>
      <c r="B134" s="115">
        <v>19.399999999999999</v>
      </c>
      <c r="C134" s="72">
        <v>0</v>
      </c>
      <c r="D134" s="24">
        <v>20.3</v>
      </c>
      <c r="E134" s="25">
        <f t="shared" si="66"/>
        <v>4.63917525773197E-2</v>
      </c>
      <c r="F134" s="94">
        <f>IF(ISNUMBER(D134), $B145 * E134, "")</f>
        <v>6958.762886597955</v>
      </c>
      <c r="G134" s="92">
        <v>19.8</v>
      </c>
      <c r="H134" s="25">
        <f t="shared" si="67"/>
        <v>2.0618556701031038E-2</v>
      </c>
      <c r="I134" s="93">
        <f>IF(ISNUMBER(G134), $B145 * H134, "")</f>
        <v>3092.7835051546558</v>
      </c>
      <c r="J134" s="24">
        <v>20.100000000000001</v>
      </c>
      <c r="K134" s="25">
        <f t="shared" si="68"/>
        <v>3.6082474226804273E-2</v>
      </c>
      <c r="L134" s="94">
        <f>IF(ISNUMBER(J134), $B145 * K134, "")</f>
        <v>5412.371134020641</v>
      </c>
      <c r="M134" s="92">
        <v>20.100000000000001</v>
      </c>
      <c r="N134" s="25">
        <f t="shared" si="69"/>
        <v>3.6082474226804273E-2</v>
      </c>
      <c r="O134" s="94">
        <f>IF(ISNUMBER(M134), $B145 * N134, "")</f>
        <v>5412.371134020641</v>
      </c>
      <c r="Q134" s="147"/>
      <c r="R134" s="148"/>
      <c r="S134" s="149"/>
    </row>
    <row r="135" spans="1:19">
      <c r="A135" s="107" t="s">
        <v>349</v>
      </c>
      <c r="B135" s="108">
        <v>23.5</v>
      </c>
      <c r="C135" s="69">
        <v>0</v>
      </c>
      <c r="D135" s="13">
        <v>25.8</v>
      </c>
      <c r="E135" s="14">
        <f>IF(ISNUMBER(D135), (D135 - $B135) / $B135, "")</f>
        <v>9.7872340425531945E-2</v>
      </c>
      <c r="F135" s="16">
        <f>IF(ISNUMBER(D135), $B145 * E135, "")</f>
        <v>14680.851063829792</v>
      </c>
      <c r="G135" s="29">
        <v>24.8</v>
      </c>
      <c r="H135" s="14">
        <f>IF(ISNUMBER(G135), (G135 - $B135) / $B135, "")</f>
        <v>5.5319148936170244E-2</v>
      </c>
      <c r="I135" s="90">
        <f>IF(ISNUMBER(G135), $B145 * H135, "")</f>
        <v>8297.8723404255361</v>
      </c>
      <c r="J135" s="13">
        <v>25.4</v>
      </c>
      <c r="K135" s="14">
        <f>IF(ISNUMBER(J135), (J135 - $B135) / $B135, "")</f>
        <v>8.085106382978717E-2</v>
      </c>
      <c r="L135" s="16">
        <f>IF(ISNUMBER(J135), $B145 * K135, "")</f>
        <v>12127.659574468076</v>
      </c>
      <c r="M135" s="29">
        <v>25.4</v>
      </c>
      <c r="N135" s="14">
        <f>IF(ISNUMBER(M135), (M135 - $B135) / $B135, "")</f>
        <v>8.085106382978717E-2</v>
      </c>
      <c r="O135" s="16">
        <f>IF(ISNUMBER(M135), $B145 * N135, "")</f>
        <v>12127.659574468076</v>
      </c>
      <c r="Q135" s="150"/>
      <c r="R135" s="151"/>
      <c r="S135" s="152"/>
    </row>
    <row r="136" spans="1:19" ht="17.25" thickBot="1">
      <c r="A136" s="109" t="s">
        <v>350</v>
      </c>
      <c r="B136" s="110">
        <v>6.17</v>
      </c>
      <c r="C136" s="70">
        <v>-1.618123E-3</v>
      </c>
      <c r="D136" s="15">
        <v>6.47</v>
      </c>
      <c r="E136" s="32">
        <f t="shared" ref="E136:E139" si="70">IF(ISNUMBER(D136), (D136 - $B136) / $B136, "")</f>
        <v>4.8622366288492681E-2</v>
      </c>
      <c r="F136" s="18">
        <f>IF(ISNUMBER(D136), $B145 * E136, "")</f>
        <v>7293.3549432739019</v>
      </c>
      <c r="G136" s="31">
        <v>6.28</v>
      </c>
      <c r="H136" s="32">
        <f t="shared" ref="H136:H139" si="71">IF(ISNUMBER(G136), (G136 - $B136) / $B136, "")</f>
        <v>1.7828200972447378E-2</v>
      </c>
      <c r="I136" s="91">
        <f>IF(ISNUMBER(G136), $B145 * H136, "")</f>
        <v>2674.2301458671068</v>
      </c>
      <c r="J136" s="15">
        <v>6.4</v>
      </c>
      <c r="K136" s="32">
        <f t="shared" ref="K136:K139" si="72">IF(ISNUMBER(J136), (J136 - $B136) / $B136, "")</f>
        <v>3.7277147487844477E-2</v>
      </c>
      <c r="L136" s="18">
        <f>IF(ISNUMBER(J136), $B145 * K136, "")</f>
        <v>5591.5721231766711</v>
      </c>
      <c r="M136" s="31">
        <v>6.35</v>
      </c>
      <c r="N136" s="32">
        <f t="shared" ref="N136:N139" si="73">IF(ISNUMBER(M136), (M136 - $B136) / $B136, "")</f>
        <v>2.917341977309558E-2</v>
      </c>
      <c r="O136" s="18">
        <f>IF(ISNUMBER(M136), $B145 * N136, "")</f>
        <v>4376.0129659643371</v>
      </c>
      <c r="Q136" s="153"/>
      <c r="R136" s="154"/>
      <c r="S136" s="155"/>
    </row>
    <row r="137" spans="1:19" ht="17.25" thickBot="1">
      <c r="A137" s="109" t="s">
        <v>107</v>
      </c>
      <c r="B137" s="110">
        <v>38</v>
      </c>
      <c r="C137" s="70">
        <v>-2.6246719000000002E-3</v>
      </c>
      <c r="D137" s="15">
        <v>40.1</v>
      </c>
      <c r="E137" s="32">
        <f t="shared" si="70"/>
        <v>5.5263157894736882E-2</v>
      </c>
      <c r="F137" s="18">
        <f>IF(ISNUMBER(D137), $B145 * E137, "")</f>
        <v>8289.4736842105322</v>
      </c>
      <c r="G137" s="31">
        <v>39.299999999999997</v>
      </c>
      <c r="H137" s="32">
        <f t="shared" si="71"/>
        <v>3.42105263157894E-2</v>
      </c>
      <c r="I137" s="91">
        <f>IF(ISNUMBER(G137), $B145 * H137, "")</f>
        <v>5131.5789473684099</v>
      </c>
      <c r="J137" s="15">
        <v>39.6</v>
      </c>
      <c r="K137" s="32">
        <f t="shared" si="72"/>
        <v>4.2105263157894778E-2</v>
      </c>
      <c r="L137" s="18">
        <f>IF(ISNUMBER(J137), $B145 * K137, "")</f>
        <v>6315.7894736842163</v>
      </c>
      <c r="M137" s="31">
        <v>39.799999999999997</v>
      </c>
      <c r="N137" s="32">
        <f t="shared" si="73"/>
        <v>4.7368421052631504E-2</v>
      </c>
      <c r="O137" s="18">
        <f>IF(ISNUMBER(M137), $B145 * N137, "")</f>
        <v>7105.2631578947257</v>
      </c>
      <c r="Q137" s="146"/>
      <c r="R137" s="146"/>
      <c r="S137" s="146"/>
    </row>
    <row r="138" spans="1:19" ht="17.25" thickBot="1">
      <c r="A138" s="109" t="s">
        <v>323</v>
      </c>
      <c r="B138" s="110">
        <v>3.4000000000000002E-2</v>
      </c>
      <c r="C138" s="70">
        <v>-2.9325512999999999E-3</v>
      </c>
      <c r="D138" s="15">
        <v>3.6600000000000001E-2</v>
      </c>
      <c r="E138" s="32">
        <f t="shared" si="70"/>
        <v>7.6470588235294054E-2</v>
      </c>
      <c r="F138" s="18">
        <f>IF(ISNUMBER(D138), $B145 * E138, "")</f>
        <v>11470.588235294108</v>
      </c>
      <c r="G138" s="31">
        <v>3.5400000000000001E-2</v>
      </c>
      <c r="H138" s="32">
        <f t="shared" si="71"/>
        <v>4.1176470588235245E-2</v>
      </c>
      <c r="I138" s="91">
        <f>IF(ISNUMBER(G138), $B145 * H138, "")</f>
        <v>6176.4705882352864</v>
      </c>
      <c r="J138" s="15">
        <v>3.6200000000000003E-2</v>
      </c>
      <c r="K138" s="32">
        <f t="shared" si="72"/>
        <v>6.4705882352941183E-2</v>
      </c>
      <c r="L138" s="18">
        <f>IF(ISNUMBER(J138), $B145 * K138, "")</f>
        <v>9705.8823529411766</v>
      </c>
      <c r="M138" s="31">
        <v>3.5900000000000001E-2</v>
      </c>
      <c r="N138" s="32">
        <f t="shared" si="73"/>
        <v>5.5882352941176432E-2</v>
      </c>
      <c r="O138" s="18">
        <f>IF(ISNUMBER(M138), $B145 * N138, "")</f>
        <v>8382.3529411764648</v>
      </c>
      <c r="Q138" s="156"/>
      <c r="R138" s="156"/>
      <c r="S138" s="156"/>
    </row>
    <row r="139" spans="1:19" ht="17.25" thickBot="1">
      <c r="A139" s="111" t="s">
        <v>237</v>
      </c>
      <c r="B139" s="112">
        <v>27.5</v>
      </c>
      <c r="C139" s="71">
        <v>-3.6231884E-3</v>
      </c>
      <c r="D139" s="20">
        <v>28.9</v>
      </c>
      <c r="E139" s="21">
        <f t="shared" si="70"/>
        <v>5.0909090909090855E-2</v>
      </c>
      <c r="F139" s="22">
        <f>IF(ISNUMBER(D139), $B145 * E139, "")</f>
        <v>7636.3636363636278</v>
      </c>
      <c r="G139" s="30">
        <v>28.3</v>
      </c>
      <c r="H139" s="21">
        <f t="shared" si="71"/>
        <v>2.9090909090909115E-2</v>
      </c>
      <c r="I139" s="95">
        <f>IF(ISNUMBER(G139), $B145 * H139, "")</f>
        <v>4363.6363636363676</v>
      </c>
      <c r="J139" s="20">
        <v>29</v>
      </c>
      <c r="K139" s="21">
        <f t="shared" si="72"/>
        <v>5.4545454545454543E-2</v>
      </c>
      <c r="L139" s="22">
        <f>IF(ISNUMBER(J139), $B145 * K139, "")</f>
        <v>8181.8181818181811</v>
      </c>
      <c r="M139" s="30">
        <v>28.7</v>
      </c>
      <c r="N139" s="21">
        <f t="shared" si="73"/>
        <v>4.3636363636363612E-2</v>
      </c>
      <c r="O139" s="22">
        <f>IF(ISNUMBER(M139), $B145 * N139, "")</f>
        <v>6545.4545454545414</v>
      </c>
      <c r="Q139" s="156"/>
      <c r="R139" s="156"/>
      <c r="S139" s="156"/>
    </row>
    <row r="140" spans="1:19" ht="17.25" thickBot="1">
      <c r="A140" s="109" t="s">
        <v>124</v>
      </c>
      <c r="B140" s="113">
        <v>30.5</v>
      </c>
      <c r="C140" s="73">
        <v>-6.5146580000000004E-3</v>
      </c>
      <c r="D140" s="96">
        <v>32.1</v>
      </c>
      <c r="E140" s="97">
        <f>IF(ISNUMBER(D140), (D140 - $B140) / $B140, "")</f>
        <v>5.2459016393442671E-2</v>
      </c>
      <c r="F140" s="98">
        <f>IF(ISNUMBER(D140), $B145 * E140, "")</f>
        <v>7868.8524590164006</v>
      </c>
      <c r="G140" s="99">
        <v>31.6</v>
      </c>
      <c r="H140" s="97">
        <f>IF(ISNUMBER(G140), (G140 - $B140) / $B140, "")</f>
        <v>3.6065573770491847E-2</v>
      </c>
      <c r="I140" s="100">
        <f>IF(ISNUMBER(G140), $B145 * H140, "")</f>
        <v>5409.836065573777</v>
      </c>
      <c r="J140" s="96">
        <v>31.7</v>
      </c>
      <c r="K140" s="97">
        <f>IF(ISNUMBER(J140), (J140 - $B140) / $B140, "")</f>
        <v>3.9344262295081943E-2</v>
      </c>
      <c r="L140" s="98">
        <f>IF(ISNUMBER(J140), $B145 * K140, "")</f>
        <v>5901.6393442622912</v>
      </c>
      <c r="M140" s="99">
        <v>31.8</v>
      </c>
      <c r="N140" s="97">
        <f>IF(ISNUMBER(M140), (M140 - $B140) / $B140, "")</f>
        <v>4.2622950819672156E-2</v>
      </c>
      <c r="O140" s="98">
        <f>IF(ISNUMBER(M140), $B145 * N140, "")</f>
        <v>6393.4426229508235</v>
      </c>
      <c r="Q140" s="146"/>
      <c r="R140" s="146"/>
      <c r="S140" s="146"/>
    </row>
    <row r="141" spans="1:19" ht="17.25" thickBot="1">
      <c r="A141" s="109" t="s">
        <v>329</v>
      </c>
      <c r="B141" s="110">
        <v>59.1</v>
      </c>
      <c r="C141" s="70">
        <v>-6.7226891E-3</v>
      </c>
      <c r="D141" s="15">
        <v>63.4</v>
      </c>
      <c r="E141" s="32">
        <f t="shared" ref="E141:E144" si="74">IF(ISNUMBER(D141), (D141 - $B141) / $B141, "")</f>
        <v>7.2758037225042246E-2</v>
      </c>
      <c r="F141" s="18">
        <f>IF(ISNUMBER(D141), $B145 * E141, "")</f>
        <v>10913.705583756337</v>
      </c>
      <c r="G141" s="31">
        <v>63.3</v>
      </c>
      <c r="H141" s="32">
        <f t="shared" ref="H141:H144" si="75">IF(ISNUMBER(G141), (G141 - $B141) / $B141, "")</f>
        <v>7.1065989847715658E-2</v>
      </c>
      <c r="I141" s="91">
        <f>IF(ISNUMBER(G141), $B145 * H141, "")</f>
        <v>10659.898477157349</v>
      </c>
      <c r="J141" s="15">
        <v>63.4</v>
      </c>
      <c r="K141" s="32">
        <f t="shared" ref="K141:K144" si="76">IF(ISNUMBER(J141), (J141 - $B141) / $B141, "")</f>
        <v>7.2758037225042246E-2</v>
      </c>
      <c r="L141" s="18">
        <f>IF(ISNUMBER(J141), $B145 * K141, "")</f>
        <v>10913.705583756337</v>
      </c>
      <c r="M141" s="31">
        <v>63.7</v>
      </c>
      <c r="N141" s="32">
        <f t="shared" ref="N141:N144" si="77">IF(ISNUMBER(M141), (M141 - $B141) / $B141, "")</f>
        <v>7.7834179357022013E-2</v>
      </c>
      <c r="O141" s="18">
        <f>IF(ISNUMBER(M141), $B145 * N141, "")</f>
        <v>11675.126903553302</v>
      </c>
      <c r="Q141" s="146"/>
      <c r="R141" s="146"/>
      <c r="S141" s="146"/>
    </row>
    <row r="142" spans="1:19" ht="17.25" thickBot="1">
      <c r="A142" s="109" t="s">
        <v>225</v>
      </c>
      <c r="B142" s="110">
        <v>57</v>
      </c>
      <c r="C142" s="70">
        <v>-6.9686410999999998E-3</v>
      </c>
      <c r="D142" s="15">
        <v>59.2</v>
      </c>
      <c r="E142" s="32">
        <f t="shared" si="74"/>
        <v>3.8596491228070226E-2</v>
      </c>
      <c r="F142" s="18">
        <f>IF(ISNUMBER(D142), $B145 * E142, "")</f>
        <v>5789.473684210534</v>
      </c>
      <c r="G142" s="31">
        <v>57.5</v>
      </c>
      <c r="H142" s="32">
        <f t="shared" si="75"/>
        <v>8.771929824561403E-3</v>
      </c>
      <c r="I142" s="91">
        <f>IF(ISNUMBER(G142), $B145 * H142, "")</f>
        <v>1315.7894736842104</v>
      </c>
      <c r="J142" s="15">
        <v>58.7</v>
      </c>
      <c r="K142" s="32">
        <f t="shared" si="76"/>
        <v>2.9824561403508823E-2</v>
      </c>
      <c r="L142" s="18">
        <f>IF(ISNUMBER(J142), $B145 * K142, "")</f>
        <v>4473.6842105263231</v>
      </c>
      <c r="M142" s="31">
        <v>58.8</v>
      </c>
      <c r="N142" s="32">
        <f t="shared" si="77"/>
        <v>3.1578947368421005E-2</v>
      </c>
      <c r="O142" s="18">
        <f>IF(ISNUMBER(M142), $B145 * N142, "")</f>
        <v>4736.8421052631511</v>
      </c>
      <c r="Q142" s="146"/>
      <c r="R142" s="146"/>
      <c r="S142" s="146"/>
    </row>
    <row r="143" spans="1:19">
      <c r="A143" s="109" t="s">
        <v>132</v>
      </c>
      <c r="B143" s="110">
        <v>49.1</v>
      </c>
      <c r="C143" s="70">
        <v>-1.4056224900000001E-2</v>
      </c>
      <c r="D143" s="15">
        <v>52.1</v>
      </c>
      <c r="E143" s="32">
        <f t="shared" si="74"/>
        <v>6.1099796334012219E-2</v>
      </c>
      <c r="F143" s="18">
        <f>IF(ISNUMBER(D143), $B145 * E143, "")</f>
        <v>9164.969450101833</v>
      </c>
      <c r="G143" s="31">
        <v>51.3</v>
      </c>
      <c r="H143" s="32">
        <f t="shared" si="75"/>
        <v>4.4806517311608875E-2</v>
      </c>
      <c r="I143" s="91">
        <f>IF(ISNUMBER(G143), $B145 * H143, "")</f>
        <v>6720.9775967413316</v>
      </c>
      <c r="J143" s="15">
        <v>51.9</v>
      </c>
      <c r="K143" s="32">
        <f t="shared" si="76"/>
        <v>5.7026476578411346E-2</v>
      </c>
      <c r="L143" s="18">
        <f>IF(ISNUMBER(J143), $B145 * K143, "")</f>
        <v>8553.9714867617022</v>
      </c>
      <c r="M143" s="31">
        <v>52.2</v>
      </c>
      <c r="N143" s="32">
        <f t="shared" si="77"/>
        <v>6.3136456211812658E-2</v>
      </c>
      <c r="O143" s="18">
        <f>IF(ISNUMBER(M143), $B145 * N143, "")</f>
        <v>9470.4684317718984</v>
      </c>
      <c r="Q143" s="135"/>
      <c r="R143" s="136"/>
      <c r="S143" s="137"/>
    </row>
    <row r="144" spans="1:19" ht="17.25" thickBot="1">
      <c r="A144" s="114" t="s">
        <v>209</v>
      </c>
      <c r="B144" s="115">
        <v>77.8</v>
      </c>
      <c r="C144" s="72">
        <v>-2.0151133500000001E-2</v>
      </c>
      <c r="D144" s="24">
        <v>83.7</v>
      </c>
      <c r="E144" s="25">
        <f t="shared" si="74"/>
        <v>7.5835475578406239E-2</v>
      </c>
      <c r="F144" s="94">
        <f>IF(ISNUMBER(D144), $B145 * E144, "")</f>
        <v>11375.321336760935</v>
      </c>
      <c r="G144" s="92">
        <v>81.900000000000006</v>
      </c>
      <c r="H144" s="25">
        <f t="shared" si="75"/>
        <v>5.269922879177389E-2</v>
      </c>
      <c r="I144" s="93">
        <f>IF(ISNUMBER(G144), $B145 * H144, "")</f>
        <v>7904.8843187660832</v>
      </c>
      <c r="J144" s="24">
        <v>82.9</v>
      </c>
      <c r="K144" s="25">
        <f t="shared" si="76"/>
        <v>6.555269922879188E-2</v>
      </c>
      <c r="L144" s="94">
        <f>IF(ISNUMBER(J144), $B145 * K144, "")</f>
        <v>9832.9048843187829</v>
      </c>
      <c r="M144" s="92">
        <v>83.3</v>
      </c>
      <c r="N144" s="25">
        <f t="shared" si="77"/>
        <v>7.0694087403598976E-2</v>
      </c>
      <c r="O144" s="94">
        <f>IF(ISNUMBER(M144), $B145 * N144, "")</f>
        <v>10604.113110539847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5.9019389684850009E-2</v>
      </c>
      <c r="F145" s="28">
        <f>SUM(F125:F144)</f>
        <v>177058.16905455</v>
      </c>
      <c r="G145" s="26" t="s">
        <v>258</v>
      </c>
      <c r="H145" s="27">
        <f>IF(COUNT(H125:H144), SUM(H125:H144) / COUNT(H125:H144), 0)</f>
        <v>3.8654275800757781E-2</v>
      </c>
      <c r="I145" s="28">
        <f>SUM(I125:I144)</f>
        <v>115962.82740227335</v>
      </c>
      <c r="J145" s="26" t="s">
        <v>258</v>
      </c>
      <c r="K145" s="27">
        <f>IF(COUNT(K125:K144), SUM(K125:K144) / COUNT(K125:K144), 0)</f>
        <v>5.2970411206461308E-2</v>
      </c>
      <c r="L145" s="28">
        <f>SUM(L125:L144)</f>
        <v>158911.23361938391</v>
      </c>
      <c r="M145" s="26" t="s">
        <v>258</v>
      </c>
      <c r="N145" s="27">
        <f>IF(COUNT(N125:N144), SUM(N125:N144) / COUNT(N125:N144), 0)</f>
        <v>5.4640147643723547E-2</v>
      </c>
      <c r="O145" s="28">
        <f>SUM(O125:O144)</f>
        <v>163920.44293117066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2023-01-14(토) 오전 00:00</v>
      </c>
      <c r="C150" s="198"/>
      <c r="D150" s="170" t="str">
        <f>TEXT($G$1, "[$-ko-KR]yyyy-mm-dd(ddd) ") &amp; "오후 14:00"</f>
        <v>2023-01-14(토) 오후 14:00</v>
      </c>
      <c r="E150" s="171"/>
      <c r="F150" s="172"/>
      <c r="G150" s="170" t="str">
        <f>TEXT($G$1, "[$-ko-KR]yyyy-mm-dd(ddd) ") &amp; "오후 19:00"</f>
        <v>2023-01-14(토) 오후 19:00</v>
      </c>
      <c r="H150" s="171"/>
      <c r="I150" s="172"/>
      <c r="J150" s="170" t="str">
        <f>TEXT($G$1, "[$-ko-KR]yyyy-mm-dd(ddd) ") &amp; "오후 21:00"</f>
        <v>2023-01-14(토) 오후 21:00</v>
      </c>
      <c r="K150" s="171"/>
      <c r="L150" s="172"/>
      <c r="M150" s="170" t="str">
        <f>TEXT($G$1+1, "[$-ko-KR]yyyy-mm-dd(ddd) ") &amp; "오전 00:00"</f>
        <v>2023-01-15(일)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161</v>
      </c>
      <c r="B152" s="108">
        <v>308</v>
      </c>
      <c r="C152" s="69">
        <v>0</v>
      </c>
      <c r="D152" s="13">
        <v>328</v>
      </c>
      <c r="E152" s="14">
        <f>IF(ISNUMBER(D152), (D152 - $B152) / $B152, "")</f>
        <v>6.4935064935064929E-2</v>
      </c>
      <c r="F152" s="16">
        <f>IF(ISNUMBER(D152), $B172 * E152, "")</f>
        <v>9740.2597402597385</v>
      </c>
      <c r="G152" s="29">
        <v>317</v>
      </c>
      <c r="H152" s="14">
        <f>IF(ISNUMBER(G152), (G152 - $B152) / $B152, "")</f>
        <v>2.922077922077922E-2</v>
      </c>
      <c r="I152" s="90">
        <f>IF(ISNUMBER(G152), $B172 * H152, "")</f>
        <v>4383.1168831168834</v>
      </c>
      <c r="J152" s="13">
        <v>323</v>
      </c>
      <c r="K152" s="14">
        <f>IF(ISNUMBER(J152), (J152 - $B152) / $B152, "")</f>
        <v>4.8701298701298704E-2</v>
      </c>
      <c r="L152" s="16">
        <f>IF(ISNUMBER(J152), $B172 * K152, "")</f>
        <v>7305.1948051948057</v>
      </c>
      <c r="M152" s="29">
        <v>322</v>
      </c>
      <c r="N152" s="14">
        <f>IF(ISNUMBER(M152), (M152 - $B152) / $B152, "")</f>
        <v>4.5454545454545456E-2</v>
      </c>
      <c r="O152" s="16">
        <f>IF(ISNUMBER(M152), $B172 * N152, "")</f>
        <v>6818.181818181818</v>
      </c>
      <c r="Q152" s="156"/>
      <c r="R152" s="156"/>
      <c r="S152" s="156"/>
    </row>
    <row r="153" spans="1:19" ht="17.25" thickBot="1">
      <c r="A153" s="109" t="s">
        <v>89</v>
      </c>
      <c r="B153" s="110">
        <v>469</v>
      </c>
      <c r="C153" s="70">
        <v>0</v>
      </c>
      <c r="D153" s="15">
        <v>498</v>
      </c>
      <c r="E153" s="32">
        <f t="shared" ref="E153:E156" si="78">IF(ISNUMBER(D153), (D153 - $B153) / $B153, "")</f>
        <v>6.1833688699360338E-2</v>
      </c>
      <c r="F153" s="18">
        <f>IF(ISNUMBER(D153), $B172 * E153, "")</f>
        <v>9275.0533049040514</v>
      </c>
      <c r="G153" s="31">
        <v>483</v>
      </c>
      <c r="H153" s="32">
        <f t="shared" ref="H153:H156" si="79">IF(ISNUMBER(G153), (G153 - $B153) / $B153, "")</f>
        <v>2.9850746268656716E-2</v>
      </c>
      <c r="I153" s="91">
        <f>IF(ISNUMBER(G153), $B172 * H153, "")</f>
        <v>4477.6119402985078</v>
      </c>
      <c r="J153" s="15">
        <v>487</v>
      </c>
      <c r="K153" s="32">
        <f t="shared" ref="K153:K156" si="80">IF(ISNUMBER(J153), (J153 - $B153) / $B153, "")</f>
        <v>3.8379530916844352E-2</v>
      </c>
      <c r="L153" s="18">
        <f>IF(ISNUMBER(J153), $B172 * K153, "")</f>
        <v>5756.9296375266531</v>
      </c>
      <c r="M153" s="31">
        <v>486</v>
      </c>
      <c r="N153" s="32">
        <f t="shared" ref="N153:N156" si="81">IF(ISNUMBER(M153), (M153 - $B153) / $B153, "")</f>
        <v>3.6247334754797439E-2</v>
      </c>
      <c r="O153" s="18">
        <f>IF(ISNUMBER(M153), $B172 * N153, "")</f>
        <v>5437.1002132196154</v>
      </c>
      <c r="Q153" s="156"/>
      <c r="R153" s="156"/>
      <c r="S153" s="156"/>
    </row>
    <row r="154" spans="1:19" ht="17.25" thickBot="1">
      <c r="A154" s="109" t="s">
        <v>103</v>
      </c>
      <c r="B154" s="110">
        <v>228</v>
      </c>
      <c r="C154" s="70">
        <v>0</v>
      </c>
      <c r="D154" s="15">
        <v>253</v>
      </c>
      <c r="E154" s="32">
        <f t="shared" si="78"/>
        <v>0.10964912280701754</v>
      </c>
      <c r="F154" s="18">
        <f>IF(ISNUMBER(D154), $B172 * E154, "")</f>
        <v>16447.36842105263</v>
      </c>
      <c r="G154" s="31">
        <v>249</v>
      </c>
      <c r="H154" s="32">
        <f t="shared" si="79"/>
        <v>9.2105263157894732E-2</v>
      </c>
      <c r="I154" s="91">
        <f>IF(ISNUMBER(G154), $B172 * H154, "")</f>
        <v>13815.78947368421</v>
      </c>
      <c r="J154" s="15">
        <v>254</v>
      </c>
      <c r="K154" s="32">
        <f t="shared" si="80"/>
        <v>0.11403508771929824</v>
      </c>
      <c r="L154" s="18">
        <f>IF(ISNUMBER(J154), $B172 * K154, "")</f>
        <v>17105.263157894737</v>
      </c>
      <c r="M154" s="31">
        <v>254</v>
      </c>
      <c r="N154" s="32">
        <f t="shared" si="81"/>
        <v>0.11403508771929824</v>
      </c>
      <c r="O154" s="18">
        <f>IF(ISNUMBER(M154), $B172 * N154, "")</f>
        <v>17105.263157894737</v>
      </c>
      <c r="Q154" s="146"/>
      <c r="R154" s="146"/>
      <c r="S154" s="146"/>
    </row>
    <row r="155" spans="1:19" ht="17.25" thickBot="1">
      <c r="A155" s="109" t="s">
        <v>81</v>
      </c>
      <c r="B155" s="110">
        <v>412</v>
      </c>
      <c r="C155" s="70">
        <v>-2.4213074999999999E-3</v>
      </c>
      <c r="D155" s="15">
        <v>440</v>
      </c>
      <c r="E155" s="32">
        <f t="shared" si="78"/>
        <v>6.7961165048543687E-2</v>
      </c>
      <c r="F155" s="18">
        <f>IF(ISNUMBER(D155), $B172 * E155, "")</f>
        <v>10194.174757281553</v>
      </c>
      <c r="G155" s="31">
        <v>433</v>
      </c>
      <c r="H155" s="32">
        <f t="shared" si="79"/>
        <v>5.0970873786407765E-2</v>
      </c>
      <c r="I155" s="91">
        <f>IF(ISNUMBER(G155), $B172 * H155, "")</f>
        <v>7645.6310679611652</v>
      </c>
      <c r="J155" s="15">
        <v>434</v>
      </c>
      <c r="K155" s="32">
        <f t="shared" si="80"/>
        <v>5.3398058252427182E-2</v>
      </c>
      <c r="L155" s="18">
        <f>IF(ISNUMBER(J155), $B172 * K155, "")</f>
        <v>8009.7087378640772</v>
      </c>
      <c r="M155" s="31">
        <v>433</v>
      </c>
      <c r="N155" s="32">
        <f t="shared" si="81"/>
        <v>5.0970873786407765E-2</v>
      </c>
      <c r="O155" s="18">
        <f>IF(ISNUMBER(M155), $B172 * N155, "")</f>
        <v>7645.6310679611652</v>
      </c>
      <c r="Q155" s="146"/>
      <c r="R155" s="146"/>
      <c r="S155" s="146"/>
    </row>
    <row r="156" spans="1:19" ht="17.25" thickBot="1">
      <c r="A156" s="111" t="s">
        <v>231</v>
      </c>
      <c r="B156" s="112">
        <v>339</v>
      </c>
      <c r="C156" s="71">
        <v>-2.9411764999999999E-3</v>
      </c>
      <c r="D156" s="20">
        <v>354</v>
      </c>
      <c r="E156" s="21">
        <f t="shared" si="78"/>
        <v>4.4247787610619468E-2</v>
      </c>
      <c r="F156" s="22">
        <f>IF(ISNUMBER(D156), $B172 * E156, "")</f>
        <v>6637.1681415929206</v>
      </c>
      <c r="G156" s="30">
        <v>345</v>
      </c>
      <c r="H156" s="21">
        <f t="shared" si="79"/>
        <v>1.7699115044247787E-2</v>
      </c>
      <c r="I156" s="95">
        <f>IF(ISNUMBER(G156), $B172 * H156, "")</f>
        <v>2654.8672566371679</v>
      </c>
      <c r="J156" s="20">
        <v>356</v>
      </c>
      <c r="K156" s="21">
        <f t="shared" si="80"/>
        <v>5.0147492625368731E-2</v>
      </c>
      <c r="L156" s="22">
        <f>IF(ISNUMBER(J156), $B172 * K156, "")</f>
        <v>7522.1238938053093</v>
      </c>
      <c r="M156" s="30">
        <v>353</v>
      </c>
      <c r="N156" s="21">
        <f t="shared" si="81"/>
        <v>4.1297935103244837E-2</v>
      </c>
      <c r="O156" s="22">
        <f>IF(ISNUMBER(M156), $B172 * N156, "")</f>
        <v>6194.6902654867254</v>
      </c>
      <c r="Q156" s="146"/>
      <c r="R156" s="146"/>
      <c r="S156" s="146"/>
    </row>
    <row r="157" spans="1:19" ht="17.25" thickBot="1">
      <c r="A157" s="109" t="s">
        <v>66</v>
      </c>
      <c r="B157" s="113">
        <v>662</v>
      </c>
      <c r="C157" s="73">
        <v>-3.0120481999999999E-3</v>
      </c>
      <c r="D157" s="96">
        <v>757</v>
      </c>
      <c r="E157" s="97">
        <f>IF(ISNUMBER(D157), (D157 - $B157) / $B157, "")</f>
        <v>0.14350453172205438</v>
      </c>
      <c r="F157" s="98">
        <f>IF(ISNUMBER(D157), $B172 * E157, "")</f>
        <v>21525.679758308157</v>
      </c>
      <c r="G157" s="99">
        <v>716</v>
      </c>
      <c r="H157" s="97">
        <f>IF(ISNUMBER(G157), (G157 - $B157) / $B157, "")</f>
        <v>8.1570996978851965E-2</v>
      </c>
      <c r="I157" s="100">
        <f>IF(ISNUMBER(G157), $B172 * H157, "")</f>
        <v>12235.649546827795</v>
      </c>
      <c r="J157" s="96">
        <v>736</v>
      </c>
      <c r="K157" s="97">
        <f>IF(ISNUMBER(J157), (J157 - $B157) / $B157, "")</f>
        <v>0.11178247734138973</v>
      </c>
      <c r="L157" s="98">
        <f>IF(ISNUMBER(J157), $B172 * K157, "")</f>
        <v>16767.371601208459</v>
      </c>
      <c r="M157" s="99">
        <v>738</v>
      </c>
      <c r="N157" s="97">
        <f>IF(ISNUMBER(M157), (M157 - $B157) / $B157, "")</f>
        <v>0.11480362537764351</v>
      </c>
      <c r="O157" s="98">
        <f>IF(ISNUMBER(M157), $B172 * N157, "")</f>
        <v>17220.543806646525</v>
      </c>
      <c r="Q157" s="146"/>
      <c r="R157" s="146"/>
      <c r="S157" s="146"/>
    </row>
    <row r="158" spans="1:19" ht="17.25" thickBot="1">
      <c r="A158" s="109" t="s">
        <v>169</v>
      </c>
      <c r="B158" s="110">
        <v>245</v>
      </c>
      <c r="C158" s="70">
        <v>-4.0650406999999996E-3</v>
      </c>
      <c r="D158" s="15">
        <v>257</v>
      </c>
      <c r="E158" s="32">
        <f t="shared" ref="E158:E161" si="82">IF(ISNUMBER(D158), (D158 - $B158) / $B158, "")</f>
        <v>4.8979591836734691E-2</v>
      </c>
      <c r="F158" s="18">
        <f>IF(ISNUMBER(D158), $B172 * E158, "")</f>
        <v>7346.9387755102034</v>
      </c>
      <c r="G158" s="31">
        <v>254</v>
      </c>
      <c r="H158" s="32">
        <f t="shared" ref="H158:H161" si="83">IF(ISNUMBER(G158), (G158 - $B158) / $B158, "")</f>
        <v>3.6734693877551024E-2</v>
      </c>
      <c r="I158" s="91">
        <f>IF(ISNUMBER(G158), $B172 * H158, "")</f>
        <v>5510.2040816326535</v>
      </c>
      <c r="J158" s="15">
        <v>256</v>
      </c>
      <c r="K158" s="32">
        <f t="shared" ref="K158:K161" si="84">IF(ISNUMBER(J158), (J158 - $B158) / $B158, "")</f>
        <v>4.4897959183673466E-2</v>
      </c>
      <c r="L158" s="18">
        <f>IF(ISNUMBER(J158), $B172 * K158, "")</f>
        <v>6734.6938775510198</v>
      </c>
      <c r="M158" s="31">
        <v>258</v>
      </c>
      <c r="N158" s="32">
        <f t="shared" ref="N158:N161" si="85">IF(ISNUMBER(M158), (M158 - $B158) / $B158, "")</f>
        <v>5.3061224489795916E-2</v>
      </c>
      <c r="O158" s="18">
        <f>IF(ISNUMBER(M158), $B172 * N158, "")</f>
        <v>7959.183673469387</v>
      </c>
      <c r="Q158" s="146"/>
      <c r="R158" s="146"/>
      <c r="S158" s="146"/>
    </row>
    <row r="159" spans="1:19" ht="17.25" thickBot="1">
      <c r="A159" s="109" t="s">
        <v>187</v>
      </c>
      <c r="B159" s="110">
        <v>765</v>
      </c>
      <c r="C159" s="70">
        <v>-5.2015604999999998E-3</v>
      </c>
      <c r="D159" s="15">
        <v>808</v>
      </c>
      <c r="E159" s="32">
        <f t="shared" si="82"/>
        <v>5.6209150326797387E-2</v>
      </c>
      <c r="F159" s="18">
        <f>IF(ISNUMBER(D159), $B172 * E159, "")</f>
        <v>8431.3725490196084</v>
      </c>
      <c r="G159" s="31">
        <v>785</v>
      </c>
      <c r="H159" s="32">
        <f t="shared" si="83"/>
        <v>2.6143790849673203E-2</v>
      </c>
      <c r="I159" s="91">
        <f>IF(ISNUMBER(G159), $B172 * H159, "")</f>
        <v>3921.5686274509803</v>
      </c>
      <c r="J159" s="15">
        <v>800</v>
      </c>
      <c r="K159" s="32">
        <f t="shared" si="84"/>
        <v>4.5751633986928102E-2</v>
      </c>
      <c r="L159" s="18">
        <f>IF(ISNUMBER(J159), $B172 * K159, "")</f>
        <v>6862.745098039215</v>
      </c>
      <c r="M159" s="31">
        <v>800</v>
      </c>
      <c r="N159" s="32">
        <f t="shared" si="85"/>
        <v>4.5751633986928102E-2</v>
      </c>
      <c r="O159" s="18">
        <f>IF(ISNUMBER(M159), $B172 * N159, "")</f>
        <v>6862.745098039215</v>
      </c>
      <c r="Q159" s="146"/>
      <c r="R159" s="146"/>
      <c r="S159" s="146"/>
    </row>
    <row r="160" spans="1:19" ht="17.25" thickBot="1">
      <c r="A160" s="109" t="s">
        <v>159</v>
      </c>
      <c r="B160" s="110">
        <v>169</v>
      </c>
      <c r="C160" s="70">
        <v>-5.8823529000000003E-3</v>
      </c>
      <c r="D160" s="15">
        <v>181</v>
      </c>
      <c r="E160" s="32">
        <f t="shared" si="82"/>
        <v>7.1005917159763315E-2</v>
      </c>
      <c r="F160" s="18">
        <f>IF(ISNUMBER(D160), $B172 * E160, "")</f>
        <v>10650.887573964497</v>
      </c>
      <c r="G160" s="31">
        <v>182</v>
      </c>
      <c r="H160" s="32">
        <f t="shared" si="83"/>
        <v>7.6923076923076927E-2</v>
      </c>
      <c r="I160" s="91">
        <f>IF(ISNUMBER(G160), $B172 * H160, "")</f>
        <v>11538.461538461539</v>
      </c>
      <c r="J160" s="15">
        <v>185</v>
      </c>
      <c r="K160" s="32">
        <f t="shared" si="84"/>
        <v>9.4674556213017749E-2</v>
      </c>
      <c r="L160" s="18">
        <f>IF(ISNUMBER(J160), $B172 * K160, "")</f>
        <v>14201.183431952662</v>
      </c>
      <c r="M160" s="31">
        <v>191</v>
      </c>
      <c r="N160" s="32">
        <f t="shared" si="85"/>
        <v>0.13017751479289941</v>
      </c>
      <c r="O160" s="18">
        <f>IF(ISNUMBER(M160), $B172 * N160, "")</f>
        <v>19526.627218934911</v>
      </c>
      <c r="Q160" s="33"/>
      <c r="R160" s="33"/>
    </row>
    <row r="161" spans="1:19" ht="17.25" thickBot="1">
      <c r="A161" s="114" t="s">
        <v>239</v>
      </c>
      <c r="B161" s="115">
        <v>439</v>
      </c>
      <c r="C161" s="72">
        <v>-6.7873302999999999E-3</v>
      </c>
      <c r="D161" s="24">
        <v>460</v>
      </c>
      <c r="E161" s="25">
        <f t="shared" si="82"/>
        <v>4.7835990888382689E-2</v>
      </c>
      <c r="F161" s="94">
        <f>IF(ISNUMBER(D161), $B172 * E161, "")</f>
        <v>7175.3986332574032</v>
      </c>
      <c r="G161" s="92">
        <v>447</v>
      </c>
      <c r="H161" s="25">
        <f t="shared" si="83"/>
        <v>1.8223234624145785E-2</v>
      </c>
      <c r="I161" s="93">
        <f>IF(ISNUMBER(G161), $B172 * H161, "")</f>
        <v>2733.4851936218679</v>
      </c>
      <c r="J161" s="24">
        <v>455</v>
      </c>
      <c r="K161" s="25">
        <f t="shared" si="84"/>
        <v>3.644646924829157E-2</v>
      </c>
      <c r="L161" s="94">
        <f>IF(ISNUMBER(J161), $B172 * K161, "")</f>
        <v>5466.9703872437358</v>
      </c>
      <c r="M161" s="92">
        <v>455</v>
      </c>
      <c r="N161" s="25">
        <f t="shared" si="85"/>
        <v>3.644646924829157E-2</v>
      </c>
      <c r="O161" s="94">
        <f>IF(ISNUMBER(M161), $B172 * N161, "")</f>
        <v>5466.9703872437358</v>
      </c>
      <c r="Q161" s="147"/>
      <c r="R161" s="148"/>
      <c r="S161" s="149"/>
    </row>
    <row r="162" spans="1:19">
      <c r="A162" s="107" t="s">
        <v>326</v>
      </c>
      <c r="B162" s="108">
        <v>264</v>
      </c>
      <c r="C162" s="69">
        <v>-7.5187969999999998E-3</v>
      </c>
      <c r="D162" s="13">
        <v>281</v>
      </c>
      <c r="E162" s="14">
        <f>IF(ISNUMBER(D162), (D162 - $B162) / $B162, "")</f>
        <v>6.4393939393939392E-2</v>
      </c>
      <c r="F162" s="16">
        <f>IF(ISNUMBER(D162), $B172 * E162, "")</f>
        <v>9659.0909090909081</v>
      </c>
      <c r="G162" s="29">
        <v>278</v>
      </c>
      <c r="H162" s="14">
        <f>IF(ISNUMBER(G162), (G162 - $B162) / $B162, "")</f>
        <v>5.3030303030303032E-2</v>
      </c>
      <c r="I162" s="90">
        <f>IF(ISNUMBER(G162), $B172 * H162, "")</f>
        <v>7954.545454545455</v>
      </c>
      <c r="J162" s="13">
        <v>280</v>
      </c>
      <c r="K162" s="14">
        <f>IF(ISNUMBER(J162), (J162 - $B162) / $B162, "")</f>
        <v>6.0606060606060608E-2</v>
      </c>
      <c r="L162" s="16">
        <f>IF(ISNUMBER(J162), $B172 * K162, "")</f>
        <v>9090.9090909090919</v>
      </c>
      <c r="M162" s="29">
        <v>282</v>
      </c>
      <c r="N162" s="14">
        <f>IF(ISNUMBER(M162), (M162 - $B162) / $B162, "")</f>
        <v>6.8181818181818177E-2</v>
      </c>
      <c r="O162" s="16">
        <f>IF(ISNUMBER(M162), $B172 * N162, "")</f>
        <v>10227.272727272726</v>
      </c>
      <c r="Q162" s="150"/>
      <c r="R162" s="151"/>
      <c r="S162" s="152"/>
    </row>
    <row r="163" spans="1:19" ht="17.25" thickBot="1">
      <c r="A163" s="109" t="s">
        <v>219</v>
      </c>
      <c r="B163" s="110">
        <v>385</v>
      </c>
      <c r="C163" s="70">
        <v>-7.7319588E-3</v>
      </c>
      <c r="D163" s="15">
        <v>409</v>
      </c>
      <c r="E163" s="32">
        <f t="shared" ref="E163:E166" si="86">IF(ISNUMBER(D163), (D163 - $B163) / $B163, "")</f>
        <v>6.2337662337662338E-2</v>
      </c>
      <c r="F163" s="18">
        <f>IF(ISNUMBER(D163), $B172 * E163, "")</f>
        <v>9350.6493506493498</v>
      </c>
      <c r="G163" s="31">
        <v>399</v>
      </c>
      <c r="H163" s="32">
        <f t="shared" ref="H163:H166" si="87">IF(ISNUMBER(G163), (G163 - $B163) / $B163, "")</f>
        <v>3.6363636363636362E-2</v>
      </c>
      <c r="I163" s="91">
        <f>IF(ISNUMBER(G163), $B172 * H163, "")</f>
        <v>5454.545454545454</v>
      </c>
      <c r="J163" s="15">
        <v>411</v>
      </c>
      <c r="K163" s="32">
        <f t="shared" ref="K163:K166" si="88">IF(ISNUMBER(J163), (J163 - $B163) / $B163, "")</f>
        <v>6.7532467532467527E-2</v>
      </c>
      <c r="L163" s="18">
        <f>IF(ISNUMBER(J163), $B172 * K163, "")</f>
        <v>10129.870129870129</v>
      </c>
      <c r="M163" s="31">
        <v>408</v>
      </c>
      <c r="N163" s="32">
        <f t="shared" ref="N163:N166" si="89">IF(ISNUMBER(M163), (M163 - $B163) / $B163, "")</f>
        <v>5.9740259740259739E-2</v>
      </c>
      <c r="O163" s="18">
        <f>IF(ISNUMBER(M163), $B172 * N163, "")</f>
        <v>8961.0389610389611</v>
      </c>
      <c r="Q163" s="153"/>
      <c r="R163" s="154"/>
      <c r="S163" s="155"/>
    </row>
    <row r="164" spans="1:19" ht="17.25" thickBot="1">
      <c r="A164" s="109" t="s">
        <v>183</v>
      </c>
      <c r="B164" s="110">
        <v>128</v>
      </c>
      <c r="C164" s="70">
        <v>-7.7519379999999999E-3</v>
      </c>
      <c r="D164" s="15">
        <v>135</v>
      </c>
      <c r="E164" s="32">
        <f t="shared" si="86"/>
        <v>5.46875E-2</v>
      </c>
      <c r="F164" s="18">
        <f>IF(ISNUMBER(D164), $B172 * E164, "")</f>
        <v>8203.125</v>
      </c>
      <c r="G164" s="31">
        <v>133</v>
      </c>
      <c r="H164" s="32">
        <f t="shared" si="87"/>
        <v>3.90625E-2</v>
      </c>
      <c r="I164" s="91">
        <f>IF(ISNUMBER(G164), $B172 * H164, "")</f>
        <v>5859.375</v>
      </c>
      <c r="J164" s="15">
        <v>134</v>
      </c>
      <c r="K164" s="32">
        <f t="shared" si="88"/>
        <v>4.6875E-2</v>
      </c>
      <c r="L164" s="18">
        <f>IF(ISNUMBER(J164), $B172 * K164, "")</f>
        <v>7031.25</v>
      </c>
      <c r="M164" s="31">
        <v>134</v>
      </c>
      <c r="N164" s="32">
        <f t="shared" si="89"/>
        <v>4.6875E-2</v>
      </c>
      <c r="O164" s="18">
        <f>IF(ISNUMBER(M164), $B172 * N164, "")</f>
        <v>7031.25</v>
      </c>
      <c r="Q164" s="146"/>
      <c r="R164" s="146"/>
      <c r="S164" s="146"/>
    </row>
    <row r="165" spans="1:19" ht="17.25" thickBot="1">
      <c r="A165" s="109" t="s">
        <v>130</v>
      </c>
      <c r="B165" s="110">
        <v>727</v>
      </c>
      <c r="C165" s="70">
        <v>-8.1855389000000008E-3</v>
      </c>
      <c r="D165" s="15">
        <v>802</v>
      </c>
      <c r="E165" s="32">
        <f t="shared" si="86"/>
        <v>0.1031636863823934</v>
      </c>
      <c r="F165" s="18">
        <f>IF(ISNUMBER(D165), $B172 * E165, "")</f>
        <v>15474.55295735901</v>
      </c>
      <c r="G165" s="31">
        <v>859</v>
      </c>
      <c r="H165" s="32">
        <f t="shared" si="87"/>
        <v>0.18156808803301239</v>
      </c>
      <c r="I165" s="91">
        <f>IF(ISNUMBER(G165), $B172 * H165, "")</f>
        <v>27235.213204951859</v>
      </c>
      <c r="J165" s="15">
        <v>935</v>
      </c>
      <c r="K165" s="32">
        <f t="shared" si="88"/>
        <v>0.28610729023383769</v>
      </c>
      <c r="L165" s="18">
        <f>IF(ISNUMBER(J165), $B172 * K165, "")</f>
        <v>42916.093535075655</v>
      </c>
      <c r="M165" s="31">
        <v>898</v>
      </c>
      <c r="N165" s="32">
        <f t="shared" si="89"/>
        <v>0.23521320495185694</v>
      </c>
      <c r="O165" s="18">
        <f>IF(ISNUMBER(M165), $B172 * N165, "")</f>
        <v>35281.980742778542</v>
      </c>
      <c r="Q165" s="156"/>
      <c r="R165" s="156"/>
      <c r="S165" s="156"/>
    </row>
    <row r="166" spans="1:19" ht="17.25" thickBot="1">
      <c r="A166" s="111" t="s">
        <v>51</v>
      </c>
      <c r="B166" s="112">
        <v>102</v>
      </c>
      <c r="C166" s="71">
        <v>-9.7087379000000001E-3</v>
      </c>
      <c r="D166" s="20">
        <v>109</v>
      </c>
      <c r="E166" s="21">
        <f t="shared" si="86"/>
        <v>6.8627450980392163E-2</v>
      </c>
      <c r="F166" s="22">
        <f>IF(ISNUMBER(D166), $B172 * E166, "")</f>
        <v>10294.117647058825</v>
      </c>
      <c r="G166" s="30">
        <v>108</v>
      </c>
      <c r="H166" s="21">
        <f t="shared" si="87"/>
        <v>5.8823529411764705E-2</v>
      </c>
      <c r="I166" s="95">
        <f>IF(ISNUMBER(G166), $B172 * H166, "")</f>
        <v>8823.5294117647063</v>
      </c>
      <c r="J166" s="20">
        <v>107</v>
      </c>
      <c r="K166" s="21">
        <f t="shared" si="88"/>
        <v>4.9019607843137254E-2</v>
      </c>
      <c r="L166" s="22">
        <f>IF(ISNUMBER(J166), $B172 * K166, "")</f>
        <v>7352.9411764705883</v>
      </c>
      <c r="M166" s="30">
        <v>107</v>
      </c>
      <c r="N166" s="21">
        <f t="shared" si="89"/>
        <v>4.9019607843137254E-2</v>
      </c>
      <c r="O166" s="22">
        <f>IF(ISNUMBER(M166), $B172 * N166, "")</f>
        <v>7352.9411764705883</v>
      </c>
      <c r="Q166" s="156"/>
      <c r="R166" s="156"/>
      <c r="S166" s="156"/>
    </row>
    <row r="167" spans="1:19" ht="17.25" thickBot="1">
      <c r="A167" s="109" t="s">
        <v>205</v>
      </c>
      <c r="B167" s="113">
        <v>100</v>
      </c>
      <c r="C167" s="73">
        <v>-9.9009900999999997E-3</v>
      </c>
      <c r="D167" s="96">
        <v>106</v>
      </c>
      <c r="E167" s="97">
        <f>IF(ISNUMBER(D167), (D167 - $B167) / $B167, "")</f>
        <v>0.06</v>
      </c>
      <c r="F167" s="98">
        <f>IF(ISNUMBER(D167), $B172 * E167, "")</f>
        <v>9000</v>
      </c>
      <c r="G167" s="99">
        <v>104</v>
      </c>
      <c r="H167" s="97">
        <f>IF(ISNUMBER(G167), (G167 - $B167) / $B167, "")</f>
        <v>0.04</v>
      </c>
      <c r="I167" s="100">
        <f>IF(ISNUMBER(G167), $B172 * H167, "")</f>
        <v>6000</v>
      </c>
      <c r="J167" s="96">
        <v>106</v>
      </c>
      <c r="K167" s="97">
        <f>IF(ISNUMBER(J167), (J167 - $B167) / $B167, "")</f>
        <v>0.06</v>
      </c>
      <c r="L167" s="98">
        <f>IF(ISNUMBER(J167), $B172 * K167, "")</f>
        <v>9000</v>
      </c>
      <c r="M167" s="99">
        <v>107</v>
      </c>
      <c r="N167" s="97">
        <f>IF(ISNUMBER(M167), (M167 - $B167) / $B167, "")</f>
        <v>7.0000000000000007E-2</v>
      </c>
      <c r="O167" s="98">
        <f>IF(ISNUMBER(M167), $B172 * N167, "")</f>
        <v>10500.000000000002</v>
      </c>
      <c r="Q167" s="146"/>
      <c r="R167" s="146"/>
      <c r="S167" s="146"/>
    </row>
    <row r="168" spans="1:19" ht="17.25" thickBot="1">
      <c r="A168" s="109" t="s">
        <v>317</v>
      </c>
      <c r="B168" s="110">
        <v>628</v>
      </c>
      <c r="C168" s="70">
        <v>-1.1023622E-2</v>
      </c>
      <c r="D168" s="15">
        <v>647</v>
      </c>
      <c r="E168" s="32">
        <f t="shared" ref="E168:E171" si="90">IF(ISNUMBER(D168), (D168 - $B168) / $B168, "")</f>
        <v>3.0254777070063694E-2</v>
      </c>
      <c r="F168" s="18">
        <f>IF(ISNUMBER(D168), $B172 * E168, "")</f>
        <v>4538.2165605095543</v>
      </c>
      <c r="G168" s="31">
        <v>629</v>
      </c>
      <c r="H168" s="32">
        <f t="shared" ref="H168:H171" si="91">IF(ISNUMBER(G168), (G168 - $B168) / $B168, "")</f>
        <v>1.5923566878980893E-3</v>
      </c>
      <c r="I168" s="91">
        <f>IF(ISNUMBER(G168), $B172 * H168, "")</f>
        <v>238.85350318471339</v>
      </c>
      <c r="J168" s="15">
        <v>642</v>
      </c>
      <c r="K168" s="32">
        <f t="shared" ref="K168:K171" si="92">IF(ISNUMBER(J168), (J168 - $B168) / $B168, "")</f>
        <v>2.2292993630573247E-2</v>
      </c>
      <c r="L168" s="18">
        <f>IF(ISNUMBER(J168), $B172 * K168, "")</f>
        <v>3343.9490445859869</v>
      </c>
      <c r="M168" s="31">
        <v>636</v>
      </c>
      <c r="N168" s="32">
        <f t="shared" ref="N168:N171" si="93">IF(ISNUMBER(M168), (M168 - $B168) / $B168, "")</f>
        <v>1.2738853503184714E-2</v>
      </c>
      <c r="O168" s="18">
        <f>IF(ISNUMBER(M168), $B172 * N168, "")</f>
        <v>1910.8280254777071</v>
      </c>
      <c r="Q168" s="146"/>
      <c r="R168" s="146"/>
      <c r="S168" s="146"/>
    </row>
    <row r="169" spans="1:19" ht="17.25" thickBot="1">
      <c r="A169" s="109" t="s">
        <v>319</v>
      </c>
      <c r="B169" s="110">
        <v>431</v>
      </c>
      <c r="C169" s="70">
        <v>-1.14678899E-2</v>
      </c>
      <c r="D169" s="15">
        <v>481</v>
      </c>
      <c r="E169" s="32">
        <f t="shared" si="90"/>
        <v>0.11600928074245939</v>
      </c>
      <c r="F169" s="18">
        <f>IF(ISNUMBER(D169), $B172 * E169, "")</f>
        <v>17401.39211136891</v>
      </c>
      <c r="G169" s="31">
        <v>518</v>
      </c>
      <c r="H169" s="32">
        <f t="shared" si="91"/>
        <v>0.20185614849187936</v>
      </c>
      <c r="I169" s="91">
        <f>IF(ISNUMBER(G169), $B172 * H169, "")</f>
        <v>30278.422273781904</v>
      </c>
      <c r="J169" s="15">
        <v>643</v>
      </c>
      <c r="K169" s="32">
        <f t="shared" si="92"/>
        <v>0.49187935034802782</v>
      </c>
      <c r="L169" s="18">
        <f>IF(ISNUMBER(J169), $B172 * K169, "")</f>
        <v>73781.902552204177</v>
      </c>
      <c r="M169" s="31">
        <v>610</v>
      </c>
      <c r="N169" s="32">
        <f t="shared" si="93"/>
        <v>0.41531322505800466</v>
      </c>
      <c r="O169" s="18">
        <f>IF(ISNUMBER(M169), $B172 * N169, "")</f>
        <v>62296.983758700699</v>
      </c>
      <c r="Q169" s="146"/>
      <c r="R169" s="146"/>
      <c r="S169" s="146"/>
    </row>
    <row r="170" spans="1:19">
      <c r="A170" s="109" t="s">
        <v>85</v>
      </c>
      <c r="B170" s="110">
        <v>158</v>
      </c>
      <c r="C170" s="70">
        <v>-1.2500000000000001E-2</v>
      </c>
      <c r="D170" s="15">
        <v>169</v>
      </c>
      <c r="E170" s="32">
        <f t="shared" si="90"/>
        <v>6.9620253164556958E-2</v>
      </c>
      <c r="F170" s="18">
        <f>IF(ISNUMBER(D170), $B172 * E170, "")</f>
        <v>10443.037974683544</v>
      </c>
      <c r="G170" s="31">
        <v>166</v>
      </c>
      <c r="H170" s="32">
        <f t="shared" si="91"/>
        <v>5.0632911392405063E-2</v>
      </c>
      <c r="I170" s="91">
        <f>IF(ISNUMBER(G170), $B172 * H170, "")</f>
        <v>7594.9367088607596</v>
      </c>
      <c r="J170" s="15">
        <v>168</v>
      </c>
      <c r="K170" s="32">
        <f t="shared" si="92"/>
        <v>6.3291139240506333E-2</v>
      </c>
      <c r="L170" s="18">
        <f>IF(ISNUMBER(J170), $B172 * K170, "")</f>
        <v>9493.67088607595</v>
      </c>
      <c r="M170" s="31">
        <v>169</v>
      </c>
      <c r="N170" s="32">
        <f t="shared" si="93"/>
        <v>6.9620253164556958E-2</v>
      </c>
      <c r="O170" s="18">
        <f>IF(ISNUMBER(M170), $B172 * N170, "")</f>
        <v>10443.037974683544</v>
      </c>
      <c r="Q170" s="135"/>
      <c r="R170" s="136"/>
      <c r="S170" s="137"/>
    </row>
    <row r="171" spans="1:19" ht="17.25" thickBot="1">
      <c r="A171" s="114" t="s">
        <v>157</v>
      </c>
      <c r="B171" s="115">
        <v>214</v>
      </c>
      <c r="C171" s="72">
        <v>-1.3824884799999999E-2</v>
      </c>
      <c r="D171" s="24">
        <v>224</v>
      </c>
      <c r="E171" s="25">
        <f t="shared" si="90"/>
        <v>4.6728971962616821E-2</v>
      </c>
      <c r="F171" s="94">
        <f>IF(ISNUMBER(D171), $B172 * E171, "")</f>
        <v>7009.3457943925232</v>
      </c>
      <c r="G171" s="92">
        <v>220</v>
      </c>
      <c r="H171" s="25">
        <f t="shared" si="91"/>
        <v>2.8037383177570093E-2</v>
      </c>
      <c r="I171" s="93">
        <f>IF(ISNUMBER(G171), $B172 * H171, "")</f>
        <v>4205.6074766355141</v>
      </c>
      <c r="J171" s="24">
        <v>223</v>
      </c>
      <c r="K171" s="25">
        <f t="shared" si="92"/>
        <v>4.2056074766355138E-2</v>
      </c>
      <c r="L171" s="94">
        <f>IF(ISNUMBER(J171), $B172 * K171, "")</f>
        <v>6308.4112149532702</v>
      </c>
      <c r="M171" s="92">
        <v>222</v>
      </c>
      <c r="N171" s="25">
        <f t="shared" si="93"/>
        <v>3.7383177570093455E-2</v>
      </c>
      <c r="O171" s="94">
        <f>IF(ISNUMBER(M171), $B172 * N171, "")</f>
        <v>5607.4766355140182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6.9599276653421124E-2</v>
      </c>
      <c r="F172" s="28">
        <f>SUM(F152:F171)</f>
        <v>208797.82996026336</v>
      </c>
      <c r="G172" s="26" t="s">
        <v>258</v>
      </c>
      <c r="H172" s="27">
        <f>IF(COUNT(H152:H171), SUM(H152:H171) / COUNT(H152:H171), 0)</f>
        <v>5.7520471365987716E-2</v>
      </c>
      <c r="I172" s="28">
        <f>SUM(I152:I171)</f>
        <v>172561.41409796313</v>
      </c>
      <c r="J172" s="26" t="s">
        <v>258</v>
      </c>
      <c r="K172" s="27">
        <f>IF(COUNT(K152:K171), SUM(K152:K171) / COUNT(K152:K171), 0)</f>
        <v>9.1393727419475185E-2</v>
      </c>
      <c r="L172" s="28">
        <f>SUM(L152:L171)</f>
        <v>274181.18225842557</v>
      </c>
      <c r="M172" s="26" t="s">
        <v>258</v>
      </c>
      <c r="N172" s="27">
        <f>IF(COUNT(N152:N171), SUM(N152:N171) / COUNT(N152:N171), 0)</f>
        <v>8.6616582236338197E-2</v>
      </c>
      <c r="O172" s="28">
        <f>SUM(O152:O171)</f>
        <v>259849.74670901464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2023-01-14(토) 오전 00:00</v>
      </c>
      <c r="C177" s="198"/>
      <c r="D177" s="170" t="str">
        <f>TEXT($G$1, "[$-ko-KR]yyyy-mm-dd(ddd) ") &amp; "오후 14:00"</f>
        <v>2023-01-14(토) 오후 14:00</v>
      </c>
      <c r="E177" s="171"/>
      <c r="F177" s="172"/>
      <c r="G177" s="170" t="str">
        <f>TEXT($G$1, "[$-ko-KR]yyyy-mm-dd(ddd) ") &amp; "오후 19:00"</f>
        <v>2023-01-14(토) 오후 19:00</v>
      </c>
      <c r="H177" s="171"/>
      <c r="I177" s="172"/>
      <c r="J177" s="170" t="str">
        <f>TEXT($G$1, "[$-ko-KR]yyyy-mm-dd(ddd) ") &amp; "오후 21:00"</f>
        <v>2023-01-14(토) 오후 21:00</v>
      </c>
      <c r="K177" s="171"/>
      <c r="L177" s="172"/>
      <c r="M177" s="170" t="str">
        <f>TEXT($G$1+1, "[$-ko-KR]yyyy-mm-dd(ddd) ") &amp; "오전 00:00"</f>
        <v>2023-01-15(일)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225</v>
      </c>
      <c r="B179" s="108">
        <v>57</v>
      </c>
      <c r="C179" s="69">
        <v>-6.9686410999999998E-3</v>
      </c>
      <c r="D179" s="13">
        <v>59.2</v>
      </c>
      <c r="E179" s="14">
        <f>IF(ISNUMBER(D179), (D179 - $B179) / $B179, "")</f>
        <v>3.8596491228070226E-2</v>
      </c>
      <c r="F179" s="16">
        <f>IF(ISNUMBER(D179), $B199 * E179, "")</f>
        <v>5789.473684210534</v>
      </c>
      <c r="G179" s="29">
        <v>57.5</v>
      </c>
      <c r="H179" s="14">
        <f>IF(ISNUMBER(G179), (G179 - $B179) / $B179, "")</f>
        <v>8.771929824561403E-3</v>
      </c>
      <c r="I179" s="90">
        <f>IF(ISNUMBER(G179), $B199 * H179, "")</f>
        <v>1315.7894736842104</v>
      </c>
      <c r="J179" s="13">
        <v>58.7</v>
      </c>
      <c r="K179" s="14">
        <f>IF(ISNUMBER(J179), (J179 - $B179) / $B179, "")</f>
        <v>2.9824561403508823E-2</v>
      </c>
      <c r="L179" s="16">
        <f>IF(ISNUMBER(J179), $B199 * K179, "")</f>
        <v>4473.6842105263231</v>
      </c>
      <c r="M179" s="29">
        <v>58.8</v>
      </c>
      <c r="N179" s="14">
        <f>IF(ISNUMBER(M179), (M179 - $B179) / $B179, "")</f>
        <v>3.1578947368421005E-2</v>
      </c>
      <c r="O179" s="16">
        <f>IF(ISNUMBER(M179), $B199 * N179, "")</f>
        <v>4736.8421052631511</v>
      </c>
      <c r="Q179" s="156"/>
      <c r="R179" s="156"/>
      <c r="S179" s="156"/>
    </row>
    <row r="180" spans="1:19" ht="17.25" thickBot="1">
      <c r="A180" s="109" t="s">
        <v>326</v>
      </c>
      <c r="B180" s="110">
        <v>264</v>
      </c>
      <c r="C180" s="70">
        <v>-7.5187969999999998E-3</v>
      </c>
      <c r="D180" s="15">
        <v>281</v>
      </c>
      <c r="E180" s="32">
        <f t="shared" ref="E180:E183" si="94">IF(ISNUMBER(D180), (D180 - $B180) / $B180, "")</f>
        <v>6.4393939393939392E-2</v>
      </c>
      <c r="F180" s="18">
        <f>IF(ISNUMBER(D180), $B199 * E180, "")</f>
        <v>9659.0909090909081</v>
      </c>
      <c r="G180" s="31">
        <v>278</v>
      </c>
      <c r="H180" s="32">
        <f t="shared" ref="H180:H183" si="95">IF(ISNUMBER(G180), (G180 - $B180) / $B180, "")</f>
        <v>5.3030303030303032E-2</v>
      </c>
      <c r="I180" s="91">
        <f>IF(ISNUMBER(G180), $B199 * H180, "")</f>
        <v>7954.545454545455</v>
      </c>
      <c r="J180" s="15">
        <v>280</v>
      </c>
      <c r="K180" s="32">
        <f t="shared" ref="K180:K183" si="96">IF(ISNUMBER(J180), (J180 - $B180) / $B180, "")</f>
        <v>6.0606060606060608E-2</v>
      </c>
      <c r="L180" s="18">
        <f>IF(ISNUMBER(J180), $B199 * K180, "")</f>
        <v>9090.9090909090919</v>
      </c>
      <c r="M180" s="31">
        <v>282</v>
      </c>
      <c r="N180" s="32">
        <f t="shared" ref="N180:N183" si="97">IF(ISNUMBER(M180), (M180 - $B180) / $B180, "")</f>
        <v>6.8181818181818177E-2</v>
      </c>
      <c r="O180" s="18">
        <f>IF(ISNUMBER(M180), $B199 * N180, "")</f>
        <v>10227.272727272726</v>
      </c>
      <c r="Q180" s="156"/>
      <c r="R180" s="156"/>
      <c r="S180" s="156"/>
    </row>
    <row r="181" spans="1:19" ht="17.25" thickBot="1">
      <c r="A181" s="109" t="s">
        <v>219</v>
      </c>
      <c r="B181" s="110">
        <v>385</v>
      </c>
      <c r="C181" s="70">
        <v>-7.7319588E-3</v>
      </c>
      <c r="D181" s="15">
        <v>409</v>
      </c>
      <c r="E181" s="32">
        <f t="shared" si="94"/>
        <v>6.2337662337662338E-2</v>
      </c>
      <c r="F181" s="18">
        <f>IF(ISNUMBER(D181), $B199 * E181, "")</f>
        <v>9350.6493506493498</v>
      </c>
      <c r="G181" s="31">
        <v>399</v>
      </c>
      <c r="H181" s="32">
        <f t="shared" si="95"/>
        <v>3.6363636363636362E-2</v>
      </c>
      <c r="I181" s="91">
        <f>IF(ISNUMBER(G181), $B199 * H181, "")</f>
        <v>5454.545454545454</v>
      </c>
      <c r="J181" s="15">
        <v>411</v>
      </c>
      <c r="K181" s="32">
        <f t="shared" si="96"/>
        <v>6.7532467532467527E-2</v>
      </c>
      <c r="L181" s="18">
        <f>IF(ISNUMBER(J181), $B199 * K181, "")</f>
        <v>10129.870129870129</v>
      </c>
      <c r="M181" s="31">
        <v>408</v>
      </c>
      <c r="N181" s="32">
        <f t="shared" si="97"/>
        <v>5.9740259740259739E-2</v>
      </c>
      <c r="O181" s="18">
        <f>IF(ISNUMBER(M181), $B199 * N181, "")</f>
        <v>8961.0389610389611</v>
      </c>
      <c r="Q181" s="146"/>
      <c r="R181" s="146"/>
      <c r="S181" s="146"/>
    </row>
    <row r="182" spans="1:19" ht="17.25" thickBot="1">
      <c r="A182" s="109" t="s">
        <v>183</v>
      </c>
      <c r="B182" s="110">
        <v>128</v>
      </c>
      <c r="C182" s="70">
        <v>-7.7519379999999999E-3</v>
      </c>
      <c r="D182" s="15">
        <v>135</v>
      </c>
      <c r="E182" s="32">
        <f t="shared" si="94"/>
        <v>5.46875E-2</v>
      </c>
      <c r="F182" s="18">
        <f>IF(ISNUMBER(D182), $B199 * E182, "")</f>
        <v>8203.125</v>
      </c>
      <c r="G182" s="31">
        <v>133</v>
      </c>
      <c r="H182" s="32">
        <f t="shared" si="95"/>
        <v>3.90625E-2</v>
      </c>
      <c r="I182" s="91">
        <f>IF(ISNUMBER(G182), $B199 * H182, "")</f>
        <v>5859.375</v>
      </c>
      <c r="J182" s="15">
        <v>134</v>
      </c>
      <c r="K182" s="32">
        <f t="shared" si="96"/>
        <v>4.6875E-2</v>
      </c>
      <c r="L182" s="18">
        <f>IF(ISNUMBER(J182), $B199 * K182, "")</f>
        <v>7031.25</v>
      </c>
      <c r="M182" s="31">
        <v>134</v>
      </c>
      <c r="N182" s="32">
        <f t="shared" si="97"/>
        <v>4.6875E-2</v>
      </c>
      <c r="O182" s="18">
        <f>IF(ISNUMBER(M182), $B199 * N182, "")</f>
        <v>7031.25</v>
      </c>
      <c r="Q182" s="146"/>
      <c r="R182" s="146"/>
      <c r="S182" s="146"/>
    </row>
    <row r="183" spans="1:19" ht="17.25" thickBot="1">
      <c r="A183" s="111" t="s">
        <v>83</v>
      </c>
      <c r="B183" s="112">
        <v>1230</v>
      </c>
      <c r="C183" s="71">
        <v>-8.0645161000000003E-3</v>
      </c>
      <c r="D183" s="20">
        <v>1315</v>
      </c>
      <c r="E183" s="21">
        <f t="shared" si="94"/>
        <v>6.910569105691057E-2</v>
      </c>
      <c r="F183" s="22">
        <f>IF(ISNUMBER(D183), $B199 * E183, "")</f>
        <v>10365.853658536585</v>
      </c>
      <c r="G183" s="30">
        <v>1285</v>
      </c>
      <c r="H183" s="21">
        <f t="shared" si="95"/>
        <v>4.4715447154471545E-2</v>
      </c>
      <c r="I183" s="95">
        <f>IF(ISNUMBER(G183), $B199 * H183, "")</f>
        <v>6707.3170731707314</v>
      </c>
      <c r="J183" s="20">
        <v>1295</v>
      </c>
      <c r="K183" s="21">
        <f t="shared" si="96"/>
        <v>5.2845528455284556E-2</v>
      </c>
      <c r="L183" s="22">
        <f>IF(ISNUMBER(J183), $B199 * K183, "")</f>
        <v>7926.8292682926831</v>
      </c>
      <c r="M183" s="30">
        <v>1295</v>
      </c>
      <c r="N183" s="21">
        <f t="shared" si="97"/>
        <v>5.2845528455284556E-2</v>
      </c>
      <c r="O183" s="22">
        <f>IF(ISNUMBER(M183), $B199 * N183, "")</f>
        <v>7926.8292682926831</v>
      </c>
      <c r="Q183" s="146"/>
      <c r="R183" s="146"/>
      <c r="S183" s="146"/>
    </row>
    <row r="184" spans="1:19" ht="17.25" thickBot="1">
      <c r="A184" s="109" t="s">
        <v>75</v>
      </c>
      <c r="B184" s="113">
        <v>7935</v>
      </c>
      <c r="C184" s="73">
        <v>-8.1250000000000003E-3</v>
      </c>
      <c r="D184" s="96">
        <v>8490</v>
      </c>
      <c r="E184" s="97">
        <f>IF(ISNUMBER(D184), (D184 - $B184) / $B184, "")</f>
        <v>6.9943289224952743E-2</v>
      </c>
      <c r="F184" s="98">
        <f>IF(ISNUMBER(D184), $B199 * E184, "")</f>
        <v>10491.493383742911</v>
      </c>
      <c r="G184" s="99">
        <v>8300</v>
      </c>
      <c r="H184" s="97">
        <f>IF(ISNUMBER(G184), (G184 - $B184) / $B184, "")</f>
        <v>4.5998739760554505E-2</v>
      </c>
      <c r="I184" s="100">
        <f>IF(ISNUMBER(G184), $B199 * H184, "")</f>
        <v>6899.8109640831753</v>
      </c>
      <c r="J184" s="96">
        <v>8350</v>
      </c>
      <c r="K184" s="97">
        <f>IF(ISNUMBER(J184), (J184 - $B184) / $B184, "")</f>
        <v>5.2299936988027727E-2</v>
      </c>
      <c r="L184" s="98">
        <f>IF(ISNUMBER(J184), $B199 * K184, "")</f>
        <v>7844.9905482041595</v>
      </c>
      <c r="M184" s="99">
        <v>8375</v>
      </c>
      <c r="N184" s="97">
        <f>IF(ISNUMBER(M184), (M184 - $B184) / $B184, "")</f>
        <v>5.5450535601764335E-2</v>
      </c>
      <c r="O184" s="98">
        <f>IF(ISNUMBER(M184), $B199 * N184, "")</f>
        <v>8317.5803402646507</v>
      </c>
      <c r="Q184" s="146"/>
      <c r="R184" s="146"/>
      <c r="S184" s="146"/>
    </row>
    <row r="185" spans="1:19" ht="17.25" thickBot="1">
      <c r="A185" s="109" t="s">
        <v>130</v>
      </c>
      <c r="B185" s="110">
        <v>727</v>
      </c>
      <c r="C185" s="70">
        <v>-8.1855389000000008E-3</v>
      </c>
      <c r="D185" s="15">
        <v>802</v>
      </c>
      <c r="E185" s="32">
        <f t="shared" ref="E185:E188" si="98">IF(ISNUMBER(D185), (D185 - $B185) / $B185, "")</f>
        <v>0.1031636863823934</v>
      </c>
      <c r="F185" s="18">
        <f>IF(ISNUMBER(D185), $B199 * E185, "")</f>
        <v>15474.55295735901</v>
      </c>
      <c r="G185" s="31">
        <v>859</v>
      </c>
      <c r="H185" s="32">
        <f t="shared" ref="H185:H188" si="99">IF(ISNUMBER(G185), (G185 - $B185) / $B185, "")</f>
        <v>0.18156808803301239</v>
      </c>
      <c r="I185" s="91">
        <f>IF(ISNUMBER(G185), $B199 * H185, "")</f>
        <v>27235.213204951859</v>
      </c>
      <c r="J185" s="15">
        <v>935</v>
      </c>
      <c r="K185" s="32">
        <f t="shared" ref="K185:K188" si="100">IF(ISNUMBER(J185), (J185 - $B185) / $B185, "")</f>
        <v>0.28610729023383769</v>
      </c>
      <c r="L185" s="18">
        <f>IF(ISNUMBER(J185), $B199 * K185, "")</f>
        <v>42916.093535075655</v>
      </c>
      <c r="M185" s="31">
        <v>898</v>
      </c>
      <c r="N185" s="32">
        <f t="shared" ref="N185:N188" si="101">IF(ISNUMBER(M185), (M185 - $B185) / $B185, "")</f>
        <v>0.23521320495185694</v>
      </c>
      <c r="O185" s="18">
        <f>IF(ISNUMBER(M185), $B199 * N185, "")</f>
        <v>35281.980742778542</v>
      </c>
      <c r="Q185" s="146"/>
      <c r="R185" s="146"/>
      <c r="S185" s="146"/>
    </row>
    <row r="186" spans="1:19" ht="17.25" thickBot="1">
      <c r="A186" s="109" t="s">
        <v>113</v>
      </c>
      <c r="B186" s="110">
        <v>1210</v>
      </c>
      <c r="C186" s="70">
        <v>-8.1967212999999994E-3</v>
      </c>
      <c r="D186" s="15">
        <v>1285</v>
      </c>
      <c r="E186" s="32">
        <f t="shared" si="98"/>
        <v>6.1983471074380167E-2</v>
      </c>
      <c r="F186" s="18">
        <f>IF(ISNUMBER(D186), $B199 * E186, "")</f>
        <v>9297.5206611570247</v>
      </c>
      <c r="G186" s="31">
        <v>1290</v>
      </c>
      <c r="H186" s="32">
        <f t="shared" si="99"/>
        <v>6.6115702479338845E-2</v>
      </c>
      <c r="I186" s="91">
        <f>IF(ISNUMBER(G186), $B199 * H186, "")</f>
        <v>9917.3553719008269</v>
      </c>
      <c r="J186" s="15">
        <v>1335</v>
      </c>
      <c r="K186" s="32">
        <f t="shared" si="100"/>
        <v>0.10330578512396695</v>
      </c>
      <c r="L186" s="18">
        <f>IF(ISNUMBER(J186), $B199 * K186, "")</f>
        <v>15495.867768595042</v>
      </c>
      <c r="M186" s="31">
        <v>1300</v>
      </c>
      <c r="N186" s="32">
        <f t="shared" si="101"/>
        <v>7.43801652892562E-2</v>
      </c>
      <c r="O186" s="18">
        <f>IF(ISNUMBER(M186), $B199 * N186, "")</f>
        <v>11157.024793388429</v>
      </c>
      <c r="Q186" s="146"/>
      <c r="R186" s="146"/>
      <c r="S186" s="146"/>
    </row>
    <row r="187" spans="1:19" ht="17.25" thickBot="1">
      <c r="A187" s="109" t="s">
        <v>51</v>
      </c>
      <c r="B187" s="110">
        <v>102</v>
      </c>
      <c r="C187" s="70">
        <v>-9.7087379000000001E-3</v>
      </c>
      <c r="D187" s="15">
        <v>109</v>
      </c>
      <c r="E187" s="32">
        <f t="shared" si="98"/>
        <v>6.8627450980392163E-2</v>
      </c>
      <c r="F187" s="18">
        <f>IF(ISNUMBER(D187), $B199 * E187, "")</f>
        <v>10294.117647058825</v>
      </c>
      <c r="G187" s="31">
        <v>108</v>
      </c>
      <c r="H187" s="32">
        <f t="shared" si="99"/>
        <v>5.8823529411764705E-2</v>
      </c>
      <c r="I187" s="91">
        <f>IF(ISNUMBER(G187), $B199 * H187, "")</f>
        <v>8823.5294117647063</v>
      </c>
      <c r="J187" s="15">
        <v>107</v>
      </c>
      <c r="K187" s="32">
        <f t="shared" si="100"/>
        <v>4.9019607843137254E-2</v>
      </c>
      <c r="L187" s="18">
        <f>IF(ISNUMBER(J187), $B199 * K187, "")</f>
        <v>7352.9411764705883</v>
      </c>
      <c r="M187" s="31">
        <v>107</v>
      </c>
      <c r="N187" s="32">
        <f t="shared" si="101"/>
        <v>4.9019607843137254E-2</v>
      </c>
      <c r="O187" s="18">
        <f>IF(ISNUMBER(M187), $B199 * N187, "")</f>
        <v>7352.9411764705883</v>
      </c>
      <c r="Q187" s="33"/>
      <c r="R187" s="33"/>
    </row>
    <row r="188" spans="1:19" ht="17.25" thickBot="1">
      <c r="A188" s="114" t="s">
        <v>205</v>
      </c>
      <c r="B188" s="115">
        <v>100</v>
      </c>
      <c r="C188" s="72">
        <v>-9.9009900999999997E-3</v>
      </c>
      <c r="D188" s="24">
        <v>106</v>
      </c>
      <c r="E188" s="25">
        <f t="shared" si="98"/>
        <v>0.06</v>
      </c>
      <c r="F188" s="94">
        <f>IF(ISNUMBER(D188), $B199 * E188, "")</f>
        <v>9000</v>
      </c>
      <c r="G188" s="92">
        <v>104</v>
      </c>
      <c r="H188" s="25">
        <f t="shared" si="99"/>
        <v>0.04</v>
      </c>
      <c r="I188" s="93">
        <f>IF(ISNUMBER(G188), $B199 * H188, "")</f>
        <v>6000</v>
      </c>
      <c r="J188" s="24">
        <v>106</v>
      </c>
      <c r="K188" s="25">
        <f t="shared" si="100"/>
        <v>0.06</v>
      </c>
      <c r="L188" s="94">
        <f>IF(ISNUMBER(J188), $B199 * K188, "")</f>
        <v>9000</v>
      </c>
      <c r="M188" s="92">
        <v>107</v>
      </c>
      <c r="N188" s="25">
        <f t="shared" si="101"/>
        <v>7.0000000000000007E-2</v>
      </c>
      <c r="O188" s="94">
        <f>IF(ISNUMBER(M188), $B199 * N188, "")</f>
        <v>10500.000000000002</v>
      </c>
      <c r="Q188" s="147"/>
      <c r="R188" s="148"/>
      <c r="S188" s="149"/>
    </row>
    <row r="189" spans="1:19">
      <c r="A189" s="107" t="s">
        <v>165</v>
      </c>
      <c r="B189" s="108">
        <v>1000</v>
      </c>
      <c r="C189" s="69">
        <v>-9.9009900999999997E-3</v>
      </c>
      <c r="D189" s="13">
        <v>1070</v>
      </c>
      <c r="E189" s="14">
        <f>IF(ISNUMBER(D189), (D189 - $B189) / $B189, "")</f>
        <v>7.0000000000000007E-2</v>
      </c>
      <c r="F189" s="16">
        <f>IF(ISNUMBER(D189), $B199 * E189, "")</f>
        <v>10500.000000000002</v>
      </c>
      <c r="G189" s="29">
        <v>1045</v>
      </c>
      <c r="H189" s="14">
        <f>IF(ISNUMBER(G189), (G189 - $B189) / $B189, "")</f>
        <v>4.4999999999999998E-2</v>
      </c>
      <c r="I189" s="90">
        <f>IF(ISNUMBER(G189), $B199 * H189, "")</f>
        <v>6750</v>
      </c>
      <c r="J189" s="13">
        <v>1075</v>
      </c>
      <c r="K189" s="14">
        <f>IF(ISNUMBER(J189), (J189 - $B189) / $B189, "")</f>
        <v>7.4999999999999997E-2</v>
      </c>
      <c r="L189" s="16">
        <f>IF(ISNUMBER(J189), $B199 * K189, "")</f>
        <v>11250</v>
      </c>
      <c r="M189" s="29">
        <v>1060</v>
      </c>
      <c r="N189" s="14">
        <f>IF(ISNUMBER(M189), (M189 - $B189) / $B189, "")</f>
        <v>0.06</v>
      </c>
      <c r="O189" s="16">
        <f>IF(ISNUMBER(M189), $B199 * N189, "")</f>
        <v>9000</v>
      </c>
      <c r="Q189" s="150"/>
      <c r="R189" s="151"/>
      <c r="S189" s="152"/>
    </row>
    <row r="190" spans="1:19" ht="17.25" thickBot="1">
      <c r="A190" s="109" t="s">
        <v>335</v>
      </c>
      <c r="B190" s="110">
        <v>2270</v>
      </c>
      <c r="C190" s="70">
        <v>-1.08932462E-2</v>
      </c>
      <c r="D190" s="15">
        <v>2640</v>
      </c>
      <c r="E190" s="32">
        <f t="shared" ref="E190:E193" si="102">IF(ISNUMBER(D190), (D190 - $B190) / $B190, "")</f>
        <v>0.16299559471365638</v>
      </c>
      <c r="F190" s="18">
        <f>IF(ISNUMBER(D190), $B199 * E190, "")</f>
        <v>24449.339207048455</v>
      </c>
      <c r="G190" s="31">
        <v>2610</v>
      </c>
      <c r="H190" s="32">
        <f t="shared" ref="H190:H193" si="103">IF(ISNUMBER(G190), (G190 - $B190) / $B190, "")</f>
        <v>0.14977973568281938</v>
      </c>
      <c r="I190" s="91">
        <f>IF(ISNUMBER(G190), $B199 * H190, "")</f>
        <v>22466.960352422906</v>
      </c>
      <c r="J190" s="15">
        <v>2675</v>
      </c>
      <c r="K190" s="32">
        <f t="shared" ref="K190:K193" si="104">IF(ISNUMBER(J190), (J190 - $B190) / $B190, "")</f>
        <v>0.17841409691629956</v>
      </c>
      <c r="L190" s="18">
        <f>IF(ISNUMBER(J190), $B199 * K190, "")</f>
        <v>26762.114537444933</v>
      </c>
      <c r="M190" s="31">
        <v>2785</v>
      </c>
      <c r="N190" s="32">
        <f t="shared" ref="N190:N193" si="105">IF(ISNUMBER(M190), (M190 - $B190) / $B190, "")</f>
        <v>0.22687224669603523</v>
      </c>
      <c r="O190" s="18">
        <f>IF(ISNUMBER(M190), $B199 * N190, "")</f>
        <v>34030.837004405286</v>
      </c>
      <c r="Q190" s="153"/>
      <c r="R190" s="154"/>
      <c r="S190" s="155"/>
    </row>
    <row r="191" spans="1:19" ht="17.25" thickBot="1">
      <c r="A191" s="109" t="s">
        <v>317</v>
      </c>
      <c r="B191" s="110">
        <v>628</v>
      </c>
      <c r="C191" s="70">
        <v>-1.1023622E-2</v>
      </c>
      <c r="D191" s="15">
        <v>647</v>
      </c>
      <c r="E191" s="32">
        <f t="shared" si="102"/>
        <v>3.0254777070063694E-2</v>
      </c>
      <c r="F191" s="18">
        <f>IF(ISNUMBER(D191), $B199 * E191, "")</f>
        <v>4538.2165605095543</v>
      </c>
      <c r="G191" s="31">
        <v>629</v>
      </c>
      <c r="H191" s="32">
        <f t="shared" si="103"/>
        <v>1.5923566878980893E-3</v>
      </c>
      <c r="I191" s="91">
        <f>IF(ISNUMBER(G191), $B199 * H191, "")</f>
        <v>238.85350318471339</v>
      </c>
      <c r="J191" s="15">
        <v>642</v>
      </c>
      <c r="K191" s="32">
        <f t="shared" si="104"/>
        <v>2.2292993630573247E-2</v>
      </c>
      <c r="L191" s="18">
        <f>IF(ISNUMBER(J191), $B199 * K191, "")</f>
        <v>3343.9490445859869</v>
      </c>
      <c r="M191" s="31">
        <v>636</v>
      </c>
      <c r="N191" s="32">
        <f t="shared" si="105"/>
        <v>1.2738853503184714E-2</v>
      </c>
      <c r="O191" s="18">
        <f>IF(ISNUMBER(M191), $B199 * N191, "")</f>
        <v>1910.8280254777071</v>
      </c>
      <c r="Q191" s="146"/>
      <c r="R191" s="146"/>
      <c r="S191" s="146"/>
    </row>
    <row r="192" spans="1:19" ht="17.25" thickBot="1">
      <c r="A192" s="109" t="s">
        <v>319</v>
      </c>
      <c r="B192" s="110">
        <v>431</v>
      </c>
      <c r="C192" s="70">
        <v>-1.14678899E-2</v>
      </c>
      <c r="D192" s="15">
        <v>481</v>
      </c>
      <c r="E192" s="32">
        <f t="shared" si="102"/>
        <v>0.11600928074245939</v>
      </c>
      <c r="F192" s="18">
        <f>IF(ISNUMBER(D192), $B199 * E192, "")</f>
        <v>17401.39211136891</v>
      </c>
      <c r="G192" s="31">
        <v>518</v>
      </c>
      <c r="H192" s="32">
        <f t="shared" si="103"/>
        <v>0.20185614849187936</v>
      </c>
      <c r="I192" s="91">
        <f>IF(ISNUMBER(G192), $B199 * H192, "")</f>
        <v>30278.422273781904</v>
      </c>
      <c r="J192" s="15">
        <v>643</v>
      </c>
      <c r="K192" s="32">
        <f t="shared" si="104"/>
        <v>0.49187935034802782</v>
      </c>
      <c r="L192" s="18">
        <f>IF(ISNUMBER(J192), $B199 * K192, "")</f>
        <v>73781.902552204177</v>
      </c>
      <c r="M192" s="31">
        <v>610</v>
      </c>
      <c r="N192" s="32">
        <f t="shared" si="105"/>
        <v>0.41531322505800466</v>
      </c>
      <c r="O192" s="18">
        <f>IF(ISNUMBER(M192), $B199 * N192, "")</f>
        <v>62296.983758700699</v>
      </c>
      <c r="Q192" s="156"/>
      <c r="R192" s="156"/>
      <c r="S192" s="156"/>
    </row>
    <row r="193" spans="1:19" ht="17.25" thickBot="1">
      <c r="A193" s="111" t="s">
        <v>85</v>
      </c>
      <c r="B193" s="112">
        <v>158</v>
      </c>
      <c r="C193" s="71">
        <v>-1.2500000000000001E-2</v>
      </c>
      <c r="D193" s="20">
        <v>169</v>
      </c>
      <c r="E193" s="21">
        <f t="shared" si="102"/>
        <v>6.9620253164556958E-2</v>
      </c>
      <c r="F193" s="22">
        <f>IF(ISNUMBER(D193), $B199 * E193, "")</f>
        <v>10443.037974683544</v>
      </c>
      <c r="G193" s="30">
        <v>166</v>
      </c>
      <c r="H193" s="21">
        <f t="shared" si="103"/>
        <v>5.0632911392405063E-2</v>
      </c>
      <c r="I193" s="95">
        <f>IF(ISNUMBER(G193), $B199 * H193, "")</f>
        <v>7594.9367088607596</v>
      </c>
      <c r="J193" s="20">
        <v>168</v>
      </c>
      <c r="K193" s="21">
        <f t="shared" si="104"/>
        <v>6.3291139240506333E-2</v>
      </c>
      <c r="L193" s="22">
        <f>IF(ISNUMBER(J193), $B199 * K193, "")</f>
        <v>9493.67088607595</v>
      </c>
      <c r="M193" s="30">
        <v>169</v>
      </c>
      <c r="N193" s="21">
        <f t="shared" si="105"/>
        <v>6.9620253164556958E-2</v>
      </c>
      <c r="O193" s="22">
        <f>IF(ISNUMBER(M193), $B199 * N193, "")</f>
        <v>10443.037974683544</v>
      </c>
      <c r="Q193" s="156"/>
      <c r="R193" s="156"/>
      <c r="S193" s="156"/>
    </row>
    <row r="194" spans="1:19" ht="17.25" thickBot="1">
      <c r="A194" s="109" t="s">
        <v>339</v>
      </c>
      <c r="B194" s="113">
        <v>1135</v>
      </c>
      <c r="C194" s="73">
        <v>-1.30434783E-2</v>
      </c>
      <c r="D194" s="96">
        <v>1210</v>
      </c>
      <c r="E194" s="97">
        <f>IF(ISNUMBER(D194), (D194 - $B194) / $B194, "")</f>
        <v>6.6079295154185022E-2</v>
      </c>
      <c r="F194" s="98">
        <f>IF(ISNUMBER(D194), $B199 * E194, "")</f>
        <v>9911.894273127753</v>
      </c>
      <c r="G194" s="99">
        <v>1220</v>
      </c>
      <c r="H194" s="97">
        <f>IF(ISNUMBER(G194), (G194 - $B194) / $B194, "")</f>
        <v>7.4889867841409691E-2</v>
      </c>
      <c r="I194" s="100">
        <f>IF(ISNUMBER(G194), $B199 * H194, "")</f>
        <v>11233.480176211453</v>
      </c>
      <c r="J194" s="96">
        <v>1230</v>
      </c>
      <c r="K194" s="97">
        <f>IF(ISNUMBER(J194), (J194 - $B194) / $B194, "")</f>
        <v>8.3700440528634359E-2</v>
      </c>
      <c r="L194" s="98">
        <f>IF(ISNUMBER(J194), $B199 * K194, "")</f>
        <v>12555.066079295153</v>
      </c>
      <c r="M194" s="99">
        <v>1220</v>
      </c>
      <c r="N194" s="97">
        <f>IF(ISNUMBER(M194), (M194 - $B194) / $B194, "")</f>
        <v>7.4889867841409691E-2</v>
      </c>
      <c r="O194" s="98">
        <f>IF(ISNUMBER(M194), $B199 * N194, "")</f>
        <v>11233.480176211453</v>
      </c>
      <c r="Q194" s="146"/>
      <c r="R194" s="146"/>
      <c r="S194" s="146"/>
    </row>
    <row r="195" spans="1:19" ht="17.25" thickBot="1">
      <c r="A195" s="109" t="s">
        <v>157</v>
      </c>
      <c r="B195" s="110">
        <v>214</v>
      </c>
      <c r="C195" s="70">
        <v>-1.3824884799999999E-2</v>
      </c>
      <c r="D195" s="15">
        <v>224</v>
      </c>
      <c r="E195" s="32">
        <f t="shared" ref="E195:E198" si="106">IF(ISNUMBER(D195), (D195 - $B195) / $B195, "")</f>
        <v>4.6728971962616821E-2</v>
      </c>
      <c r="F195" s="18">
        <f>IF(ISNUMBER(D195), $B199 * E195, "")</f>
        <v>7009.3457943925232</v>
      </c>
      <c r="G195" s="31">
        <v>220</v>
      </c>
      <c r="H195" s="32">
        <f t="shared" ref="H195:H198" si="107">IF(ISNUMBER(G195), (G195 - $B195) / $B195, "")</f>
        <v>2.8037383177570093E-2</v>
      </c>
      <c r="I195" s="91">
        <f>IF(ISNUMBER(G195), $B199 * H195, "")</f>
        <v>4205.6074766355141</v>
      </c>
      <c r="J195" s="15">
        <v>223</v>
      </c>
      <c r="K195" s="32">
        <f t="shared" ref="K195:K198" si="108">IF(ISNUMBER(J195), (J195 - $B195) / $B195, "")</f>
        <v>4.2056074766355138E-2</v>
      </c>
      <c r="L195" s="18">
        <f>IF(ISNUMBER(J195), $B199 * K195, "")</f>
        <v>6308.4112149532702</v>
      </c>
      <c r="M195" s="31">
        <v>222</v>
      </c>
      <c r="N195" s="32">
        <f t="shared" ref="N195:N198" si="109">IF(ISNUMBER(M195), (M195 - $B195) / $B195, "")</f>
        <v>3.7383177570093455E-2</v>
      </c>
      <c r="O195" s="18">
        <f>IF(ISNUMBER(M195), $B199 * N195, "")</f>
        <v>5607.4766355140182</v>
      </c>
      <c r="Q195" s="146"/>
      <c r="R195" s="146"/>
      <c r="S195" s="146"/>
    </row>
    <row r="196" spans="1:19" ht="17.25" thickBot="1">
      <c r="A196" s="109" t="s">
        <v>132</v>
      </c>
      <c r="B196" s="110">
        <v>49.1</v>
      </c>
      <c r="C196" s="70">
        <v>-1.4056224900000001E-2</v>
      </c>
      <c r="D196" s="15">
        <v>52.1</v>
      </c>
      <c r="E196" s="32">
        <f t="shared" si="106"/>
        <v>6.1099796334012219E-2</v>
      </c>
      <c r="F196" s="18">
        <f>IF(ISNUMBER(D196), $B199 * E196, "")</f>
        <v>9164.969450101833</v>
      </c>
      <c r="G196" s="31">
        <v>51.3</v>
      </c>
      <c r="H196" s="32">
        <f t="shared" si="107"/>
        <v>4.4806517311608875E-2</v>
      </c>
      <c r="I196" s="91">
        <f>IF(ISNUMBER(G196), $B199 * H196, "")</f>
        <v>6720.9775967413316</v>
      </c>
      <c r="J196" s="15">
        <v>51.9</v>
      </c>
      <c r="K196" s="32">
        <f t="shared" si="108"/>
        <v>5.7026476578411346E-2</v>
      </c>
      <c r="L196" s="18">
        <f>IF(ISNUMBER(J196), $B199 * K196, "")</f>
        <v>8553.9714867617022</v>
      </c>
      <c r="M196" s="31">
        <v>52.2</v>
      </c>
      <c r="N196" s="32">
        <f t="shared" si="109"/>
        <v>6.3136456211812658E-2</v>
      </c>
      <c r="O196" s="18">
        <f>IF(ISNUMBER(M196), $B199 * N196, "")</f>
        <v>9470.4684317718984</v>
      </c>
      <c r="Q196" s="146"/>
      <c r="R196" s="146"/>
      <c r="S196" s="146"/>
    </row>
    <row r="197" spans="1:19">
      <c r="A197" s="109" t="s">
        <v>73</v>
      </c>
      <c r="B197" s="110">
        <v>15130</v>
      </c>
      <c r="C197" s="70">
        <v>-1.43322476E-2</v>
      </c>
      <c r="D197" s="15">
        <v>15830</v>
      </c>
      <c r="E197" s="32">
        <f t="shared" si="106"/>
        <v>4.6265697290152015E-2</v>
      </c>
      <c r="F197" s="18">
        <f>IF(ISNUMBER(D197), $B199 * E197, "")</f>
        <v>6939.8545935228021</v>
      </c>
      <c r="G197" s="31">
        <v>15470</v>
      </c>
      <c r="H197" s="32">
        <f t="shared" si="107"/>
        <v>2.247191011235955E-2</v>
      </c>
      <c r="I197" s="91">
        <f>IF(ISNUMBER(G197), $B199 * H197, "")</f>
        <v>3370.7865168539324</v>
      </c>
      <c r="J197" s="15">
        <v>15530</v>
      </c>
      <c r="K197" s="32">
        <f t="shared" si="108"/>
        <v>2.6437541308658295E-2</v>
      </c>
      <c r="L197" s="18">
        <f>IF(ISNUMBER(J197), $B199 * K197, "")</f>
        <v>3965.6311962987443</v>
      </c>
      <c r="M197" s="31">
        <v>15590</v>
      </c>
      <c r="N197" s="32">
        <f t="shared" si="109"/>
        <v>3.0403172504957041E-2</v>
      </c>
      <c r="O197" s="18">
        <f>IF(ISNUMBER(M197), $B199 * N197, "")</f>
        <v>4560.4758757435557</v>
      </c>
      <c r="Q197" s="135"/>
      <c r="R197" s="136"/>
      <c r="S197" s="137"/>
    </row>
    <row r="198" spans="1:19" ht="17.25" thickBot="1">
      <c r="A198" s="114" t="s">
        <v>209</v>
      </c>
      <c r="B198" s="115">
        <v>77.8</v>
      </c>
      <c r="C198" s="72">
        <v>-2.0151133500000001E-2</v>
      </c>
      <c r="D198" s="24">
        <v>83.7</v>
      </c>
      <c r="E198" s="25">
        <f t="shared" si="106"/>
        <v>7.5835475578406239E-2</v>
      </c>
      <c r="F198" s="94">
        <f>IF(ISNUMBER(D198), $B199 * E198, "")</f>
        <v>11375.321336760935</v>
      </c>
      <c r="G198" s="92">
        <v>81.900000000000006</v>
      </c>
      <c r="H198" s="25">
        <f t="shared" si="107"/>
        <v>5.269922879177389E-2</v>
      </c>
      <c r="I198" s="93">
        <f>IF(ISNUMBER(G198), $B199 * H198, "")</f>
        <v>7904.8843187660832</v>
      </c>
      <c r="J198" s="24">
        <v>82.9</v>
      </c>
      <c r="K198" s="25">
        <f t="shared" si="108"/>
        <v>6.555269922879188E-2</v>
      </c>
      <c r="L198" s="94">
        <f>IF(ISNUMBER(J198), $B199 * K198, "")</f>
        <v>9832.9048843187829</v>
      </c>
      <c r="M198" s="92">
        <v>83.3</v>
      </c>
      <c r="N198" s="25">
        <f t="shared" si="109"/>
        <v>7.0694087403598976E-2</v>
      </c>
      <c r="O198" s="94">
        <f>IF(ISNUMBER(M198), $B199 * N198, "")</f>
        <v>10604.113110539847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6.9886416184440497E-2</v>
      </c>
      <c r="F199" s="28">
        <f>SUM(F179:F198)</f>
        <v>209659.24855332146</v>
      </c>
      <c r="G199" s="26" t="s">
        <v>258</v>
      </c>
      <c r="H199" s="27">
        <f>IF(COUNT(H179:H198), SUM(H179:H198) / COUNT(H179:H198), 0)</f>
        <v>6.2310796777368324E-2</v>
      </c>
      <c r="I199" s="28">
        <f>SUM(I179:I198)</f>
        <v>186932.39033210505</v>
      </c>
      <c r="J199" s="26" t="s">
        <v>258</v>
      </c>
      <c r="K199" s="27">
        <f>IF(COUNT(K179:K198), SUM(K179:K198) / COUNT(K179:K198), 0)</f>
        <v>9.570335253662747E-2</v>
      </c>
      <c r="L199" s="28">
        <f>SUM(L179:L198)</f>
        <v>287110.05760988232</v>
      </c>
      <c r="M199" s="26" t="s">
        <v>258</v>
      </c>
      <c r="N199" s="27">
        <f>IF(COUNT(N179:N198), SUM(N179:N198) / COUNT(N179:N198), 0)</f>
        <v>9.0216820369272574E-2</v>
      </c>
      <c r="O199" s="28">
        <f>SUM(O179:O198)</f>
        <v>270650.46110781771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C0F3-BBB9-4844-A5EB-8C1D50D377EF}">
  <sheetPr codeName="Sheet17"/>
  <dimension ref="A1:S199"/>
  <sheetViews>
    <sheetView zoomScaleNormal="100" workbookViewId="0">
      <selection activeCell="L199" sqref="L199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44941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122,229 KRW (4.07%)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82,035 KRW (2.73%)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179,252 KRW (5.98%)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84,262 KRW (2.81%)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2023-01-15(일) 오전 00:00</v>
      </c>
      <c r="C15" s="196"/>
      <c r="D15" s="170" t="str">
        <f>TEXT($G$1, "[$-ko-KR]yyyy-mm-dd(ddd) ") &amp; "오후 14:00"</f>
        <v>2023-01-15(일) 오후 14:00</v>
      </c>
      <c r="E15" s="171"/>
      <c r="F15" s="172"/>
      <c r="G15" s="170" t="str">
        <f>TEXT($G$1, "[$-ko-KR]yyyy-mm-dd(ddd) ") &amp; "오후 19:00"</f>
        <v>2023-01-15(일) 오후 19:00</v>
      </c>
      <c r="H15" s="171"/>
      <c r="I15" s="172"/>
      <c r="J15" s="170" t="str">
        <f>TEXT($G$1, "[$-ko-KR]yyyy-mm-dd(ddd) ") &amp; "오후 21:00"</f>
        <v>2023-01-15(일) 오후 21:00</v>
      </c>
      <c r="K15" s="171"/>
      <c r="L15" s="172"/>
      <c r="M15" s="170" t="str">
        <f>TEXT($G$1+1, "[$-ko-KR]yyyy-mm-dd(ddd) ") &amp; "오전 00:00"</f>
        <v>2023-01-16(월)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2023-01-15(일) 오전 00:00</v>
      </c>
      <c r="C42" s="198"/>
      <c r="D42" s="170" t="str">
        <f>TEXT($G$1, "[$-ko-KR]yyyy-mm-dd(ddd) ") &amp; "오후 14:00"</f>
        <v>2023-01-15(일) 오후 14:00</v>
      </c>
      <c r="E42" s="171"/>
      <c r="F42" s="172"/>
      <c r="G42" s="170" t="str">
        <f>TEXT($G$1, "[$-ko-KR]yyyy-mm-dd(ddd) ") &amp; "오후 19:00"</f>
        <v>2023-01-15(일) 오후 19:00</v>
      </c>
      <c r="H42" s="171"/>
      <c r="I42" s="172"/>
      <c r="J42" s="170" t="str">
        <f>TEXT($G$1, "[$-ko-KR]yyyy-mm-dd(ddd) ") &amp; "오후 21:00"</f>
        <v>2023-01-15(일) 오후 21:00</v>
      </c>
      <c r="K42" s="171"/>
      <c r="L42" s="172"/>
      <c r="M42" s="170" t="str">
        <f>TEXT($G$1+1, "[$-ko-KR]yyyy-mm-dd(ddd) ") &amp; "오전 00:00"</f>
        <v>2023-01-16(월)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217</v>
      </c>
      <c r="B44" s="108">
        <v>76.8</v>
      </c>
      <c r="C44" s="69">
        <v>0.12445095170000001</v>
      </c>
      <c r="D44" s="13">
        <v>73.900000000000006</v>
      </c>
      <c r="E44" s="14">
        <f>IF(ISNUMBER(D44), (D44 - $B44) / $B44, "")</f>
        <v>-3.776041666666656E-2</v>
      </c>
      <c r="F44" s="16">
        <f>IF(ISNUMBER(D44), $B64 * E44, "")</f>
        <v>-5664.0624999999836</v>
      </c>
      <c r="G44" s="29">
        <v>72.3</v>
      </c>
      <c r="H44" s="14">
        <f>IF(ISNUMBER(G44), (G44 - $B44) / $B44, "")</f>
        <v>-5.859375E-2</v>
      </c>
      <c r="I44" s="90">
        <f>IF(ISNUMBER(G44), $B64 * H44, "")</f>
        <v>-8789.0625</v>
      </c>
      <c r="J44" s="13">
        <v>72.900000000000006</v>
      </c>
      <c r="K44" s="14">
        <f>IF(ISNUMBER(J44), (J44 - $B44) / $B44, "")</f>
        <v>-5.0781249999999889E-2</v>
      </c>
      <c r="L44" s="16">
        <f>IF(ISNUMBER(J44), $B64 * K44, "")</f>
        <v>-7617.1874999999836</v>
      </c>
      <c r="M44" s="29">
        <v>73.400000000000006</v>
      </c>
      <c r="N44" s="14">
        <f>IF(ISNUMBER(M44), (M44 - $B44) / $B44, "")</f>
        <v>-4.4270833333333225E-2</v>
      </c>
      <c r="O44" s="16">
        <f>IF(ISNUMBER(M44), $B64 * N44, "")</f>
        <v>-6640.6249999999836</v>
      </c>
      <c r="Q44" s="156"/>
      <c r="R44" s="156"/>
      <c r="S44" s="156"/>
    </row>
    <row r="45" spans="1:19" ht="17.25" customHeight="1" thickBot="1">
      <c r="A45" s="109" t="s">
        <v>138</v>
      </c>
      <c r="B45" s="110">
        <v>28.7</v>
      </c>
      <c r="C45" s="70">
        <v>5.9040590400000002E-2</v>
      </c>
      <c r="D45" s="15">
        <v>28.2</v>
      </c>
      <c r="E45" s="32">
        <f t="shared" ref="E45:E48" si="14">IF(ISNUMBER(D45), (D45 - $B45) / $B45, "")</f>
        <v>-1.7421602787456445E-2</v>
      </c>
      <c r="F45" s="18">
        <f>IF(ISNUMBER(D45), $B64 * E45, "")</f>
        <v>-2613.2404181184666</v>
      </c>
      <c r="G45" s="31">
        <v>27.5</v>
      </c>
      <c r="H45" s="32">
        <f t="shared" ref="H45:H48" si="15">IF(ISNUMBER(G45), (G45 - $B45) / $B45, "")</f>
        <v>-4.1811846689895446E-2</v>
      </c>
      <c r="I45" s="91">
        <f>IF(ISNUMBER(G45), $B64 * H45, "")</f>
        <v>-6271.777003484317</v>
      </c>
      <c r="J45" s="15">
        <v>27.8</v>
      </c>
      <c r="K45" s="32">
        <f t="shared" ref="K45:K48" si="16">IF(ISNUMBER(J45), (J45 - $B45) / $B45, "")</f>
        <v>-3.1358885017421553E-2</v>
      </c>
      <c r="L45" s="18">
        <f>IF(ISNUMBER(J45), $B64 * K45, "")</f>
        <v>-4703.8327526132334</v>
      </c>
      <c r="M45" s="31">
        <v>28.4</v>
      </c>
      <c r="N45" s="32">
        <f t="shared" ref="N45:N48" si="17">IF(ISNUMBER(M45), (M45 - $B45) / $B45, "")</f>
        <v>-1.0452961672473893E-2</v>
      </c>
      <c r="O45" s="18">
        <f>IF(ISNUMBER(M45), $B64 * N45, "")</f>
        <v>-1567.944250871084</v>
      </c>
      <c r="Q45" s="156"/>
      <c r="R45" s="156"/>
      <c r="S45" s="156"/>
    </row>
    <row r="46" spans="1:19" ht="17.25" customHeight="1" thickBot="1">
      <c r="A46" s="109" t="s">
        <v>349</v>
      </c>
      <c r="B46" s="110">
        <v>25.4</v>
      </c>
      <c r="C46" s="70">
        <v>4.5267489700000003E-2</v>
      </c>
      <c r="D46" s="15">
        <v>26.8</v>
      </c>
      <c r="E46" s="32">
        <f t="shared" si="14"/>
        <v>5.5118110236220562E-2</v>
      </c>
      <c r="F46" s="18">
        <f>IF(ISNUMBER(D46), $B64 * E46, "")</f>
        <v>8267.7165354330846</v>
      </c>
      <c r="G46" s="31">
        <v>28.4</v>
      </c>
      <c r="H46" s="32">
        <f t="shared" si="15"/>
        <v>0.11811023622047245</v>
      </c>
      <c r="I46" s="91">
        <f>IF(ISNUMBER(G46), $B64 * H46, "")</f>
        <v>17716.535433070869</v>
      </c>
      <c r="J46" s="15">
        <v>28.2</v>
      </c>
      <c r="K46" s="32">
        <f t="shared" si="16"/>
        <v>0.11023622047244098</v>
      </c>
      <c r="L46" s="18">
        <f>IF(ISNUMBER(J46), $B64 * K46, "")</f>
        <v>16535.433070866147</v>
      </c>
      <c r="M46" s="31">
        <v>27.4</v>
      </c>
      <c r="N46" s="32">
        <f t="shared" si="17"/>
        <v>7.874015748031496E-2</v>
      </c>
      <c r="O46" s="18">
        <f>IF(ISNUMBER(M46), $B64 * N46, "")</f>
        <v>11811.023622047243</v>
      </c>
      <c r="Q46" s="146"/>
      <c r="R46" s="146"/>
      <c r="S46" s="146"/>
    </row>
    <row r="47" spans="1:19" ht="17.25" customHeight="1" thickBot="1">
      <c r="A47" s="109" t="s">
        <v>145</v>
      </c>
      <c r="B47" s="110">
        <v>77.7</v>
      </c>
      <c r="C47" s="70">
        <v>3.7383177599999998E-2</v>
      </c>
      <c r="D47" s="15">
        <v>76.400000000000006</v>
      </c>
      <c r="E47" s="32">
        <f t="shared" si="14"/>
        <v>-1.6731016731016693E-2</v>
      </c>
      <c r="F47" s="18">
        <f>IF(ISNUMBER(D47), $B64 * E47, "")</f>
        <v>-2509.6525096525038</v>
      </c>
      <c r="G47" s="31">
        <v>75.599999999999994</v>
      </c>
      <c r="H47" s="32">
        <f t="shared" si="15"/>
        <v>-2.7027027027027136E-2</v>
      </c>
      <c r="I47" s="91">
        <f>IF(ISNUMBER(G47), $B64 * H47, "")</f>
        <v>-4054.0540540540705</v>
      </c>
      <c r="J47" s="15">
        <v>76</v>
      </c>
      <c r="K47" s="32">
        <f t="shared" si="16"/>
        <v>-2.1879021879021916E-2</v>
      </c>
      <c r="L47" s="18">
        <f>IF(ISNUMBER(J47), $B64 * K47, "")</f>
        <v>-3281.8532818532876</v>
      </c>
      <c r="M47" s="31">
        <v>77.099999999999994</v>
      </c>
      <c r="N47" s="32">
        <f t="shared" si="17"/>
        <v>-7.7220077220078315E-3</v>
      </c>
      <c r="O47" s="18">
        <f>IF(ISNUMBER(M47), $B64 * N47, "")</f>
        <v>-1158.3011583011746</v>
      </c>
      <c r="Q47" s="146"/>
      <c r="R47" s="146"/>
      <c r="S47" s="146"/>
    </row>
    <row r="48" spans="1:19" ht="17.25" customHeight="1" thickBot="1">
      <c r="A48" s="111" t="s">
        <v>324</v>
      </c>
      <c r="B48" s="112">
        <v>92.3</v>
      </c>
      <c r="C48" s="71">
        <v>3.70786517E-2</v>
      </c>
      <c r="D48" s="20">
        <v>92.8</v>
      </c>
      <c r="E48" s="21">
        <f t="shared" si="14"/>
        <v>5.4171180931744311E-3</v>
      </c>
      <c r="F48" s="22">
        <f>IF(ISNUMBER(D48), $B64 * E48, "")</f>
        <v>812.56771397616467</v>
      </c>
      <c r="G48" s="30">
        <v>91.3</v>
      </c>
      <c r="H48" s="21">
        <f t="shared" si="15"/>
        <v>-1.0834236186348862E-2</v>
      </c>
      <c r="I48" s="95">
        <f>IF(ISNUMBER(G48), $B64 * H48, "")</f>
        <v>-1625.1354279523293</v>
      </c>
      <c r="J48" s="20">
        <v>91.6</v>
      </c>
      <c r="K48" s="21">
        <f t="shared" si="16"/>
        <v>-7.5839653304442343E-3</v>
      </c>
      <c r="L48" s="22">
        <f>IF(ISNUMBER(J48), $B64 * K48, "")</f>
        <v>-1137.5947995666352</v>
      </c>
      <c r="M48" s="30">
        <v>91.3</v>
      </c>
      <c r="N48" s="21">
        <f t="shared" si="17"/>
        <v>-1.0834236186348862E-2</v>
      </c>
      <c r="O48" s="22">
        <f>IF(ISNUMBER(M48), $B64 * N48, "")</f>
        <v>-1625.1354279523293</v>
      </c>
      <c r="Q48" s="146"/>
      <c r="R48" s="146"/>
      <c r="S48" s="146"/>
    </row>
    <row r="49" spans="1:19" ht="17.25" customHeight="1" thickBot="1">
      <c r="A49" s="109" t="s">
        <v>118</v>
      </c>
      <c r="B49" s="113">
        <v>5.92</v>
      </c>
      <c r="C49" s="73">
        <v>3.6777583199999998E-2</v>
      </c>
      <c r="D49" s="96">
        <v>6.38</v>
      </c>
      <c r="E49" s="97">
        <f>IF(ISNUMBER(D49), (D49 - $B49) / $B49, "")</f>
        <v>7.77027027027027E-2</v>
      </c>
      <c r="F49" s="98">
        <f>IF(ISNUMBER(D49), $B64 * E49, "")</f>
        <v>11655.405405405405</v>
      </c>
      <c r="G49" s="99">
        <v>6.22</v>
      </c>
      <c r="H49" s="97">
        <f>IF(ISNUMBER(G49), (G49 - $B49) / $B49, "")</f>
        <v>5.0675675675675644E-2</v>
      </c>
      <c r="I49" s="100">
        <f>IF(ISNUMBER(G49), $B64 * H49, "")</f>
        <v>7601.3513513513462</v>
      </c>
      <c r="J49" s="96">
        <v>6.24</v>
      </c>
      <c r="K49" s="97">
        <f>IF(ISNUMBER(J49), (J49 - $B49) / $B49, "")</f>
        <v>5.4054054054054106E-2</v>
      </c>
      <c r="L49" s="98">
        <f>IF(ISNUMBER(J49), $B64 * K49, "")</f>
        <v>8108.1081081081156</v>
      </c>
      <c r="M49" s="99">
        <v>6.28</v>
      </c>
      <c r="N49" s="97">
        <f>IF(ISNUMBER(M49), (M49 - $B49) / $B49, "")</f>
        <v>6.0810810810810863E-2</v>
      </c>
      <c r="O49" s="98">
        <f>IF(ISNUMBER(M49), $B64 * N49, "")</f>
        <v>9121.6216216216289</v>
      </c>
      <c r="Q49" s="146"/>
      <c r="R49" s="146"/>
      <c r="S49" s="146"/>
    </row>
    <row r="50" spans="1:19" ht="17.25" customHeight="1" thickBot="1">
      <c r="A50" s="109" t="s">
        <v>193</v>
      </c>
      <c r="B50" s="110">
        <v>18.2</v>
      </c>
      <c r="C50" s="70">
        <v>2.82485876E-2</v>
      </c>
      <c r="D50" s="15">
        <v>19.399999999999999</v>
      </c>
      <c r="E50" s="32">
        <f t="shared" ref="E50:E53" si="18">IF(ISNUMBER(D50), (D50 - $B50) / $B50, "")</f>
        <v>6.5934065934065894E-2</v>
      </c>
      <c r="F50" s="18">
        <f>IF(ISNUMBER(D50), $B64 * E50, "")</f>
        <v>9890.1098901098849</v>
      </c>
      <c r="G50" s="31">
        <v>18.7</v>
      </c>
      <c r="H50" s="32">
        <f t="shared" ref="H50:H53" si="19">IF(ISNUMBER(G50), (G50 - $B50) / $B50, "")</f>
        <v>2.7472527472527472E-2</v>
      </c>
      <c r="I50" s="91">
        <f>IF(ISNUMBER(G50), $B64 * H50, "")</f>
        <v>4120.8791208791208</v>
      </c>
      <c r="J50" s="15">
        <v>18.8</v>
      </c>
      <c r="K50" s="32">
        <f t="shared" ref="K50:K53" si="20">IF(ISNUMBER(J50), (J50 - $B50) / $B50, "")</f>
        <v>3.2967032967033044E-2</v>
      </c>
      <c r="L50" s="18">
        <f>IF(ISNUMBER(J50), $B64 * K50, "")</f>
        <v>4945.054945054957</v>
      </c>
      <c r="M50" s="31">
        <v>18.8</v>
      </c>
      <c r="N50" s="32">
        <f t="shared" ref="N50:N53" si="21">IF(ISNUMBER(M50), (M50 - $B50) / $B50, "")</f>
        <v>3.2967032967033044E-2</v>
      </c>
      <c r="O50" s="18">
        <f>IF(ISNUMBER(M50), $B64 * N50, "")</f>
        <v>4945.054945054957</v>
      </c>
      <c r="Q50" s="146"/>
      <c r="R50" s="146"/>
      <c r="S50" s="146"/>
    </row>
    <row r="51" spans="1:19" ht="17.25" customHeight="1" thickBot="1">
      <c r="A51" s="109" t="s">
        <v>64</v>
      </c>
      <c r="B51" s="110">
        <v>11.3</v>
      </c>
      <c r="C51" s="70">
        <v>2.7272727300000001E-2</v>
      </c>
      <c r="D51" s="15">
        <v>11.8</v>
      </c>
      <c r="E51" s="32">
        <f t="shared" si="18"/>
        <v>4.4247787610619468E-2</v>
      </c>
      <c r="F51" s="18">
        <f>IF(ISNUMBER(D51), $B64 * E51, "")</f>
        <v>6637.1681415929206</v>
      </c>
      <c r="G51" s="31">
        <v>11.8</v>
      </c>
      <c r="H51" s="32">
        <f t="shared" si="19"/>
        <v>4.4247787610619468E-2</v>
      </c>
      <c r="I51" s="91">
        <f>IF(ISNUMBER(G51), $B64 * H51, "")</f>
        <v>6637.1681415929206</v>
      </c>
      <c r="J51" s="15">
        <v>11.5</v>
      </c>
      <c r="K51" s="32">
        <f t="shared" si="20"/>
        <v>1.7699115044247725E-2</v>
      </c>
      <c r="L51" s="18">
        <f>IF(ISNUMBER(J51), $B64 * K51, "")</f>
        <v>2654.8672566371588</v>
      </c>
      <c r="M51" s="31">
        <v>11.5</v>
      </c>
      <c r="N51" s="32">
        <f t="shared" si="21"/>
        <v>1.7699115044247725E-2</v>
      </c>
      <c r="O51" s="18">
        <f>IF(ISNUMBER(M51), $B64 * N51, "")</f>
        <v>2654.8672566371588</v>
      </c>
      <c r="Q51" s="146"/>
      <c r="R51" s="146"/>
      <c r="S51" s="146"/>
    </row>
    <row r="52" spans="1:19" ht="17.25" customHeight="1" thickBot="1">
      <c r="A52" s="109" t="s">
        <v>241</v>
      </c>
      <c r="B52" s="110">
        <v>97.2</v>
      </c>
      <c r="C52" s="70">
        <v>2.42360379E-2</v>
      </c>
      <c r="D52" s="15">
        <v>100</v>
      </c>
      <c r="E52" s="32">
        <f t="shared" si="18"/>
        <v>2.8806584362139887E-2</v>
      </c>
      <c r="F52" s="18">
        <f>IF(ISNUMBER(D52), $B64 * E52, "")</f>
        <v>4320.987654320983</v>
      </c>
      <c r="G52" s="31">
        <v>99.3</v>
      </c>
      <c r="H52" s="32">
        <f t="shared" si="19"/>
        <v>2.1604938271604878E-2</v>
      </c>
      <c r="I52" s="91">
        <f>IF(ISNUMBER(G52), $B64 * H52, "")</f>
        <v>3240.7407407407318</v>
      </c>
      <c r="J52" s="15">
        <v>100</v>
      </c>
      <c r="K52" s="32">
        <f t="shared" si="20"/>
        <v>2.8806584362139887E-2</v>
      </c>
      <c r="L52" s="18">
        <f>IF(ISNUMBER(J52), $B64 * K52, "")</f>
        <v>4320.987654320983</v>
      </c>
      <c r="M52" s="31">
        <v>99.3</v>
      </c>
      <c r="N52" s="32">
        <f t="shared" si="21"/>
        <v>2.1604938271604878E-2</v>
      </c>
      <c r="O52" s="18">
        <f>IF(ISNUMBER(M52), $B64 * N52, "")</f>
        <v>3240.7407407407318</v>
      </c>
      <c r="Q52" s="33"/>
      <c r="R52" s="33"/>
    </row>
    <row r="53" spans="1:19" ht="17.25" customHeight="1" thickBot="1">
      <c r="A53" s="114" t="s">
        <v>132</v>
      </c>
      <c r="B53" s="115">
        <v>52.2</v>
      </c>
      <c r="C53" s="72">
        <v>2.35294118E-2</v>
      </c>
      <c r="D53" s="24">
        <v>53.2</v>
      </c>
      <c r="E53" s="25">
        <f t="shared" si="18"/>
        <v>1.9157088122605363E-2</v>
      </c>
      <c r="F53" s="94">
        <f>IF(ISNUMBER(D53), $B64 * E53, "")</f>
        <v>2873.5632183908042</v>
      </c>
      <c r="G53" s="92">
        <v>52</v>
      </c>
      <c r="H53" s="25">
        <f t="shared" si="19"/>
        <v>-3.8314176245211272E-3</v>
      </c>
      <c r="I53" s="93">
        <f>IF(ISNUMBER(G53), $B64 * H53, "")</f>
        <v>-574.71264367816912</v>
      </c>
      <c r="J53" s="24">
        <v>52.2</v>
      </c>
      <c r="K53" s="25">
        <f t="shared" si="20"/>
        <v>0</v>
      </c>
      <c r="L53" s="94">
        <f>IF(ISNUMBER(J53), $B64 * K53, "")</f>
        <v>0</v>
      </c>
      <c r="M53" s="92">
        <v>52.1</v>
      </c>
      <c r="N53" s="25">
        <f t="shared" si="21"/>
        <v>-1.9157088122605636E-3</v>
      </c>
      <c r="O53" s="94">
        <f>IF(ISNUMBER(M53), $B64 * N53, "")</f>
        <v>-287.35632183908456</v>
      </c>
      <c r="Q53" s="147"/>
      <c r="R53" s="148"/>
      <c r="S53" s="149"/>
    </row>
    <row r="54" spans="1:19" ht="17.25" customHeight="1">
      <c r="A54" s="107" t="s">
        <v>122</v>
      </c>
      <c r="B54" s="108">
        <v>25.6</v>
      </c>
      <c r="C54" s="69">
        <v>1.9920318699999998E-2</v>
      </c>
      <c r="D54" s="13">
        <v>25.5</v>
      </c>
      <c r="E54" s="14">
        <f>IF(ISNUMBER(D54), (D54 - $B54) / $B54, "")</f>
        <v>-3.9062500000000555E-3</v>
      </c>
      <c r="F54" s="16">
        <f>IF(ISNUMBER(D54), $B64 * E54, "")</f>
        <v>-585.9375000000083</v>
      </c>
      <c r="G54" s="29">
        <v>25.5</v>
      </c>
      <c r="H54" s="14">
        <f>IF(ISNUMBER(G54), (G54 - $B54) / $B54, "")</f>
        <v>-3.9062500000000555E-3</v>
      </c>
      <c r="I54" s="90">
        <f>IF(ISNUMBER(G54), $B64 * H54, "")</f>
        <v>-585.9375000000083</v>
      </c>
      <c r="J54" s="13">
        <v>25.5</v>
      </c>
      <c r="K54" s="14">
        <f>IF(ISNUMBER(J54), (J54 - $B54) / $B54, "")</f>
        <v>-3.9062500000000555E-3</v>
      </c>
      <c r="L54" s="16">
        <f>IF(ISNUMBER(J54), $B64 * K54, "")</f>
        <v>-585.9375000000083</v>
      </c>
      <c r="M54" s="29">
        <v>25.8</v>
      </c>
      <c r="N54" s="14">
        <f>IF(ISNUMBER(M54), (M54 - $B54) / $B54, "")</f>
        <v>7.8124999999999722E-3</v>
      </c>
      <c r="O54" s="16">
        <f>IF(ISNUMBER(M54), $B64 * N54, "")</f>
        <v>1171.8749999999959</v>
      </c>
      <c r="Q54" s="150"/>
      <c r="R54" s="151"/>
      <c r="S54" s="152"/>
    </row>
    <row r="55" spans="1:19" ht="17.25" customHeight="1" thickBot="1">
      <c r="A55" s="109" t="s">
        <v>323</v>
      </c>
      <c r="B55" s="110">
        <v>3.5900000000000001E-2</v>
      </c>
      <c r="C55" s="70">
        <v>1.9886363600000002E-2</v>
      </c>
      <c r="D55" s="15">
        <v>3.8199999999999998E-2</v>
      </c>
      <c r="E55" s="32">
        <f t="shared" ref="E55:E58" si="22">IF(ISNUMBER(D55), (D55 - $B55) / $B55, "")</f>
        <v>6.4066852367687915E-2</v>
      </c>
      <c r="F55" s="18">
        <f>IF(ISNUMBER(D55), $B64 * E55, "")</f>
        <v>9610.0278551531865</v>
      </c>
      <c r="G55" s="31">
        <v>3.7199999999999997E-2</v>
      </c>
      <c r="H55" s="32">
        <f t="shared" ref="H55:H58" si="23">IF(ISNUMBER(G55), (G55 - $B55) / $B55, "")</f>
        <v>3.621169916434528E-2</v>
      </c>
      <c r="I55" s="91">
        <f>IF(ISNUMBER(G55), $B64 * H55, "")</f>
        <v>5431.7548746517923</v>
      </c>
      <c r="J55" s="15">
        <v>3.7100000000000001E-2</v>
      </c>
      <c r="K55" s="32">
        <f t="shared" ref="K55:K58" si="24">IF(ISNUMBER(J55), (J55 - $B55) / $B55, "")</f>
        <v>3.342618384401113E-2</v>
      </c>
      <c r="L55" s="18">
        <f>IF(ISNUMBER(J55), $B64 * K55, "")</f>
        <v>5013.9275766016699</v>
      </c>
      <c r="M55" s="31">
        <v>3.73E-2</v>
      </c>
      <c r="N55" s="32">
        <f t="shared" ref="N55:N58" si="25">IF(ISNUMBER(M55), (M55 - $B55) / $B55, "")</f>
        <v>3.8997214484679618E-2</v>
      </c>
      <c r="O55" s="18">
        <f>IF(ISNUMBER(M55), $B64 * N55, "")</f>
        <v>5849.5821727019429</v>
      </c>
      <c r="Q55" s="153"/>
      <c r="R55" s="154"/>
      <c r="S55" s="155"/>
    </row>
    <row r="56" spans="1:19" ht="17.25" customHeight="1" thickBot="1">
      <c r="A56" s="109" t="s">
        <v>141</v>
      </c>
      <c r="B56" s="110">
        <v>3.41</v>
      </c>
      <c r="C56" s="70">
        <v>1.79104478E-2</v>
      </c>
      <c r="D56" s="15">
        <v>3.75</v>
      </c>
      <c r="E56" s="32">
        <f t="shared" si="22"/>
        <v>9.9706744868035144E-2</v>
      </c>
      <c r="F56" s="18">
        <f>IF(ISNUMBER(D56), $B64 * E56, "")</f>
        <v>14956.011730205271</v>
      </c>
      <c r="G56" s="31">
        <v>3.55</v>
      </c>
      <c r="H56" s="32">
        <f t="shared" si="23"/>
        <v>4.1055718475073215E-2</v>
      </c>
      <c r="I56" s="91">
        <f>IF(ISNUMBER(G56), $B64 * H56, "")</f>
        <v>6158.3577712609822</v>
      </c>
      <c r="J56" s="15">
        <v>3.54</v>
      </c>
      <c r="K56" s="32">
        <f t="shared" si="24"/>
        <v>3.8123167155425186E-2</v>
      </c>
      <c r="L56" s="18">
        <f>IF(ISNUMBER(J56), $B64 * K56, "")</f>
        <v>5718.475073313778</v>
      </c>
      <c r="M56" s="31">
        <v>3.58</v>
      </c>
      <c r="N56" s="32">
        <f t="shared" si="25"/>
        <v>4.9853372434017572E-2</v>
      </c>
      <c r="O56" s="18">
        <f>IF(ISNUMBER(M56), $B64 * N56, "")</f>
        <v>7478.0058651026357</v>
      </c>
      <c r="Q56" s="146"/>
      <c r="R56" s="146"/>
      <c r="S56" s="146"/>
    </row>
    <row r="57" spans="1:19" ht="17.25" customHeight="1" thickBot="1">
      <c r="A57" s="109" t="s">
        <v>155</v>
      </c>
      <c r="B57" s="110">
        <v>29</v>
      </c>
      <c r="C57" s="70">
        <v>1.75438596E-2</v>
      </c>
      <c r="D57" s="15">
        <v>30.1</v>
      </c>
      <c r="E57" s="32">
        <f t="shared" si="22"/>
        <v>3.7931034482758669E-2</v>
      </c>
      <c r="F57" s="18">
        <f>IF(ISNUMBER(D57), $B64 * E57, "")</f>
        <v>5689.6551724138008</v>
      </c>
      <c r="G57" s="31">
        <v>30</v>
      </c>
      <c r="H57" s="32">
        <f t="shared" si="23"/>
        <v>3.4482758620689655E-2</v>
      </c>
      <c r="I57" s="91">
        <f>IF(ISNUMBER(G57), $B64 * H57, "")</f>
        <v>5172.4137931034484</v>
      </c>
      <c r="J57" s="15">
        <v>29.5</v>
      </c>
      <c r="K57" s="32">
        <f t="shared" si="24"/>
        <v>1.7241379310344827E-2</v>
      </c>
      <c r="L57" s="18">
        <f>IF(ISNUMBER(J57), $B64 * K57, "")</f>
        <v>2586.2068965517242</v>
      </c>
      <c r="M57" s="31">
        <v>29.5</v>
      </c>
      <c r="N57" s="32">
        <f t="shared" si="25"/>
        <v>1.7241379310344827E-2</v>
      </c>
      <c r="O57" s="18">
        <f>IF(ISNUMBER(M57), $B64 * N57, "")</f>
        <v>2586.2068965517242</v>
      </c>
      <c r="Q57" s="156"/>
      <c r="R57" s="156"/>
      <c r="S57" s="156"/>
    </row>
    <row r="58" spans="1:19" ht="17.25" customHeight="1" thickBot="1">
      <c r="A58" s="111" t="s">
        <v>197</v>
      </c>
      <c r="B58" s="112">
        <v>6.48</v>
      </c>
      <c r="C58" s="71">
        <v>1.7268445800000001E-2</v>
      </c>
      <c r="D58" s="20">
        <v>8.48</v>
      </c>
      <c r="E58" s="21">
        <f t="shared" si="22"/>
        <v>0.30864197530864196</v>
      </c>
      <c r="F58" s="22">
        <f>IF(ISNUMBER(D58), $B64 * E58, "")</f>
        <v>46296.296296296292</v>
      </c>
      <c r="G58" s="30">
        <v>7.31</v>
      </c>
      <c r="H58" s="21">
        <f t="shared" si="23"/>
        <v>0.12808641975308629</v>
      </c>
      <c r="I58" s="95">
        <f>IF(ISNUMBER(G58), $B64 * H58, "")</f>
        <v>19212.962962962945</v>
      </c>
      <c r="J58" s="20">
        <v>7.13</v>
      </c>
      <c r="K58" s="21">
        <f t="shared" si="24"/>
        <v>0.10030864197530856</v>
      </c>
      <c r="L58" s="22">
        <f>IF(ISNUMBER(J58), $B64 * K58, "")</f>
        <v>15046.296296296285</v>
      </c>
      <c r="M58" s="30">
        <v>7.09</v>
      </c>
      <c r="N58" s="21">
        <f t="shared" si="25"/>
        <v>9.4135802469135707E-2</v>
      </c>
      <c r="O58" s="22">
        <f>IF(ISNUMBER(M58), $B64 * N58, "")</f>
        <v>14120.370370370356</v>
      </c>
      <c r="Q58" s="156"/>
      <c r="R58" s="156"/>
      <c r="S58" s="156"/>
    </row>
    <row r="59" spans="1:19" ht="17.25" customHeight="1" thickBot="1">
      <c r="A59" s="109" t="s">
        <v>209</v>
      </c>
      <c r="B59" s="113">
        <v>83.3</v>
      </c>
      <c r="C59" s="73">
        <v>1.7094017100000001E-2</v>
      </c>
      <c r="D59" s="96">
        <v>88.3</v>
      </c>
      <c r="E59" s="97">
        <f>IF(ISNUMBER(D59), (D59 - $B59) / $B59, "")</f>
        <v>6.0024009603841535E-2</v>
      </c>
      <c r="F59" s="98">
        <f>IF(ISNUMBER(D59), $B64 * E59, "")</f>
        <v>9003.6014405762307</v>
      </c>
      <c r="G59" s="99">
        <v>86</v>
      </c>
      <c r="H59" s="97">
        <f>IF(ISNUMBER(G59), (G59 - $B59) / $B59, "")</f>
        <v>3.2412965186074463E-2</v>
      </c>
      <c r="I59" s="100">
        <f>IF(ISNUMBER(G59), $B64 * H59, "")</f>
        <v>4861.9447779111697</v>
      </c>
      <c r="J59" s="96">
        <v>85.8</v>
      </c>
      <c r="K59" s="97">
        <f>IF(ISNUMBER(J59), (J59 - $B59) / $B59, "")</f>
        <v>3.0012004801920768E-2</v>
      </c>
      <c r="L59" s="98">
        <f>IF(ISNUMBER(J59), $B64 * K59, "")</f>
        <v>4501.8007202881154</v>
      </c>
      <c r="M59" s="99">
        <v>85.7</v>
      </c>
      <c r="N59" s="97">
        <f>IF(ISNUMBER(M59), (M59 - $B59) / $B59, "")</f>
        <v>2.8811524609844007E-2</v>
      </c>
      <c r="O59" s="98">
        <f>IF(ISNUMBER(M59), $B64 * N59, "")</f>
        <v>4321.7286914766009</v>
      </c>
      <c r="Q59" s="146"/>
      <c r="R59" s="146"/>
      <c r="S59" s="146"/>
    </row>
    <row r="60" spans="1:19" ht="17.25" customHeight="1" thickBot="1">
      <c r="A60" s="109" t="s">
        <v>221</v>
      </c>
      <c r="B60" s="110">
        <v>20.100000000000001</v>
      </c>
      <c r="C60" s="70">
        <v>1.51515152E-2</v>
      </c>
      <c r="D60" s="15">
        <v>21.7</v>
      </c>
      <c r="E60" s="32">
        <f t="shared" ref="E60:E63" si="26">IF(ISNUMBER(D60), (D60 - $B60) / $B60, "")</f>
        <v>7.9601990049751131E-2</v>
      </c>
      <c r="F60" s="18">
        <f>IF(ISNUMBER(D60), $B64 * E60, "")</f>
        <v>11940.29850746267</v>
      </c>
      <c r="G60" s="31">
        <v>20.9</v>
      </c>
      <c r="H60" s="32">
        <f t="shared" ref="H60:H63" si="27">IF(ISNUMBER(G60), (G60 - $B60) / $B60, "")</f>
        <v>3.9800995024875475E-2</v>
      </c>
      <c r="I60" s="91">
        <f>IF(ISNUMBER(G60), $B64 * H60, "")</f>
        <v>5970.1492537313216</v>
      </c>
      <c r="J60" s="15">
        <v>21</v>
      </c>
      <c r="K60" s="32">
        <f t="shared" ref="K60:K63" si="28">IF(ISNUMBER(J60), (J60 - $B60) / $B60, "")</f>
        <v>4.4776119402985003E-2</v>
      </c>
      <c r="L60" s="18">
        <f>IF(ISNUMBER(J60), $B64 * K60, "")</f>
        <v>6716.4179104477507</v>
      </c>
      <c r="M60" s="31">
        <v>21.1</v>
      </c>
      <c r="N60" s="32">
        <f t="shared" ref="N60:N63" si="29">IF(ISNUMBER(M60), (M60 - $B60) / $B60, "")</f>
        <v>4.9751243781094523E-2</v>
      </c>
      <c r="O60" s="18">
        <f>IF(ISNUMBER(M60), $B64 * N60, "")</f>
        <v>7462.6865671641781</v>
      </c>
      <c r="Q60" s="146"/>
      <c r="R60" s="146"/>
      <c r="S60" s="146"/>
    </row>
    <row r="61" spans="1:19" ht="17.25" customHeight="1" thickBot="1">
      <c r="A61" s="109" t="s">
        <v>237</v>
      </c>
      <c r="B61" s="110">
        <v>28.7</v>
      </c>
      <c r="C61" s="70">
        <v>1.4134275599999999E-2</v>
      </c>
      <c r="D61" s="15">
        <v>29.9</v>
      </c>
      <c r="E61" s="32">
        <f t="shared" si="26"/>
        <v>4.1811846689895446E-2</v>
      </c>
      <c r="F61" s="18">
        <f>IF(ISNUMBER(D61), $B64 * E61, "")</f>
        <v>6271.777003484317</v>
      </c>
      <c r="G61" s="31">
        <v>29.4</v>
      </c>
      <c r="H61" s="32">
        <f t="shared" si="27"/>
        <v>2.4390243902439001E-2</v>
      </c>
      <c r="I61" s="91">
        <f>IF(ISNUMBER(G61), $B64 * H61, "")</f>
        <v>3658.53658536585</v>
      </c>
      <c r="J61" s="15">
        <v>29.4</v>
      </c>
      <c r="K61" s="32">
        <f t="shared" si="28"/>
        <v>2.4390243902439001E-2</v>
      </c>
      <c r="L61" s="18">
        <f>IF(ISNUMBER(J61), $B64 * K61, "")</f>
        <v>3658.53658536585</v>
      </c>
      <c r="M61" s="31">
        <v>29.6</v>
      </c>
      <c r="N61" s="32">
        <f t="shared" si="29"/>
        <v>3.1358885017421678E-2</v>
      </c>
      <c r="O61" s="18">
        <f>IF(ISNUMBER(M61), $B64 * N61, "")</f>
        <v>4703.8327526132516</v>
      </c>
      <c r="Q61" s="146"/>
      <c r="R61" s="146"/>
      <c r="S61" s="146"/>
    </row>
    <row r="62" spans="1:19" ht="17.25" customHeight="1">
      <c r="A62" s="109" t="s">
        <v>56</v>
      </c>
      <c r="B62" s="110">
        <v>43.2</v>
      </c>
      <c r="C62" s="70">
        <v>1.4084507E-2</v>
      </c>
      <c r="D62" s="15">
        <v>44.6</v>
      </c>
      <c r="E62" s="32">
        <f t="shared" si="26"/>
        <v>3.2407407407407371E-2</v>
      </c>
      <c r="F62" s="18">
        <f>IF(ISNUMBER(D62), $B64 * E62, "")</f>
        <v>4861.1111111111059</v>
      </c>
      <c r="G62" s="31">
        <v>43.7</v>
      </c>
      <c r="H62" s="32">
        <f t="shared" si="27"/>
        <v>1.1574074074074073E-2</v>
      </c>
      <c r="I62" s="91">
        <f>IF(ISNUMBER(G62), $B64 * H62, "")</f>
        <v>1736.1111111111111</v>
      </c>
      <c r="J62" s="15">
        <v>43.8</v>
      </c>
      <c r="K62" s="32">
        <f t="shared" si="28"/>
        <v>1.3888888888888756E-2</v>
      </c>
      <c r="L62" s="18">
        <f>IF(ISNUMBER(J62), $B64 * K62, "")</f>
        <v>2083.3333333333135</v>
      </c>
      <c r="M62" s="31">
        <v>44.8</v>
      </c>
      <c r="N62" s="32">
        <f t="shared" si="29"/>
        <v>3.7037037037036903E-2</v>
      </c>
      <c r="O62" s="18">
        <f>IF(ISNUMBER(M62), $B64 * N62, "")</f>
        <v>5555.5555555555356</v>
      </c>
      <c r="Q62" s="135"/>
      <c r="R62" s="136"/>
      <c r="S62" s="137"/>
    </row>
    <row r="63" spans="1:19" ht="17.25" customHeight="1" thickBot="1">
      <c r="A63" s="114" t="s">
        <v>107</v>
      </c>
      <c r="B63" s="115">
        <v>39.799999999999997</v>
      </c>
      <c r="C63" s="72">
        <v>1.2722646299999999E-2</v>
      </c>
      <c r="D63" s="24">
        <v>44.6</v>
      </c>
      <c r="E63" s="25">
        <f t="shared" si="26"/>
        <v>0.120603015075377</v>
      </c>
      <c r="F63" s="94">
        <f>IF(ISNUMBER(D63), $B64 * E63, "")</f>
        <v>18090.452261306549</v>
      </c>
      <c r="G63" s="92">
        <v>42</v>
      </c>
      <c r="H63" s="25">
        <f t="shared" si="27"/>
        <v>5.5276381909547811E-2</v>
      </c>
      <c r="I63" s="93">
        <f>IF(ISNUMBER(G63), $B64 * H63, "")</f>
        <v>8291.4572864321726</v>
      </c>
      <c r="J63" s="24">
        <v>42.2</v>
      </c>
      <c r="K63" s="25">
        <f t="shared" si="28"/>
        <v>6.0301507537688592E-2</v>
      </c>
      <c r="L63" s="94">
        <f>IF(ISNUMBER(J63), $B64 * K63, "")</f>
        <v>9045.2261306532891</v>
      </c>
      <c r="M63" s="92">
        <v>42</v>
      </c>
      <c r="N63" s="25">
        <f t="shared" si="29"/>
        <v>5.5276381909547811E-2</v>
      </c>
      <c r="O63" s="94">
        <f>IF(ISNUMBER(M63), $B64 * N63, "")</f>
        <v>8291.4572864321726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5.3267952336489233E-2</v>
      </c>
      <c r="F64" s="28">
        <f>SUM(F44:F63)</f>
        <v>159803.8570094677</v>
      </c>
      <c r="G64" s="26" t="s">
        <v>258</v>
      </c>
      <c r="H64" s="27">
        <f>IF(COUNT(H44:H63), SUM(H44:H63) / COUNT(H44:H63), 0)</f>
        <v>2.5969894691665628E-2</v>
      </c>
      <c r="I64" s="28">
        <f>SUM(I44:I63)</f>
        <v>77909.684074996883</v>
      </c>
      <c r="J64" s="26" t="s">
        <v>258</v>
      </c>
      <c r="K64" s="27">
        <f>IF(COUNT(K44:K63), SUM(K44:K63) / COUNT(K44:K63), 0)</f>
        <v>2.4536088574601999E-2</v>
      </c>
      <c r="L64" s="28">
        <f>SUM(L44:L63)</f>
        <v>73608.265723805991</v>
      </c>
      <c r="M64" s="26" t="s">
        <v>258</v>
      </c>
      <c r="N64" s="27">
        <f>IF(COUNT(N44:N63), SUM(N44:N63) / COUNT(N44:N63), 0)</f>
        <v>2.7345082395035487E-2</v>
      </c>
      <c r="O64" s="28">
        <f>SUM(O44:O63)</f>
        <v>82035.247185106462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2023-01-15(일) 오전 00:00</v>
      </c>
      <c r="C69" s="198"/>
      <c r="D69" s="170" t="str">
        <f>TEXT($G$1, "[$-ko-KR]yyyy-mm-dd(ddd) ") &amp; "오후 14:00"</f>
        <v>2023-01-15(일) 오후 14:00</v>
      </c>
      <c r="E69" s="171"/>
      <c r="F69" s="172"/>
      <c r="G69" s="170" t="str">
        <f>TEXT($G$1, "[$-ko-KR]yyyy-mm-dd(ddd) ") &amp; "오후 19:00"</f>
        <v>2023-01-15(일) 오후 19:00</v>
      </c>
      <c r="H69" s="171"/>
      <c r="I69" s="172"/>
      <c r="J69" s="170" t="str">
        <f>TEXT($G$1, "[$-ko-KR]yyyy-mm-dd(ddd) ") &amp; "오후 21:00"</f>
        <v>2023-01-15(일) 오후 21:00</v>
      </c>
      <c r="K69" s="171"/>
      <c r="L69" s="172"/>
      <c r="M69" s="170" t="str">
        <f>TEXT($G$1+1, "[$-ko-KR]yyyy-mm-dd(ddd) ") &amp; "오전 00:00"</f>
        <v>2023-01-16(월)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68</v>
      </c>
      <c r="B71" s="108">
        <v>535</v>
      </c>
      <c r="C71" s="69">
        <v>0.65634674920000002</v>
      </c>
      <c r="D71" s="13">
        <v>781</v>
      </c>
      <c r="E71" s="14">
        <f>IF(ISNUMBER(D71), (D71 - $B71) / $B71, "")</f>
        <v>0.45981308411214955</v>
      </c>
      <c r="F71" s="16">
        <f>IF(ISNUMBER(D71), $B91 * E71, "")</f>
        <v>68971.962616822435</v>
      </c>
      <c r="G71" s="29">
        <v>712</v>
      </c>
      <c r="H71" s="14">
        <f>IF(ISNUMBER(G71), (G71 - $B71) / $B71, "")</f>
        <v>0.33084112149532713</v>
      </c>
      <c r="I71" s="90">
        <f>IF(ISNUMBER(G71), $B91 * H71, "")</f>
        <v>49626.168224299072</v>
      </c>
      <c r="J71" s="13">
        <v>688</v>
      </c>
      <c r="K71" s="14">
        <f>IF(ISNUMBER(J71), (J71 - $B71) / $B71, "")</f>
        <v>0.28598130841121494</v>
      </c>
      <c r="L71" s="16">
        <f>IF(ISNUMBER(J71), $B91 * K71, "")</f>
        <v>42897.196261682242</v>
      </c>
      <c r="M71" s="29">
        <v>696</v>
      </c>
      <c r="N71" s="14">
        <f>IF(ISNUMBER(M71), (M71 - $B71) / $B71, "")</f>
        <v>0.30093457943925234</v>
      </c>
      <c r="O71" s="16">
        <f>IF(ISNUMBER(M71), $B91 * N71, "")</f>
        <v>45140.186915887847</v>
      </c>
      <c r="Q71" s="156"/>
      <c r="R71" s="156"/>
      <c r="S71" s="156"/>
    </row>
    <row r="72" spans="1:19" ht="17.25" thickBot="1">
      <c r="A72" s="109" t="s">
        <v>319</v>
      </c>
      <c r="B72" s="110">
        <v>610</v>
      </c>
      <c r="C72" s="70">
        <v>0.3465783664</v>
      </c>
      <c r="D72" s="15">
        <v>611</v>
      </c>
      <c r="E72" s="32">
        <f t="shared" ref="E72:E75" si="30">IF(ISNUMBER(D72), (D72 - $B72) / $B72, "")</f>
        <v>1.639344262295082E-3</v>
      </c>
      <c r="F72" s="18">
        <f>IF(ISNUMBER(D72), $B91 * E72, "")</f>
        <v>245.90163934426229</v>
      </c>
      <c r="G72" s="31">
        <v>592</v>
      </c>
      <c r="H72" s="32">
        <f t="shared" ref="H72:H75" si="31">IF(ISNUMBER(G72), (G72 - $B72) / $B72, "")</f>
        <v>-2.9508196721311476E-2</v>
      </c>
      <c r="I72" s="91">
        <f>IF(ISNUMBER(G72), $B91 * H72, "")</f>
        <v>-4426.2295081967213</v>
      </c>
      <c r="J72" s="15">
        <v>609</v>
      </c>
      <c r="K72" s="32">
        <f t="shared" ref="K72:K75" si="32">IF(ISNUMBER(J72), (J72 - $B72) / $B72, "")</f>
        <v>-1.639344262295082E-3</v>
      </c>
      <c r="L72" s="18">
        <f>IF(ISNUMBER(J72), $B91 * K72, "")</f>
        <v>-245.90163934426229</v>
      </c>
      <c r="M72" s="31">
        <v>641</v>
      </c>
      <c r="N72" s="32">
        <f t="shared" ref="N72:N75" si="33">IF(ISNUMBER(M72), (M72 - $B72) / $B72, "")</f>
        <v>5.0819672131147541E-2</v>
      </c>
      <c r="O72" s="18">
        <f>IF(ISNUMBER(M72), $B91 * N72, "")</f>
        <v>7622.9508196721308</v>
      </c>
      <c r="Q72" s="156"/>
      <c r="R72" s="156"/>
      <c r="S72" s="156"/>
    </row>
    <row r="73" spans="1:19" ht="17.25" thickBot="1">
      <c r="A73" s="109" t="s">
        <v>130</v>
      </c>
      <c r="B73" s="110">
        <v>898</v>
      </c>
      <c r="C73" s="70">
        <v>0.19098143240000001</v>
      </c>
      <c r="D73" s="15">
        <v>934</v>
      </c>
      <c r="E73" s="32">
        <f t="shared" si="30"/>
        <v>4.0089086859688199E-2</v>
      </c>
      <c r="F73" s="18">
        <f>IF(ISNUMBER(D73), $B91 * E73, "")</f>
        <v>6013.3630289532293</v>
      </c>
      <c r="G73" s="31">
        <v>870</v>
      </c>
      <c r="H73" s="32">
        <f t="shared" si="31"/>
        <v>-3.1180400890868598E-2</v>
      </c>
      <c r="I73" s="91">
        <f>IF(ISNUMBER(G73), $B91 * H73, "")</f>
        <v>-4677.0601336302898</v>
      </c>
      <c r="J73" s="15">
        <v>901</v>
      </c>
      <c r="K73" s="32">
        <f t="shared" si="32"/>
        <v>3.3407572383073497E-3</v>
      </c>
      <c r="L73" s="18">
        <f>IF(ISNUMBER(J73), $B91 * K73, "")</f>
        <v>501.11358574610244</v>
      </c>
      <c r="M73" s="31">
        <v>912</v>
      </c>
      <c r="N73" s="32">
        <f t="shared" si="33"/>
        <v>1.5590200445434299E-2</v>
      </c>
      <c r="O73" s="18">
        <f>IF(ISNUMBER(M73), $B91 * N73, "")</f>
        <v>2338.5300668151449</v>
      </c>
      <c r="Q73" s="146"/>
      <c r="R73" s="146"/>
      <c r="S73" s="146"/>
    </row>
    <row r="74" spans="1:19" ht="17.25" thickBot="1">
      <c r="A74" s="109" t="s">
        <v>60</v>
      </c>
      <c r="B74" s="110">
        <v>725</v>
      </c>
      <c r="C74" s="70">
        <v>9.3514328800000004E-2</v>
      </c>
      <c r="D74" s="15">
        <v>706</v>
      </c>
      <c r="E74" s="32">
        <f t="shared" si="30"/>
        <v>-2.6206896551724139E-2</v>
      </c>
      <c r="F74" s="18">
        <f>IF(ISNUMBER(D74), $B91 * E74, "")</f>
        <v>-3931.0344827586209</v>
      </c>
      <c r="G74" s="31">
        <v>695</v>
      </c>
      <c r="H74" s="32">
        <f t="shared" si="31"/>
        <v>-4.1379310344827586E-2</v>
      </c>
      <c r="I74" s="91">
        <f>IF(ISNUMBER(G74), $B91 * H74, "")</f>
        <v>-6206.8965517241377</v>
      </c>
      <c r="J74" s="15">
        <v>720</v>
      </c>
      <c r="K74" s="32">
        <f t="shared" si="32"/>
        <v>-6.8965517241379309E-3</v>
      </c>
      <c r="L74" s="18">
        <f>IF(ISNUMBER(J74), $B91 * K74, "")</f>
        <v>-1034.4827586206895</v>
      </c>
      <c r="M74" s="31">
        <v>732</v>
      </c>
      <c r="N74" s="32">
        <f t="shared" si="33"/>
        <v>9.655172413793104E-3</v>
      </c>
      <c r="O74" s="18">
        <f>IF(ISNUMBER(M74), $B91 * N74, "")</f>
        <v>1448.2758620689656</v>
      </c>
      <c r="Q74" s="146"/>
      <c r="R74" s="146"/>
      <c r="S74" s="146"/>
    </row>
    <row r="75" spans="1:19" ht="17.25" thickBot="1">
      <c r="A75" s="111" t="s">
        <v>159</v>
      </c>
      <c r="B75" s="112">
        <v>191</v>
      </c>
      <c r="C75" s="71">
        <v>8.5227272699999995E-2</v>
      </c>
      <c r="D75" s="20">
        <v>192</v>
      </c>
      <c r="E75" s="21">
        <f t="shared" si="30"/>
        <v>5.235602094240838E-3</v>
      </c>
      <c r="F75" s="22">
        <f>IF(ISNUMBER(D75), $B91 * E75, "")</f>
        <v>785.3403141361257</v>
      </c>
      <c r="G75" s="30">
        <v>189</v>
      </c>
      <c r="H75" s="21">
        <f t="shared" si="31"/>
        <v>-1.0471204188481676E-2</v>
      </c>
      <c r="I75" s="95">
        <f>IF(ISNUMBER(G75), $B91 * H75, "")</f>
        <v>-1570.6806282722514</v>
      </c>
      <c r="J75" s="20">
        <v>190</v>
      </c>
      <c r="K75" s="21">
        <f t="shared" si="32"/>
        <v>-5.235602094240838E-3</v>
      </c>
      <c r="L75" s="22">
        <f>IF(ISNUMBER(J75), $B91 * K75, "")</f>
        <v>-785.3403141361257</v>
      </c>
      <c r="M75" s="30">
        <v>191</v>
      </c>
      <c r="N75" s="21">
        <f t="shared" si="33"/>
        <v>0</v>
      </c>
      <c r="O75" s="22">
        <f>IF(ISNUMBER(M75), $B91 * N75, "")</f>
        <v>0</v>
      </c>
      <c r="Q75" s="146"/>
      <c r="R75" s="146"/>
      <c r="S75" s="146"/>
    </row>
    <row r="76" spans="1:19" ht="17.25" thickBot="1">
      <c r="A76" s="109" t="s">
        <v>66</v>
      </c>
      <c r="B76" s="113">
        <v>738</v>
      </c>
      <c r="C76" s="73">
        <v>7.8947368399999995E-2</v>
      </c>
      <c r="D76" s="96">
        <v>732</v>
      </c>
      <c r="E76" s="97">
        <f>IF(ISNUMBER(D76), (D76 - $B76) / $B76, "")</f>
        <v>-8.130081300813009E-3</v>
      </c>
      <c r="F76" s="98">
        <f>IF(ISNUMBER(D76), $B91 * E76, "")</f>
        <v>-1219.5121951219514</v>
      </c>
      <c r="G76" s="99">
        <v>720</v>
      </c>
      <c r="H76" s="97">
        <f>IF(ISNUMBER(G76), (G76 - $B76) / $B76, "")</f>
        <v>-2.4390243902439025E-2</v>
      </c>
      <c r="I76" s="100">
        <f>IF(ISNUMBER(G76), $B91 * H76, "")</f>
        <v>-3658.5365853658536</v>
      </c>
      <c r="J76" s="96">
        <v>722</v>
      </c>
      <c r="K76" s="97">
        <f>IF(ISNUMBER(J76), (J76 - $B76) / $B76, "")</f>
        <v>-2.1680216802168022E-2</v>
      </c>
      <c r="L76" s="98">
        <f>IF(ISNUMBER(J76), $B91 * K76, "")</f>
        <v>-3252.0325203252032</v>
      </c>
      <c r="M76" s="99">
        <v>727</v>
      </c>
      <c r="N76" s="97">
        <f>IF(ISNUMBER(M76), (M76 - $B76) / $B76, "")</f>
        <v>-1.4905149051490514E-2</v>
      </c>
      <c r="O76" s="98">
        <f>IF(ISNUMBER(M76), $B91 * N76, "")</f>
        <v>-2235.772357723577</v>
      </c>
      <c r="Q76" s="146"/>
      <c r="R76" s="146"/>
      <c r="S76" s="146"/>
    </row>
    <row r="77" spans="1:19" ht="17.25" thickBot="1">
      <c r="A77" s="109" t="s">
        <v>103</v>
      </c>
      <c r="B77" s="110">
        <v>254</v>
      </c>
      <c r="C77" s="70">
        <v>6.2761506300000006E-2</v>
      </c>
      <c r="D77" s="15">
        <v>252</v>
      </c>
      <c r="E77" s="32">
        <f t="shared" ref="E77:E80" si="34">IF(ISNUMBER(D77), (D77 - $B77) / $B77, "")</f>
        <v>-7.874015748031496E-3</v>
      </c>
      <c r="F77" s="18">
        <f>IF(ISNUMBER(D77), $B91 * E77, "")</f>
        <v>-1181.1023622047244</v>
      </c>
      <c r="G77" s="31">
        <v>247</v>
      </c>
      <c r="H77" s="32">
        <f t="shared" ref="H77:H80" si="35">IF(ISNUMBER(G77), (G77 - $B77) / $B77, "")</f>
        <v>-2.7559055118110236E-2</v>
      </c>
      <c r="I77" s="91">
        <f>IF(ISNUMBER(G77), $B91 * H77, "")</f>
        <v>-4133.858267716535</v>
      </c>
      <c r="J77" s="15">
        <v>251</v>
      </c>
      <c r="K77" s="32">
        <f t="shared" ref="K77:K80" si="36">IF(ISNUMBER(J77), (J77 - $B77) / $B77, "")</f>
        <v>-1.1811023622047244E-2</v>
      </c>
      <c r="L77" s="18">
        <f>IF(ISNUMBER(J77), $B91 * K77, "")</f>
        <v>-1771.6535433070867</v>
      </c>
      <c r="M77" s="31">
        <v>252</v>
      </c>
      <c r="N77" s="32">
        <f t="shared" ref="N77:N80" si="37">IF(ISNUMBER(M77), (M77 - $B77) / $B77, "")</f>
        <v>-7.874015748031496E-3</v>
      </c>
      <c r="O77" s="18">
        <f>IF(ISNUMBER(M77), $B91 * N77, "")</f>
        <v>-1181.1023622047244</v>
      </c>
      <c r="Q77" s="146"/>
      <c r="R77" s="146"/>
      <c r="S77" s="146"/>
    </row>
    <row r="78" spans="1:19" ht="17.25" thickBot="1">
      <c r="A78" s="109" t="s">
        <v>201</v>
      </c>
      <c r="B78" s="110">
        <v>244</v>
      </c>
      <c r="C78" s="70">
        <v>4.2735042700000003E-2</v>
      </c>
      <c r="D78" s="15">
        <v>245</v>
      </c>
      <c r="E78" s="32">
        <f t="shared" si="34"/>
        <v>4.0983606557377051E-3</v>
      </c>
      <c r="F78" s="18">
        <f>IF(ISNUMBER(D78), $B91 * E78, "")</f>
        <v>614.7540983606558</v>
      </c>
      <c r="G78" s="31">
        <v>249</v>
      </c>
      <c r="H78" s="32">
        <f t="shared" si="35"/>
        <v>2.0491803278688523E-2</v>
      </c>
      <c r="I78" s="91">
        <f>IF(ISNUMBER(G78), $B91 * H78, "")</f>
        <v>3073.7704918032787</v>
      </c>
      <c r="J78" s="15">
        <v>248</v>
      </c>
      <c r="K78" s="32">
        <f t="shared" si="36"/>
        <v>1.6393442622950821E-2</v>
      </c>
      <c r="L78" s="18">
        <f>IF(ISNUMBER(J78), $B91 * K78, "")</f>
        <v>2459.0163934426232</v>
      </c>
      <c r="M78" s="31">
        <v>248</v>
      </c>
      <c r="N78" s="32">
        <f t="shared" si="37"/>
        <v>1.6393442622950821E-2</v>
      </c>
      <c r="O78" s="18">
        <f>IF(ISNUMBER(M78), $B91 * N78, "")</f>
        <v>2459.0163934426232</v>
      </c>
      <c r="Q78" s="146"/>
      <c r="R78" s="146"/>
      <c r="S78" s="146"/>
    </row>
    <row r="79" spans="1:19" ht="17.25" thickBot="1">
      <c r="A79" s="109" t="s">
        <v>79</v>
      </c>
      <c r="B79" s="110">
        <v>278</v>
      </c>
      <c r="C79" s="70">
        <v>4.1198501899999997E-2</v>
      </c>
      <c r="D79" s="15">
        <v>278</v>
      </c>
      <c r="E79" s="32">
        <f t="shared" si="34"/>
        <v>0</v>
      </c>
      <c r="F79" s="18">
        <f>IF(ISNUMBER(D79), $B91 * E79, "")</f>
        <v>0</v>
      </c>
      <c r="G79" s="31">
        <v>280</v>
      </c>
      <c r="H79" s="32">
        <f t="shared" si="35"/>
        <v>7.1942446043165471E-3</v>
      </c>
      <c r="I79" s="91">
        <f>IF(ISNUMBER(G79), $B91 * H79, "")</f>
        <v>1079.1366906474821</v>
      </c>
      <c r="J79" s="15">
        <v>283</v>
      </c>
      <c r="K79" s="32">
        <f t="shared" si="36"/>
        <v>1.7985611510791366E-2</v>
      </c>
      <c r="L79" s="18">
        <f>IF(ISNUMBER(J79), $B91 * K79, "")</f>
        <v>2697.8417266187048</v>
      </c>
      <c r="M79" s="31">
        <v>284</v>
      </c>
      <c r="N79" s="32">
        <f t="shared" si="37"/>
        <v>2.1582733812949641E-2</v>
      </c>
      <c r="O79" s="18">
        <f>IF(ISNUMBER(M79), $B91 * N79, "")</f>
        <v>3237.4100719424464</v>
      </c>
      <c r="Q79" s="33"/>
      <c r="R79" s="33"/>
    </row>
    <row r="80" spans="1:19" ht="17.25" thickBot="1">
      <c r="A80" s="114" t="s">
        <v>341</v>
      </c>
      <c r="B80" s="115">
        <v>780</v>
      </c>
      <c r="C80" s="72">
        <v>3.7234042600000003E-2</v>
      </c>
      <c r="D80" s="24">
        <v>778</v>
      </c>
      <c r="E80" s="25">
        <f t="shared" si="34"/>
        <v>-2.5641025641025641E-3</v>
      </c>
      <c r="F80" s="94">
        <f>IF(ISNUMBER(D80), $B91 * E80, "")</f>
        <v>-384.61538461538464</v>
      </c>
      <c r="G80" s="92">
        <v>773</v>
      </c>
      <c r="H80" s="25">
        <f t="shared" si="35"/>
        <v>-8.9743589743589737E-3</v>
      </c>
      <c r="I80" s="93">
        <f>IF(ISNUMBER(G80), $B91 * H80, "")</f>
        <v>-1346.153846153846</v>
      </c>
      <c r="J80" s="24">
        <v>784</v>
      </c>
      <c r="K80" s="25">
        <f t="shared" si="36"/>
        <v>5.1282051282051282E-3</v>
      </c>
      <c r="L80" s="94">
        <f>IF(ISNUMBER(J80), $B91 * K80, "")</f>
        <v>769.23076923076928</v>
      </c>
      <c r="M80" s="92">
        <v>804</v>
      </c>
      <c r="N80" s="25">
        <f t="shared" si="37"/>
        <v>3.0769230769230771E-2</v>
      </c>
      <c r="O80" s="94">
        <f>IF(ISNUMBER(M80), $B91 * N80, "")</f>
        <v>4615.3846153846152</v>
      </c>
      <c r="Q80" s="147"/>
      <c r="R80" s="148"/>
      <c r="S80" s="149"/>
    </row>
    <row r="81" spans="1:19">
      <c r="A81" s="107" t="s">
        <v>330</v>
      </c>
      <c r="B81" s="108">
        <v>319</v>
      </c>
      <c r="C81" s="69">
        <v>3.5714285700000001E-2</v>
      </c>
      <c r="D81" s="13">
        <v>320</v>
      </c>
      <c r="E81" s="14">
        <f>IF(ISNUMBER(D81), (D81 - $B81) / $B81, "")</f>
        <v>3.134796238244514E-3</v>
      </c>
      <c r="F81" s="16">
        <f>IF(ISNUMBER(D81), $B91 * E81, "")</f>
        <v>470.2194357366771</v>
      </c>
      <c r="G81" s="29">
        <v>320</v>
      </c>
      <c r="H81" s="14">
        <f>IF(ISNUMBER(G81), (G81 - $B81) / $B81, "")</f>
        <v>3.134796238244514E-3</v>
      </c>
      <c r="I81" s="90">
        <f>IF(ISNUMBER(G81), $B91 * H81, "")</f>
        <v>470.2194357366771</v>
      </c>
      <c r="J81" s="13">
        <v>321</v>
      </c>
      <c r="K81" s="14">
        <f>IF(ISNUMBER(J81), (J81 - $B81) / $B81, "")</f>
        <v>6.269592476489028E-3</v>
      </c>
      <c r="L81" s="16">
        <f>IF(ISNUMBER(J81), $B91 * K81, "")</f>
        <v>940.4388714733542</v>
      </c>
      <c r="M81" s="29">
        <v>324</v>
      </c>
      <c r="N81" s="14">
        <f>IF(ISNUMBER(M81), (M81 - $B81) / $B81, "")</f>
        <v>1.5673981191222569E-2</v>
      </c>
      <c r="O81" s="16">
        <f>IF(ISNUMBER(M81), $B91 * N81, "")</f>
        <v>2351.0971786833852</v>
      </c>
      <c r="Q81" s="150"/>
      <c r="R81" s="151"/>
      <c r="S81" s="152"/>
    </row>
    <row r="82" spans="1:19" ht="17.25" thickBot="1">
      <c r="A82" s="109" t="s">
        <v>111</v>
      </c>
      <c r="B82" s="110">
        <v>808</v>
      </c>
      <c r="C82" s="70">
        <v>3.3248081800000003E-2</v>
      </c>
      <c r="D82" s="15">
        <v>795</v>
      </c>
      <c r="E82" s="32">
        <f t="shared" ref="E82:E85" si="38">IF(ISNUMBER(D82), (D82 - $B82) / $B82, "")</f>
        <v>-1.608910891089109E-2</v>
      </c>
      <c r="F82" s="18">
        <f>IF(ISNUMBER(D82), $B91 * E82, "")</f>
        <v>-2413.3663366336636</v>
      </c>
      <c r="G82" s="31">
        <v>779</v>
      </c>
      <c r="H82" s="32">
        <f t="shared" ref="H82:H85" si="39">IF(ISNUMBER(G82), (G82 - $B82) / $B82, "")</f>
        <v>-3.5891089108910888E-2</v>
      </c>
      <c r="I82" s="91">
        <f>IF(ISNUMBER(G82), $B91 * H82, "")</f>
        <v>-5383.6633663366329</v>
      </c>
      <c r="J82" s="15">
        <v>795</v>
      </c>
      <c r="K82" s="32">
        <f t="shared" ref="K82:K85" si="40">IF(ISNUMBER(J82), (J82 - $B82) / $B82, "")</f>
        <v>-1.608910891089109E-2</v>
      </c>
      <c r="L82" s="18">
        <f>IF(ISNUMBER(J82), $B91 * K82, "")</f>
        <v>-2413.3663366336636</v>
      </c>
      <c r="M82" s="31">
        <v>832</v>
      </c>
      <c r="N82" s="32">
        <f t="shared" ref="N82:N85" si="41">IF(ISNUMBER(M82), (M82 - $B82) / $B82, "")</f>
        <v>2.9702970297029702E-2</v>
      </c>
      <c r="O82" s="18">
        <f>IF(ISNUMBER(M82), $B91 * N82, "")</f>
        <v>4455.4455445544554</v>
      </c>
      <c r="Q82" s="153"/>
      <c r="R82" s="154"/>
      <c r="S82" s="155"/>
    </row>
    <row r="83" spans="1:19" ht="17.25" thickBot="1">
      <c r="A83" s="109" t="s">
        <v>205</v>
      </c>
      <c r="B83" s="110">
        <v>107</v>
      </c>
      <c r="C83" s="70">
        <v>2.88461538E-2</v>
      </c>
      <c r="D83" s="15">
        <v>111</v>
      </c>
      <c r="E83" s="32">
        <f t="shared" si="38"/>
        <v>3.7383177570093455E-2</v>
      </c>
      <c r="F83" s="18">
        <f>IF(ISNUMBER(D83), $B91 * E83, "")</f>
        <v>5607.4766355140182</v>
      </c>
      <c r="G83" s="31">
        <v>112</v>
      </c>
      <c r="H83" s="32">
        <f t="shared" si="39"/>
        <v>4.6728971962616821E-2</v>
      </c>
      <c r="I83" s="91">
        <f>IF(ISNUMBER(G83), $B91 * H83, "")</f>
        <v>7009.3457943925232</v>
      </c>
      <c r="J83" s="15">
        <v>111</v>
      </c>
      <c r="K83" s="32">
        <f t="shared" si="40"/>
        <v>3.7383177570093455E-2</v>
      </c>
      <c r="L83" s="18">
        <f>IF(ISNUMBER(J83), $B91 * K83, "")</f>
        <v>5607.4766355140182</v>
      </c>
      <c r="M83" s="31">
        <v>112</v>
      </c>
      <c r="N83" s="32">
        <f t="shared" si="41"/>
        <v>4.6728971962616821E-2</v>
      </c>
      <c r="O83" s="18">
        <f>IF(ISNUMBER(M83), $B91 * N83, "")</f>
        <v>7009.3457943925232</v>
      </c>
      <c r="Q83" s="146"/>
      <c r="R83" s="146"/>
      <c r="S83" s="146"/>
    </row>
    <row r="84" spans="1:19" ht="17.25" thickBot="1">
      <c r="A84" s="109" t="s">
        <v>149</v>
      </c>
      <c r="B84" s="110">
        <v>429</v>
      </c>
      <c r="C84" s="70">
        <v>2.87769784E-2</v>
      </c>
      <c r="D84" s="15">
        <v>423</v>
      </c>
      <c r="E84" s="32">
        <f t="shared" si="38"/>
        <v>-1.3986013986013986E-2</v>
      </c>
      <c r="F84" s="18">
        <f>IF(ISNUMBER(D84), $B91 * E84, "")</f>
        <v>-2097.9020979020979</v>
      </c>
      <c r="G84" s="31">
        <v>418</v>
      </c>
      <c r="H84" s="32">
        <f t="shared" si="39"/>
        <v>-2.564102564102564E-2</v>
      </c>
      <c r="I84" s="91">
        <f>IF(ISNUMBER(G84), $B91 * H84, "")</f>
        <v>-3846.1538461538462</v>
      </c>
      <c r="J84" s="15">
        <v>422</v>
      </c>
      <c r="K84" s="32">
        <f t="shared" si="40"/>
        <v>-1.6317016317016316E-2</v>
      </c>
      <c r="L84" s="18">
        <f>IF(ISNUMBER(J84), $B91 * K84, "")</f>
        <v>-2447.5524475524476</v>
      </c>
      <c r="M84" s="31">
        <v>433</v>
      </c>
      <c r="N84" s="32">
        <f t="shared" si="41"/>
        <v>9.324009324009324E-3</v>
      </c>
      <c r="O84" s="18">
        <f>IF(ISNUMBER(M84), $B91 * N84, "")</f>
        <v>1398.6013986013986</v>
      </c>
      <c r="Q84" s="156"/>
      <c r="R84" s="156"/>
      <c r="S84" s="156"/>
    </row>
    <row r="85" spans="1:19" ht="17.25" thickBot="1">
      <c r="A85" s="111" t="s">
        <v>105</v>
      </c>
      <c r="B85" s="112">
        <v>228</v>
      </c>
      <c r="C85" s="71">
        <v>2.7027026999999999E-2</v>
      </c>
      <c r="D85" s="20">
        <v>231</v>
      </c>
      <c r="E85" s="21">
        <f t="shared" si="38"/>
        <v>1.3157894736842105E-2</v>
      </c>
      <c r="F85" s="22">
        <f>IF(ISNUMBER(D85), $B91 * E85, "")</f>
        <v>1973.6842105263156</v>
      </c>
      <c r="G85" s="30">
        <v>235</v>
      </c>
      <c r="H85" s="21">
        <f t="shared" si="39"/>
        <v>3.0701754385964911E-2</v>
      </c>
      <c r="I85" s="95">
        <f>IF(ISNUMBER(G85), $B91 * H85, "")</f>
        <v>4605.2631578947367</v>
      </c>
      <c r="J85" s="20">
        <v>242</v>
      </c>
      <c r="K85" s="21">
        <f t="shared" si="40"/>
        <v>6.1403508771929821E-2</v>
      </c>
      <c r="L85" s="22">
        <f>IF(ISNUMBER(J85), $B91 * K85, "")</f>
        <v>9210.5263157894733</v>
      </c>
      <c r="M85" s="30">
        <v>238</v>
      </c>
      <c r="N85" s="21">
        <f t="shared" si="41"/>
        <v>4.3859649122807015E-2</v>
      </c>
      <c r="O85" s="22">
        <f>IF(ISNUMBER(M85), $B91 * N85, "")</f>
        <v>6578.9473684210525</v>
      </c>
      <c r="Q85" s="156"/>
      <c r="R85" s="156"/>
      <c r="S85" s="156"/>
    </row>
    <row r="86" spans="1:19" ht="17.25" thickBot="1">
      <c r="A86" s="109" t="s">
        <v>326</v>
      </c>
      <c r="B86" s="113">
        <v>282</v>
      </c>
      <c r="C86" s="73">
        <v>2.5454545499999998E-2</v>
      </c>
      <c r="D86" s="96">
        <v>285</v>
      </c>
      <c r="E86" s="97">
        <f>IF(ISNUMBER(D86), (D86 - $B86) / $B86, "")</f>
        <v>1.0638297872340425E-2</v>
      </c>
      <c r="F86" s="98">
        <f>IF(ISNUMBER(D86), $B91 * E86, "")</f>
        <v>1595.7446808510638</v>
      </c>
      <c r="G86" s="99">
        <v>283</v>
      </c>
      <c r="H86" s="97">
        <f>IF(ISNUMBER(G86), (G86 - $B86) / $B86, "")</f>
        <v>3.5460992907801418E-3</v>
      </c>
      <c r="I86" s="100">
        <f>IF(ISNUMBER(G86), $B91 * H86, "")</f>
        <v>531.91489361702122</v>
      </c>
      <c r="J86" s="96">
        <v>284</v>
      </c>
      <c r="K86" s="97">
        <f>IF(ISNUMBER(J86), (J86 - $B86) / $B86, "")</f>
        <v>7.0921985815602835E-3</v>
      </c>
      <c r="L86" s="98">
        <f>IF(ISNUMBER(J86), $B91 * K86, "")</f>
        <v>1063.8297872340424</v>
      </c>
      <c r="M86" s="99">
        <v>291</v>
      </c>
      <c r="N86" s="97">
        <f>IF(ISNUMBER(M86), (M86 - $B86) / $B86, "")</f>
        <v>3.1914893617021274E-2</v>
      </c>
      <c r="O86" s="98">
        <f>IF(ISNUMBER(M86), $B91 * N86, "")</f>
        <v>4787.2340425531911</v>
      </c>
      <c r="Q86" s="146"/>
      <c r="R86" s="146"/>
      <c r="S86" s="146"/>
    </row>
    <row r="87" spans="1:19" ht="17.25" thickBot="1">
      <c r="A87" s="109" t="s">
        <v>345</v>
      </c>
      <c r="B87" s="110">
        <v>126</v>
      </c>
      <c r="C87" s="70">
        <v>2.4390243900000001E-2</v>
      </c>
      <c r="D87" s="15">
        <v>133</v>
      </c>
      <c r="E87" s="32">
        <f t="shared" ref="E87:E90" si="42">IF(ISNUMBER(D87), (D87 - $B87) / $B87, "")</f>
        <v>5.5555555555555552E-2</v>
      </c>
      <c r="F87" s="18">
        <f>IF(ISNUMBER(D87), $B91 * E87, "")</f>
        <v>8333.3333333333321</v>
      </c>
      <c r="G87" s="31">
        <v>198</v>
      </c>
      <c r="H87" s="32">
        <f t="shared" ref="H87:H90" si="43">IF(ISNUMBER(G87), (G87 - $B87) / $B87, "")</f>
        <v>0.5714285714285714</v>
      </c>
      <c r="I87" s="91">
        <f>IF(ISNUMBER(G87), $B91 * H87, "")</f>
        <v>85714.28571428571</v>
      </c>
      <c r="J87" s="15">
        <v>199</v>
      </c>
      <c r="K87" s="32">
        <f t="shared" ref="K87:K90" si="44">IF(ISNUMBER(J87), (J87 - $B87) / $B87, "")</f>
        <v>0.57936507936507942</v>
      </c>
      <c r="L87" s="18">
        <f>IF(ISNUMBER(J87), $B91 * K87, "")</f>
        <v>86904.761904761908</v>
      </c>
      <c r="M87" s="31">
        <v>190</v>
      </c>
      <c r="N87" s="32">
        <f t="shared" ref="N87:N90" si="45">IF(ISNUMBER(M87), (M87 - $B87) / $B87, "")</f>
        <v>0.50793650793650791</v>
      </c>
      <c r="O87" s="18">
        <f>IF(ISNUMBER(M87), $B91 * N87, "")</f>
        <v>76190.476190476184</v>
      </c>
      <c r="Q87" s="146"/>
      <c r="R87" s="146"/>
      <c r="S87" s="146"/>
    </row>
    <row r="88" spans="1:19" ht="17.25" thickBot="1">
      <c r="A88" s="109" t="s">
        <v>85</v>
      </c>
      <c r="B88" s="110">
        <v>169</v>
      </c>
      <c r="C88" s="70">
        <v>2.4242424200000001E-2</v>
      </c>
      <c r="D88" s="15">
        <v>170</v>
      </c>
      <c r="E88" s="32">
        <f t="shared" si="42"/>
        <v>5.9171597633136093E-3</v>
      </c>
      <c r="F88" s="18">
        <f>IF(ISNUMBER(D88), $B91 * E88, "")</f>
        <v>887.5739644970414</v>
      </c>
      <c r="G88" s="31">
        <v>167</v>
      </c>
      <c r="H88" s="32">
        <f t="shared" si="43"/>
        <v>-1.1834319526627219E-2</v>
      </c>
      <c r="I88" s="91">
        <f>IF(ISNUMBER(G88), $B91 * H88, "")</f>
        <v>-1775.1479289940828</v>
      </c>
      <c r="J88" s="15">
        <v>168</v>
      </c>
      <c r="K88" s="32">
        <f t="shared" si="44"/>
        <v>-5.9171597633136093E-3</v>
      </c>
      <c r="L88" s="18">
        <f>IF(ISNUMBER(J88), $B91 * K88, "")</f>
        <v>-887.5739644970414</v>
      </c>
      <c r="M88" s="31">
        <v>170</v>
      </c>
      <c r="N88" s="32">
        <f t="shared" si="45"/>
        <v>5.9171597633136093E-3</v>
      </c>
      <c r="O88" s="18">
        <f>IF(ISNUMBER(M88), $B91 * N88, "")</f>
        <v>887.5739644970414</v>
      </c>
      <c r="Q88" s="146"/>
      <c r="R88" s="146"/>
      <c r="S88" s="146"/>
    </row>
    <row r="89" spans="1:19">
      <c r="A89" s="109" t="s">
        <v>332</v>
      </c>
      <c r="B89" s="110">
        <v>592</v>
      </c>
      <c r="C89" s="70">
        <v>2.4221453300000001E-2</v>
      </c>
      <c r="D89" s="15">
        <v>599</v>
      </c>
      <c r="E89" s="32">
        <f t="shared" si="42"/>
        <v>1.1824324324324325E-2</v>
      </c>
      <c r="F89" s="18">
        <f>IF(ISNUMBER(D89), $B91 * E89, "")</f>
        <v>1773.6486486486488</v>
      </c>
      <c r="G89" s="31">
        <v>596</v>
      </c>
      <c r="H89" s="32">
        <f t="shared" si="43"/>
        <v>6.7567567567567571E-3</v>
      </c>
      <c r="I89" s="91">
        <f>IF(ISNUMBER(G89), $B91 * H89, "")</f>
        <v>1013.5135135135135</v>
      </c>
      <c r="J89" s="15">
        <v>603</v>
      </c>
      <c r="K89" s="32">
        <f t="shared" si="44"/>
        <v>1.8581081081081082E-2</v>
      </c>
      <c r="L89" s="18">
        <f>IF(ISNUMBER(J89), $B91 * K89, "")</f>
        <v>2787.1621621621625</v>
      </c>
      <c r="M89" s="31">
        <v>617</v>
      </c>
      <c r="N89" s="32">
        <f t="shared" si="45"/>
        <v>4.2229729729729729E-2</v>
      </c>
      <c r="O89" s="18">
        <f>IF(ISNUMBER(M89), $B91 * N89, "")</f>
        <v>6334.4594594594591</v>
      </c>
      <c r="Q89" s="135"/>
      <c r="R89" s="136"/>
      <c r="S89" s="137"/>
    </row>
    <row r="90" spans="1:19" ht="17.25" thickBot="1">
      <c r="A90" s="114" t="s">
        <v>169</v>
      </c>
      <c r="B90" s="115">
        <v>258</v>
      </c>
      <c r="C90" s="72">
        <v>2.3809523799999999E-2</v>
      </c>
      <c r="D90" s="24">
        <v>263</v>
      </c>
      <c r="E90" s="25">
        <f t="shared" si="42"/>
        <v>1.937984496124031E-2</v>
      </c>
      <c r="F90" s="94">
        <f>IF(ISNUMBER(D90), $B91 * E90, "")</f>
        <v>2906.9767441860463</v>
      </c>
      <c r="G90" s="92">
        <v>263</v>
      </c>
      <c r="H90" s="25">
        <f t="shared" si="43"/>
        <v>1.937984496124031E-2</v>
      </c>
      <c r="I90" s="93">
        <f>IF(ISNUMBER(G90), $B91 * H90, "")</f>
        <v>2906.9767441860463</v>
      </c>
      <c r="J90" s="24">
        <v>263</v>
      </c>
      <c r="K90" s="25">
        <f t="shared" si="44"/>
        <v>1.937984496124031E-2</v>
      </c>
      <c r="L90" s="94">
        <f>IF(ISNUMBER(J90), $B91 * K90, "")</f>
        <v>2906.9767441860463</v>
      </c>
      <c r="M90" s="92">
        <v>268</v>
      </c>
      <c r="N90" s="25">
        <f t="shared" si="45"/>
        <v>3.875968992248062E-2</v>
      </c>
      <c r="O90" s="94">
        <f>IF(ISNUMBER(M90), $B91 * N90, "")</f>
        <v>5813.9534883720926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2.9650815497224474E-2</v>
      </c>
      <c r="F91" s="28">
        <f>SUM(F71:F90)</f>
        <v>88952.4464916734</v>
      </c>
      <c r="G91" s="26" t="s">
        <v>258</v>
      </c>
      <c r="H91" s="27">
        <f>IF(COUNT(H71:H90), SUM(H71:H90) / COUNT(H71:H90), 0)</f>
        <v>3.9668737999277295E-2</v>
      </c>
      <c r="I91" s="28">
        <f>SUM(I71:I90)</f>
        <v>119006.21399783187</v>
      </c>
      <c r="J91" s="26" t="s">
        <v>258</v>
      </c>
      <c r="K91" s="27">
        <f>IF(COUNT(K71:K90), SUM(K71:K90) / COUNT(K71:K90), 0)</f>
        <v>4.8635889211141634E-2</v>
      </c>
      <c r="L91" s="28">
        <f>SUM(L71:L90)</f>
        <v>145907.66763342489</v>
      </c>
      <c r="M91" s="26" t="s">
        <v>258</v>
      </c>
      <c r="N91" s="27">
        <f>IF(COUNT(N71:N90), SUM(N71:N90) / COUNT(N71:N90), 0)</f>
        <v>5.9750671485098772E-2</v>
      </c>
      <c r="O91" s="28">
        <f>SUM(O71:O90)</f>
        <v>179252.01445529627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2023-01-15(일) 오전 00:00</v>
      </c>
      <c r="C96" s="198"/>
      <c r="D96" s="170" t="str">
        <f>TEXT($G$1, "[$-ko-KR]yyyy-mm-dd(ddd) ") &amp; "오후 14:00"</f>
        <v>2023-01-15(일) 오후 14:00</v>
      </c>
      <c r="E96" s="171"/>
      <c r="F96" s="172"/>
      <c r="G96" s="170" t="str">
        <f>TEXT($G$1, "[$-ko-KR]yyyy-mm-dd(ddd) ") &amp; "오후 19:00"</f>
        <v>2023-01-15(일) 오후 19:00</v>
      </c>
      <c r="H96" s="171"/>
      <c r="I96" s="172"/>
      <c r="J96" s="170" t="str">
        <f>TEXT($G$1, "[$-ko-KR]yyyy-mm-dd(ddd) ") &amp; "오후 21:00"</f>
        <v>2023-01-15(일) 오후 21:00</v>
      </c>
      <c r="K96" s="171"/>
      <c r="L96" s="172"/>
      <c r="M96" s="170" t="str">
        <f>TEXT($G$1+1, "[$-ko-KR]yyyy-mm-dd(ddd) ") &amp; "오전 00:00"</f>
        <v>2023-01-16(월)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68</v>
      </c>
      <c r="B98" s="108">
        <v>535</v>
      </c>
      <c r="C98" s="69">
        <v>0.65634674920000002</v>
      </c>
      <c r="D98" s="13">
        <v>781</v>
      </c>
      <c r="E98" s="14">
        <f>IF(ISNUMBER(D98), (D98 - $B98) / $B98, "")</f>
        <v>0.45981308411214955</v>
      </c>
      <c r="F98" s="16">
        <f>IF(ISNUMBER(D98), $B118 * E98, "")</f>
        <v>68971.962616822435</v>
      </c>
      <c r="G98" s="29">
        <v>712</v>
      </c>
      <c r="H98" s="14">
        <f>IF(ISNUMBER(G98), (G98 - $B98) / $B98, "")</f>
        <v>0.33084112149532713</v>
      </c>
      <c r="I98" s="90">
        <f>IF(ISNUMBER(G98), $B118 * H98, "")</f>
        <v>49626.168224299072</v>
      </c>
      <c r="J98" s="13">
        <v>688</v>
      </c>
      <c r="K98" s="14">
        <f>IF(ISNUMBER(J98), (J98 - $B98) / $B98, "")</f>
        <v>0.28598130841121494</v>
      </c>
      <c r="L98" s="16">
        <f>IF(ISNUMBER(J98), $B118 * K98, "")</f>
        <v>42897.196261682242</v>
      </c>
      <c r="M98" s="29">
        <v>696</v>
      </c>
      <c r="N98" s="14">
        <f>IF(ISNUMBER(M98), (M98 - $B98) / $B98, "")</f>
        <v>0.30093457943925234</v>
      </c>
      <c r="O98" s="16">
        <f>IF(ISNUMBER(M98), $B118 * N98, "")</f>
        <v>45140.186915887847</v>
      </c>
      <c r="Q98" s="156"/>
      <c r="R98" s="156"/>
      <c r="S98" s="156"/>
    </row>
    <row r="99" spans="1:19" ht="17.25" thickBot="1">
      <c r="A99" s="109" t="s">
        <v>319</v>
      </c>
      <c r="B99" s="110">
        <v>610</v>
      </c>
      <c r="C99" s="70">
        <v>0.3465783664</v>
      </c>
      <c r="D99" s="15">
        <v>611</v>
      </c>
      <c r="E99" s="32">
        <f t="shared" ref="E99:E102" si="46">IF(ISNUMBER(D99), (D99 - $B99) / $B99, "")</f>
        <v>1.639344262295082E-3</v>
      </c>
      <c r="F99" s="18">
        <f>IF(ISNUMBER(D99), $B118 * E99, "")</f>
        <v>245.90163934426229</v>
      </c>
      <c r="G99" s="31">
        <v>592</v>
      </c>
      <c r="H99" s="32">
        <f t="shared" ref="H99:H102" si="47">IF(ISNUMBER(G99), (G99 - $B99) / $B99, "")</f>
        <v>-2.9508196721311476E-2</v>
      </c>
      <c r="I99" s="91">
        <f>IF(ISNUMBER(G99), $B118 * H99, "")</f>
        <v>-4426.2295081967213</v>
      </c>
      <c r="J99" s="15">
        <v>609</v>
      </c>
      <c r="K99" s="32">
        <f t="shared" ref="K99:K102" si="48">IF(ISNUMBER(J99), (J99 - $B99) / $B99, "")</f>
        <v>-1.639344262295082E-3</v>
      </c>
      <c r="L99" s="18">
        <f>IF(ISNUMBER(J99), $B118 * K99, "")</f>
        <v>-245.90163934426229</v>
      </c>
      <c r="M99" s="31">
        <v>641</v>
      </c>
      <c r="N99" s="32">
        <f t="shared" ref="N99:N102" si="49">IF(ISNUMBER(M99), (M99 - $B99) / $B99, "")</f>
        <v>5.0819672131147541E-2</v>
      </c>
      <c r="O99" s="18">
        <f>IF(ISNUMBER(M99), $B118 * N99, "")</f>
        <v>7622.9508196721308</v>
      </c>
      <c r="Q99" s="156"/>
      <c r="R99" s="156"/>
      <c r="S99" s="156"/>
    </row>
    <row r="100" spans="1:19" ht="17.25" thickBot="1">
      <c r="A100" s="109" t="s">
        <v>343</v>
      </c>
      <c r="B100" s="110">
        <v>27640</v>
      </c>
      <c r="C100" s="70">
        <v>0.21441124780000001</v>
      </c>
      <c r="D100" s="15">
        <v>28440</v>
      </c>
      <c r="E100" s="32">
        <f t="shared" si="46"/>
        <v>2.8943560057887119E-2</v>
      </c>
      <c r="F100" s="18">
        <f>IF(ISNUMBER(D100), $B118 * E100, "")</f>
        <v>4341.5340086830674</v>
      </c>
      <c r="G100" s="31">
        <v>27990</v>
      </c>
      <c r="H100" s="32">
        <f t="shared" si="47"/>
        <v>1.2662807525325614E-2</v>
      </c>
      <c r="I100" s="91">
        <f>IF(ISNUMBER(G100), $B118 * H100, "")</f>
        <v>1899.4211287988421</v>
      </c>
      <c r="J100" s="15">
        <v>28370</v>
      </c>
      <c r="K100" s="32">
        <f t="shared" si="48"/>
        <v>2.6410998552821998E-2</v>
      </c>
      <c r="L100" s="18">
        <f>IF(ISNUMBER(J100), $B118 * K100, "")</f>
        <v>3961.6497829232999</v>
      </c>
      <c r="M100" s="31">
        <v>28910</v>
      </c>
      <c r="N100" s="32">
        <f t="shared" si="49"/>
        <v>4.5947901591895803E-2</v>
      </c>
      <c r="O100" s="18">
        <f>IF(ISNUMBER(M100), $B118 * N100, "")</f>
        <v>6892.1852387843701</v>
      </c>
      <c r="Q100" s="146"/>
      <c r="R100" s="146"/>
      <c r="S100" s="146"/>
    </row>
    <row r="101" spans="1:19" ht="17.25" thickBot="1">
      <c r="A101" s="109" t="s">
        <v>130</v>
      </c>
      <c r="B101" s="110">
        <v>898</v>
      </c>
      <c r="C101" s="70">
        <v>0.19098143240000001</v>
      </c>
      <c r="D101" s="15">
        <v>934</v>
      </c>
      <c r="E101" s="32">
        <f t="shared" si="46"/>
        <v>4.0089086859688199E-2</v>
      </c>
      <c r="F101" s="18">
        <f>IF(ISNUMBER(D101), $B118 * E101, "")</f>
        <v>6013.3630289532293</v>
      </c>
      <c r="G101" s="31">
        <v>870</v>
      </c>
      <c r="H101" s="32">
        <f t="shared" si="47"/>
        <v>-3.1180400890868598E-2</v>
      </c>
      <c r="I101" s="91">
        <f>IF(ISNUMBER(G101), $B118 * H101, "")</f>
        <v>-4677.0601336302898</v>
      </c>
      <c r="J101" s="15">
        <v>901</v>
      </c>
      <c r="K101" s="32">
        <f t="shared" si="48"/>
        <v>3.3407572383073497E-3</v>
      </c>
      <c r="L101" s="18">
        <f>IF(ISNUMBER(J101), $B118 * K101, "")</f>
        <v>501.11358574610244</v>
      </c>
      <c r="M101" s="31">
        <v>912</v>
      </c>
      <c r="N101" s="32">
        <f t="shared" si="49"/>
        <v>1.5590200445434299E-2</v>
      </c>
      <c r="O101" s="18">
        <f>IF(ISNUMBER(M101), $B118 * N101, "")</f>
        <v>2338.5300668151449</v>
      </c>
      <c r="Q101" s="146"/>
      <c r="R101" s="146"/>
      <c r="S101" s="146"/>
    </row>
    <row r="102" spans="1:19" ht="17.25" thickBot="1">
      <c r="A102" s="111" t="s">
        <v>335</v>
      </c>
      <c r="B102" s="112">
        <v>2785</v>
      </c>
      <c r="C102" s="71">
        <v>0.1437371663</v>
      </c>
      <c r="D102" s="20">
        <v>2650</v>
      </c>
      <c r="E102" s="21">
        <f t="shared" si="46"/>
        <v>-4.8473967684021541E-2</v>
      </c>
      <c r="F102" s="22">
        <f>IF(ISNUMBER(D102), $B118 * E102, "")</f>
        <v>-7271.0951526032313</v>
      </c>
      <c r="G102" s="30">
        <v>2650</v>
      </c>
      <c r="H102" s="21">
        <f t="shared" si="47"/>
        <v>-4.8473967684021541E-2</v>
      </c>
      <c r="I102" s="95">
        <f>IF(ISNUMBER(G102), $B118 * H102, "")</f>
        <v>-7271.0951526032313</v>
      </c>
      <c r="J102" s="20">
        <v>2680</v>
      </c>
      <c r="K102" s="21">
        <f t="shared" si="48"/>
        <v>-3.7701974865350089E-2</v>
      </c>
      <c r="L102" s="22">
        <f>IF(ISNUMBER(J102), $B118 * K102, "")</f>
        <v>-5655.2962298025132</v>
      </c>
      <c r="M102" s="30">
        <v>2730</v>
      </c>
      <c r="N102" s="21">
        <f t="shared" si="49"/>
        <v>-1.9748653500897665E-2</v>
      </c>
      <c r="O102" s="22">
        <f>IF(ISNUMBER(M102), $B118 * N102, "")</f>
        <v>-2962.2980251346498</v>
      </c>
      <c r="Q102" s="146"/>
      <c r="R102" s="146"/>
      <c r="S102" s="146"/>
    </row>
    <row r="103" spans="1:19" ht="17.25" thickBot="1">
      <c r="A103" s="109" t="s">
        <v>217</v>
      </c>
      <c r="B103" s="113">
        <v>76.8</v>
      </c>
      <c r="C103" s="73">
        <v>0.12445095170000001</v>
      </c>
      <c r="D103" s="96">
        <v>73.900000000000006</v>
      </c>
      <c r="E103" s="97">
        <f>IF(ISNUMBER(D103), (D103 - $B103) / $B103, "")</f>
        <v>-3.776041666666656E-2</v>
      </c>
      <c r="F103" s="98">
        <f>IF(ISNUMBER(D103), $B118 * E103, "")</f>
        <v>-5664.0624999999836</v>
      </c>
      <c r="G103" s="99">
        <v>72.3</v>
      </c>
      <c r="H103" s="97">
        <f>IF(ISNUMBER(G103), (G103 - $B103) / $B103, "")</f>
        <v>-5.859375E-2</v>
      </c>
      <c r="I103" s="100">
        <f>IF(ISNUMBER(G103), $B118 * H103, "")</f>
        <v>-8789.0625</v>
      </c>
      <c r="J103" s="96">
        <v>72.900000000000006</v>
      </c>
      <c r="K103" s="97">
        <f>IF(ISNUMBER(J103), (J103 - $B103) / $B103, "")</f>
        <v>-5.0781249999999889E-2</v>
      </c>
      <c r="L103" s="98">
        <f>IF(ISNUMBER(J103), $B118 * K103, "")</f>
        <v>-7617.1874999999836</v>
      </c>
      <c r="M103" s="99">
        <v>73.400000000000006</v>
      </c>
      <c r="N103" s="97">
        <f>IF(ISNUMBER(M103), (M103 - $B103) / $B103, "")</f>
        <v>-4.4270833333333225E-2</v>
      </c>
      <c r="O103" s="98">
        <f>IF(ISNUMBER(M103), $B118 * N103, "")</f>
        <v>-6640.6249999999836</v>
      </c>
      <c r="Q103" s="146"/>
      <c r="R103" s="146"/>
      <c r="S103" s="146"/>
    </row>
    <row r="104" spans="1:19" ht="17.25" thickBot="1">
      <c r="A104" s="109" t="s">
        <v>151</v>
      </c>
      <c r="B104" s="110">
        <v>2530</v>
      </c>
      <c r="C104" s="70">
        <v>0.11453744489999999</v>
      </c>
      <c r="D104" s="15">
        <v>2955</v>
      </c>
      <c r="E104" s="32">
        <f t="shared" ref="E104:E107" si="50">IF(ISNUMBER(D104), (D104 - $B104) / $B104, "")</f>
        <v>0.16798418972332016</v>
      </c>
      <c r="F104" s="18">
        <f>IF(ISNUMBER(D104), $B118 * E104, "")</f>
        <v>25197.628458498024</v>
      </c>
      <c r="G104" s="31">
        <v>2750</v>
      </c>
      <c r="H104" s="32">
        <f t="shared" ref="H104:H107" si="51">IF(ISNUMBER(G104), (G104 - $B104) / $B104, "")</f>
        <v>8.6956521739130432E-2</v>
      </c>
      <c r="I104" s="91">
        <f>IF(ISNUMBER(G104), $B118 * H104, "")</f>
        <v>13043.478260869564</v>
      </c>
      <c r="J104" s="15">
        <v>2815</v>
      </c>
      <c r="K104" s="32">
        <f t="shared" ref="K104:K107" si="52">IF(ISNUMBER(J104), (J104 - $B104) / $B104, "")</f>
        <v>0.11264822134387352</v>
      </c>
      <c r="L104" s="18">
        <f>IF(ISNUMBER(J104), $B118 * K104, "")</f>
        <v>16897.233201581028</v>
      </c>
      <c r="M104" s="31">
        <v>2880</v>
      </c>
      <c r="N104" s="32">
        <f t="shared" ref="N104:N107" si="53">IF(ISNUMBER(M104), (M104 - $B104) / $B104, "")</f>
        <v>0.13833992094861661</v>
      </c>
      <c r="O104" s="18">
        <f>IF(ISNUMBER(M104), $B118 * N104, "")</f>
        <v>20750.988142292492</v>
      </c>
      <c r="Q104" s="146"/>
      <c r="R104" s="146"/>
      <c r="S104" s="146"/>
    </row>
    <row r="105" spans="1:19" ht="17.25" thickBot="1">
      <c r="A105" s="109" t="s">
        <v>128</v>
      </c>
      <c r="B105" s="110">
        <v>7495</v>
      </c>
      <c r="C105" s="70">
        <v>0.11449814129999999</v>
      </c>
      <c r="D105" s="15">
        <v>7290</v>
      </c>
      <c r="E105" s="32">
        <f t="shared" si="50"/>
        <v>-2.7351567711807873E-2</v>
      </c>
      <c r="F105" s="18">
        <f>IF(ISNUMBER(D105), $B118 * E105, "")</f>
        <v>-4102.7351567711812</v>
      </c>
      <c r="G105" s="31">
        <v>7300</v>
      </c>
      <c r="H105" s="32">
        <f t="shared" si="51"/>
        <v>-2.6017344896597731E-2</v>
      </c>
      <c r="I105" s="91">
        <f>IF(ISNUMBER(G105), $B118 * H105, "")</f>
        <v>-3902.6017344896595</v>
      </c>
      <c r="J105" s="15">
        <v>7370</v>
      </c>
      <c r="K105" s="32">
        <f t="shared" si="52"/>
        <v>-1.6677785190126752E-2</v>
      </c>
      <c r="L105" s="18">
        <f>IF(ISNUMBER(J105), $B118 * K105, "")</f>
        <v>-2501.6677785190127</v>
      </c>
      <c r="M105" s="31">
        <v>7460</v>
      </c>
      <c r="N105" s="32">
        <f t="shared" si="53"/>
        <v>-4.6697798532354907E-3</v>
      </c>
      <c r="O105" s="18">
        <f>IF(ISNUMBER(M105), $B118 * N105, "")</f>
        <v>-700.46697798532364</v>
      </c>
      <c r="Q105" s="146"/>
      <c r="R105" s="146"/>
      <c r="S105" s="146"/>
    </row>
    <row r="106" spans="1:19" ht="17.25" thickBot="1">
      <c r="A106" s="109" t="s">
        <v>95</v>
      </c>
      <c r="B106" s="110">
        <v>1255</v>
      </c>
      <c r="C106" s="70">
        <v>9.6069869000000002E-2</v>
      </c>
      <c r="D106" s="15">
        <v>1265</v>
      </c>
      <c r="E106" s="32">
        <f t="shared" si="50"/>
        <v>7.9681274900398405E-3</v>
      </c>
      <c r="F106" s="18">
        <f>IF(ISNUMBER(D106), $B118 * E106, "")</f>
        <v>1195.2191235059761</v>
      </c>
      <c r="G106" s="31">
        <v>1285</v>
      </c>
      <c r="H106" s="32">
        <f t="shared" si="51"/>
        <v>2.3904382470119521E-2</v>
      </c>
      <c r="I106" s="91">
        <f>IF(ISNUMBER(G106), $B118 * H106, "")</f>
        <v>3585.657370517928</v>
      </c>
      <c r="J106" s="15">
        <v>1260</v>
      </c>
      <c r="K106" s="32">
        <f t="shared" si="52"/>
        <v>3.9840637450199202E-3</v>
      </c>
      <c r="L106" s="18">
        <f>IF(ISNUMBER(J106), $B118 * K106, "")</f>
        <v>597.60956175298804</v>
      </c>
      <c r="M106" s="31">
        <v>1270</v>
      </c>
      <c r="N106" s="32">
        <f t="shared" si="53"/>
        <v>1.1952191235059761E-2</v>
      </c>
      <c r="O106" s="18">
        <f>IF(ISNUMBER(M106), $B118 * N106, "")</f>
        <v>1792.828685258964</v>
      </c>
      <c r="Q106" s="33"/>
      <c r="R106" s="33"/>
    </row>
    <row r="107" spans="1:19" ht="17.25" thickBot="1">
      <c r="A107" s="114" t="s">
        <v>60</v>
      </c>
      <c r="B107" s="115">
        <v>725</v>
      </c>
      <c r="C107" s="72">
        <v>9.3514328800000004E-2</v>
      </c>
      <c r="D107" s="24">
        <v>706</v>
      </c>
      <c r="E107" s="25">
        <f t="shared" si="50"/>
        <v>-2.6206896551724139E-2</v>
      </c>
      <c r="F107" s="94">
        <f>IF(ISNUMBER(D107), $B118 * E107, "")</f>
        <v>-3931.0344827586209</v>
      </c>
      <c r="G107" s="92">
        <v>695</v>
      </c>
      <c r="H107" s="25">
        <f t="shared" si="51"/>
        <v>-4.1379310344827586E-2</v>
      </c>
      <c r="I107" s="93">
        <f>IF(ISNUMBER(G107), $B118 * H107, "")</f>
        <v>-6206.8965517241377</v>
      </c>
      <c r="J107" s="24">
        <v>720</v>
      </c>
      <c r="K107" s="25">
        <f t="shared" si="52"/>
        <v>-6.8965517241379309E-3</v>
      </c>
      <c r="L107" s="94">
        <f>IF(ISNUMBER(J107), $B118 * K107, "")</f>
        <v>-1034.4827586206895</v>
      </c>
      <c r="M107" s="92">
        <v>732</v>
      </c>
      <c r="N107" s="25">
        <f t="shared" si="53"/>
        <v>9.655172413793104E-3</v>
      </c>
      <c r="O107" s="94">
        <f>IF(ISNUMBER(M107), $B118 * N107, "")</f>
        <v>1448.2758620689656</v>
      </c>
      <c r="Q107" s="147"/>
      <c r="R107" s="148"/>
      <c r="S107" s="149"/>
    </row>
    <row r="108" spans="1:19">
      <c r="A108" s="107" t="s">
        <v>159</v>
      </c>
      <c r="B108" s="108">
        <v>191</v>
      </c>
      <c r="C108" s="69">
        <v>8.5227272699999995E-2</v>
      </c>
      <c r="D108" s="13">
        <v>192</v>
      </c>
      <c r="E108" s="14">
        <f>IF(ISNUMBER(D108), (D108 - $B108) / $B108, "")</f>
        <v>5.235602094240838E-3</v>
      </c>
      <c r="F108" s="16">
        <f>IF(ISNUMBER(D108), $B118 * E108, "")</f>
        <v>785.3403141361257</v>
      </c>
      <c r="G108" s="29">
        <v>189</v>
      </c>
      <c r="H108" s="14">
        <f>IF(ISNUMBER(G108), (G108 - $B108) / $B108, "")</f>
        <v>-1.0471204188481676E-2</v>
      </c>
      <c r="I108" s="90">
        <f>IF(ISNUMBER(G108), $B118 * H108, "")</f>
        <v>-1570.6806282722514</v>
      </c>
      <c r="J108" s="13">
        <v>190</v>
      </c>
      <c r="K108" s="14">
        <f>IF(ISNUMBER(J108), (J108 - $B108) / $B108, "")</f>
        <v>-5.235602094240838E-3</v>
      </c>
      <c r="L108" s="16">
        <f>IF(ISNUMBER(J108), $B118 * K108, "")</f>
        <v>-785.3403141361257</v>
      </c>
      <c r="M108" s="29">
        <v>191</v>
      </c>
      <c r="N108" s="14">
        <f>IF(ISNUMBER(M108), (M108 - $B108) / $B108, "")</f>
        <v>0</v>
      </c>
      <c r="O108" s="16">
        <f>IF(ISNUMBER(M108), $B118 * N108, "")</f>
        <v>0</v>
      </c>
      <c r="Q108" s="150"/>
      <c r="R108" s="151"/>
      <c r="S108" s="152"/>
    </row>
    <row r="109" spans="1:19" ht="17.25" thickBot="1">
      <c r="A109" s="109" t="s">
        <v>337</v>
      </c>
      <c r="B109" s="110">
        <v>95800</v>
      </c>
      <c r="C109" s="70">
        <v>8.2852944499999998E-2</v>
      </c>
      <c r="D109" s="15">
        <v>92800</v>
      </c>
      <c r="E109" s="32">
        <f t="shared" ref="E109:E112" si="54">IF(ISNUMBER(D109), (D109 - $B109) / $B109, "")</f>
        <v>-3.1315240083507306E-2</v>
      </c>
      <c r="F109" s="18">
        <f>IF(ISNUMBER(D109), $B118 * E109, "")</f>
        <v>-4697.2860125260959</v>
      </c>
      <c r="G109" s="31">
        <v>90900</v>
      </c>
      <c r="H109" s="32">
        <f t="shared" ref="H109:H112" si="55">IF(ISNUMBER(G109), (G109 - $B109) / $B109, "")</f>
        <v>-5.1148225469728602E-2</v>
      </c>
      <c r="I109" s="91">
        <f>IF(ISNUMBER(G109), $B118 * H109, "")</f>
        <v>-7672.2338204592907</v>
      </c>
      <c r="J109" s="15">
        <v>92390</v>
      </c>
      <c r="K109" s="32">
        <f t="shared" ref="K109:K112" si="56">IF(ISNUMBER(J109), (J109 - $B109) / $B109, "")</f>
        <v>-3.5594989561586639E-2</v>
      </c>
      <c r="L109" s="18">
        <f>IF(ISNUMBER(J109), $B118 * K109, "")</f>
        <v>-5339.2484342379958</v>
      </c>
      <c r="M109" s="31">
        <v>98300</v>
      </c>
      <c r="N109" s="32">
        <f t="shared" ref="N109:N112" si="57">IF(ISNUMBER(M109), (M109 - $B109) / $B109, "")</f>
        <v>2.6096033402922755E-2</v>
      </c>
      <c r="O109" s="18">
        <f>IF(ISNUMBER(M109), $B118 * N109, "")</f>
        <v>3914.4050104384132</v>
      </c>
      <c r="Q109" s="153"/>
      <c r="R109" s="154"/>
      <c r="S109" s="155"/>
    </row>
    <row r="110" spans="1:19" ht="17.25" thickBot="1">
      <c r="A110" s="109" t="s">
        <v>328</v>
      </c>
      <c r="B110" s="110">
        <v>9165</v>
      </c>
      <c r="C110" s="70">
        <v>8.0778301900000002E-2</v>
      </c>
      <c r="D110" s="15">
        <v>9115</v>
      </c>
      <c r="E110" s="32">
        <f t="shared" si="54"/>
        <v>-5.4555373704309879E-3</v>
      </c>
      <c r="F110" s="18">
        <f>IF(ISNUMBER(D110), $B118 * E110, "")</f>
        <v>-818.33060556464818</v>
      </c>
      <c r="G110" s="31">
        <v>8910</v>
      </c>
      <c r="H110" s="32">
        <f t="shared" si="55"/>
        <v>-2.7823240589198037E-2</v>
      </c>
      <c r="I110" s="91">
        <f>IF(ISNUMBER(G110), $B118 * H110, "")</f>
        <v>-4173.4860883797055</v>
      </c>
      <c r="J110" s="15">
        <v>9925</v>
      </c>
      <c r="K110" s="32">
        <f t="shared" si="56"/>
        <v>8.2924168030551013E-2</v>
      </c>
      <c r="L110" s="18">
        <f>IF(ISNUMBER(J110), $B118 * K110, "")</f>
        <v>12438.625204582651</v>
      </c>
      <c r="M110" s="31">
        <v>10750</v>
      </c>
      <c r="N110" s="32">
        <f t="shared" si="57"/>
        <v>0.17294053464266229</v>
      </c>
      <c r="O110" s="18">
        <f>IF(ISNUMBER(M110), $B118 * N110, "")</f>
        <v>25941.080196399344</v>
      </c>
      <c r="Q110" s="146"/>
      <c r="R110" s="146"/>
      <c r="S110" s="146"/>
    </row>
    <row r="111" spans="1:19" ht="17.25" thickBot="1">
      <c r="A111" s="109" t="s">
        <v>66</v>
      </c>
      <c r="B111" s="110">
        <v>738</v>
      </c>
      <c r="C111" s="70">
        <v>7.8947368399999995E-2</v>
      </c>
      <c r="D111" s="15">
        <v>732</v>
      </c>
      <c r="E111" s="32">
        <f t="shared" si="54"/>
        <v>-8.130081300813009E-3</v>
      </c>
      <c r="F111" s="18">
        <f>IF(ISNUMBER(D111), $B118 * E111, "")</f>
        <v>-1219.5121951219514</v>
      </c>
      <c r="G111" s="31">
        <v>720</v>
      </c>
      <c r="H111" s="32">
        <f t="shared" si="55"/>
        <v>-2.4390243902439025E-2</v>
      </c>
      <c r="I111" s="91">
        <f>IF(ISNUMBER(G111), $B118 * H111, "")</f>
        <v>-3658.5365853658536</v>
      </c>
      <c r="J111" s="15">
        <v>722</v>
      </c>
      <c r="K111" s="32">
        <f t="shared" si="56"/>
        <v>-2.1680216802168022E-2</v>
      </c>
      <c r="L111" s="18">
        <f>IF(ISNUMBER(J111), $B118 * K111, "")</f>
        <v>-3252.0325203252032</v>
      </c>
      <c r="M111" s="31">
        <v>727</v>
      </c>
      <c r="N111" s="32">
        <f t="shared" si="57"/>
        <v>-1.4905149051490514E-2</v>
      </c>
      <c r="O111" s="18">
        <f>IF(ISNUMBER(M111), $B118 * N111, "")</f>
        <v>-2235.772357723577</v>
      </c>
      <c r="Q111" s="156"/>
      <c r="R111" s="156"/>
      <c r="S111" s="156"/>
    </row>
    <row r="112" spans="1:19" ht="17.25" thickBot="1">
      <c r="A112" s="111" t="s">
        <v>189</v>
      </c>
      <c r="B112" s="112">
        <v>1235</v>
      </c>
      <c r="C112" s="71">
        <v>6.4655172400000002E-2</v>
      </c>
      <c r="D112" s="20">
        <v>1330</v>
      </c>
      <c r="E112" s="21">
        <f t="shared" si="54"/>
        <v>7.6923076923076927E-2</v>
      </c>
      <c r="F112" s="22">
        <f>IF(ISNUMBER(D112), $B118 * E112, "")</f>
        <v>11538.461538461539</v>
      </c>
      <c r="G112" s="30">
        <v>1345</v>
      </c>
      <c r="H112" s="21">
        <f t="shared" si="55"/>
        <v>8.9068825910931168E-2</v>
      </c>
      <c r="I112" s="95">
        <f>IF(ISNUMBER(G112), $B118 * H112, "")</f>
        <v>13360.323886639675</v>
      </c>
      <c r="J112" s="20">
        <v>1335</v>
      </c>
      <c r="K112" s="21">
        <f t="shared" si="56"/>
        <v>8.0971659919028341E-2</v>
      </c>
      <c r="L112" s="22">
        <f>IF(ISNUMBER(J112), $B118 * K112, "")</f>
        <v>12145.748987854251</v>
      </c>
      <c r="M112" s="30">
        <v>1335</v>
      </c>
      <c r="N112" s="21">
        <f t="shared" si="57"/>
        <v>8.0971659919028341E-2</v>
      </c>
      <c r="O112" s="22">
        <f>IF(ISNUMBER(M112), $B118 * N112, "")</f>
        <v>12145.748987854251</v>
      </c>
      <c r="Q112" s="156"/>
      <c r="R112" s="156"/>
      <c r="S112" s="156"/>
    </row>
    <row r="113" spans="1:19" ht="17.25" thickBot="1">
      <c r="A113" s="109" t="s">
        <v>103</v>
      </c>
      <c r="B113" s="113">
        <v>254</v>
      </c>
      <c r="C113" s="73">
        <v>6.2761506300000006E-2</v>
      </c>
      <c r="D113" s="96">
        <v>252</v>
      </c>
      <c r="E113" s="97">
        <f>IF(ISNUMBER(D113), (D113 - $B113) / $B113, "")</f>
        <v>-7.874015748031496E-3</v>
      </c>
      <c r="F113" s="98">
        <f>IF(ISNUMBER(D113), $B118 * E113, "")</f>
        <v>-1181.1023622047244</v>
      </c>
      <c r="G113" s="99">
        <v>247</v>
      </c>
      <c r="H113" s="97">
        <f>IF(ISNUMBER(G113), (G113 - $B113) / $B113, "")</f>
        <v>-2.7559055118110236E-2</v>
      </c>
      <c r="I113" s="100">
        <f>IF(ISNUMBER(G113), $B118 * H113, "")</f>
        <v>-4133.858267716535</v>
      </c>
      <c r="J113" s="96">
        <v>251</v>
      </c>
      <c r="K113" s="97">
        <f>IF(ISNUMBER(J113), (J113 - $B113) / $B113, "")</f>
        <v>-1.1811023622047244E-2</v>
      </c>
      <c r="L113" s="98">
        <f>IF(ISNUMBER(J113), $B118 * K113, "")</f>
        <v>-1771.6535433070867</v>
      </c>
      <c r="M113" s="99">
        <v>252</v>
      </c>
      <c r="N113" s="97">
        <f>IF(ISNUMBER(M113), (M113 - $B113) / $B113, "")</f>
        <v>-7.874015748031496E-3</v>
      </c>
      <c r="O113" s="98">
        <f>IF(ISNUMBER(M113), $B118 * N113, "")</f>
        <v>-1181.1023622047244</v>
      </c>
      <c r="Q113" s="146"/>
      <c r="R113" s="146"/>
      <c r="S113" s="146"/>
    </row>
    <row r="114" spans="1:19" ht="17.25" thickBot="1">
      <c r="A114" s="109" t="s">
        <v>138</v>
      </c>
      <c r="B114" s="110">
        <v>28.7</v>
      </c>
      <c r="C114" s="70">
        <v>5.9040590400000002E-2</v>
      </c>
      <c r="D114" s="15">
        <v>28.2</v>
      </c>
      <c r="E114" s="32">
        <f t="shared" ref="E114:E117" si="58">IF(ISNUMBER(D114), (D114 - $B114) / $B114, "")</f>
        <v>-1.7421602787456445E-2</v>
      </c>
      <c r="F114" s="18">
        <f>IF(ISNUMBER(D114), $B118 * E114, "")</f>
        <v>-2613.2404181184666</v>
      </c>
      <c r="G114" s="31">
        <v>27.5</v>
      </c>
      <c r="H114" s="32">
        <f t="shared" ref="H114:H117" si="59">IF(ISNUMBER(G114), (G114 - $B114) / $B114, "")</f>
        <v>-4.1811846689895446E-2</v>
      </c>
      <c r="I114" s="91">
        <f>IF(ISNUMBER(G114), $B118 * H114, "")</f>
        <v>-6271.777003484317</v>
      </c>
      <c r="J114" s="15">
        <v>27.8</v>
      </c>
      <c r="K114" s="32">
        <f t="shared" ref="K114:K117" si="60">IF(ISNUMBER(J114), (J114 - $B114) / $B114, "")</f>
        <v>-3.1358885017421553E-2</v>
      </c>
      <c r="L114" s="18">
        <f>IF(ISNUMBER(J114), $B118 * K114, "")</f>
        <v>-4703.8327526132334</v>
      </c>
      <c r="M114" s="31">
        <v>28.4</v>
      </c>
      <c r="N114" s="32">
        <f t="shared" ref="N114:N117" si="61">IF(ISNUMBER(M114), (M114 - $B114) / $B114, "")</f>
        <v>-1.0452961672473893E-2</v>
      </c>
      <c r="O114" s="18">
        <f>IF(ISNUMBER(M114), $B118 * N114, "")</f>
        <v>-1567.944250871084</v>
      </c>
      <c r="Q114" s="146"/>
      <c r="R114" s="146"/>
      <c r="S114" s="146"/>
    </row>
    <row r="115" spans="1:19" ht="17.25" thickBot="1">
      <c r="A115" s="109" t="s">
        <v>347</v>
      </c>
      <c r="B115" s="110">
        <v>21040</v>
      </c>
      <c r="C115" s="70">
        <v>5.7817999000000002E-2</v>
      </c>
      <c r="D115" s="15">
        <v>20410</v>
      </c>
      <c r="E115" s="32">
        <f t="shared" si="58"/>
        <v>-2.994296577946768E-2</v>
      </c>
      <c r="F115" s="18">
        <f>IF(ISNUMBER(D115), $B118 * E115, "")</f>
        <v>-4491.444866920152</v>
      </c>
      <c r="G115" s="31">
        <v>20080</v>
      </c>
      <c r="H115" s="32">
        <f t="shared" si="59"/>
        <v>-4.5627376425855515E-2</v>
      </c>
      <c r="I115" s="91">
        <f>IF(ISNUMBER(G115), $B118 * H115, "")</f>
        <v>-6844.1064638783273</v>
      </c>
      <c r="J115" s="15">
        <v>20350</v>
      </c>
      <c r="K115" s="32">
        <f t="shared" si="60"/>
        <v>-3.2794676806083653E-2</v>
      </c>
      <c r="L115" s="18">
        <f>IF(ISNUMBER(J115), $B118 * K115, "")</f>
        <v>-4919.2015209125475</v>
      </c>
      <c r="M115" s="31">
        <v>20720</v>
      </c>
      <c r="N115" s="32">
        <f t="shared" si="61"/>
        <v>-1.5209125475285171E-2</v>
      </c>
      <c r="O115" s="18">
        <f>IF(ISNUMBER(M115), $B118 * N115, "")</f>
        <v>-2281.3688212927755</v>
      </c>
      <c r="Q115" s="146"/>
      <c r="R115" s="146"/>
      <c r="S115" s="146"/>
    </row>
    <row r="116" spans="1:19">
      <c r="A116" s="109" t="s">
        <v>339</v>
      </c>
      <c r="B116" s="110">
        <v>1220</v>
      </c>
      <c r="C116" s="70">
        <v>4.7210300400000002E-2</v>
      </c>
      <c r="D116" s="15">
        <v>1200</v>
      </c>
      <c r="E116" s="32">
        <f t="shared" si="58"/>
        <v>-1.6393442622950821E-2</v>
      </c>
      <c r="F116" s="18">
        <f>IF(ISNUMBER(D116), $B118 * E116, "")</f>
        <v>-2459.0163934426232</v>
      </c>
      <c r="G116" s="31">
        <v>1195</v>
      </c>
      <c r="H116" s="32">
        <f t="shared" si="59"/>
        <v>-2.0491803278688523E-2</v>
      </c>
      <c r="I116" s="91">
        <f>IF(ISNUMBER(G116), $B118 * H116, "")</f>
        <v>-3073.7704918032787</v>
      </c>
      <c r="J116" s="15">
        <v>1200</v>
      </c>
      <c r="K116" s="32">
        <f t="shared" si="60"/>
        <v>-1.6393442622950821E-2</v>
      </c>
      <c r="L116" s="18">
        <f>IF(ISNUMBER(J116), $B118 * K116, "")</f>
        <v>-2459.0163934426232</v>
      </c>
      <c r="M116" s="31">
        <v>1220</v>
      </c>
      <c r="N116" s="32">
        <f t="shared" si="61"/>
        <v>0</v>
      </c>
      <c r="O116" s="18">
        <f>IF(ISNUMBER(M116), $B118 * N116, "")</f>
        <v>0</v>
      </c>
      <c r="Q116" s="135"/>
      <c r="R116" s="136"/>
      <c r="S116" s="137"/>
    </row>
    <row r="117" spans="1:19" ht="17.25" thickBot="1">
      <c r="A117" s="114" t="s">
        <v>349</v>
      </c>
      <c r="B117" s="115">
        <v>25.4</v>
      </c>
      <c r="C117" s="72">
        <v>4.5267489700000003E-2</v>
      </c>
      <c r="D117" s="24">
        <v>26.8</v>
      </c>
      <c r="E117" s="25">
        <f t="shared" si="58"/>
        <v>5.5118110236220562E-2</v>
      </c>
      <c r="F117" s="94">
        <f>IF(ISNUMBER(D117), $B118 * E117, "")</f>
        <v>8267.7165354330846</v>
      </c>
      <c r="G117" s="92">
        <v>28.4</v>
      </c>
      <c r="H117" s="25">
        <f t="shared" si="59"/>
        <v>0.11811023622047245</v>
      </c>
      <c r="I117" s="93">
        <f>IF(ISNUMBER(G117), $B118 * H117, "")</f>
        <v>17716.535433070869</v>
      </c>
      <c r="J117" s="24">
        <v>28.2</v>
      </c>
      <c r="K117" s="25">
        <f t="shared" si="60"/>
        <v>0.11023622047244098</v>
      </c>
      <c r="L117" s="94">
        <f>IF(ISNUMBER(J117), $B118 * K117, "")</f>
        <v>16535.433070866147</v>
      </c>
      <c r="M117" s="92">
        <v>27.4</v>
      </c>
      <c r="N117" s="25">
        <f t="shared" si="61"/>
        <v>7.874015748031496E-2</v>
      </c>
      <c r="O117" s="94">
        <f>IF(ISNUMBER(M117), $B118 * N117, "")</f>
        <v>11811.023622047243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2.9369422372602011E-2</v>
      </c>
      <c r="F118" s="28">
        <f>SUM(F98:F117)</f>
        <v>88108.26711780607</v>
      </c>
      <c r="G118" s="26" t="s">
        <v>258</v>
      </c>
      <c r="H118" s="27">
        <f>IF(COUNT(H98:H117), SUM(H98:H117) / COUNT(H98:H117), 0)</f>
        <v>8.8533964580641104E-3</v>
      </c>
      <c r="I118" s="28">
        <f>SUM(I98:I117)</f>
        <v>26560.189374192349</v>
      </c>
      <c r="J118" s="26" t="s">
        <v>258</v>
      </c>
      <c r="K118" s="27">
        <f>IF(COUNT(K98:K117), SUM(K98:K117) / COUNT(K98:K117), 0)</f>
        <v>2.1896582757242475E-2</v>
      </c>
      <c r="L118" s="28">
        <f>SUM(L98:L117)</f>
        <v>65689.748271727425</v>
      </c>
      <c r="M118" s="26" t="s">
        <v>258</v>
      </c>
      <c r="N118" s="27">
        <f>IF(COUNT(N98:N117), SUM(N98:N117) / COUNT(N98:N117), 0)</f>
        <v>4.0742875250769015E-2</v>
      </c>
      <c r="O118" s="28">
        <f>SUM(O98:O117)</f>
        <v>122228.62575230705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2023-01-15(일) 오전 00:00</v>
      </c>
      <c r="C123" s="198"/>
      <c r="D123" s="170" t="str">
        <f>TEXT($G$1, "[$-ko-KR]yyyy-mm-dd(ddd) ") &amp; "오후 14:00"</f>
        <v>2023-01-15(일) 오후 14:00</v>
      </c>
      <c r="E123" s="171"/>
      <c r="F123" s="172"/>
      <c r="G123" s="170" t="str">
        <f>TEXT($G$1, "[$-ko-KR]yyyy-mm-dd(ddd) ") &amp; "오후 19:00"</f>
        <v>2023-01-15(일) 오후 19:00</v>
      </c>
      <c r="H123" s="171"/>
      <c r="I123" s="172"/>
      <c r="J123" s="170" t="str">
        <f>TEXT($G$1, "[$-ko-KR]yyyy-mm-dd(ddd) ") &amp; "오후 21:00"</f>
        <v>2023-01-15(일) 오후 21:00</v>
      </c>
      <c r="K123" s="171"/>
      <c r="L123" s="172"/>
      <c r="M123" s="170" t="str">
        <f>TEXT($G$1+1, "[$-ko-KR]yyyy-mm-dd(ddd) ") &amp; "오전 00:00"</f>
        <v>2023-01-16(월)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221</v>
      </c>
      <c r="B125" s="108">
        <v>20.100000000000001</v>
      </c>
      <c r="C125" s="69">
        <v>1.51515152E-2</v>
      </c>
      <c r="D125" s="13">
        <v>21.7</v>
      </c>
      <c r="E125" s="14">
        <f>IF(ISNUMBER(D125), (D125 - $B125) / $B125, "")</f>
        <v>7.9601990049751131E-2</v>
      </c>
      <c r="F125" s="16">
        <f>IF(ISNUMBER(D125), $B145 * E125, "")</f>
        <v>11940.29850746267</v>
      </c>
      <c r="G125" s="29">
        <v>20.9</v>
      </c>
      <c r="H125" s="14">
        <f>IF(ISNUMBER(G125), (G125 - $B125) / $B125, "")</f>
        <v>3.9800995024875475E-2</v>
      </c>
      <c r="I125" s="90">
        <f>IF(ISNUMBER(G125), $B145 * H125, "")</f>
        <v>5970.1492537313216</v>
      </c>
      <c r="J125" s="13">
        <v>21</v>
      </c>
      <c r="K125" s="14">
        <f>IF(ISNUMBER(J125), (J125 - $B125) / $B125, "")</f>
        <v>4.4776119402985003E-2</v>
      </c>
      <c r="L125" s="16">
        <f>IF(ISNUMBER(J125), $B145 * K125, "")</f>
        <v>6716.4179104477507</v>
      </c>
      <c r="M125" s="29">
        <v>21.1</v>
      </c>
      <c r="N125" s="14">
        <f>IF(ISNUMBER(M125), (M125 - $B125) / $B125, "")</f>
        <v>4.9751243781094523E-2</v>
      </c>
      <c r="O125" s="16">
        <f>IF(ISNUMBER(M125), $B145 * N125, "")</f>
        <v>7462.6865671641781</v>
      </c>
      <c r="Q125" s="156"/>
      <c r="R125" s="156"/>
      <c r="S125" s="156"/>
    </row>
    <row r="126" spans="1:19" ht="17.25" thickBot="1">
      <c r="A126" s="109" t="s">
        <v>237</v>
      </c>
      <c r="B126" s="110">
        <v>28.7</v>
      </c>
      <c r="C126" s="70">
        <v>1.4134275599999999E-2</v>
      </c>
      <c r="D126" s="15">
        <v>29.9</v>
      </c>
      <c r="E126" s="32">
        <f t="shared" ref="E126:E129" si="62">IF(ISNUMBER(D126), (D126 - $B126) / $B126, "")</f>
        <v>4.1811846689895446E-2</v>
      </c>
      <c r="F126" s="18">
        <f>IF(ISNUMBER(D126), $B145 * E126, "")</f>
        <v>6271.777003484317</v>
      </c>
      <c r="G126" s="31">
        <v>29.4</v>
      </c>
      <c r="H126" s="32">
        <f t="shared" ref="H126:H129" si="63">IF(ISNUMBER(G126), (G126 - $B126) / $B126, "")</f>
        <v>2.4390243902439001E-2</v>
      </c>
      <c r="I126" s="91">
        <f>IF(ISNUMBER(G126), $B145 * H126, "")</f>
        <v>3658.53658536585</v>
      </c>
      <c r="J126" s="15">
        <v>29.4</v>
      </c>
      <c r="K126" s="32">
        <f t="shared" ref="K126:K129" si="64">IF(ISNUMBER(J126), (J126 - $B126) / $B126, "")</f>
        <v>2.4390243902439001E-2</v>
      </c>
      <c r="L126" s="18">
        <f>IF(ISNUMBER(J126), $B145 * K126, "")</f>
        <v>3658.53658536585</v>
      </c>
      <c r="M126" s="31">
        <v>29.6</v>
      </c>
      <c r="N126" s="32">
        <f t="shared" ref="N126:N129" si="65">IF(ISNUMBER(M126), (M126 - $B126) / $B126, "")</f>
        <v>3.1358885017421678E-2</v>
      </c>
      <c r="O126" s="18">
        <f>IF(ISNUMBER(M126), $B145 * N126, "")</f>
        <v>4703.8327526132516</v>
      </c>
      <c r="Q126" s="156"/>
      <c r="R126" s="156"/>
      <c r="S126" s="156"/>
    </row>
    <row r="127" spans="1:19" ht="17.25" thickBot="1">
      <c r="A127" s="109" t="s">
        <v>56</v>
      </c>
      <c r="B127" s="110">
        <v>43.2</v>
      </c>
      <c r="C127" s="70">
        <v>1.4084507E-2</v>
      </c>
      <c r="D127" s="15">
        <v>44.6</v>
      </c>
      <c r="E127" s="32">
        <f t="shared" si="62"/>
        <v>3.2407407407407371E-2</v>
      </c>
      <c r="F127" s="18">
        <f>IF(ISNUMBER(D127), $B145 * E127, "")</f>
        <v>4861.1111111111059</v>
      </c>
      <c r="G127" s="31">
        <v>43.7</v>
      </c>
      <c r="H127" s="32">
        <f t="shared" si="63"/>
        <v>1.1574074074074073E-2</v>
      </c>
      <c r="I127" s="91">
        <f>IF(ISNUMBER(G127), $B145 * H127, "")</f>
        <v>1736.1111111111111</v>
      </c>
      <c r="J127" s="15">
        <v>43.8</v>
      </c>
      <c r="K127" s="32">
        <f t="shared" si="64"/>
        <v>1.3888888888888756E-2</v>
      </c>
      <c r="L127" s="18">
        <f>IF(ISNUMBER(J127), $B145 * K127, "")</f>
        <v>2083.3333333333135</v>
      </c>
      <c r="M127" s="31">
        <v>44.8</v>
      </c>
      <c r="N127" s="32">
        <f t="shared" si="65"/>
        <v>3.7037037037036903E-2</v>
      </c>
      <c r="O127" s="18">
        <f>IF(ISNUMBER(M127), $B145 * N127, "")</f>
        <v>5555.5555555555356</v>
      </c>
      <c r="Q127" s="146"/>
      <c r="R127" s="146"/>
      <c r="S127" s="146"/>
    </row>
    <row r="128" spans="1:19" ht="17.25" thickBot="1">
      <c r="A128" s="109" t="s">
        <v>107</v>
      </c>
      <c r="B128" s="110">
        <v>39.799999999999997</v>
      </c>
      <c r="C128" s="70">
        <v>1.2722646299999999E-2</v>
      </c>
      <c r="D128" s="15">
        <v>44.6</v>
      </c>
      <c r="E128" s="32">
        <f t="shared" si="62"/>
        <v>0.120603015075377</v>
      </c>
      <c r="F128" s="18">
        <f>IF(ISNUMBER(D128), $B145 * E128, "")</f>
        <v>18090.452261306549</v>
      </c>
      <c r="G128" s="31">
        <v>42</v>
      </c>
      <c r="H128" s="32">
        <f t="shared" si="63"/>
        <v>5.5276381909547811E-2</v>
      </c>
      <c r="I128" s="91">
        <f>IF(ISNUMBER(G128), $B145 * H128, "")</f>
        <v>8291.4572864321726</v>
      </c>
      <c r="J128" s="15">
        <v>42.2</v>
      </c>
      <c r="K128" s="32">
        <f t="shared" si="64"/>
        <v>6.0301507537688592E-2</v>
      </c>
      <c r="L128" s="18">
        <f>IF(ISNUMBER(J128), $B145 * K128, "")</f>
        <v>9045.2261306532891</v>
      </c>
      <c r="M128" s="31">
        <v>42</v>
      </c>
      <c r="N128" s="32">
        <f t="shared" si="65"/>
        <v>5.5276381909547811E-2</v>
      </c>
      <c r="O128" s="18">
        <f>IF(ISNUMBER(M128), $B145 * N128, "")</f>
        <v>8291.4572864321726</v>
      </c>
      <c r="Q128" s="146"/>
      <c r="R128" s="146"/>
      <c r="S128" s="146"/>
    </row>
    <row r="129" spans="1:19" ht="17.25" thickBot="1">
      <c r="A129" s="111" t="s">
        <v>329</v>
      </c>
      <c r="B129" s="112">
        <v>63.7</v>
      </c>
      <c r="C129" s="71">
        <v>1.2718601E-2</v>
      </c>
      <c r="D129" s="20">
        <v>63.9</v>
      </c>
      <c r="E129" s="21">
        <f t="shared" si="62"/>
        <v>3.1397174254316441E-3</v>
      </c>
      <c r="F129" s="22">
        <f>IF(ISNUMBER(D129), $B145 * E129, "")</f>
        <v>470.95761381474659</v>
      </c>
      <c r="G129" s="30">
        <v>62.7</v>
      </c>
      <c r="H129" s="21">
        <f t="shared" si="63"/>
        <v>-1.5698587127158554E-2</v>
      </c>
      <c r="I129" s="95">
        <f>IF(ISNUMBER(G129), $B145 * H129, "")</f>
        <v>-2354.7880690737834</v>
      </c>
      <c r="J129" s="20">
        <v>63.1</v>
      </c>
      <c r="K129" s="21">
        <f t="shared" si="64"/>
        <v>-9.4191522762951552E-3</v>
      </c>
      <c r="L129" s="22">
        <f>IF(ISNUMBER(J129), $B145 * K129, "")</f>
        <v>-1412.8728414442733</v>
      </c>
      <c r="M129" s="30">
        <v>64</v>
      </c>
      <c r="N129" s="21">
        <f t="shared" si="65"/>
        <v>4.7095761381475221E-3</v>
      </c>
      <c r="O129" s="22">
        <f>IF(ISNUMBER(M129), $B145 * N129, "")</f>
        <v>706.43642072212833</v>
      </c>
      <c r="Q129" s="146"/>
      <c r="R129" s="146"/>
      <c r="S129" s="146"/>
    </row>
    <row r="130" spans="1:19" ht="17.25" thickBot="1">
      <c r="A130" s="109" t="s">
        <v>203</v>
      </c>
      <c r="B130" s="113">
        <v>3.4</v>
      </c>
      <c r="C130" s="73">
        <v>1.19047619E-2</v>
      </c>
      <c r="D130" s="96">
        <v>4.0199999999999996</v>
      </c>
      <c r="E130" s="97">
        <f>IF(ISNUMBER(D130), (D130 - $B130) / $B130, "")</f>
        <v>0.1823529411764705</v>
      </c>
      <c r="F130" s="98">
        <f>IF(ISNUMBER(D130), $B145 * E130, "")</f>
        <v>27352.941176470573</v>
      </c>
      <c r="G130" s="99">
        <v>3.66</v>
      </c>
      <c r="H130" s="97">
        <f>IF(ISNUMBER(G130), (G130 - $B130) / $B130, "")</f>
        <v>7.6470588235294193E-2</v>
      </c>
      <c r="I130" s="100">
        <f>IF(ISNUMBER(G130), $B145 * H130, "")</f>
        <v>11470.58823529413</v>
      </c>
      <c r="J130" s="96">
        <v>3.61</v>
      </c>
      <c r="K130" s="97">
        <f>IF(ISNUMBER(J130), (J130 - $B130) / $B130, "")</f>
        <v>6.176470588235293E-2</v>
      </c>
      <c r="L130" s="98">
        <f>IF(ISNUMBER(J130), $B145 * K130, "")</f>
        <v>9264.7058823529387</v>
      </c>
      <c r="M130" s="99">
        <v>3.62</v>
      </c>
      <c r="N130" s="97">
        <f>IF(ISNUMBER(M130), (M130 - $B130) / $B130, "")</f>
        <v>6.4705882352941238E-2</v>
      </c>
      <c r="O130" s="98">
        <f>IF(ISNUMBER(M130), $B145 * N130, "")</f>
        <v>9705.8823529411857</v>
      </c>
      <c r="Q130" s="146"/>
      <c r="R130" s="146"/>
      <c r="S130" s="146"/>
    </row>
    <row r="131" spans="1:19" ht="17.25" thickBot="1">
      <c r="A131" s="109" t="s">
        <v>181</v>
      </c>
      <c r="B131" s="110">
        <v>4.41</v>
      </c>
      <c r="C131" s="70">
        <v>1.14678899E-2</v>
      </c>
      <c r="D131" s="15">
        <v>4.95</v>
      </c>
      <c r="E131" s="32">
        <f t="shared" ref="E131:E134" si="66">IF(ISNUMBER(D131), (D131 - $B131) / $B131, "")</f>
        <v>0.12244897959183675</v>
      </c>
      <c r="F131" s="18">
        <f>IF(ISNUMBER(D131), $B145 * E131, "")</f>
        <v>18367.34693877551</v>
      </c>
      <c r="G131" s="31">
        <v>4.54</v>
      </c>
      <c r="H131" s="32">
        <f t="shared" ref="H131:H134" si="67">IF(ISNUMBER(G131), (G131 - $B131) / $B131, "")</f>
        <v>2.9478458049886597E-2</v>
      </c>
      <c r="I131" s="91">
        <f>IF(ISNUMBER(G131), $B145 * H131, "")</f>
        <v>4421.7687074829892</v>
      </c>
      <c r="J131" s="15">
        <v>4.54</v>
      </c>
      <c r="K131" s="32">
        <f t="shared" ref="K131:K134" si="68">IF(ISNUMBER(J131), (J131 - $B131) / $B131, "")</f>
        <v>2.9478458049886597E-2</v>
      </c>
      <c r="L131" s="18">
        <f>IF(ISNUMBER(J131), $B145 * K131, "")</f>
        <v>4421.7687074829892</v>
      </c>
      <c r="M131" s="31">
        <v>4.57</v>
      </c>
      <c r="N131" s="32">
        <f t="shared" ref="N131:N134" si="69">IF(ISNUMBER(M131), (M131 - $B131) / $B131, "")</f>
        <v>3.6281179138322024E-2</v>
      </c>
      <c r="O131" s="18">
        <f>IF(ISNUMBER(M131), $B145 * N131, "")</f>
        <v>5442.1768707483034</v>
      </c>
      <c r="Q131" s="146"/>
      <c r="R131" s="146"/>
      <c r="S131" s="146"/>
    </row>
    <row r="132" spans="1:19" ht="17.25" thickBot="1">
      <c r="A132" s="109" t="s">
        <v>185</v>
      </c>
      <c r="B132" s="110">
        <v>29.6</v>
      </c>
      <c r="C132" s="70">
        <v>1.02389078E-2</v>
      </c>
      <c r="D132" s="15">
        <v>31.3</v>
      </c>
      <c r="E132" s="32">
        <f t="shared" si="66"/>
        <v>5.7432432432432408E-2</v>
      </c>
      <c r="F132" s="18">
        <f>IF(ISNUMBER(D132), $B145 * E132, "")</f>
        <v>8614.8648648648614</v>
      </c>
      <c r="G132" s="31">
        <v>30</v>
      </c>
      <c r="H132" s="32">
        <f t="shared" si="67"/>
        <v>1.3513513513513466E-2</v>
      </c>
      <c r="I132" s="91">
        <f>IF(ISNUMBER(G132), $B145 * H132, "")</f>
        <v>2027.0270270270198</v>
      </c>
      <c r="J132" s="15">
        <v>30.2</v>
      </c>
      <c r="K132" s="32">
        <f t="shared" si="68"/>
        <v>2.0270270270270199E-2</v>
      </c>
      <c r="L132" s="18">
        <f>IF(ISNUMBER(J132), $B145 * K132, "")</f>
        <v>3040.5405405405299</v>
      </c>
      <c r="M132" s="31">
        <v>30.7</v>
      </c>
      <c r="N132" s="32">
        <f t="shared" si="69"/>
        <v>3.7162162162162088E-2</v>
      </c>
      <c r="O132" s="18">
        <f>IF(ISNUMBER(M132), $B145 * N132, "")</f>
        <v>5574.3243243243132</v>
      </c>
      <c r="Q132" s="146"/>
      <c r="R132" s="146"/>
      <c r="S132" s="146"/>
    </row>
    <row r="133" spans="1:19" ht="17.25" thickBot="1">
      <c r="A133" s="109" t="s">
        <v>195</v>
      </c>
      <c r="B133" s="110">
        <v>6.24</v>
      </c>
      <c r="C133" s="70">
        <v>9.7087379000000001E-3</v>
      </c>
      <c r="D133" s="15">
        <v>7.28</v>
      </c>
      <c r="E133" s="32">
        <f t="shared" si="66"/>
        <v>0.16666666666666666</v>
      </c>
      <c r="F133" s="18">
        <f>IF(ISNUMBER(D133), $B145 * E133, "")</f>
        <v>25000</v>
      </c>
      <c r="G133" s="31">
        <v>6.56</v>
      </c>
      <c r="H133" s="32">
        <f t="shared" si="67"/>
        <v>5.1282051282051183E-2</v>
      </c>
      <c r="I133" s="91">
        <f>IF(ISNUMBER(G133), $B145 * H133, "")</f>
        <v>7692.3076923076778</v>
      </c>
      <c r="J133" s="15">
        <v>6.55</v>
      </c>
      <c r="K133" s="32">
        <f t="shared" si="68"/>
        <v>4.9679487179487114E-2</v>
      </c>
      <c r="L133" s="18">
        <f>IF(ISNUMBER(J133), $B145 * K133, "")</f>
        <v>7451.9230769230671</v>
      </c>
      <c r="M133" s="31">
        <v>6.57</v>
      </c>
      <c r="N133" s="32">
        <f t="shared" si="69"/>
        <v>5.2884615384615391E-2</v>
      </c>
      <c r="O133" s="18">
        <f>IF(ISNUMBER(M133), $B145 * N133, "")</f>
        <v>7932.6923076923085</v>
      </c>
      <c r="Q133" s="33"/>
      <c r="R133" s="33"/>
    </row>
    <row r="134" spans="1:19" ht="17.25" thickBot="1">
      <c r="A134" s="114" t="s">
        <v>124</v>
      </c>
      <c r="B134" s="115">
        <v>31.8</v>
      </c>
      <c r="C134" s="72">
        <v>9.5238094999999991E-3</v>
      </c>
      <c r="D134" s="24">
        <v>33.6</v>
      </c>
      <c r="E134" s="25">
        <f t="shared" si="66"/>
        <v>5.6603773584905683E-2</v>
      </c>
      <c r="F134" s="94">
        <f>IF(ISNUMBER(D134), $B145 * E134, "")</f>
        <v>8490.5660377358527</v>
      </c>
      <c r="G134" s="92">
        <v>32.200000000000003</v>
      </c>
      <c r="H134" s="25">
        <f t="shared" si="67"/>
        <v>1.2578616352201324E-2</v>
      </c>
      <c r="I134" s="93">
        <f>IF(ISNUMBER(G134), $B145 * H134, "")</f>
        <v>1886.7924528301987</v>
      </c>
      <c r="J134" s="24">
        <v>32.700000000000003</v>
      </c>
      <c r="K134" s="25">
        <f t="shared" si="68"/>
        <v>2.8301886792452897E-2</v>
      </c>
      <c r="L134" s="94">
        <f>IF(ISNUMBER(J134), $B145 * K134, "")</f>
        <v>4245.2830188679345</v>
      </c>
      <c r="M134" s="92">
        <v>32.299999999999997</v>
      </c>
      <c r="N134" s="25">
        <f t="shared" si="69"/>
        <v>1.5723270440251461E-2</v>
      </c>
      <c r="O134" s="94">
        <f>IF(ISNUMBER(M134), $B145 * N134, "")</f>
        <v>2358.4905660377194</v>
      </c>
      <c r="Q134" s="147"/>
      <c r="R134" s="148"/>
      <c r="S134" s="149"/>
    </row>
    <row r="135" spans="1:19">
      <c r="A135" s="107" t="s">
        <v>126</v>
      </c>
      <c r="B135" s="108">
        <v>32.5</v>
      </c>
      <c r="C135" s="69">
        <v>9.3167701999999995E-3</v>
      </c>
      <c r="D135" s="13">
        <v>32</v>
      </c>
      <c r="E135" s="14">
        <f>IF(ISNUMBER(D135), (D135 - $B135) / $B135, "")</f>
        <v>-1.5384615384615385E-2</v>
      </c>
      <c r="F135" s="16">
        <f>IF(ISNUMBER(D135), $B145 * E135, "")</f>
        <v>-2307.6923076923076</v>
      </c>
      <c r="G135" s="29">
        <v>31.3</v>
      </c>
      <c r="H135" s="14">
        <f>IF(ISNUMBER(G135), (G135 - $B135) / $B135, "")</f>
        <v>-3.6923076923076899E-2</v>
      </c>
      <c r="I135" s="90">
        <f>IF(ISNUMBER(G135), $B145 * H135, "")</f>
        <v>-5538.4615384615345</v>
      </c>
      <c r="J135" s="13">
        <v>31.6</v>
      </c>
      <c r="K135" s="14">
        <f>IF(ISNUMBER(J135), (J135 - $B135) / $B135, "")</f>
        <v>-2.7692307692307648E-2</v>
      </c>
      <c r="L135" s="16">
        <f>IF(ISNUMBER(J135), $B145 * K135, "")</f>
        <v>-4153.846153846147</v>
      </c>
      <c r="M135" s="29">
        <v>31.9</v>
      </c>
      <c r="N135" s="14">
        <f>IF(ISNUMBER(M135), (M135 - $B135) / $B135, "")</f>
        <v>-1.8461538461538505E-2</v>
      </c>
      <c r="O135" s="16">
        <f>IF(ISNUMBER(M135), $B145 * N135, "")</f>
        <v>-2769.2307692307759</v>
      </c>
      <c r="Q135" s="150"/>
      <c r="R135" s="151"/>
      <c r="S135" s="152"/>
    </row>
    <row r="136" spans="1:19" ht="17.25" thickBot="1">
      <c r="A136" s="109" t="s">
        <v>71</v>
      </c>
      <c r="B136" s="110">
        <v>11.2</v>
      </c>
      <c r="C136" s="70">
        <v>9.0090090000000001E-3</v>
      </c>
      <c r="D136" s="15">
        <v>11.8</v>
      </c>
      <c r="E136" s="32">
        <f t="shared" ref="E136:E139" si="70">IF(ISNUMBER(D136), (D136 - $B136) / $B136, "")</f>
        <v>5.35714285714287E-2</v>
      </c>
      <c r="F136" s="18">
        <f>IF(ISNUMBER(D136), $B145 * E136, "")</f>
        <v>8035.7142857143053</v>
      </c>
      <c r="G136" s="31">
        <v>11.5</v>
      </c>
      <c r="H136" s="32">
        <f t="shared" ref="H136:H139" si="71">IF(ISNUMBER(G136), (G136 - $B136) / $B136, "")</f>
        <v>2.678571428571435E-2</v>
      </c>
      <c r="I136" s="91">
        <f>IF(ISNUMBER(G136), $B145 * H136, "")</f>
        <v>4017.8571428571527</v>
      </c>
      <c r="J136" s="15">
        <v>11.6</v>
      </c>
      <c r="K136" s="32">
        <f t="shared" ref="K136:K139" si="72">IF(ISNUMBER(J136), (J136 - $B136) / $B136, "")</f>
        <v>3.5714285714285747E-2</v>
      </c>
      <c r="L136" s="18">
        <f>IF(ISNUMBER(J136), $B145 * K136, "")</f>
        <v>5357.1428571428623</v>
      </c>
      <c r="M136" s="31">
        <v>11.6</v>
      </c>
      <c r="N136" s="32">
        <f t="shared" ref="N136:N139" si="73">IF(ISNUMBER(M136), (M136 - $B136) / $B136, "")</f>
        <v>3.5714285714285747E-2</v>
      </c>
      <c r="O136" s="18">
        <f>IF(ISNUMBER(M136), $B145 * N136, "")</f>
        <v>5357.1428571428623</v>
      </c>
      <c r="Q136" s="153"/>
      <c r="R136" s="154"/>
      <c r="S136" s="155"/>
    </row>
    <row r="137" spans="1:19" ht="17.25" thickBot="1">
      <c r="A137" s="109" t="s">
        <v>227</v>
      </c>
      <c r="B137" s="110">
        <v>40.4</v>
      </c>
      <c r="C137" s="70">
        <v>7.4812968000000004E-3</v>
      </c>
      <c r="D137" s="15">
        <v>43.6</v>
      </c>
      <c r="E137" s="32">
        <f t="shared" si="70"/>
        <v>7.9207920792079278E-2</v>
      </c>
      <c r="F137" s="18">
        <f>IF(ISNUMBER(D137), $B145 * E137, "")</f>
        <v>11881.188118811891</v>
      </c>
      <c r="G137" s="31">
        <v>41.6</v>
      </c>
      <c r="H137" s="32">
        <f t="shared" si="71"/>
        <v>2.9702970297029774E-2</v>
      </c>
      <c r="I137" s="91">
        <f>IF(ISNUMBER(G137), $B145 * H137, "")</f>
        <v>4455.4455445544663</v>
      </c>
      <c r="J137" s="15">
        <v>41.6</v>
      </c>
      <c r="K137" s="32">
        <f t="shared" si="72"/>
        <v>2.9702970297029774E-2</v>
      </c>
      <c r="L137" s="18">
        <f>IF(ISNUMBER(J137), $B145 * K137, "")</f>
        <v>4455.4455445544663</v>
      </c>
      <c r="M137" s="31">
        <v>42</v>
      </c>
      <c r="N137" s="32">
        <f t="shared" si="73"/>
        <v>3.9603960396039639E-2</v>
      </c>
      <c r="O137" s="18">
        <f>IF(ISNUMBER(M137), $B145 * N137, "")</f>
        <v>5940.5940594059457</v>
      </c>
      <c r="Q137" s="146"/>
      <c r="R137" s="146"/>
      <c r="S137" s="146"/>
    </row>
    <row r="138" spans="1:19" ht="17.25" thickBot="1">
      <c r="A138" s="109" t="s">
        <v>225</v>
      </c>
      <c r="B138" s="110">
        <v>58.8</v>
      </c>
      <c r="C138" s="70">
        <v>6.8493151000000004E-3</v>
      </c>
      <c r="D138" s="15">
        <v>61.7</v>
      </c>
      <c r="E138" s="32">
        <f t="shared" si="70"/>
        <v>4.9319727891156559E-2</v>
      </c>
      <c r="F138" s="18">
        <f>IF(ISNUMBER(D138), $B145 * E138, "")</f>
        <v>7397.9591836734835</v>
      </c>
      <c r="G138" s="31">
        <v>59.8</v>
      </c>
      <c r="H138" s="32">
        <f t="shared" si="71"/>
        <v>1.7006802721088437E-2</v>
      </c>
      <c r="I138" s="91">
        <f>IF(ISNUMBER(G138), $B145 * H138, "")</f>
        <v>2551.0204081632655</v>
      </c>
      <c r="J138" s="15">
        <v>59.5</v>
      </c>
      <c r="K138" s="32">
        <f t="shared" si="72"/>
        <v>1.1904761904761954E-2</v>
      </c>
      <c r="L138" s="18">
        <f>IF(ISNUMBER(J138), $B145 * K138, "")</f>
        <v>1785.7142857142931</v>
      </c>
      <c r="M138" s="31">
        <v>59.7</v>
      </c>
      <c r="N138" s="32">
        <f t="shared" si="73"/>
        <v>1.5306122448979689E-2</v>
      </c>
      <c r="O138" s="18">
        <f>IF(ISNUMBER(M138), $B145 * N138, "")</f>
        <v>2295.9183673469533</v>
      </c>
      <c r="Q138" s="156"/>
      <c r="R138" s="156"/>
      <c r="S138" s="156"/>
    </row>
    <row r="139" spans="1:19" ht="17.25" thickBot="1">
      <c r="A139" s="111" t="s">
        <v>143</v>
      </c>
      <c r="B139" s="112">
        <v>3.95</v>
      </c>
      <c r="C139" s="71">
        <v>5.0890585000000002E-3</v>
      </c>
      <c r="D139" s="20">
        <v>4.2699999999999996</v>
      </c>
      <c r="E139" s="21">
        <f t="shared" si="70"/>
        <v>8.101265822784795E-2</v>
      </c>
      <c r="F139" s="22">
        <f>IF(ISNUMBER(D139), $B145 * E139, "")</f>
        <v>12151.898734177192</v>
      </c>
      <c r="G139" s="30">
        <v>4.04</v>
      </c>
      <c r="H139" s="21">
        <f t="shared" si="71"/>
        <v>2.278481012658224E-2</v>
      </c>
      <c r="I139" s="95">
        <f>IF(ISNUMBER(G139), $B145 * H139, "")</f>
        <v>3417.7215189873359</v>
      </c>
      <c r="J139" s="20">
        <v>4.04</v>
      </c>
      <c r="K139" s="21">
        <f t="shared" si="72"/>
        <v>2.278481012658224E-2</v>
      </c>
      <c r="L139" s="22">
        <f>IF(ISNUMBER(J139), $B145 * K139, "")</f>
        <v>3417.7215189873359</v>
      </c>
      <c r="M139" s="30">
        <v>4.05</v>
      </c>
      <c r="N139" s="21">
        <f t="shared" si="73"/>
        <v>2.5316455696202441E-2</v>
      </c>
      <c r="O139" s="22">
        <f>IF(ISNUMBER(M139), $B145 * N139, "")</f>
        <v>3797.4683544303662</v>
      </c>
      <c r="Q139" s="156"/>
      <c r="R139" s="156"/>
      <c r="S139" s="156"/>
    </row>
    <row r="140" spans="1:19" ht="17.25" thickBot="1">
      <c r="A140" s="109" t="s">
        <v>350</v>
      </c>
      <c r="B140" s="113">
        <v>6.35</v>
      </c>
      <c r="C140" s="73">
        <v>4.7468353999999997E-3</v>
      </c>
      <c r="D140" s="96">
        <v>9.19</v>
      </c>
      <c r="E140" s="97">
        <f>IF(ISNUMBER(D140), (D140 - $B140) / $B140, "")</f>
        <v>0.44724409448818897</v>
      </c>
      <c r="F140" s="98">
        <f>IF(ISNUMBER(D140), $B145 * E140, "")</f>
        <v>67086.614173228343</v>
      </c>
      <c r="G140" s="99">
        <v>8.0399999999999991</v>
      </c>
      <c r="H140" s="97">
        <f>IF(ISNUMBER(G140), (G140 - $B140) / $B140, "")</f>
        <v>0.26614173228346449</v>
      </c>
      <c r="I140" s="100">
        <f>IF(ISNUMBER(G140), $B145 * H140, "")</f>
        <v>39921.259842519677</v>
      </c>
      <c r="J140" s="96">
        <v>8.0399999999999991</v>
      </c>
      <c r="K140" s="97">
        <f>IF(ISNUMBER(J140), (J140 - $B140) / $B140, "")</f>
        <v>0.26614173228346449</v>
      </c>
      <c r="L140" s="98">
        <f>IF(ISNUMBER(J140), $B145 * K140, "")</f>
        <v>39921.259842519677</v>
      </c>
      <c r="M140" s="99">
        <v>7.93</v>
      </c>
      <c r="N140" s="97">
        <f>IF(ISNUMBER(M140), (M140 - $B140) / $B140, "")</f>
        <v>0.2488188976377953</v>
      </c>
      <c r="O140" s="98">
        <f>IF(ISNUMBER(M140), $B145 * N140, "")</f>
        <v>37322.834645669296</v>
      </c>
      <c r="Q140" s="146"/>
      <c r="R140" s="146"/>
      <c r="S140" s="146"/>
    </row>
    <row r="141" spans="1:19" ht="17.25" thickBot="1">
      <c r="A141" s="109" t="s">
        <v>207</v>
      </c>
      <c r="B141" s="110">
        <v>67.400000000000006</v>
      </c>
      <c r="C141" s="70">
        <v>4.4709388999999997E-3</v>
      </c>
      <c r="D141" s="15">
        <v>71.2</v>
      </c>
      <c r="E141" s="32">
        <f t="shared" ref="E141:E144" si="74">IF(ISNUMBER(D141), (D141 - $B141) / $B141, "")</f>
        <v>5.6379821958456929E-2</v>
      </c>
      <c r="F141" s="18">
        <f>IF(ISNUMBER(D141), $B145 * E141, "")</f>
        <v>8456.9732937685385</v>
      </c>
      <c r="G141" s="31">
        <v>68.8</v>
      </c>
      <c r="H141" s="32">
        <f t="shared" ref="H141:H144" si="75">IF(ISNUMBER(G141), (G141 - $B141) / $B141, "")</f>
        <v>2.0771513353115598E-2</v>
      </c>
      <c r="I141" s="91">
        <f>IF(ISNUMBER(G141), $B145 * H141, "")</f>
        <v>3115.7270029673396</v>
      </c>
      <c r="J141" s="15">
        <v>69</v>
      </c>
      <c r="K141" s="32">
        <f t="shared" ref="K141:K144" si="76">IF(ISNUMBER(J141), (J141 - $B141) / $B141, "")</f>
        <v>2.3738872403560745E-2</v>
      </c>
      <c r="L141" s="18">
        <f>IF(ISNUMBER(J141), $B145 * K141, "")</f>
        <v>3560.8308605341117</v>
      </c>
      <c r="M141" s="31">
        <v>69</v>
      </c>
      <c r="N141" s="32">
        <f t="shared" ref="N141:N144" si="77">IF(ISNUMBER(M141), (M141 - $B141) / $B141, "")</f>
        <v>2.3738872403560745E-2</v>
      </c>
      <c r="O141" s="18">
        <f>IF(ISNUMBER(M141), $B145 * N141, "")</f>
        <v>3560.8308605341117</v>
      </c>
      <c r="Q141" s="146"/>
      <c r="R141" s="146"/>
      <c r="S141" s="146"/>
    </row>
    <row r="142" spans="1:19" ht="17.25" thickBot="1">
      <c r="A142" s="109" t="s">
        <v>333</v>
      </c>
      <c r="B142" s="110">
        <v>4.5599999999999996</v>
      </c>
      <c r="C142" s="70">
        <v>2.1978022000000001E-3</v>
      </c>
      <c r="D142" s="15">
        <v>5.01</v>
      </c>
      <c r="E142" s="32">
        <f t="shared" si="74"/>
        <v>9.8684210526315833E-2</v>
      </c>
      <c r="F142" s="18">
        <f>IF(ISNUMBER(D142), $B145 * E142, "")</f>
        <v>14802.631578947376</v>
      </c>
      <c r="G142" s="31">
        <v>4.83</v>
      </c>
      <c r="H142" s="32">
        <f t="shared" si="75"/>
        <v>5.9210526315789581E-2</v>
      </c>
      <c r="I142" s="91">
        <f>IF(ISNUMBER(G142), $B145 * H142, "")</f>
        <v>8881.5789473684381</v>
      </c>
      <c r="J142" s="15">
        <v>4.84</v>
      </c>
      <c r="K142" s="32">
        <f t="shared" si="76"/>
        <v>6.1403508771929884E-2</v>
      </c>
      <c r="L142" s="18">
        <f>IF(ISNUMBER(J142), $B145 * K142, "")</f>
        <v>9210.5263157894824</v>
      </c>
      <c r="M142" s="31">
        <v>4.78</v>
      </c>
      <c r="N142" s="32">
        <f t="shared" si="77"/>
        <v>4.8245614035087862E-2</v>
      </c>
      <c r="O142" s="18">
        <f>IF(ISNUMBER(M142), $B145 * N142, "")</f>
        <v>7236.8421052631793</v>
      </c>
      <c r="Q142" s="146"/>
      <c r="R142" s="146"/>
      <c r="S142" s="146"/>
    </row>
    <row r="143" spans="1:19">
      <c r="A143" s="109" t="s">
        <v>97</v>
      </c>
      <c r="B143" s="110">
        <v>8.9999999999999998E-4</v>
      </c>
      <c r="C143" s="70">
        <v>0</v>
      </c>
      <c r="D143" s="15">
        <v>8.9999999999999998E-4</v>
      </c>
      <c r="E143" s="32">
        <f t="shared" si="74"/>
        <v>0</v>
      </c>
      <c r="F143" s="18">
        <f>IF(ISNUMBER(D143), $B145 * E143, "")</f>
        <v>0</v>
      </c>
      <c r="G143" s="31">
        <v>8.0000000000000004E-4</v>
      </c>
      <c r="H143" s="32">
        <f t="shared" si="75"/>
        <v>-0.11111111111111105</v>
      </c>
      <c r="I143" s="91">
        <f>IF(ISNUMBER(G143), $B145 * H143, "")</f>
        <v>-16666.666666666657</v>
      </c>
      <c r="J143" s="15">
        <v>8.9999999999999998E-4</v>
      </c>
      <c r="K143" s="32">
        <f t="shared" si="76"/>
        <v>0</v>
      </c>
      <c r="L143" s="18">
        <f>IF(ISNUMBER(J143), $B145 * K143, "")</f>
        <v>0</v>
      </c>
      <c r="M143" s="31">
        <v>8.9999999999999998E-4</v>
      </c>
      <c r="N143" s="32">
        <f t="shared" si="77"/>
        <v>0</v>
      </c>
      <c r="O143" s="18">
        <f>IF(ISNUMBER(M143), $B145 * N143, "")</f>
        <v>0</v>
      </c>
      <c r="Q143" s="135"/>
      <c r="R143" s="136"/>
      <c r="S143" s="137"/>
    </row>
    <row r="144" spans="1:19" ht="17.25" thickBot="1">
      <c r="A144" s="114" t="s">
        <v>191</v>
      </c>
      <c r="B144" s="115">
        <v>55.3</v>
      </c>
      <c r="C144" s="72">
        <v>0</v>
      </c>
      <c r="D144" s="24">
        <v>59.6</v>
      </c>
      <c r="E144" s="25">
        <f t="shared" si="74"/>
        <v>7.7757685352622147E-2</v>
      </c>
      <c r="F144" s="94">
        <f>IF(ISNUMBER(D144), $B145 * E144, "")</f>
        <v>11663.652802893323</v>
      </c>
      <c r="G144" s="92">
        <v>57.4</v>
      </c>
      <c r="H144" s="25">
        <f t="shared" si="75"/>
        <v>3.7974683544303826E-2</v>
      </c>
      <c r="I144" s="93">
        <f>IF(ISNUMBER(G144), $B145 * H144, "")</f>
        <v>5696.2025316455738</v>
      </c>
      <c r="J144" s="24">
        <v>57.6</v>
      </c>
      <c r="K144" s="25">
        <f t="shared" si="76"/>
        <v>4.1591320072332807E-2</v>
      </c>
      <c r="L144" s="94">
        <f>IF(ISNUMBER(J144), $B145 * K144, "")</f>
        <v>6238.698010849921</v>
      </c>
      <c r="M144" s="92">
        <v>57.2</v>
      </c>
      <c r="N144" s="25">
        <f t="shared" si="77"/>
        <v>3.435804701627497E-2</v>
      </c>
      <c r="O144" s="94">
        <f>IF(ISNUMBER(M144), $B145 * N144, "")</f>
        <v>5153.7070524412457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8.9543085126182781E-2</v>
      </c>
      <c r="F145" s="28">
        <f>SUM(F125:F144)</f>
        <v>268629.25537854841</v>
      </c>
      <c r="G145" s="26" t="s">
        <v>258</v>
      </c>
      <c r="H145" s="27">
        <f>IF(COUNT(H125:H144), SUM(H125:H144) / COUNT(H125:H144), 0)</f>
        <v>3.1550545005481247E-2</v>
      </c>
      <c r="I145" s="28">
        <f>SUM(I125:I144)</f>
        <v>94651.635016443746</v>
      </c>
      <c r="J145" s="26" t="s">
        <v>258</v>
      </c>
      <c r="K145" s="27">
        <f>IF(COUNT(K125:K144), SUM(K125:K144) / COUNT(K125:K144), 0)</f>
        <v>3.9436118475589796E-2</v>
      </c>
      <c r="L145" s="28">
        <f>SUM(L125:L144)</f>
        <v>118308.3554267694</v>
      </c>
      <c r="M145" s="26" t="s">
        <v>258</v>
      </c>
      <c r="N145" s="27">
        <f>IF(COUNT(N125:N144), SUM(N125:N144) / COUNT(N125:N144), 0)</f>
        <v>4.1876547512411426E-2</v>
      </c>
      <c r="O145" s="28">
        <f>SUM(O125:O144)</f>
        <v>125629.64253723428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2023-01-15(일) 오전 00:00</v>
      </c>
      <c r="C150" s="198"/>
      <c r="D150" s="170" t="str">
        <f>TEXT($G$1, "[$-ko-KR]yyyy-mm-dd(ddd) ") &amp; "오후 14:00"</f>
        <v>2023-01-15(일) 오후 14:00</v>
      </c>
      <c r="E150" s="171"/>
      <c r="F150" s="172"/>
      <c r="G150" s="170" t="str">
        <f>TEXT($G$1, "[$-ko-KR]yyyy-mm-dd(ddd) ") &amp; "오후 19:00"</f>
        <v>2023-01-15(일) 오후 19:00</v>
      </c>
      <c r="H150" s="171"/>
      <c r="I150" s="172"/>
      <c r="J150" s="170" t="str">
        <f>TEXT($G$1, "[$-ko-KR]yyyy-mm-dd(ddd) ") &amp; "오후 21:00"</f>
        <v>2023-01-15(일) 오후 21:00</v>
      </c>
      <c r="K150" s="171"/>
      <c r="L150" s="172"/>
      <c r="M150" s="170" t="str">
        <f>TEXT($G$1+1, "[$-ko-KR]yyyy-mm-dd(ddd) ") &amp; "오전 00:00"</f>
        <v>2023-01-16(월)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120</v>
      </c>
      <c r="B152" s="108">
        <v>116</v>
      </c>
      <c r="C152" s="69">
        <v>1.75438596E-2</v>
      </c>
      <c r="D152" s="13">
        <v>121</v>
      </c>
      <c r="E152" s="14">
        <f>IF(ISNUMBER(D152), (D152 - $B152) / $B152, "")</f>
        <v>4.3103448275862072E-2</v>
      </c>
      <c r="F152" s="16">
        <f>IF(ISNUMBER(D152), $B172 * E152, "")</f>
        <v>6465.5172413793107</v>
      </c>
      <c r="G152" s="29">
        <v>131</v>
      </c>
      <c r="H152" s="14">
        <f>IF(ISNUMBER(G152), (G152 - $B152) / $B152, "")</f>
        <v>0.12931034482758622</v>
      </c>
      <c r="I152" s="90">
        <f>IF(ISNUMBER(G152), $B172 * H152, "")</f>
        <v>19396.551724137931</v>
      </c>
      <c r="J152" s="13">
        <v>135</v>
      </c>
      <c r="K152" s="14">
        <f>IF(ISNUMBER(J152), (J152 - $B152) / $B152, "")</f>
        <v>0.16379310344827586</v>
      </c>
      <c r="L152" s="16">
        <f>IF(ISNUMBER(J152), $B172 * K152, "")</f>
        <v>24568.965517241377</v>
      </c>
      <c r="M152" s="29">
        <v>131</v>
      </c>
      <c r="N152" s="14">
        <f>IF(ISNUMBER(M152), (M152 - $B152) / $B152, "")</f>
        <v>0.12931034482758622</v>
      </c>
      <c r="O152" s="16">
        <f>IF(ISNUMBER(M152), $B172 * N152, "")</f>
        <v>19396.551724137931</v>
      </c>
      <c r="Q152" s="156"/>
      <c r="R152" s="156"/>
      <c r="S152" s="156"/>
    </row>
    <row r="153" spans="1:19" ht="17.25" thickBot="1">
      <c r="A153" s="109" t="s">
        <v>167</v>
      </c>
      <c r="B153" s="110">
        <v>188</v>
      </c>
      <c r="C153" s="70">
        <v>1.6216216200000001E-2</v>
      </c>
      <c r="D153" s="15">
        <v>196</v>
      </c>
      <c r="E153" s="32">
        <f t="shared" ref="E153:E156" si="78">IF(ISNUMBER(D153), (D153 - $B153) / $B153, "")</f>
        <v>4.2553191489361701E-2</v>
      </c>
      <c r="F153" s="18">
        <f>IF(ISNUMBER(D153), $B172 * E153, "")</f>
        <v>6382.9787234042551</v>
      </c>
      <c r="G153" s="31">
        <v>193</v>
      </c>
      <c r="H153" s="32">
        <f t="shared" ref="H153:H156" si="79">IF(ISNUMBER(G153), (G153 - $B153) / $B153, "")</f>
        <v>2.6595744680851064E-2</v>
      </c>
      <c r="I153" s="91">
        <f>IF(ISNUMBER(G153), $B172 * H153, "")</f>
        <v>3989.3617021276596</v>
      </c>
      <c r="J153" s="15">
        <v>195</v>
      </c>
      <c r="K153" s="32">
        <f t="shared" ref="K153:K156" si="80">IF(ISNUMBER(J153), (J153 - $B153) / $B153, "")</f>
        <v>3.7234042553191488E-2</v>
      </c>
      <c r="L153" s="18">
        <f>IF(ISNUMBER(J153), $B172 * K153, "")</f>
        <v>5585.1063829787236</v>
      </c>
      <c r="M153" s="31">
        <v>196</v>
      </c>
      <c r="N153" s="32">
        <f t="shared" ref="N153:N156" si="81">IF(ISNUMBER(M153), (M153 - $B153) / $B153, "")</f>
        <v>4.2553191489361701E-2</v>
      </c>
      <c r="O153" s="18">
        <f>IF(ISNUMBER(M153), $B172 * N153, "")</f>
        <v>6382.9787234042551</v>
      </c>
      <c r="Q153" s="156"/>
      <c r="R153" s="156"/>
      <c r="S153" s="156"/>
    </row>
    <row r="154" spans="1:19" ht="17.25" thickBot="1">
      <c r="A154" s="109" t="s">
        <v>176</v>
      </c>
      <c r="B154" s="110">
        <v>319</v>
      </c>
      <c r="C154" s="70">
        <v>1.5923566900000002E-2</v>
      </c>
      <c r="D154" s="15">
        <v>327</v>
      </c>
      <c r="E154" s="32">
        <f t="shared" si="78"/>
        <v>2.5078369905956112E-2</v>
      </c>
      <c r="F154" s="18">
        <f>IF(ISNUMBER(D154), $B172 * E154, "")</f>
        <v>3761.7554858934168</v>
      </c>
      <c r="G154" s="31">
        <v>324</v>
      </c>
      <c r="H154" s="32">
        <f t="shared" si="79"/>
        <v>1.5673981191222569E-2</v>
      </c>
      <c r="I154" s="91">
        <f>IF(ISNUMBER(G154), $B172 * H154, "")</f>
        <v>2351.0971786833852</v>
      </c>
      <c r="J154" s="15">
        <v>325</v>
      </c>
      <c r="K154" s="32">
        <f t="shared" si="80"/>
        <v>1.8808777429467086E-2</v>
      </c>
      <c r="L154" s="18">
        <f>IF(ISNUMBER(J154), $B172 * K154, "")</f>
        <v>2821.3166144200627</v>
      </c>
      <c r="M154" s="31">
        <v>325</v>
      </c>
      <c r="N154" s="32">
        <f t="shared" si="81"/>
        <v>1.8808777429467086E-2</v>
      </c>
      <c r="O154" s="18">
        <f>IF(ISNUMBER(M154), $B172 * N154, "")</f>
        <v>2821.3166144200627</v>
      </c>
      <c r="Q154" s="146"/>
      <c r="R154" s="146"/>
      <c r="S154" s="146"/>
    </row>
    <row r="155" spans="1:19" ht="17.25" thickBot="1">
      <c r="A155" s="109" t="s">
        <v>321</v>
      </c>
      <c r="B155" s="110">
        <v>193</v>
      </c>
      <c r="C155" s="70">
        <v>1.5789473700000001E-2</v>
      </c>
      <c r="D155" s="15">
        <v>206</v>
      </c>
      <c r="E155" s="32">
        <f t="shared" si="78"/>
        <v>6.7357512953367879E-2</v>
      </c>
      <c r="F155" s="18">
        <f>IF(ISNUMBER(D155), $B172 * E155, "")</f>
        <v>10103.626943005182</v>
      </c>
      <c r="G155" s="31">
        <v>205</v>
      </c>
      <c r="H155" s="32">
        <f t="shared" si="79"/>
        <v>6.2176165803108807E-2</v>
      </c>
      <c r="I155" s="91">
        <f>IF(ISNUMBER(G155), $B172 * H155, "")</f>
        <v>9326.4248704663205</v>
      </c>
      <c r="J155" s="15">
        <v>205</v>
      </c>
      <c r="K155" s="32">
        <f t="shared" si="80"/>
        <v>6.2176165803108807E-2</v>
      </c>
      <c r="L155" s="18">
        <f>IF(ISNUMBER(J155), $B172 * K155, "")</f>
        <v>9326.4248704663205</v>
      </c>
      <c r="M155" s="31">
        <v>205</v>
      </c>
      <c r="N155" s="32">
        <f t="shared" si="81"/>
        <v>6.2176165803108807E-2</v>
      </c>
      <c r="O155" s="18">
        <f>IF(ISNUMBER(M155), $B172 * N155, "")</f>
        <v>9326.4248704663205</v>
      </c>
      <c r="Q155" s="146"/>
      <c r="R155" s="146"/>
      <c r="S155" s="146"/>
    </row>
    <row r="156" spans="1:19" ht="17.25" thickBot="1">
      <c r="A156" s="111" t="s">
        <v>215</v>
      </c>
      <c r="B156" s="112">
        <v>334</v>
      </c>
      <c r="C156" s="71">
        <v>1.51975684E-2</v>
      </c>
      <c r="D156" s="20">
        <v>349</v>
      </c>
      <c r="E156" s="21">
        <f t="shared" si="78"/>
        <v>4.4910179640718563E-2</v>
      </c>
      <c r="F156" s="22">
        <f>IF(ISNUMBER(D156), $B172 * E156, "")</f>
        <v>6736.5269461077842</v>
      </c>
      <c r="G156" s="30">
        <v>343</v>
      </c>
      <c r="H156" s="21">
        <f t="shared" si="79"/>
        <v>2.6946107784431138E-2</v>
      </c>
      <c r="I156" s="95">
        <f>IF(ISNUMBER(G156), $B172 * H156, "")</f>
        <v>4041.9161676646709</v>
      </c>
      <c r="J156" s="20">
        <v>343</v>
      </c>
      <c r="K156" s="21">
        <f t="shared" si="80"/>
        <v>2.6946107784431138E-2</v>
      </c>
      <c r="L156" s="22">
        <f>IF(ISNUMBER(J156), $B172 * K156, "")</f>
        <v>4041.9161676646709</v>
      </c>
      <c r="M156" s="30">
        <v>341</v>
      </c>
      <c r="N156" s="21">
        <f t="shared" si="81"/>
        <v>2.0958083832335328E-2</v>
      </c>
      <c r="O156" s="22">
        <f>IF(ISNUMBER(M156), $B172 * N156, "")</f>
        <v>3143.712574850299</v>
      </c>
      <c r="Q156" s="146"/>
      <c r="R156" s="146"/>
      <c r="S156" s="146"/>
    </row>
    <row r="157" spans="1:19" ht="17.25" thickBot="1">
      <c r="A157" s="109" t="s">
        <v>183</v>
      </c>
      <c r="B157" s="113">
        <v>134</v>
      </c>
      <c r="C157" s="73">
        <v>1.51515152E-2</v>
      </c>
      <c r="D157" s="96">
        <v>139</v>
      </c>
      <c r="E157" s="97">
        <f>IF(ISNUMBER(D157), (D157 - $B157) / $B157, "")</f>
        <v>3.7313432835820892E-2</v>
      </c>
      <c r="F157" s="98">
        <f>IF(ISNUMBER(D157), $B172 * E157, "")</f>
        <v>5597.0149253731342</v>
      </c>
      <c r="G157" s="99">
        <v>139</v>
      </c>
      <c r="H157" s="97">
        <f>IF(ISNUMBER(G157), (G157 - $B157) / $B157, "")</f>
        <v>3.7313432835820892E-2</v>
      </c>
      <c r="I157" s="100">
        <f>IF(ISNUMBER(G157), $B172 * H157, "")</f>
        <v>5597.0149253731342</v>
      </c>
      <c r="J157" s="96">
        <v>138</v>
      </c>
      <c r="K157" s="97">
        <f>IF(ISNUMBER(J157), (J157 - $B157) / $B157, "")</f>
        <v>2.9850746268656716E-2</v>
      </c>
      <c r="L157" s="98">
        <f>IF(ISNUMBER(J157), $B172 * K157, "")</f>
        <v>4477.6119402985078</v>
      </c>
      <c r="M157" s="99">
        <v>138</v>
      </c>
      <c r="N157" s="97">
        <f>IF(ISNUMBER(M157), (M157 - $B157) / $B157, "")</f>
        <v>2.9850746268656716E-2</v>
      </c>
      <c r="O157" s="98">
        <f>IF(ISNUMBER(M157), $B172 * N157, "")</f>
        <v>4477.6119402985078</v>
      </c>
      <c r="Q157" s="146"/>
      <c r="R157" s="146"/>
      <c r="S157" s="146"/>
    </row>
    <row r="158" spans="1:19" ht="17.25" thickBot="1">
      <c r="A158" s="109" t="s">
        <v>229</v>
      </c>
      <c r="B158" s="110">
        <v>269</v>
      </c>
      <c r="C158" s="70">
        <v>1.5094339599999999E-2</v>
      </c>
      <c r="D158" s="15">
        <v>276</v>
      </c>
      <c r="E158" s="32">
        <f t="shared" ref="E158:E161" si="82">IF(ISNUMBER(D158), (D158 - $B158) / $B158, "")</f>
        <v>2.6022304832713755E-2</v>
      </c>
      <c r="F158" s="18">
        <f>IF(ISNUMBER(D158), $B172 * E158, "")</f>
        <v>3903.3457249070634</v>
      </c>
      <c r="G158" s="31">
        <v>276</v>
      </c>
      <c r="H158" s="32">
        <f t="shared" ref="H158:H161" si="83">IF(ISNUMBER(G158), (G158 - $B158) / $B158, "")</f>
        <v>2.6022304832713755E-2</v>
      </c>
      <c r="I158" s="91">
        <f>IF(ISNUMBER(G158), $B172 * H158, "")</f>
        <v>3903.3457249070634</v>
      </c>
      <c r="J158" s="15">
        <v>277</v>
      </c>
      <c r="K158" s="32">
        <f t="shared" ref="K158:K161" si="84">IF(ISNUMBER(J158), (J158 - $B158) / $B158, "")</f>
        <v>2.9739776951672861E-2</v>
      </c>
      <c r="L158" s="18">
        <f>IF(ISNUMBER(J158), $B172 * K158, "")</f>
        <v>4460.966542750929</v>
      </c>
      <c r="M158" s="31">
        <v>275</v>
      </c>
      <c r="N158" s="32">
        <f t="shared" ref="N158:N161" si="85">IF(ISNUMBER(M158), (M158 - $B158) / $B158, "")</f>
        <v>2.2304832713754646E-2</v>
      </c>
      <c r="O158" s="18">
        <f>IF(ISNUMBER(M158), $B172 * N158, "")</f>
        <v>3345.724907063197</v>
      </c>
      <c r="Q158" s="146"/>
      <c r="R158" s="146"/>
      <c r="S158" s="146"/>
    </row>
    <row r="159" spans="1:19" ht="17.25" thickBot="1">
      <c r="A159" s="109" t="s">
        <v>219</v>
      </c>
      <c r="B159" s="110">
        <v>408</v>
      </c>
      <c r="C159" s="70">
        <v>1.49253731E-2</v>
      </c>
      <c r="D159" s="15">
        <v>434</v>
      </c>
      <c r="E159" s="32">
        <f t="shared" si="82"/>
        <v>6.3725490196078427E-2</v>
      </c>
      <c r="F159" s="18">
        <f>IF(ISNUMBER(D159), $B172 * E159, "")</f>
        <v>9558.823529411764</v>
      </c>
      <c r="G159" s="31">
        <v>429</v>
      </c>
      <c r="H159" s="32">
        <f t="shared" si="83"/>
        <v>5.1470588235294115E-2</v>
      </c>
      <c r="I159" s="91">
        <f>IF(ISNUMBER(G159), $B172 * H159, "")</f>
        <v>7720.5882352941171</v>
      </c>
      <c r="J159" s="15">
        <v>433</v>
      </c>
      <c r="K159" s="32">
        <f t="shared" si="84"/>
        <v>6.1274509803921566E-2</v>
      </c>
      <c r="L159" s="18">
        <f>IF(ISNUMBER(J159), $B172 * K159, "")</f>
        <v>9191.1764705882342</v>
      </c>
      <c r="M159" s="31">
        <v>429</v>
      </c>
      <c r="N159" s="32">
        <f t="shared" si="85"/>
        <v>5.1470588235294115E-2</v>
      </c>
      <c r="O159" s="18">
        <f>IF(ISNUMBER(M159), $B172 * N159, "")</f>
        <v>7720.5882352941171</v>
      </c>
      <c r="Q159" s="146"/>
      <c r="R159" s="146"/>
      <c r="S159" s="146"/>
    </row>
    <row r="160" spans="1:19" ht="17.25" thickBot="1">
      <c r="A160" s="109" t="s">
        <v>231</v>
      </c>
      <c r="B160" s="110">
        <v>353</v>
      </c>
      <c r="C160" s="70">
        <v>1.43678161E-2</v>
      </c>
      <c r="D160" s="15">
        <v>387</v>
      </c>
      <c r="E160" s="32">
        <f t="shared" si="82"/>
        <v>9.6317280453257784E-2</v>
      </c>
      <c r="F160" s="18">
        <f>IF(ISNUMBER(D160), $B172 * E160, "")</f>
        <v>14447.592067988668</v>
      </c>
      <c r="G160" s="31">
        <v>362</v>
      </c>
      <c r="H160" s="32">
        <f t="shared" si="83"/>
        <v>2.5495750708215296E-2</v>
      </c>
      <c r="I160" s="91">
        <f>IF(ISNUMBER(G160), $B172 * H160, "")</f>
        <v>3824.3626062322946</v>
      </c>
      <c r="J160" s="15">
        <v>369</v>
      </c>
      <c r="K160" s="32">
        <f t="shared" si="84"/>
        <v>4.5325779036827198E-2</v>
      </c>
      <c r="L160" s="18">
        <f>IF(ISNUMBER(J160), $B172 * K160, "")</f>
        <v>6798.8668555240793</v>
      </c>
      <c r="M160" s="31">
        <v>367</v>
      </c>
      <c r="N160" s="32">
        <f t="shared" si="85"/>
        <v>3.9660056657223795E-2</v>
      </c>
      <c r="O160" s="18">
        <f>IF(ISNUMBER(M160), $B172 * N160, "")</f>
        <v>5949.0084985835692</v>
      </c>
      <c r="Q160" s="33"/>
      <c r="R160" s="33"/>
    </row>
    <row r="161" spans="1:19" ht="17.25" thickBot="1">
      <c r="A161" s="114" t="s">
        <v>187</v>
      </c>
      <c r="B161" s="115">
        <v>800</v>
      </c>
      <c r="C161" s="72">
        <v>1.3941698400000001E-2</v>
      </c>
      <c r="D161" s="24">
        <v>826</v>
      </c>
      <c r="E161" s="25">
        <f t="shared" si="82"/>
        <v>3.2500000000000001E-2</v>
      </c>
      <c r="F161" s="94">
        <f>IF(ISNUMBER(D161), $B172 * E161, "")</f>
        <v>4875</v>
      </c>
      <c r="G161" s="92">
        <v>813</v>
      </c>
      <c r="H161" s="25">
        <f t="shared" si="83"/>
        <v>1.6250000000000001E-2</v>
      </c>
      <c r="I161" s="93">
        <f>IF(ISNUMBER(G161), $B172 * H161, "")</f>
        <v>2437.5</v>
      </c>
      <c r="J161" s="24">
        <v>818</v>
      </c>
      <c r="K161" s="25">
        <f t="shared" si="84"/>
        <v>2.2499999999999999E-2</v>
      </c>
      <c r="L161" s="94">
        <f>IF(ISNUMBER(J161), $B172 * K161, "")</f>
        <v>3375</v>
      </c>
      <c r="M161" s="92">
        <v>813</v>
      </c>
      <c r="N161" s="25">
        <f t="shared" si="85"/>
        <v>1.6250000000000001E-2</v>
      </c>
      <c r="O161" s="94">
        <f>IF(ISNUMBER(M161), $B172 * N161, "")</f>
        <v>2437.5</v>
      </c>
      <c r="Q161" s="147"/>
      <c r="R161" s="148"/>
      <c r="S161" s="149"/>
    </row>
    <row r="162" spans="1:19">
      <c r="A162" s="107" t="s">
        <v>161</v>
      </c>
      <c r="B162" s="108">
        <v>322</v>
      </c>
      <c r="C162" s="69">
        <v>1.2578616399999999E-2</v>
      </c>
      <c r="D162" s="13">
        <v>327</v>
      </c>
      <c r="E162" s="14">
        <f>IF(ISNUMBER(D162), (D162 - $B162) / $B162, "")</f>
        <v>1.5527950310559006E-2</v>
      </c>
      <c r="F162" s="16">
        <f>IF(ISNUMBER(D162), $B172 * E162, "")</f>
        <v>2329.1925465838508</v>
      </c>
      <c r="G162" s="29">
        <v>331</v>
      </c>
      <c r="H162" s="14">
        <f>IF(ISNUMBER(G162), (G162 - $B162) / $B162, "")</f>
        <v>2.7950310559006212E-2</v>
      </c>
      <c r="I162" s="90">
        <f>IF(ISNUMBER(G162), $B172 * H162, "")</f>
        <v>4192.5465838509317</v>
      </c>
      <c r="J162" s="13">
        <v>331</v>
      </c>
      <c r="K162" s="14">
        <f>IF(ISNUMBER(J162), (J162 - $B162) / $B162, "")</f>
        <v>2.7950310559006212E-2</v>
      </c>
      <c r="L162" s="16">
        <f>IF(ISNUMBER(J162), $B172 * K162, "")</f>
        <v>4192.5465838509317</v>
      </c>
      <c r="M162" s="29">
        <v>334</v>
      </c>
      <c r="N162" s="14">
        <f>IF(ISNUMBER(M162), (M162 - $B162) / $B162, "")</f>
        <v>3.7267080745341616E-2</v>
      </c>
      <c r="O162" s="16">
        <f>IF(ISNUMBER(M162), $B172 * N162, "")</f>
        <v>5590.0621118012423</v>
      </c>
      <c r="Q162" s="150"/>
      <c r="R162" s="151"/>
      <c r="S162" s="152"/>
    </row>
    <row r="163" spans="1:19" ht="17.25" thickBot="1">
      <c r="A163" s="109" t="s">
        <v>89</v>
      </c>
      <c r="B163" s="110">
        <v>486</v>
      </c>
      <c r="C163" s="70">
        <v>1.2500000000000001E-2</v>
      </c>
      <c r="D163" s="15">
        <v>482</v>
      </c>
      <c r="E163" s="32">
        <f t="shared" ref="E163:E166" si="86">IF(ISNUMBER(D163), (D163 - $B163) / $B163, "")</f>
        <v>-8.23045267489712E-3</v>
      </c>
      <c r="F163" s="18">
        <f>IF(ISNUMBER(D163), $B172 * E163, "")</f>
        <v>-1234.5679012345679</v>
      </c>
      <c r="G163" s="31">
        <v>474</v>
      </c>
      <c r="H163" s="32">
        <f t="shared" ref="H163:H166" si="87">IF(ISNUMBER(G163), (G163 - $B163) / $B163, "")</f>
        <v>-2.4691358024691357E-2</v>
      </c>
      <c r="I163" s="91">
        <f>IF(ISNUMBER(G163), $B172 * H163, "")</f>
        <v>-3703.7037037037035</v>
      </c>
      <c r="J163" s="15">
        <v>476</v>
      </c>
      <c r="K163" s="32">
        <f t="shared" ref="K163:K166" si="88">IF(ISNUMBER(J163), (J163 - $B163) / $B163, "")</f>
        <v>-2.0576131687242798E-2</v>
      </c>
      <c r="L163" s="18">
        <f>IF(ISNUMBER(J163), $B172 * K163, "")</f>
        <v>-3086.4197530864199</v>
      </c>
      <c r="M163" s="31">
        <v>479</v>
      </c>
      <c r="N163" s="32">
        <f t="shared" ref="N163:N166" si="89">IF(ISNUMBER(M163), (M163 - $B163) / $B163, "")</f>
        <v>-1.4403292181069959E-2</v>
      </c>
      <c r="O163" s="18">
        <f>IF(ISNUMBER(M163), $B172 * N163, "")</f>
        <v>-2160.4938271604938</v>
      </c>
      <c r="Q163" s="153"/>
      <c r="R163" s="154"/>
      <c r="S163" s="155"/>
    </row>
    <row r="164" spans="1:19" ht="17.25" thickBot="1">
      <c r="A164" s="109" t="s">
        <v>199</v>
      </c>
      <c r="B164" s="110">
        <v>311</v>
      </c>
      <c r="C164" s="70">
        <v>9.7402597E-3</v>
      </c>
      <c r="D164" s="15">
        <v>326</v>
      </c>
      <c r="E164" s="32">
        <f t="shared" si="86"/>
        <v>4.8231511254019289E-2</v>
      </c>
      <c r="F164" s="18">
        <f>IF(ISNUMBER(D164), $B172 * E164, "")</f>
        <v>7234.7266881028936</v>
      </c>
      <c r="G164" s="31">
        <v>321</v>
      </c>
      <c r="H164" s="32">
        <f t="shared" si="87"/>
        <v>3.215434083601286E-2</v>
      </c>
      <c r="I164" s="91">
        <f>IF(ISNUMBER(G164), $B172 * H164, "")</f>
        <v>4823.1511254019288</v>
      </c>
      <c r="J164" s="15">
        <v>322</v>
      </c>
      <c r="K164" s="32">
        <f t="shared" si="88"/>
        <v>3.5369774919614148E-2</v>
      </c>
      <c r="L164" s="18">
        <f>IF(ISNUMBER(J164), $B172 * K164, "")</f>
        <v>5305.4662379421225</v>
      </c>
      <c r="M164" s="31">
        <v>321</v>
      </c>
      <c r="N164" s="32">
        <f t="shared" si="89"/>
        <v>3.215434083601286E-2</v>
      </c>
      <c r="O164" s="18">
        <f>IF(ISNUMBER(M164), $B172 * N164, "")</f>
        <v>4823.1511254019288</v>
      </c>
      <c r="Q164" s="146"/>
      <c r="R164" s="146"/>
      <c r="S164" s="146"/>
    </row>
    <row r="165" spans="1:19" ht="17.25" thickBot="1">
      <c r="A165" s="109" t="s">
        <v>223</v>
      </c>
      <c r="B165" s="110">
        <v>218</v>
      </c>
      <c r="C165" s="70">
        <v>9.2592592999999994E-3</v>
      </c>
      <c r="D165" s="15">
        <v>227</v>
      </c>
      <c r="E165" s="32">
        <f t="shared" si="86"/>
        <v>4.1284403669724773E-2</v>
      </c>
      <c r="F165" s="18">
        <f>IF(ISNUMBER(D165), $B172 * E165, "")</f>
        <v>6192.660550458716</v>
      </c>
      <c r="G165" s="31">
        <v>222</v>
      </c>
      <c r="H165" s="32">
        <f t="shared" si="87"/>
        <v>1.834862385321101E-2</v>
      </c>
      <c r="I165" s="91">
        <f>IF(ISNUMBER(G165), $B172 * H165, "")</f>
        <v>2752.2935779816517</v>
      </c>
      <c r="J165" s="15">
        <v>222</v>
      </c>
      <c r="K165" s="32">
        <f t="shared" si="88"/>
        <v>1.834862385321101E-2</v>
      </c>
      <c r="L165" s="18">
        <f>IF(ISNUMBER(J165), $B172 * K165, "")</f>
        <v>2752.2935779816517</v>
      </c>
      <c r="M165" s="31">
        <v>224</v>
      </c>
      <c r="N165" s="32">
        <f t="shared" si="89"/>
        <v>2.7522935779816515E-2</v>
      </c>
      <c r="O165" s="18">
        <f>IF(ISNUMBER(M165), $B172 * N165, "")</f>
        <v>4128.440366972477</v>
      </c>
      <c r="Q165" s="156"/>
      <c r="R165" s="156"/>
      <c r="S165" s="156"/>
    </row>
    <row r="166" spans="1:19" ht="17.25" thickBot="1">
      <c r="A166" s="111" t="s">
        <v>235</v>
      </c>
      <c r="B166" s="112">
        <v>577</v>
      </c>
      <c r="C166" s="71">
        <v>8.7412587000000007E-3</v>
      </c>
      <c r="D166" s="20">
        <v>594</v>
      </c>
      <c r="E166" s="21">
        <f t="shared" si="86"/>
        <v>2.9462738301559793E-2</v>
      </c>
      <c r="F166" s="22">
        <f>IF(ISNUMBER(D166), $B172 * E166, "")</f>
        <v>4419.4107452339686</v>
      </c>
      <c r="G166" s="30">
        <v>589</v>
      </c>
      <c r="H166" s="21">
        <f t="shared" si="87"/>
        <v>2.0797227036395149E-2</v>
      </c>
      <c r="I166" s="95">
        <f>IF(ISNUMBER(G166), $B172 * H166, "")</f>
        <v>3119.5840554592723</v>
      </c>
      <c r="J166" s="20">
        <v>590</v>
      </c>
      <c r="K166" s="21">
        <f t="shared" si="88"/>
        <v>2.2530329289428077E-2</v>
      </c>
      <c r="L166" s="22">
        <f>IF(ISNUMBER(J166), $B172 * K166, "")</f>
        <v>3379.5493934142114</v>
      </c>
      <c r="M166" s="30">
        <v>597</v>
      </c>
      <c r="N166" s="21">
        <f t="shared" si="89"/>
        <v>3.4662045060658578E-2</v>
      </c>
      <c r="O166" s="22">
        <f>IF(ISNUMBER(M166), $B172 * N166, "")</f>
        <v>5199.3067590987866</v>
      </c>
      <c r="Q166" s="156"/>
      <c r="R166" s="156"/>
      <c r="S166" s="156"/>
    </row>
    <row r="167" spans="1:19" ht="17.25" thickBot="1">
      <c r="A167" s="109" t="s">
        <v>213</v>
      </c>
      <c r="B167" s="113">
        <v>487</v>
      </c>
      <c r="C167" s="73">
        <v>8.2815735000000001E-3</v>
      </c>
      <c r="D167" s="96">
        <v>511</v>
      </c>
      <c r="E167" s="97">
        <f>IF(ISNUMBER(D167), (D167 - $B167) / $B167, "")</f>
        <v>4.9281314168377825E-2</v>
      </c>
      <c r="F167" s="98">
        <f>IF(ISNUMBER(D167), $B172 * E167, "")</f>
        <v>7392.1971252566736</v>
      </c>
      <c r="G167" s="99">
        <v>494</v>
      </c>
      <c r="H167" s="97">
        <f>IF(ISNUMBER(G167), (G167 - $B167) / $B167, "")</f>
        <v>1.4373716632443531E-2</v>
      </c>
      <c r="I167" s="100">
        <f>IF(ISNUMBER(G167), $B172 * H167, "")</f>
        <v>2156.0574948665299</v>
      </c>
      <c r="J167" s="96">
        <v>494</v>
      </c>
      <c r="K167" s="97">
        <f>IF(ISNUMBER(J167), (J167 - $B167) / $B167, "")</f>
        <v>1.4373716632443531E-2</v>
      </c>
      <c r="L167" s="98">
        <f>IF(ISNUMBER(J167), $B172 * K167, "")</f>
        <v>2156.0574948665299</v>
      </c>
      <c r="M167" s="99">
        <v>494</v>
      </c>
      <c r="N167" s="97">
        <f>IF(ISNUMBER(M167), (M167 - $B167) / $B167, "")</f>
        <v>1.4373716632443531E-2</v>
      </c>
      <c r="O167" s="98">
        <f>IF(ISNUMBER(M167), $B172 * N167, "")</f>
        <v>2156.0574948665299</v>
      </c>
      <c r="Q167" s="146"/>
      <c r="R167" s="146"/>
      <c r="S167" s="146"/>
    </row>
    <row r="168" spans="1:19" ht="17.25" thickBot="1">
      <c r="A168" s="109" t="s">
        <v>81</v>
      </c>
      <c r="B168" s="110">
        <v>433</v>
      </c>
      <c r="C168" s="70">
        <v>6.9767442000000001E-3</v>
      </c>
      <c r="D168" s="15">
        <v>428</v>
      </c>
      <c r="E168" s="32">
        <f t="shared" ref="E168:E171" si="90">IF(ISNUMBER(D168), (D168 - $B168) / $B168, "")</f>
        <v>-1.1547344110854504E-2</v>
      </c>
      <c r="F168" s="18">
        <f>IF(ISNUMBER(D168), $B172 * E168, "")</f>
        <v>-1732.1016166281756</v>
      </c>
      <c r="G168" s="31">
        <v>425</v>
      </c>
      <c r="H168" s="32">
        <f t="shared" ref="H168:H171" si="91">IF(ISNUMBER(G168), (G168 - $B168) / $B168, "")</f>
        <v>-1.8475750577367205E-2</v>
      </c>
      <c r="I168" s="91">
        <f>IF(ISNUMBER(G168), $B172 * H168, "")</f>
        <v>-2771.3625866050807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-1732.1016166281756</v>
      </c>
      <c r="M168" s="31">
        <v>432</v>
      </c>
      <c r="N168" s="32">
        <f t="shared" ref="N168:N171" si="93">IF(ISNUMBER(M168), (M168 - $B168) / $B168, "")</f>
        <v>-2.3094688221709007E-3</v>
      </c>
      <c r="O168" s="18">
        <f>IF(ISNUMBER(M168), $B172 * N168, "")</f>
        <v>-346.42032332563508</v>
      </c>
      <c r="Q168" s="146"/>
      <c r="R168" s="146"/>
      <c r="S168" s="146"/>
    </row>
    <row r="169" spans="1:19" ht="17.25" thickBot="1">
      <c r="A169" s="109" t="s">
        <v>239</v>
      </c>
      <c r="B169" s="110">
        <v>455</v>
      </c>
      <c r="C169" s="70">
        <v>6.6371681000000002E-3</v>
      </c>
      <c r="D169" s="15">
        <v>466</v>
      </c>
      <c r="E169" s="32">
        <f t="shared" si="90"/>
        <v>2.4175824175824177E-2</v>
      </c>
      <c r="F169" s="18">
        <f>IF(ISNUMBER(D169), $B172 * E169, "")</f>
        <v>3626.3736263736264</v>
      </c>
      <c r="G169" s="31">
        <v>461</v>
      </c>
      <c r="H169" s="32">
        <f t="shared" si="91"/>
        <v>1.3186813186813187E-2</v>
      </c>
      <c r="I169" s="91">
        <f>IF(ISNUMBER(G169), $B172 * H169, "")</f>
        <v>1978.0219780219779</v>
      </c>
      <c r="J169" s="15">
        <v>462</v>
      </c>
      <c r="K169" s="32">
        <f t="shared" si="92"/>
        <v>1.5384615384615385E-2</v>
      </c>
      <c r="L169" s="18">
        <f>IF(ISNUMBER(J169), $B172 * K169, "")</f>
        <v>2307.6923076923076</v>
      </c>
      <c r="M169" s="31">
        <v>465</v>
      </c>
      <c r="N169" s="32">
        <f t="shared" si="93"/>
        <v>2.197802197802198E-2</v>
      </c>
      <c r="O169" s="18">
        <f>IF(ISNUMBER(M169), $B172 * N169, "")</f>
        <v>3296.7032967032969</v>
      </c>
      <c r="Q169" s="146"/>
      <c r="R169" s="146"/>
      <c r="S169" s="146"/>
    </row>
    <row r="170" spans="1:19">
      <c r="A170" s="109" t="s">
        <v>157</v>
      </c>
      <c r="B170" s="110">
        <v>222</v>
      </c>
      <c r="C170" s="70">
        <v>4.5248869000000004E-3</v>
      </c>
      <c r="D170" s="15">
        <v>223</v>
      </c>
      <c r="E170" s="32">
        <f t="shared" si="90"/>
        <v>4.5045045045045045E-3</v>
      </c>
      <c r="F170" s="18">
        <f>IF(ISNUMBER(D170), $B172 * E170, "")</f>
        <v>675.67567567567562</v>
      </c>
      <c r="G170" s="31">
        <v>225</v>
      </c>
      <c r="H170" s="32">
        <f t="shared" si="91"/>
        <v>1.3513513513513514E-2</v>
      </c>
      <c r="I170" s="91">
        <f>IF(ISNUMBER(G170), $B172 * H170, "")</f>
        <v>2027.0270270270271</v>
      </c>
      <c r="J170" s="15">
        <v>229</v>
      </c>
      <c r="K170" s="32">
        <f t="shared" si="92"/>
        <v>3.1531531531531529E-2</v>
      </c>
      <c r="L170" s="18">
        <f>IF(ISNUMBER(J170), $B172 * K170, "")</f>
        <v>4729.7297297297291</v>
      </c>
      <c r="M170" s="31">
        <v>231</v>
      </c>
      <c r="N170" s="32">
        <f t="shared" si="93"/>
        <v>4.0540540540540543E-2</v>
      </c>
      <c r="O170" s="18">
        <f>IF(ISNUMBER(M170), $B172 * N170, "")</f>
        <v>6081.0810810810817</v>
      </c>
      <c r="Q170" s="135"/>
      <c r="R170" s="136"/>
      <c r="S170" s="137"/>
    </row>
    <row r="171" spans="1:19" ht="17.25" thickBot="1">
      <c r="A171" s="114" t="s">
        <v>317</v>
      </c>
      <c r="B171" s="115">
        <v>636</v>
      </c>
      <c r="C171" s="72">
        <v>-9.3457943999999994E-3</v>
      </c>
      <c r="D171" s="24">
        <v>659</v>
      </c>
      <c r="E171" s="25">
        <f t="shared" si="90"/>
        <v>3.6163522012578615E-2</v>
      </c>
      <c r="F171" s="94">
        <f>IF(ISNUMBER(D171), $B172 * E171, "")</f>
        <v>5424.5283018867922</v>
      </c>
      <c r="G171" s="92">
        <v>643</v>
      </c>
      <c r="H171" s="25">
        <f t="shared" si="91"/>
        <v>1.10062893081761E-2</v>
      </c>
      <c r="I171" s="93">
        <f>IF(ISNUMBER(G171), $B172 * H171, "")</f>
        <v>1650.943396226415</v>
      </c>
      <c r="J171" s="24">
        <v>642</v>
      </c>
      <c r="K171" s="25">
        <f t="shared" si="92"/>
        <v>9.433962264150943E-3</v>
      </c>
      <c r="L171" s="94">
        <f>IF(ISNUMBER(J171), $B172 * K171, "")</f>
        <v>1415.0943396226414</v>
      </c>
      <c r="M171" s="92">
        <v>646</v>
      </c>
      <c r="N171" s="25">
        <f t="shared" si="93"/>
        <v>1.5723270440251572E-2</v>
      </c>
      <c r="O171" s="94">
        <f>IF(ISNUMBER(M171), $B172 * N171, "")</f>
        <v>2358.4905660377358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3.5386759109726676E-2</v>
      </c>
      <c r="F172" s="28">
        <f>SUM(F152:F171)</f>
        <v>106160.27732918004</v>
      </c>
      <c r="G172" s="26" t="s">
        <v>258</v>
      </c>
      <c r="H172" s="27">
        <f>IF(COUNT(H152:H171), SUM(H152:H171) / COUNT(H152:H171), 0)</f>
        <v>2.6270907361137845E-2</v>
      </c>
      <c r="I172" s="28">
        <f>SUM(I152:I171)</f>
        <v>78812.722083413522</v>
      </c>
      <c r="J172" s="26" t="s">
        <v>258</v>
      </c>
      <c r="K172" s="27">
        <f>IF(COUNT(K152:K171), SUM(K152:K171) / COUNT(K152:K171), 0)</f>
        <v>3.2022419885772826E-2</v>
      </c>
      <c r="L172" s="28">
        <f>SUM(L152:L171)</f>
        <v>96067.259657318427</v>
      </c>
      <c r="M172" s="26" t="s">
        <v>258</v>
      </c>
      <c r="N172" s="27">
        <f>IF(COUNT(N152:N171), SUM(N152:N171) / COUNT(N152:N171), 0)</f>
        <v>3.2042598913331742E-2</v>
      </c>
      <c r="O172" s="28">
        <f>SUM(O152:O171)</f>
        <v>96127.796739995218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2023-01-15(일) 오전 00:00</v>
      </c>
      <c r="C177" s="198"/>
      <c r="D177" s="170" t="str">
        <f>TEXT($G$1, "[$-ko-KR]yyyy-mm-dd(ddd) ") &amp; "오후 14:00"</f>
        <v>2023-01-15(일) 오후 14:00</v>
      </c>
      <c r="E177" s="171"/>
      <c r="F177" s="172"/>
      <c r="G177" s="170" t="str">
        <f>TEXT($G$1, "[$-ko-KR]yyyy-mm-dd(ddd) ") &amp; "오후 19:00"</f>
        <v>2023-01-15(일) 오후 19:00</v>
      </c>
      <c r="H177" s="171"/>
      <c r="I177" s="172"/>
      <c r="J177" s="170" t="str">
        <f>TEXT($G$1, "[$-ko-KR]yyyy-mm-dd(ddd) ") &amp; "오후 21:00"</f>
        <v>2023-01-15(일) 오후 21:00</v>
      </c>
      <c r="K177" s="171"/>
      <c r="L177" s="172"/>
      <c r="M177" s="170" t="str">
        <f>TEXT($G$1+1, "[$-ko-KR]yyyy-mm-dd(ddd) ") &amp; "오전 00:00"</f>
        <v>2023-01-16(월)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233</v>
      </c>
      <c r="B179" s="108">
        <v>3060</v>
      </c>
      <c r="C179" s="69">
        <v>8.2372322999999994E-3</v>
      </c>
      <c r="D179" s="13">
        <v>3125</v>
      </c>
      <c r="E179" s="14">
        <f>IF(ISNUMBER(D179), (D179 - $B179) / $B179, "")</f>
        <v>2.1241830065359478E-2</v>
      </c>
      <c r="F179" s="16">
        <f>IF(ISNUMBER(D179), $B199 * E179, "")</f>
        <v>3186.2745098039218</v>
      </c>
      <c r="G179" s="29">
        <v>3110</v>
      </c>
      <c r="H179" s="14">
        <f>IF(ISNUMBER(G179), (G179 - $B179) / $B179, "")</f>
        <v>1.6339869281045753E-2</v>
      </c>
      <c r="I179" s="90">
        <f>IF(ISNUMBER(G179), $B199 * H179, "")</f>
        <v>2450.9803921568628</v>
      </c>
      <c r="J179" s="13">
        <v>3110</v>
      </c>
      <c r="K179" s="14">
        <f>IF(ISNUMBER(J179), (J179 - $B179) / $B179, "")</f>
        <v>1.6339869281045753E-2</v>
      </c>
      <c r="L179" s="16">
        <f>IF(ISNUMBER(J179), $B199 * K179, "")</f>
        <v>2450.9803921568628</v>
      </c>
      <c r="M179" s="29">
        <v>3120</v>
      </c>
      <c r="N179" s="14">
        <f>IF(ISNUMBER(M179), (M179 - $B179) / $B179, "")</f>
        <v>1.9607843137254902E-2</v>
      </c>
      <c r="O179" s="16">
        <f>IF(ISNUMBER(M179), $B199 * N179, "")</f>
        <v>2941.1764705882351</v>
      </c>
      <c r="Q179" s="156"/>
      <c r="R179" s="156"/>
      <c r="S179" s="156"/>
    </row>
    <row r="180" spans="1:19" ht="17.25" thickBot="1">
      <c r="A180" s="109" t="s">
        <v>87</v>
      </c>
      <c r="B180" s="110">
        <v>55710</v>
      </c>
      <c r="C180" s="70">
        <v>7.5963104000000004E-3</v>
      </c>
      <c r="D180" s="15">
        <v>55430</v>
      </c>
      <c r="E180" s="32">
        <f t="shared" ref="E180:E183" si="94">IF(ISNUMBER(D180), (D180 - $B180) / $B180, "")</f>
        <v>-5.0260276431520375E-3</v>
      </c>
      <c r="F180" s="18">
        <f>IF(ISNUMBER(D180), $B199 * E180, "")</f>
        <v>-753.90414647280556</v>
      </c>
      <c r="G180" s="31">
        <v>55150</v>
      </c>
      <c r="H180" s="32">
        <f t="shared" ref="H180:H183" si="95">IF(ISNUMBER(G180), (G180 - $B180) / $B180, "")</f>
        <v>-1.0052055286304075E-2</v>
      </c>
      <c r="I180" s="91">
        <f>IF(ISNUMBER(G180), $B199 * H180, "")</f>
        <v>-1507.8082929456111</v>
      </c>
      <c r="J180" s="15">
        <v>55340</v>
      </c>
      <c r="K180" s="32">
        <f t="shared" ref="K180:K183" si="96">IF(ISNUMBER(J180), (J180 - $B180) / $B180, "")</f>
        <v>-6.6415365284509063E-3</v>
      </c>
      <c r="L180" s="18">
        <f>IF(ISNUMBER(J180), $B199 * K180, "")</f>
        <v>-996.23047926763593</v>
      </c>
      <c r="M180" s="31">
        <v>55690</v>
      </c>
      <c r="N180" s="32">
        <f t="shared" ref="N180:N183" si="97">IF(ISNUMBER(M180), (M180 - $B180) / $B180, "")</f>
        <v>-3.5900197451085983E-4</v>
      </c>
      <c r="O180" s="18">
        <f>IF(ISNUMBER(M180), $B199 * N180, "")</f>
        <v>-53.850296176628973</v>
      </c>
      <c r="Q180" s="156"/>
      <c r="R180" s="156"/>
      <c r="S180" s="156"/>
    </row>
    <row r="181" spans="1:19" ht="17.25" thickBot="1">
      <c r="A181" s="109" t="s">
        <v>227</v>
      </c>
      <c r="B181" s="110">
        <v>40.4</v>
      </c>
      <c r="C181" s="70">
        <v>7.4812968000000004E-3</v>
      </c>
      <c r="D181" s="15">
        <v>43.6</v>
      </c>
      <c r="E181" s="32">
        <f t="shared" si="94"/>
        <v>7.9207920792079278E-2</v>
      </c>
      <c r="F181" s="18">
        <f>IF(ISNUMBER(D181), $B199 * E181, "")</f>
        <v>11881.188118811891</v>
      </c>
      <c r="G181" s="31">
        <v>41.6</v>
      </c>
      <c r="H181" s="32">
        <f t="shared" si="95"/>
        <v>2.9702970297029774E-2</v>
      </c>
      <c r="I181" s="91">
        <f>IF(ISNUMBER(G181), $B199 * H181, "")</f>
        <v>4455.4455445544663</v>
      </c>
      <c r="J181" s="15">
        <v>41.6</v>
      </c>
      <c r="K181" s="32">
        <f t="shared" si="96"/>
        <v>2.9702970297029774E-2</v>
      </c>
      <c r="L181" s="18">
        <f>IF(ISNUMBER(J181), $B199 * K181, "")</f>
        <v>4455.4455445544663</v>
      </c>
      <c r="M181" s="31">
        <v>42</v>
      </c>
      <c r="N181" s="32">
        <f t="shared" si="97"/>
        <v>3.9603960396039639E-2</v>
      </c>
      <c r="O181" s="18">
        <f>IF(ISNUMBER(M181), $B199 * N181, "")</f>
        <v>5940.5940594059457</v>
      </c>
      <c r="Q181" s="146"/>
      <c r="R181" s="146"/>
      <c r="S181" s="146"/>
    </row>
    <row r="182" spans="1:19" ht="17.25" thickBot="1">
      <c r="A182" s="109" t="s">
        <v>81</v>
      </c>
      <c r="B182" s="110">
        <v>433</v>
      </c>
      <c r="C182" s="70">
        <v>6.9767442000000001E-3</v>
      </c>
      <c r="D182" s="15">
        <v>428</v>
      </c>
      <c r="E182" s="32">
        <f t="shared" si="94"/>
        <v>-1.1547344110854504E-2</v>
      </c>
      <c r="F182" s="18">
        <f>IF(ISNUMBER(D182), $B199 * E182, "")</f>
        <v>-1732.1016166281756</v>
      </c>
      <c r="G182" s="31">
        <v>425</v>
      </c>
      <c r="H182" s="32">
        <f t="shared" si="95"/>
        <v>-1.8475750577367205E-2</v>
      </c>
      <c r="I182" s="91">
        <f>IF(ISNUMBER(G182), $B199 * H182, "")</f>
        <v>-2771.3625866050807</v>
      </c>
      <c r="J182" s="15">
        <v>428</v>
      </c>
      <c r="K182" s="32">
        <f t="shared" si="96"/>
        <v>-1.1547344110854504E-2</v>
      </c>
      <c r="L182" s="18">
        <f>IF(ISNUMBER(J182), $B199 * K182, "")</f>
        <v>-1732.1016166281756</v>
      </c>
      <c r="M182" s="31">
        <v>432</v>
      </c>
      <c r="N182" s="32">
        <f t="shared" si="97"/>
        <v>-2.3094688221709007E-3</v>
      </c>
      <c r="O182" s="18">
        <f>IF(ISNUMBER(M182), $B199 * N182, "")</f>
        <v>-346.42032332563508</v>
      </c>
      <c r="Q182" s="146"/>
      <c r="R182" s="146"/>
      <c r="S182" s="146"/>
    </row>
    <row r="183" spans="1:19" ht="17.25" thickBot="1">
      <c r="A183" s="111" t="s">
        <v>225</v>
      </c>
      <c r="B183" s="112">
        <v>58.8</v>
      </c>
      <c r="C183" s="71">
        <v>6.8493151000000004E-3</v>
      </c>
      <c r="D183" s="20">
        <v>61.7</v>
      </c>
      <c r="E183" s="21">
        <f t="shared" si="94"/>
        <v>4.9319727891156559E-2</v>
      </c>
      <c r="F183" s="22">
        <f>IF(ISNUMBER(D183), $B199 * E183, "")</f>
        <v>7397.9591836734835</v>
      </c>
      <c r="G183" s="30">
        <v>59.8</v>
      </c>
      <c r="H183" s="21">
        <f t="shared" si="95"/>
        <v>1.7006802721088437E-2</v>
      </c>
      <c r="I183" s="95">
        <f>IF(ISNUMBER(G183), $B199 * H183, "")</f>
        <v>2551.0204081632655</v>
      </c>
      <c r="J183" s="20">
        <v>59.5</v>
      </c>
      <c r="K183" s="21">
        <f t="shared" si="96"/>
        <v>1.1904761904761954E-2</v>
      </c>
      <c r="L183" s="22">
        <f>IF(ISNUMBER(J183), $B199 * K183, "")</f>
        <v>1785.7142857142931</v>
      </c>
      <c r="M183" s="30">
        <v>59.7</v>
      </c>
      <c r="N183" s="21">
        <f t="shared" si="97"/>
        <v>1.5306122448979689E-2</v>
      </c>
      <c r="O183" s="22">
        <f>IF(ISNUMBER(M183), $B199 * N183, "")</f>
        <v>2295.9183673469533</v>
      </c>
      <c r="Q183" s="146"/>
      <c r="R183" s="146"/>
      <c r="S183" s="146"/>
    </row>
    <row r="184" spans="1:19" ht="17.25" thickBot="1">
      <c r="A184" s="109" t="s">
        <v>239</v>
      </c>
      <c r="B184" s="113">
        <v>455</v>
      </c>
      <c r="C184" s="73">
        <v>6.6371681000000002E-3</v>
      </c>
      <c r="D184" s="96">
        <v>466</v>
      </c>
      <c r="E184" s="97">
        <f>IF(ISNUMBER(D184), (D184 - $B184) / $B184, "")</f>
        <v>2.4175824175824177E-2</v>
      </c>
      <c r="F184" s="98">
        <f>IF(ISNUMBER(D184), $B199 * E184, "")</f>
        <v>3626.3736263736264</v>
      </c>
      <c r="G184" s="99">
        <v>461</v>
      </c>
      <c r="H184" s="97">
        <f>IF(ISNUMBER(G184), (G184 - $B184) / $B184, "")</f>
        <v>1.3186813186813187E-2</v>
      </c>
      <c r="I184" s="100">
        <f>IF(ISNUMBER(G184), $B199 * H184, "")</f>
        <v>1978.0219780219779</v>
      </c>
      <c r="J184" s="96">
        <v>462</v>
      </c>
      <c r="K184" s="97">
        <f>IF(ISNUMBER(J184), (J184 - $B184) / $B184, "")</f>
        <v>1.5384615384615385E-2</v>
      </c>
      <c r="L184" s="98">
        <f>IF(ISNUMBER(J184), $B199 * K184, "")</f>
        <v>2307.6923076923076</v>
      </c>
      <c r="M184" s="99">
        <v>465</v>
      </c>
      <c r="N184" s="97">
        <f>IF(ISNUMBER(M184), (M184 - $B184) / $B184, "")</f>
        <v>2.197802197802198E-2</v>
      </c>
      <c r="O184" s="98">
        <f>IF(ISNUMBER(M184), $B199 * N184, "")</f>
        <v>3296.7032967032969</v>
      </c>
      <c r="Q184" s="146"/>
      <c r="R184" s="146"/>
      <c r="S184" s="146"/>
    </row>
    <row r="185" spans="1:19" ht="17.25" thickBot="1">
      <c r="A185" s="109" t="s">
        <v>91</v>
      </c>
      <c r="B185" s="110">
        <v>19930</v>
      </c>
      <c r="C185" s="70">
        <v>6.5656565999999998E-3</v>
      </c>
      <c r="D185" s="15">
        <v>19650</v>
      </c>
      <c r="E185" s="32">
        <f t="shared" ref="E185:E188" si="98">IF(ISNUMBER(D185), (D185 - $B185) / $B185, "")</f>
        <v>-1.4049172102358254E-2</v>
      </c>
      <c r="F185" s="18">
        <f>IF(ISNUMBER(D185), $B199 * E185, "")</f>
        <v>-2107.3758153537383</v>
      </c>
      <c r="G185" s="31">
        <v>19470</v>
      </c>
      <c r="H185" s="32">
        <f t="shared" ref="H185:H188" si="99">IF(ISNUMBER(G185), (G185 - $B185) / $B185, "")</f>
        <v>-2.3080782739588562E-2</v>
      </c>
      <c r="I185" s="91">
        <f>IF(ISNUMBER(G185), $B199 * H185, "")</f>
        <v>-3462.1174109382841</v>
      </c>
      <c r="J185" s="15">
        <v>19620</v>
      </c>
      <c r="K185" s="32">
        <f t="shared" ref="K185:K188" si="100">IF(ISNUMBER(J185), (J185 - $B185) / $B185, "")</f>
        <v>-1.5554440541896638E-2</v>
      </c>
      <c r="L185" s="18">
        <f>IF(ISNUMBER(J185), $B199 * K185, "")</f>
        <v>-2333.1660812844957</v>
      </c>
      <c r="M185" s="31">
        <v>19710</v>
      </c>
      <c r="N185" s="32">
        <f t="shared" ref="N185:N188" si="101">IF(ISNUMBER(M185), (M185 - $B185) / $B185, "")</f>
        <v>-1.1038635223281485E-2</v>
      </c>
      <c r="O185" s="18">
        <f>IF(ISNUMBER(M185), $B199 * N185, "")</f>
        <v>-1655.7952834922228</v>
      </c>
      <c r="Q185" s="146"/>
      <c r="R185" s="146"/>
      <c r="S185" s="146"/>
    </row>
    <row r="186" spans="1:19" ht="17.25" thickBot="1">
      <c r="A186" s="109" t="s">
        <v>143</v>
      </c>
      <c r="B186" s="110">
        <v>3.95</v>
      </c>
      <c r="C186" s="70">
        <v>5.0890585000000002E-3</v>
      </c>
      <c r="D186" s="15">
        <v>4.2699999999999996</v>
      </c>
      <c r="E186" s="32">
        <f t="shared" si="98"/>
        <v>8.101265822784795E-2</v>
      </c>
      <c r="F186" s="18">
        <f>IF(ISNUMBER(D186), $B199 * E186, "")</f>
        <v>12151.898734177192</v>
      </c>
      <c r="G186" s="31">
        <v>4.04</v>
      </c>
      <c r="H186" s="32">
        <f t="shared" si="99"/>
        <v>2.278481012658224E-2</v>
      </c>
      <c r="I186" s="91">
        <f>IF(ISNUMBER(G186), $B199 * H186, "")</f>
        <v>3417.7215189873359</v>
      </c>
      <c r="J186" s="15">
        <v>4.04</v>
      </c>
      <c r="K186" s="32">
        <f t="shared" si="100"/>
        <v>2.278481012658224E-2</v>
      </c>
      <c r="L186" s="18">
        <f>IF(ISNUMBER(J186), $B199 * K186, "")</f>
        <v>3417.7215189873359</v>
      </c>
      <c r="M186" s="31">
        <v>4.05</v>
      </c>
      <c r="N186" s="32">
        <f t="shared" si="101"/>
        <v>2.5316455696202441E-2</v>
      </c>
      <c r="O186" s="18">
        <f>IF(ISNUMBER(M186), $B199 * N186, "")</f>
        <v>3797.4683544303662</v>
      </c>
      <c r="Q186" s="146"/>
      <c r="R186" s="146"/>
      <c r="S186" s="146"/>
    </row>
    <row r="187" spans="1:19" ht="17.25" thickBot="1">
      <c r="A187" s="109" t="s">
        <v>350</v>
      </c>
      <c r="B187" s="110">
        <v>6.35</v>
      </c>
      <c r="C187" s="70">
        <v>4.7468353999999997E-3</v>
      </c>
      <c r="D187" s="15">
        <v>9.19</v>
      </c>
      <c r="E187" s="32">
        <f t="shared" si="98"/>
        <v>0.44724409448818897</v>
      </c>
      <c r="F187" s="18">
        <f>IF(ISNUMBER(D187), $B199 * E187, "")</f>
        <v>67086.614173228343</v>
      </c>
      <c r="G187" s="31">
        <v>8.0399999999999991</v>
      </c>
      <c r="H187" s="32">
        <f t="shared" si="99"/>
        <v>0.26614173228346449</v>
      </c>
      <c r="I187" s="91">
        <f>IF(ISNUMBER(G187), $B199 * H187, "")</f>
        <v>39921.259842519677</v>
      </c>
      <c r="J187" s="15">
        <v>8.0399999999999991</v>
      </c>
      <c r="K187" s="32">
        <f t="shared" si="100"/>
        <v>0.26614173228346449</v>
      </c>
      <c r="L187" s="18">
        <f>IF(ISNUMBER(J187), $B199 * K187, "")</f>
        <v>39921.259842519677</v>
      </c>
      <c r="M187" s="31">
        <v>7.93</v>
      </c>
      <c r="N187" s="32">
        <f t="shared" si="101"/>
        <v>0.2488188976377953</v>
      </c>
      <c r="O187" s="18">
        <f>IF(ISNUMBER(M187), $B199 * N187, "")</f>
        <v>37322.834645669296</v>
      </c>
      <c r="Q187" s="33"/>
      <c r="R187" s="33"/>
    </row>
    <row r="188" spans="1:19" ht="17.25" thickBot="1">
      <c r="A188" s="114" t="s">
        <v>157</v>
      </c>
      <c r="B188" s="115">
        <v>222</v>
      </c>
      <c r="C188" s="72">
        <v>4.5248869000000004E-3</v>
      </c>
      <c r="D188" s="24">
        <v>223</v>
      </c>
      <c r="E188" s="25">
        <f t="shared" si="98"/>
        <v>4.5045045045045045E-3</v>
      </c>
      <c r="F188" s="94">
        <f>IF(ISNUMBER(D188), $B199 * E188, "")</f>
        <v>675.67567567567562</v>
      </c>
      <c r="G188" s="92">
        <v>225</v>
      </c>
      <c r="H188" s="25">
        <f t="shared" si="99"/>
        <v>1.3513513513513514E-2</v>
      </c>
      <c r="I188" s="93">
        <f>IF(ISNUMBER(G188), $B199 * H188, "")</f>
        <v>2027.0270270270271</v>
      </c>
      <c r="J188" s="24">
        <v>229</v>
      </c>
      <c r="K188" s="25">
        <f t="shared" si="100"/>
        <v>3.1531531531531529E-2</v>
      </c>
      <c r="L188" s="94">
        <f>IF(ISNUMBER(J188), $B199 * K188, "")</f>
        <v>4729.7297297297291</v>
      </c>
      <c r="M188" s="92">
        <v>231</v>
      </c>
      <c r="N188" s="25">
        <f t="shared" si="101"/>
        <v>4.0540540540540543E-2</v>
      </c>
      <c r="O188" s="94">
        <f>IF(ISNUMBER(M188), $B199 * N188, "")</f>
        <v>6081.0810810810817</v>
      </c>
      <c r="Q188" s="147"/>
      <c r="R188" s="148"/>
      <c r="S188" s="149"/>
    </row>
    <row r="189" spans="1:19">
      <c r="A189" s="107" t="s">
        <v>109</v>
      </c>
      <c r="B189" s="108">
        <v>1115</v>
      </c>
      <c r="C189" s="69">
        <v>4.5045045000000001E-3</v>
      </c>
      <c r="D189" s="13">
        <v>1135</v>
      </c>
      <c r="E189" s="14">
        <f>IF(ISNUMBER(D189), (D189 - $B189) / $B189, "")</f>
        <v>1.7937219730941704E-2</v>
      </c>
      <c r="F189" s="16">
        <f>IF(ISNUMBER(D189), $B199 * E189, "")</f>
        <v>2690.5829596412555</v>
      </c>
      <c r="G189" s="29">
        <v>1115</v>
      </c>
      <c r="H189" s="14">
        <f>IF(ISNUMBER(G189), (G189 - $B189) / $B189, "")</f>
        <v>0</v>
      </c>
      <c r="I189" s="90">
        <f>IF(ISNUMBER(G189), $B199 * H189, "")</f>
        <v>0</v>
      </c>
      <c r="J189" s="13">
        <v>1125</v>
      </c>
      <c r="K189" s="14">
        <f>IF(ISNUMBER(J189), (J189 - $B189) / $B189, "")</f>
        <v>8.9686098654708519E-3</v>
      </c>
      <c r="L189" s="16">
        <f>IF(ISNUMBER(J189), $B199 * K189, "")</f>
        <v>1345.2914798206277</v>
      </c>
      <c r="M189" s="29">
        <v>1140</v>
      </c>
      <c r="N189" s="14">
        <f>IF(ISNUMBER(M189), (M189 - $B189) / $B189, "")</f>
        <v>2.2421524663677129E-2</v>
      </c>
      <c r="O189" s="16">
        <f>IF(ISNUMBER(M189), $B199 * N189, "")</f>
        <v>3363.2286995515692</v>
      </c>
      <c r="Q189" s="150"/>
      <c r="R189" s="151"/>
      <c r="S189" s="152"/>
    </row>
    <row r="190" spans="1:19" ht="17.25" thickBot="1">
      <c r="A190" s="109" t="s">
        <v>207</v>
      </c>
      <c r="B190" s="110">
        <v>67.400000000000006</v>
      </c>
      <c r="C190" s="70">
        <v>4.4709388999999997E-3</v>
      </c>
      <c r="D190" s="15">
        <v>71.2</v>
      </c>
      <c r="E190" s="32">
        <f t="shared" ref="E190:E193" si="102">IF(ISNUMBER(D190), (D190 - $B190) / $B190, "")</f>
        <v>5.6379821958456929E-2</v>
      </c>
      <c r="F190" s="18">
        <f>IF(ISNUMBER(D190), $B199 * E190, "")</f>
        <v>8456.9732937685385</v>
      </c>
      <c r="G190" s="31">
        <v>68.8</v>
      </c>
      <c r="H190" s="32">
        <f t="shared" ref="H190:H193" si="103">IF(ISNUMBER(G190), (G190 - $B190) / $B190, "")</f>
        <v>2.0771513353115598E-2</v>
      </c>
      <c r="I190" s="91">
        <f>IF(ISNUMBER(G190), $B199 * H190, "")</f>
        <v>3115.7270029673396</v>
      </c>
      <c r="J190" s="15">
        <v>69</v>
      </c>
      <c r="K190" s="32">
        <f t="shared" ref="K190:K193" si="104">IF(ISNUMBER(J190), (J190 - $B190) / $B190, "")</f>
        <v>2.3738872403560745E-2</v>
      </c>
      <c r="L190" s="18">
        <f>IF(ISNUMBER(J190), $B199 * K190, "")</f>
        <v>3560.8308605341117</v>
      </c>
      <c r="M190" s="31">
        <v>69</v>
      </c>
      <c r="N190" s="32">
        <f t="shared" ref="N190:N193" si="105">IF(ISNUMBER(M190), (M190 - $B190) / $B190, "")</f>
        <v>2.3738872403560745E-2</v>
      </c>
      <c r="O190" s="18">
        <f>IF(ISNUMBER(M190), $B199 * N190, "")</f>
        <v>3560.8308605341117</v>
      </c>
      <c r="Q190" s="153"/>
      <c r="R190" s="154"/>
      <c r="S190" s="155"/>
    </row>
    <row r="191" spans="1:19" ht="17.25" thickBot="1">
      <c r="A191" s="109" t="s">
        <v>136</v>
      </c>
      <c r="B191" s="110">
        <v>2885</v>
      </c>
      <c r="C191" s="70">
        <v>3.4782608999999998E-3</v>
      </c>
      <c r="D191" s="15">
        <v>2965</v>
      </c>
      <c r="E191" s="32">
        <f t="shared" si="102"/>
        <v>2.7729636048526862E-2</v>
      </c>
      <c r="F191" s="18">
        <f>IF(ISNUMBER(D191), $B199 * E191, "")</f>
        <v>4159.4454072790295</v>
      </c>
      <c r="G191" s="31">
        <v>2920</v>
      </c>
      <c r="H191" s="32">
        <f t="shared" si="103"/>
        <v>1.2131715771230503E-2</v>
      </c>
      <c r="I191" s="91">
        <f>IF(ISNUMBER(G191), $B199 * H191, "")</f>
        <v>1819.7573656845755</v>
      </c>
      <c r="J191" s="15">
        <v>2915</v>
      </c>
      <c r="K191" s="32">
        <f t="shared" si="104"/>
        <v>1.0398613518197574E-2</v>
      </c>
      <c r="L191" s="18">
        <f>IF(ISNUMBER(J191), $B199 * K191, "")</f>
        <v>1559.7920277296362</v>
      </c>
      <c r="M191" s="31">
        <v>2940</v>
      </c>
      <c r="N191" s="32">
        <f t="shared" si="105"/>
        <v>1.9064124783362217E-2</v>
      </c>
      <c r="O191" s="18">
        <f>IF(ISNUMBER(M191), $B199 * N191, "")</f>
        <v>2859.6187175043324</v>
      </c>
      <c r="Q191" s="146"/>
      <c r="R191" s="146"/>
      <c r="S191" s="146"/>
    </row>
    <row r="192" spans="1:19" ht="17.25" thickBot="1">
      <c r="A192" s="109" t="s">
        <v>333</v>
      </c>
      <c r="B192" s="110">
        <v>4.5599999999999996</v>
      </c>
      <c r="C192" s="70">
        <v>2.1978022000000001E-3</v>
      </c>
      <c r="D192" s="15">
        <v>5.01</v>
      </c>
      <c r="E192" s="32">
        <f t="shared" si="102"/>
        <v>9.8684210526315833E-2</v>
      </c>
      <c r="F192" s="18">
        <f>IF(ISNUMBER(D192), $B199 * E192, "")</f>
        <v>14802.631578947376</v>
      </c>
      <c r="G192" s="31">
        <v>4.83</v>
      </c>
      <c r="H192" s="32">
        <f t="shared" si="103"/>
        <v>5.9210526315789581E-2</v>
      </c>
      <c r="I192" s="91">
        <f>IF(ISNUMBER(G192), $B199 * H192, "")</f>
        <v>8881.5789473684381</v>
      </c>
      <c r="J192" s="15">
        <v>4.84</v>
      </c>
      <c r="K192" s="32">
        <f t="shared" si="104"/>
        <v>6.1403508771929884E-2</v>
      </c>
      <c r="L192" s="18">
        <f>IF(ISNUMBER(J192), $B199 * K192, "")</f>
        <v>9210.5263157894824</v>
      </c>
      <c r="M192" s="31">
        <v>4.78</v>
      </c>
      <c r="N192" s="32">
        <f t="shared" si="105"/>
        <v>4.8245614035087862E-2</v>
      </c>
      <c r="O192" s="18">
        <f>IF(ISNUMBER(M192), $B199 * N192, "")</f>
        <v>7236.8421052631793</v>
      </c>
      <c r="Q192" s="156"/>
      <c r="R192" s="156"/>
      <c r="S192" s="156"/>
    </row>
    <row r="193" spans="1:19" ht="17.25" thickBot="1">
      <c r="A193" s="111" t="s">
        <v>97</v>
      </c>
      <c r="B193" s="112">
        <v>8.9999999999999998E-4</v>
      </c>
      <c r="C193" s="71">
        <v>0</v>
      </c>
      <c r="D193" s="20">
        <v>8.9999999999999998E-4</v>
      </c>
      <c r="E193" s="21">
        <f t="shared" si="102"/>
        <v>0</v>
      </c>
      <c r="F193" s="22">
        <f>IF(ISNUMBER(D193), $B199 * E193, "")</f>
        <v>0</v>
      </c>
      <c r="G193" s="30">
        <v>8.0000000000000004E-4</v>
      </c>
      <c r="H193" s="21">
        <f t="shared" si="103"/>
        <v>-0.11111111111111105</v>
      </c>
      <c r="I193" s="95">
        <f>IF(ISNUMBER(G193), $B199 * H193, "")</f>
        <v>-16666.666666666657</v>
      </c>
      <c r="J193" s="20">
        <v>8.9999999999999998E-4</v>
      </c>
      <c r="K193" s="21">
        <f t="shared" si="104"/>
        <v>0</v>
      </c>
      <c r="L193" s="22">
        <f>IF(ISNUMBER(J193), $B199 * K193, "")</f>
        <v>0</v>
      </c>
      <c r="M193" s="30">
        <v>8.9999999999999998E-4</v>
      </c>
      <c r="N193" s="21">
        <f t="shared" si="105"/>
        <v>0</v>
      </c>
      <c r="O193" s="22">
        <f>IF(ISNUMBER(M193), $B199 * N193, "")</f>
        <v>0</v>
      </c>
      <c r="Q193" s="156"/>
      <c r="R193" s="156"/>
      <c r="S193" s="156"/>
    </row>
    <row r="194" spans="1:19" ht="17.25" thickBot="1">
      <c r="A194" s="109" t="s">
        <v>191</v>
      </c>
      <c r="B194" s="113">
        <v>55.3</v>
      </c>
      <c r="C194" s="73">
        <v>0</v>
      </c>
      <c r="D194" s="96">
        <v>59.6</v>
      </c>
      <c r="E194" s="97">
        <f>IF(ISNUMBER(D194), (D194 - $B194) / $B194, "")</f>
        <v>7.7757685352622147E-2</v>
      </c>
      <c r="F194" s="98">
        <f>IF(ISNUMBER(D194), $B199 * E194, "")</f>
        <v>11663.652802893323</v>
      </c>
      <c r="G194" s="99">
        <v>57.4</v>
      </c>
      <c r="H194" s="97">
        <f>IF(ISNUMBER(G194), (G194 - $B194) / $B194, "")</f>
        <v>3.7974683544303826E-2</v>
      </c>
      <c r="I194" s="100">
        <f>IF(ISNUMBER(G194), $B199 * H194, "")</f>
        <v>5696.2025316455738</v>
      </c>
      <c r="J194" s="96">
        <v>57.6</v>
      </c>
      <c r="K194" s="97">
        <f>IF(ISNUMBER(J194), (J194 - $B194) / $B194, "")</f>
        <v>4.1591320072332807E-2</v>
      </c>
      <c r="L194" s="98">
        <f>IF(ISNUMBER(J194), $B199 * K194, "")</f>
        <v>6238.698010849921</v>
      </c>
      <c r="M194" s="99">
        <v>57.2</v>
      </c>
      <c r="N194" s="97">
        <f>IF(ISNUMBER(M194), (M194 - $B194) / $B194, "")</f>
        <v>3.435804701627497E-2</v>
      </c>
      <c r="O194" s="98">
        <f>IF(ISNUMBER(M194), $B199 * N194, "")</f>
        <v>5153.7070524412457</v>
      </c>
      <c r="Q194" s="146"/>
      <c r="R194" s="146"/>
      <c r="S194" s="146"/>
    </row>
    <row r="195" spans="1:19" ht="17.25" thickBot="1">
      <c r="A195" s="109" t="s">
        <v>77</v>
      </c>
      <c r="B195" s="110">
        <v>154800</v>
      </c>
      <c r="C195" s="70">
        <v>-6.4557779999999999E-4</v>
      </c>
      <c r="D195" s="15">
        <v>154000</v>
      </c>
      <c r="E195" s="32">
        <f t="shared" ref="E195:E198" si="106">IF(ISNUMBER(D195), (D195 - $B195) / $B195, "")</f>
        <v>-5.1679586563307496E-3</v>
      </c>
      <c r="F195" s="18">
        <f>IF(ISNUMBER(D195), $B199 * E195, "")</f>
        <v>-775.19379844961247</v>
      </c>
      <c r="G195" s="31">
        <v>151750</v>
      </c>
      <c r="H195" s="32">
        <f t="shared" ref="H195:H198" si="107">IF(ISNUMBER(G195), (G195 - $B195) / $B195, "")</f>
        <v>-1.9702842377260981E-2</v>
      </c>
      <c r="I195" s="91">
        <f>IF(ISNUMBER(G195), $B199 * H195, "")</f>
        <v>-2955.426356589147</v>
      </c>
      <c r="J195" s="15">
        <v>153300</v>
      </c>
      <c r="K195" s="32">
        <f t="shared" ref="K195:K198" si="108">IF(ISNUMBER(J195), (J195 - $B195) / $B195, "")</f>
        <v>-9.6899224806201549E-3</v>
      </c>
      <c r="L195" s="18">
        <f>IF(ISNUMBER(J195), $B199 * K195, "")</f>
        <v>-1453.4883720930231</v>
      </c>
      <c r="M195" s="31">
        <v>155500</v>
      </c>
      <c r="N195" s="32">
        <f t="shared" ref="N195:N198" si="109">IF(ISNUMBER(M195), (M195 - $B195) / $B195, "")</f>
        <v>4.5219638242894053E-3</v>
      </c>
      <c r="O195" s="18">
        <f>IF(ISNUMBER(M195), $B199 * N195, "")</f>
        <v>678.29457364341079</v>
      </c>
      <c r="Q195" s="146"/>
      <c r="R195" s="146"/>
      <c r="S195" s="146"/>
    </row>
    <row r="196" spans="1:19" ht="17.25" thickBot="1">
      <c r="A196" s="109" t="s">
        <v>163</v>
      </c>
      <c r="B196" s="110">
        <v>6690</v>
      </c>
      <c r="C196" s="70">
        <v>-4.4642856999999999E-3</v>
      </c>
      <c r="D196" s="15">
        <v>6715</v>
      </c>
      <c r="E196" s="32">
        <f t="shared" si="106"/>
        <v>3.7369207772795215E-3</v>
      </c>
      <c r="F196" s="18">
        <f>IF(ISNUMBER(D196), $B199 * E196, "")</f>
        <v>560.5381165919282</v>
      </c>
      <c r="G196" s="31">
        <v>6725</v>
      </c>
      <c r="H196" s="32">
        <f t="shared" si="107"/>
        <v>5.2316890881913304E-3</v>
      </c>
      <c r="I196" s="91">
        <f>IF(ISNUMBER(G196), $B199 * H196, "")</f>
        <v>784.75336322869953</v>
      </c>
      <c r="J196" s="15">
        <v>6735</v>
      </c>
      <c r="K196" s="32">
        <f t="shared" si="108"/>
        <v>6.7264573991031393E-3</v>
      </c>
      <c r="L196" s="18">
        <f>IF(ISNUMBER(J196), $B199 * K196, "")</f>
        <v>1008.9686098654709</v>
      </c>
      <c r="M196" s="31">
        <v>6725</v>
      </c>
      <c r="N196" s="32">
        <f t="shared" si="109"/>
        <v>5.2316890881913304E-3</v>
      </c>
      <c r="O196" s="18">
        <f>IF(ISNUMBER(M196), $B199 * N196, "")</f>
        <v>784.75336322869953</v>
      </c>
      <c r="Q196" s="146"/>
      <c r="R196" s="146"/>
      <c r="S196" s="146"/>
    </row>
    <row r="197" spans="1:19">
      <c r="A197" s="109" t="s">
        <v>174</v>
      </c>
      <c r="B197" s="110">
        <v>15520</v>
      </c>
      <c r="C197" s="70">
        <v>-6.4020487000000003E-3</v>
      </c>
      <c r="D197" s="15">
        <v>15410</v>
      </c>
      <c r="E197" s="32">
        <f t="shared" si="106"/>
        <v>-7.0876288659793814E-3</v>
      </c>
      <c r="F197" s="18">
        <f>IF(ISNUMBER(D197), $B199 * E197, "")</f>
        <v>-1063.1443298969073</v>
      </c>
      <c r="G197" s="31">
        <v>15120</v>
      </c>
      <c r="H197" s="32">
        <f t="shared" si="107"/>
        <v>-2.5773195876288658E-2</v>
      </c>
      <c r="I197" s="91">
        <f>IF(ISNUMBER(G197), $B199 * H197, "")</f>
        <v>-3865.9793814432987</v>
      </c>
      <c r="J197" s="15">
        <v>15210</v>
      </c>
      <c r="K197" s="32">
        <f t="shared" si="108"/>
        <v>-1.997422680412371E-2</v>
      </c>
      <c r="L197" s="18">
        <f>IF(ISNUMBER(J197), $B199 * K197, "")</f>
        <v>-2996.1340206185564</v>
      </c>
      <c r="M197" s="31">
        <v>15380</v>
      </c>
      <c r="N197" s="32">
        <f t="shared" si="109"/>
        <v>-9.0206185567010301E-3</v>
      </c>
      <c r="O197" s="18">
        <f>IF(ISNUMBER(M197), $B199 * N197, "")</f>
        <v>-1353.0927835051546</v>
      </c>
      <c r="Q197" s="135"/>
      <c r="R197" s="136"/>
      <c r="S197" s="137"/>
    </row>
    <row r="198" spans="1:19" ht="17.25" thickBot="1">
      <c r="A198" s="114" t="s">
        <v>317</v>
      </c>
      <c r="B198" s="115">
        <v>636</v>
      </c>
      <c r="C198" s="72">
        <v>-9.3457943999999994E-3</v>
      </c>
      <c r="D198" s="24">
        <v>659</v>
      </c>
      <c r="E198" s="25">
        <f t="shared" si="106"/>
        <v>3.6163522012578615E-2</v>
      </c>
      <c r="F198" s="94">
        <f>IF(ISNUMBER(D198), $B199 * E198, "")</f>
        <v>5424.5283018867922</v>
      </c>
      <c r="G198" s="92">
        <v>643</v>
      </c>
      <c r="H198" s="25">
        <f t="shared" si="107"/>
        <v>1.10062893081761E-2</v>
      </c>
      <c r="I198" s="93">
        <f>IF(ISNUMBER(G198), $B199 * H198, "")</f>
        <v>1650.943396226415</v>
      </c>
      <c r="J198" s="24">
        <v>642</v>
      </c>
      <c r="K198" s="25">
        <f t="shared" si="108"/>
        <v>9.433962264150943E-3</v>
      </c>
      <c r="L198" s="94">
        <f>IF(ISNUMBER(J198), $B199 * K198, "")</f>
        <v>1415.0943396226414</v>
      </c>
      <c r="M198" s="92">
        <v>646</v>
      </c>
      <c r="N198" s="25">
        <f t="shared" si="109"/>
        <v>1.5723270440251572E-2</v>
      </c>
      <c r="O198" s="94">
        <f>IF(ISNUMBER(M198), $B199 * N198, "")</f>
        <v>2358.4905660377358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4.9110872258650379E-2</v>
      </c>
      <c r="F199" s="28">
        <f>SUM(F179:F198)</f>
        <v>147332.61677595112</v>
      </c>
      <c r="G199" s="26" t="s">
        <v>258</v>
      </c>
      <c r="H199" s="27">
        <f>IF(COUNT(H179:H198), SUM(H179:H198) / COUNT(H179:H198), 0)</f>
        <v>1.5840359541121188E-2</v>
      </c>
      <c r="I199" s="28">
        <f>SUM(I179:I198)</f>
        <v>47521.078623363581</v>
      </c>
      <c r="J199" s="26" t="s">
        <v>258</v>
      </c>
      <c r="K199" s="27">
        <f>IF(COUNT(K179:K198), SUM(K179:K198) / COUNT(K179:K198), 0)</f>
        <v>2.4632208231891564E-2</v>
      </c>
      <c r="L199" s="28">
        <f>SUM(L179:L198)</f>
        <v>73896.624695674662</v>
      </c>
      <c r="M199" s="26" t="s">
        <v>258</v>
      </c>
      <c r="N199" s="27">
        <f>IF(COUNT(N179:N198), SUM(N179:N198) / COUNT(N179:N198), 0)</f>
        <v>2.8087461175643279E-2</v>
      </c>
      <c r="O199" s="28">
        <f>SUM(O179:O198)</f>
        <v>84262.3835269298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8F09E-EFB6-42E4-B9BA-24676F02C75A}">
  <sheetPr codeName="Sheet18"/>
  <dimension ref="A1:S199"/>
  <sheetViews>
    <sheetView zoomScaleNormal="100" workbookViewId="0">
      <selection activeCell="P11" sqref="P11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44942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-17,714 KRW (-0.59%)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-26,052 KRW (-0.87%)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26,841 KRW (0.89%)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22,142 KRW (0.74%)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2023-01-16(월) 오전 00:00</v>
      </c>
      <c r="C15" s="196"/>
      <c r="D15" s="170" t="str">
        <f>TEXT($G$1, "[$-ko-KR]yyyy-mm-dd(ddd) ") &amp; "오후 14:00"</f>
        <v>2023-01-16(월) 오후 14:00</v>
      </c>
      <c r="E15" s="171"/>
      <c r="F15" s="172"/>
      <c r="G15" s="170" t="str">
        <f>TEXT($G$1, "[$-ko-KR]yyyy-mm-dd(ddd) ") &amp; "오후 19:00"</f>
        <v>2023-01-16(월) 오후 19:00</v>
      </c>
      <c r="H15" s="171"/>
      <c r="I15" s="172"/>
      <c r="J15" s="170" t="str">
        <f>TEXT($G$1, "[$-ko-KR]yyyy-mm-dd(ddd) ") &amp; "오후 21:00"</f>
        <v>2023-01-16(월) 오후 21:00</v>
      </c>
      <c r="K15" s="171"/>
      <c r="L15" s="172"/>
      <c r="M15" s="170" t="str">
        <f>TEXT($G$1+1, "[$-ko-KR]yyyy-mm-dd(ddd) ") &amp; "오전 00:00"</f>
        <v>2023-01-17(화)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2023-01-16(월) 오전 00:00</v>
      </c>
      <c r="C42" s="198"/>
      <c r="D42" s="170" t="str">
        <f>TEXT($G$1, "[$-ko-KR]yyyy-mm-dd(ddd) ") &amp; "오후 14:00"</f>
        <v>2023-01-16(월) 오후 14:00</v>
      </c>
      <c r="E42" s="171"/>
      <c r="F42" s="172"/>
      <c r="G42" s="170" t="str">
        <f>TEXT($G$1, "[$-ko-KR]yyyy-mm-dd(ddd) ") &amp; "오후 19:00"</f>
        <v>2023-01-16(월) 오후 19:00</v>
      </c>
      <c r="H42" s="171"/>
      <c r="I42" s="172"/>
      <c r="J42" s="170" t="str">
        <f>TEXT($G$1, "[$-ko-KR]yyyy-mm-dd(ddd) ") &amp; "오후 21:00"</f>
        <v>2023-01-16(월) 오후 21:00</v>
      </c>
      <c r="K42" s="171"/>
      <c r="L42" s="172"/>
      <c r="M42" s="170" t="str">
        <f>TEXT($G$1+1, "[$-ko-KR]yyyy-mm-dd(ddd) ") &amp; "오전 00:00"</f>
        <v>2023-01-17(화)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350</v>
      </c>
      <c r="B44" s="108">
        <v>7.93</v>
      </c>
      <c r="C44" s="69">
        <v>0.20884146340000001</v>
      </c>
      <c r="D44" s="13">
        <v>7.9</v>
      </c>
      <c r="E44" s="14">
        <f>IF(ISNUMBER(D44), (D44 - $B44) / $B44, "")</f>
        <v>-3.7831021437578008E-3</v>
      </c>
      <c r="F44" s="16">
        <f>IF(ISNUMBER(D44), $B64 * E44, "")</f>
        <v>-567.46532156367016</v>
      </c>
      <c r="G44" s="29">
        <v>7.79</v>
      </c>
      <c r="H44" s="14">
        <f>IF(ISNUMBER(G44), (G44 - $B44) / $B44, "")</f>
        <v>-1.7654476670870074E-2</v>
      </c>
      <c r="I44" s="90">
        <f>IF(ISNUMBER(G44), $B64 * H44, "")</f>
        <v>-2648.1715006305112</v>
      </c>
      <c r="J44" s="13">
        <v>7.81</v>
      </c>
      <c r="K44" s="14">
        <f>IF(ISNUMBER(J44), (J44 - $B44) / $B44, "")</f>
        <v>-1.513240857503154E-2</v>
      </c>
      <c r="L44" s="16">
        <f>IF(ISNUMBER(J44), $B64 * K44, "")</f>
        <v>-2269.8612862547311</v>
      </c>
      <c r="M44" s="29">
        <v>7.75</v>
      </c>
      <c r="N44" s="14">
        <f>IF(ISNUMBER(M44), (M44 - $B44) / $B44, "")</f>
        <v>-2.2698612862547252E-2</v>
      </c>
      <c r="O44" s="16">
        <f>IF(ISNUMBER(M44), $B64 * N44, "")</f>
        <v>-3404.7919293820878</v>
      </c>
      <c r="Q44" s="156"/>
      <c r="R44" s="156"/>
      <c r="S44" s="156"/>
    </row>
    <row r="45" spans="1:19" ht="17.25" customHeight="1" thickBot="1">
      <c r="A45" s="109" t="s">
        <v>197</v>
      </c>
      <c r="B45" s="110">
        <v>7.09</v>
      </c>
      <c r="C45" s="70">
        <v>8.0792682899999996E-2</v>
      </c>
      <c r="D45" s="15">
        <v>7.11</v>
      </c>
      <c r="E45" s="32">
        <f t="shared" ref="E45:E48" si="14">IF(ISNUMBER(D45), (D45 - $B45) / $B45, "")</f>
        <v>2.8208744710861017E-3</v>
      </c>
      <c r="F45" s="18">
        <f>IF(ISNUMBER(D45), $B64 * E45, "")</f>
        <v>423.13117066291522</v>
      </c>
      <c r="G45" s="31">
        <v>6.88</v>
      </c>
      <c r="H45" s="32">
        <f t="shared" ref="H45:H48" si="15">IF(ISNUMBER(G45), (G45 - $B45) / $B45, "")</f>
        <v>-2.9619181946403381E-2</v>
      </c>
      <c r="I45" s="91">
        <f>IF(ISNUMBER(G45), $B64 * H45, "")</f>
        <v>-4442.8772919605071</v>
      </c>
      <c r="J45" s="15">
        <v>6.96</v>
      </c>
      <c r="K45" s="32">
        <f t="shared" ref="K45:K48" si="16">IF(ISNUMBER(J45), (J45 - $B45) / $B45, "")</f>
        <v>-1.8335684062059224E-2</v>
      </c>
      <c r="L45" s="18">
        <f>IF(ISNUMBER(J45), $B64 * K45, "")</f>
        <v>-2750.3526093088835</v>
      </c>
      <c r="M45" s="31">
        <v>7.12</v>
      </c>
      <c r="N45" s="32">
        <f t="shared" ref="N45:N48" si="17">IF(ISNUMBER(M45), (M45 - $B45) / $B45, "")</f>
        <v>4.2313117066290901E-3</v>
      </c>
      <c r="O45" s="18">
        <f>IF(ISNUMBER(M45), $B64 * N45, "")</f>
        <v>634.69675599436346</v>
      </c>
      <c r="Q45" s="156"/>
      <c r="R45" s="156"/>
      <c r="S45" s="156"/>
    </row>
    <row r="46" spans="1:19" ht="17.25" customHeight="1" thickBot="1">
      <c r="A46" s="109" t="s">
        <v>349</v>
      </c>
      <c r="B46" s="110">
        <v>27.4</v>
      </c>
      <c r="C46" s="70">
        <v>5.3846153799999998E-2</v>
      </c>
      <c r="D46" s="15">
        <v>27.4</v>
      </c>
      <c r="E46" s="32">
        <f t="shared" si="14"/>
        <v>0</v>
      </c>
      <c r="F46" s="18">
        <f>IF(ISNUMBER(D46), $B64 * E46, "")</f>
        <v>0</v>
      </c>
      <c r="G46" s="31">
        <v>27</v>
      </c>
      <c r="H46" s="32">
        <f t="shared" si="15"/>
        <v>-1.4598540145985351E-2</v>
      </c>
      <c r="I46" s="91">
        <f>IF(ISNUMBER(G46), $B64 * H46, "")</f>
        <v>-2189.7810218978025</v>
      </c>
      <c r="J46" s="15">
        <v>26.8</v>
      </c>
      <c r="K46" s="32">
        <f t="shared" si="16"/>
        <v>-2.1897810218978027E-2</v>
      </c>
      <c r="L46" s="18">
        <f>IF(ISNUMBER(J46), $B64 * K46, "")</f>
        <v>-3284.6715328467039</v>
      </c>
      <c r="M46" s="31">
        <v>27</v>
      </c>
      <c r="N46" s="32">
        <f t="shared" si="17"/>
        <v>-1.4598540145985351E-2</v>
      </c>
      <c r="O46" s="18">
        <f>IF(ISNUMBER(M46), $B64 * N46, "")</f>
        <v>-2189.7810218978025</v>
      </c>
      <c r="Q46" s="146"/>
      <c r="R46" s="146"/>
      <c r="S46" s="146"/>
    </row>
    <row r="47" spans="1:19" ht="17.25" customHeight="1" thickBot="1">
      <c r="A47" s="109" t="s">
        <v>118</v>
      </c>
      <c r="B47" s="110">
        <v>6.28</v>
      </c>
      <c r="C47" s="70">
        <v>5.3691275199999999E-2</v>
      </c>
      <c r="D47" s="15">
        <v>6.4</v>
      </c>
      <c r="E47" s="32">
        <f t="shared" si="14"/>
        <v>1.9108280254777087E-2</v>
      </c>
      <c r="F47" s="18">
        <f>IF(ISNUMBER(D47), $B64 * E47, "")</f>
        <v>2866.2420382165628</v>
      </c>
      <c r="G47" s="31">
        <v>6.28</v>
      </c>
      <c r="H47" s="32">
        <f t="shared" si="15"/>
        <v>0</v>
      </c>
      <c r="I47" s="91">
        <f>IF(ISNUMBER(G47), $B64 * H47, "")</f>
        <v>0</v>
      </c>
      <c r="J47" s="15">
        <v>6.29</v>
      </c>
      <c r="K47" s="32">
        <f t="shared" si="16"/>
        <v>1.5923566878980552E-3</v>
      </c>
      <c r="L47" s="18">
        <f>IF(ISNUMBER(J47), $B64 * K47, "")</f>
        <v>238.85350318470827</v>
      </c>
      <c r="M47" s="31">
        <v>6.26</v>
      </c>
      <c r="N47" s="32">
        <f t="shared" si="17"/>
        <v>-3.1847133757962518E-3</v>
      </c>
      <c r="O47" s="18">
        <f>IF(ISNUMBER(M47), $B64 * N47, "")</f>
        <v>-477.70700636943775</v>
      </c>
      <c r="Q47" s="146"/>
      <c r="R47" s="146"/>
      <c r="S47" s="146"/>
    </row>
    <row r="48" spans="1:19" ht="17.25" customHeight="1" thickBot="1">
      <c r="A48" s="111" t="s">
        <v>203</v>
      </c>
      <c r="B48" s="112">
        <v>3.62</v>
      </c>
      <c r="C48" s="71">
        <v>4.6242774600000001E-2</v>
      </c>
      <c r="D48" s="20">
        <v>3.62</v>
      </c>
      <c r="E48" s="21">
        <f t="shared" si="14"/>
        <v>0</v>
      </c>
      <c r="F48" s="22">
        <f>IF(ISNUMBER(D48), $B64 * E48, "")</f>
        <v>0</v>
      </c>
      <c r="G48" s="30">
        <v>3.54</v>
      </c>
      <c r="H48" s="21">
        <f t="shared" si="15"/>
        <v>-2.2099447513812175E-2</v>
      </c>
      <c r="I48" s="95">
        <f>IF(ISNUMBER(G48), $B64 * H48, "")</f>
        <v>-3314.9171270718261</v>
      </c>
      <c r="J48" s="20">
        <v>3.56</v>
      </c>
      <c r="K48" s="21">
        <f t="shared" si="16"/>
        <v>-1.6574585635359129E-2</v>
      </c>
      <c r="L48" s="22">
        <f>IF(ISNUMBER(J48), $B64 * K48, "")</f>
        <v>-2486.1878453038694</v>
      </c>
      <c r="M48" s="30">
        <v>3.56</v>
      </c>
      <c r="N48" s="21">
        <f t="shared" si="17"/>
        <v>-1.6574585635359129E-2</v>
      </c>
      <c r="O48" s="22">
        <f>IF(ISNUMBER(M48), $B64 * N48, "")</f>
        <v>-2486.1878453038694</v>
      </c>
      <c r="Q48" s="146"/>
      <c r="R48" s="146"/>
      <c r="S48" s="146"/>
    </row>
    <row r="49" spans="1:19" ht="17.25" customHeight="1" thickBot="1">
      <c r="A49" s="109" t="s">
        <v>107</v>
      </c>
      <c r="B49" s="113">
        <v>42</v>
      </c>
      <c r="C49" s="73">
        <v>3.4482758600000003E-2</v>
      </c>
      <c r="D49" s="96">
        <v>42.2</v>
      </c>
      <c r="E49" s="97">
        <f>IF(ISNUMBER(D49), (D49 - $B49) / $B49, "")</f>
        <v>4.76190476190483E-3</v>
      </c>
      <c r="F49" s="98">
        <f>IF(ISNUMBER(D49), $B64 * E49, "")</f>
        <v>714.28571428572445</v>
      </c>
      <c r="G49" s="99">
        <v>41.3</v>
      </c>
      <c r="H49" s="97">
        <f>IF(ISNUMBER(G49), (G49 - $B49) / $B49, "")</f>
        <v>-1.6666666666666736E-2</v>
      </c>
      <c r="I49" s="100">
        <f>IF(ISNUMBER(G49), $B64 * H49, "")</f>
        <v>-2500.0000000000105</v>
      </c>
      <c r="J49" s="96">
        <v>41.3</v>
      </c>
      <c r="K49" s="97">
        <f>IF(ISNUMBER(J49), (J49 - $B49) / $B49, "")</f>
        <v>-1.6666666666666736E-2</v>
      </c>
      <c r="L49" s="98">
        <f>IF(ISNUMBER(J49), $B64 * K49, "")</f>
        <v>-2500.0000000000105</v>
      </c>
      <c r="M49" s="99">
        <v>41.6</v>
      </c>
      <c r="N49" s="97">
        <f>IF(ISNUMBER(M49), (M49 - $B49) / $B49, "")</f>
        <v>-9.52380952380949E-3</v>
      </c>
      <c r="O49" s="98">
        <f>IF(ISNUMBER(M49), $B64 * N49, "")</f>
        <v>-1428.5714285714234</v>
      </c>
      <c r="Q49" s="146"/>
      <c r="R49" s="146"/>
      <c r="S49" s="146"/>
    </row>
    <row r="50" spans="1:19" ht="17.25" customHeight="1" thickBot="1">
      <c r="A50" s="109" t="s">
        <v>195</v>
      </c>
      <c r="B50" s="110">
        <v>6.57</v>
      </c>
      <c r="C50" s="70">
        <v>3.1397174299999997E-2</v>
      </c>
      <c r="D50" s="15">
        <v>6.6</v>
      </c>
      <c r="E50" s="32">
        <f t="shared" ref="E50:E53" si="18">IF(ISNUMBER(D50), (D50 - $B50) / $B50, "")</f>
        <v>4.5662100456620031E-3</v>
      </c>
      <c r="F50" s="18">
        <f>IF(ISNUMBER(D50), $B64 * E50, "")</f>
        <v>684.93150684930049</v>
      </c>
      <c r="G50" s="31">
        <v>6.46</v>
      </c>
      <c r="H50" s="32">
        <f t="shared" ref="H50:H53" si="19">IF(ISNUMBER(G50), (G50 - $B50) / $B50, "")</f>
        <v>-1.6742770167427749E-2</v>
      </c>
      <c r="I50" s="91">
        <f>IF(ISNUMBER(G50), $B64 * H50, "")</f>
        <v>-2511.4155251141624</v>
      </c>
      <c r="J50" s="15">
        <v>6.46</v>
      </c>
      <c r="K50" s="32">
        <f t="shared" ref="K50:K53" si="20">IF(ISNUMBER(J50), (J50 - $B50) / $B50, "")</f>
        <v>-1.6742770167427749E-2</v>
      </c>
      <c r="L50" s="18">
        <f>IF(ISNUMBER(J50), $B64 * K50, "")</f>
        <v>-2511.4155251141624</v>
      </c>
      <c r="M50" s="31">
        <v>6.48</v>
      </c>
      <c r="N50" s="32">
        <f t="shared" ref="N50:N53" si="21">IF(ISNUMBER(M50), (M50 - $B50) / $B50, "")</f>
        <v>-1.369863013698628E-2</v>
      </c>
      <c r="O50" s="18">
        <f>IF(ISNUMBER(M50), $B64 * N50, "")</f>
        <v>-2054.7945205479418</v>
      </c>
      <c r="Q50" s="146"/>
      <c r="R50" s="146"/>
      <c r="S50" s="146"/>
    </row>
    <row r="51" spans="1:19" ht="17.25" customHeight="1" thickBot="1">
      <c r="A51" s="109" t="s">
        <v>221</v>
      </c>
      <c r="B51" s="110">
        <v>21.1</v>
      </c>
      <c r="C51" s="70">
        <v>2.92682927E-2</v>
      </c>
      <c r="D51" s="15">
        <v>21.4</v>
      </c>
      <c r="E51" s="32">
        <f t="shared" si="18"/>
        <v>1.421800947867285E-2</v>
      </c>
      <c r="F51" s="18">
        <f>IF(ISNUMBER(D51), $B64 * E51, "")</f>
        <v>2132.7014218009276</v>
      </c>
      <c r="G51" s="31">
        <v>20.9</v>
      </c>
      <c r="H51" s="32">
        <f t="shared" si="19"/>
        <v>-9.4786729857821248E-3</v>
      </c>
      <c r="I51" s="91">
        <f>IF(ISNUMBER(G51), $B64 * H51, "")</f>
        <v>-1421.8009478673187</v>
      </c>
      <c r="J51" s="15">
        <v>20.9</v>
      </c>
      <c r="K51" s="32">
        <f t="shared" si="20"/>
        <v>-9.4786729857821248E-3</v>
      </c>
      <c r="L51" s="18">
        <f>IF(ISNUMBER(J51), $B64 * K51, "")</f>
        <v>-1421.8009478673187</v>
      </c>
      <c r="M51" s="31">
        <v>21</v>
      </c>
      <c r="N51" s="32">
        <f t="shared" si="21"/>
        <v>-4.7393364928910624E-3</v>
      </c>
      <c r="O51" s="18">
        <f>IF(ISNUMBER(M51), $B64 * N51, "")</f>
        <v>-710.90047393365933</v>
      </c>
      <c r="Q51" s="146"/>
      <c r="R51" s="146"/>
      <c r="S51" s="146"/>
    </row>
    <row r="52" spans="1:19" ht="17.25" customHeight="1" thickBot="1">
      <c r="A52" s="109" t="s">
        <v>141</v>
      </c>
      <c r="B52" s="110">
        <v>3.58</v>
      </c>
      <c r="C52" s="70">
        <v>2.87356322E-2</v>
      </c>
      <c r="D52" s="15">
        <v>3.61</v>
      </c>
      <c r="E52" s="32">
        <f t="shared" si="18"/>
        <v>8.3798882681563706E-3</v>
      </c>
      <c r="F52" s="18">
        <f>IF(ISNUMBER(D52), $B64 * E52, "")</f>
        <v>1256.9832402234556</v>
      </c>
      <c r="G52" s="31">
        <v>3.52</v>
      </c>
      <c r="H52" s="32">
        <f t="shared" si="19"/>
        <v>-1.6759776536312863E-2</v>
      </c>
      <c r="I52" s="91">
        <f>IF(ISNUMBER(G52), $B64 * H52, "")</f>
        <v>-2513.9664804469294</v>
      </c>
      <c r="J52" s="15">
        <v>3.62</v>
      </c>
      <c r="K52" s="32">
        <f t="shared" si="20"/>
        <v>1.1173184357541908E-2</v>
      </c>
      <c r="L52" s="18">
        <f>IF(ISNUMBER(J52), $B64 * K52, "")</f>
        <v>1675.9776536312863</v>
      </c>
      <c r="M52" s="31">
        <v>3.56</v>
      </c>
      <c r="N52" s="32">
        <f t="shared" si="21"/>
        <v>-5.5865921787709542E-3</v>
      </c>
      <c r="O52" s="18">
        <f>IF(ISNUMBER(M52), $B64 * N52, "")</f>
        <v>-837.98882681564316</v>
      </c>
      <c r="Q52" s="33"/>
      <c r="R52" s="33"/>
    </row>
    <row r="53" spans="1:19" ht="17.25" customHeight="1" thickBot="1">
      <c r="A53" s="114" t="s">
        <v>323</v>
      </c>
      <c r="B53" s="115">
        <v>3.73E-2</v>
      </c>
      <c r="C53" s="72">
        <v>2.19178082E-2</v>
      </c>
      <c r="D53" s="24">
        <v>3.7400000000000003E-2</v>
      </c>
      <c r="E53" s="25">
        <f t="shared" si="18"/>
        <v>2.6809651474531599E-3</v>
      </c>
      <c r="F53" s="94">
        <f>IF(ISNUMBER(D53), $B64 * E53, "")</f>
        <v>402.14477211797401</v>
      </c>
      <c r="G53" s="92">
        <v>3.6600000000000001E-2</v>
      </c>
      <c r="H53" s="25">
        <f t="shared" si="19"/>
        <v>-1.8766756032171563E-2</v>
      </c>
      <c r="I53" s="93">
        <f>IF(ISNUMBER(G53), $B64 * H53, "")</f>
        <v>-2815.0134048257346</v>
      </c>
      <c r="J53" s="24">
        <v>3.6600000000000001E-2</v>
      </c>
      <c r="K53" s="25">
        <f t="shared" si="20"/>
        <v>-1.8766756032171563E-2</v>
      </c>
      <c r="L53" s="94">
        <f>IF(ISNUMBER(J53), $B64 * K53, "")</f>
        <v>-2815.0134048257346</v>
      </c>
      <c r="M53" s="92">
        <v>3.6299999999999999E-2</v>
      </c>
      <c r="N53" s="25">
        <f t="shared" si="21"/>
        <v>-2.6809651474530856E-2</v>
      </c>
      <c r="O53" s="94">
        <f>IF(ISNUMBER(M53), $B64 * N53, "")</f>
        <v>-4021.4477211796284</v>
      </c>
      <c r="Q53" s="147"/>
      <c r="R53" s="148"/>
      <c r="S53" s="149"/>
    </row>
    <row r="54" spans="1:19" ht="17.25" customHeight="1">
      <c r="A54" s="107" t="s">
        <v>193</v>
      </c>
      <c r="B54" s="108">
        <v>18.8</v>
      </c>
      <c r="C54" s="69">
        <v>2.1739130400000001E-2</v>
      </c>
      <c r="D54" s="13">
        <v>19</v>
      </c>
      <c r="E54" s="14">
        <f>IF(ISNUMBER(D54), (D54 - $B54) / $B54, "")</f>
        <v>1.0638297872340387E-2</v>
      </c>
      <c r="F54" s="16">
        <f>IF(ISNUMBER(D54), $B64 * E54, "")</f>
        <v>1595.7446808510581</v>
      </c>
      <c r="G54" s="29">
        <v>18.5</v>
      </c>
      <c r="H54" s="14">
        <f>IF(ISNUMBER(G54), (G54 - $B54) / $B54, "")</f>
        <v>-1.5957446808510675E-2</v>
      </c>
      <c r="I54" s="90">
        <f>IF(ISNUMBER(G54), $B64 * H54, "")</f>
        <v>-2393.6170212766015</v>
      </c>
      <c r="J54" s="13">
        <v>18.600000000000001</v>
      </c>
      <c r="K54" s="14">
        <f>IF(ISNUMBER(J54), (J54 - $B54) / $B54, "")</f>
        <v>-1.0638297872340387E-2</v>
      </c>
      <c r="L54" s="16">
        <f>IF(ISNUMBER(J54), $B64 * K54, "")</f>
        <v>-1595.7446808510581</v>
      </c>
      <c r="M54" s="29">
        <v>18.7</v>
      </c>
      <c r="N54" s="14">
        <f>IF(ISNUMBER(M54), (M54 - $B54) / $B54, "")</f>
        <v>-5.3191489361702881E-3</v>
      </c>
      <c r="O54" s="16">
        <f>IF(ISNUMBER(M54), $B64 * N54, "")</f>
        <v>-797.87234042554326</v>
      </c>
      <c r="Q54" s="150"/>
      <c r="R54" s="151"/>
      <c r="S54" s="152"/>
    </row>
    <row r="55" spans="1:19" ht="17.25" customHeight="1" thickBot="1">
      <c r="A55" s="109" t="s">
        <v>237</v>
      </c>
      <c r="B55" s="110">
        <v>29.6</v>
      </c>
      <c r="C55" s="70">
        <v>2.06896552E-2</v>
      </c>
      <c r="D55" s="15">
        <v>29.9</v>
      </c>
      <c r="E55" s="32">
        <f t="shared" ref="E55:E58" si="22">IF(ISNUMBER(D55), (D55 - $B55) / $B55, "")</f>
        <v>1.0135135135135039E-2</v>
      </c>
      <c r="F55" s="18">
        <f>IF(ISNUMBER(D55), $B64 * E55, "")</f>
        <v>1520.2702702702559</v>
      </c>
      <c r="G55" s="31">
        <v>29.2</v>
      </c>
      <c r="H55" s="32">
        <f t="shared" ref="H55:H58" si="23">IF(ISNUMBER(G55), (G55 - $B55) / $B55, "")</f>
        <v>-1.3513513513513585E-2</v>
      </c>
      <c r="I55" s="91">
        <f>IF(ISNUMBER(G55), $B64 * H55, "")</f>
        <v>-2027.0270270270378</v>
      </c>
      <c r="J55" s="15">
        <v>29.4</v>
      </c>
      <c r="K55" s="32">
        <f t="shared" ref="K55:K58" si="24">IF(ISNUMBER(J55), (J55 - $B55) / $B55, "")</f>
        <v>-6.7567567567568525E-3</v>
      </c>
      <c r="L55" s="18">
        <f>IF(ISNUMBER(J55), $B64 * K55, "")</f>
        <v>-1013.5135135135279</v>
      </c>
      <c r="M55" s="31">
        <v>29.5</v>
      </c>
      <c r="N55" s="32">
        <f t="shared" ref="N55:N58" si="25">IF(ISNUMBER(M55), (M55 - $B55) / $B55, "")</f>
        <v>-3.3783783783784263E-3</v>
      </c>
      <c r="O55" s="18">
        <f>IF(ISNUMBER(M55), $B64 * N55, "")</f>
        <v>-506.75675675676393</v>
      </c>
      <c r="Q55" s="153"/>
      <c r="R55" s="154"/>
      <c r="S55" s="155"/>
    </row>
    <row r="56" spans="1:19" ht="17.25" customHeight="1" thickBot="1">
      <c r="A56" s="109" t="s">
        <v>185</v>
      </c>
      <c r="B56" s="110">
        <v>30.7</v>
      </c>
      <c r="C56" s="70">
        <v>1.9933554799999999E-2</v>
      </c>
      <c r="D56" s="15">
        <v>30.9</v>
      </c>
      <c r="E56" s="32">
        <f t="shared" si="22"/>
        <v>6.5146579804560029E-3</v>
      </c>
      <c r="F56" s="18">
        <f>IF(ISNUMBER(D56), $B64 * E56, "")</f>
        <v>977.19869706840041</v>
      </c>
      <c r="G56" s="31">
        <v>29.7</v>
      </c>
      <c r="H56" s="32">
        <f t="shared" si="23"/>
        <v>-3.2573289902280131E-2</v>
      </c>
      <c r="I56" s="91">
        <f>IF(ISNUMBER(G56), $B64 * H56, "")</f>
        <v>-4885.99348534202</v>
      </c>
      <c r="J56" s="15">
        <v>30</v>
      </c>
      <c r="K56" s="32">
        <f t="shared" si="24"/>
        <v>-2.280130293159607E-2</v>
      </c>
      <c r="L56" s="18">
        <f>IF(ISNUMBER(J56), $B64 * K56, "")</f>
        <v>-3420.1954397394106</v>
      </c>
      <c r="M56" s="31">
        <v>30.1</v>
      </c>
      <c r="N56" s="32">
        <f t="shared" si="25"/>
        <v>-1.9543973941368011E-2</v>
      </c>
      <c r="O56" s="18">
        <f>IF(ISNUMBER(M56), $B64 * N56, "")</f>
        <v>-2931.5960912052014</v>
      </c>
      <c r="Q56" s="146"/>
      <c r="R56" s="146"/>
      <c r="S56" s="146"/>
    </row>
    <row r="57" spans="1:19" ht="17.25" customHeight="1" thickBot="1">
      <c r="A57" s="109" t="s">
        <v>333</v>
      </c>
      <c r="B57" s="110">
        <v>4.78</v>
      </c>
      <c r="C57" s="70">
        <v>1.9189765500000001E-2</v>
      </c>
      <c r="D57" s="15">
        <v>4.91</v>
      </c>
      <c r="E57" s="32">
        <f t="shared" si="22"/>
        <v>2.7196652719665249E-2</v>
      </c>
      <c r="F57" s="18">
        <f>IF(ISNUMBER(D57), $B64 * E57, "")</f>
        <v>4079.4979079497875</v>
      </c>
      <c r="G57" s="31">
        <v>4.8</v>
      </c>
      <c r="H57" s="32">
        <f t="shared" si="23"/>
        <v>4.1841004184099521E-3</v>
      </c>
      <c r="I57" s="91">
        <f>IF(ISNUMBER(G57), $B64 * H57, "")</f>
        <v>627.61506276149282</v>
      </c>
      <c r="J57" s="15">
        <v>4.8</v>
      </c>
      <c r="K57" s="32">
        <f t="shared" si="24"/>
        <v>4.1841004184099521E-3</v>
      </c>
      <c r="L57" s="18">
        <f>IF(ISNUMBER(J57), $B64 * K57, "")</f>
        <v>627.61506276149282</v>
      </c>
      <c r="M57" s="31">
        <v>4.82</v>
      </c>
      <c r="N57" s="32">
        <f t="shared" si="25"/>
        <v>8.3682008368200899E-3</v>
      </c>
      <c r="O57" s="18">
        <f>IF(ISNUMBER(M57), $B64 * N57, "")</f>
        <v>1255.2301255230134</v>
      </c>
      <c r="Q57" s="156"/>
      <c r="R57" s="156"/>
      <c r="S57" s="156"/>
    </row>
    <row r="58" spans="1:19" ht="17.25" customHeight="1" thickBot="1">
      <c r="A58" s="111" t="s">
        <v>64</v>
      </c>
      <c r="B58" s="112">
        <v>11.5</v>
      </c>
      <c r="C58" s="71">
        <v>1.7699115000000001E-2</v>
      </c>
      <c r="D58" s="20">
        <v>11.6</v>
      </c>
      <c r="E58" s="21">
        <f t="shared" si="22"/>
        <v>8.6956521739130124E-3</v>
      </c>
      <c r="F58" s="22">
        <f>IF(ISNUMBER(D58), $B64 * E58, "")</f>
        <v>1304.347826086952</v>
      </c>
      <c r="G58" s="30">
        <v>11.3</v>
      </c>
      <c r="H58" s="21">
        <f t="shared" si="23"/>
        <v>-1.7391304347826025E-2</v>
      </c>
      <c r="I58" s="95">
        <f>IF(ISNUMBER(G58), $B64 * H58, "")</f>
        <v>-2608.6956521739039</v>
      </c>
      <c r="J58" s="20">
        <v>11.4</v>
      </c>
      <c r="K58" s="21">
        <f t="shared" si="24"/>
        <v>-8.6956521739130124E-3</v>
      </c>
      <c r="L58" s="22">
        <f>IF(ISNUMBER(J58), $B64 * K58, "")</f>
        <v>-1304.347826086952</v>
      </c>
      <c r="M58" s="30">
        <v>11.4</v>
      </c>
      <c r="N58" s="21">
        <f t="shared" si="25"/>
        <v>-8.6956521739130124E-3</v>
      </c>
      <c r="O58" s="22">
        <f>IF(ISNUMBER(M58), $B64 * N58, "")</f>
        <v>-1304.347826086952</v>
      </c>
      <c r="Q58" s="156"/>
      <c r="R58" s="156"/>
      <c r="S58" s="156"/>
    </row>
    <row r="59" spans="1:19" ht="17.25" customHeight="1" thickBot="1">
      <c r="A59" s="109" t="s">
        <v>71</v>
      </c>
      <c r="B59" s="113">
        <v>11.6</v>
      </c>
      <c r="C59" s="73">
        <v>1.75438596E-2</v>
      </c>
      <c r="D59" s="96">
        <v>11.6</v>
      </c>
      <c r="E59" s="97">
        <f>IF(ISNUMBER(D59), (D59 - $B59) / $B59, "")</f>
        <v>0</v>
      </c>
      <c r="F59" s="98">
        <f>IF(ISNUMBER(D59), $B64 * E59, "")</f>
        <v>0</v>
      </c>
      <c r="G59" s="99">
        <v>11.5</v>
      </c>
      <c r="H59" s="97">
        <f>IF(ISNUMBER(G59), (G59 - $B59) / $B59, "")</f>
        <v>-8.6206896551723842E-3</v>
      </c>
      <c r="I59" s="100">
        <f>IF(ISNUMBER(G59), $B64 * H59, "")</f>
        <v>-1293.1034482758575</v>
      </c>
      <c r="J59" s="96">
        <v>11.6</v>
      </c>
      <c r="K59" s="97">
        <f>IF(ISNUMBER(J59), (J59 - $B59) / $B59, "")</f>
        <v>0</v>
      </c>
      <c r="L59" s="98">
        <f>IF(ISNUMBER(J59), $B64 * K59, "")</f>
        <v>0</v>
      </c>
      <c r="M59" s="99">
        <v>11.5</v>
      </c>
      <c r="N59" s="97">
        <f>IF(ISNUMBER(M59), (M59 - $B59) / $B59, "")</f>
        <v>-8.6206896551723842E-3</v>
      </c>
      <c r="O59" s="98">
        <f>IF(ISNUMBER(M59), $B64 * N59, "")</f>
        <v>-1293.1034482758575</v>
      </c>
      <c r="Q59" s="146"/>
      <c r="R59" s="146"/>
      <c r="S59" s="146"/>
    </row>
    <row r="60" spans="1:19" ht="17.25" customHeight="1" thickBot="1">
      <c r="A60" s="109" t="s">
        <v>241</v>
      </c>
      <c r="B60" s="110">
        <v>99.3</v>
      </c>
      <c r="C60" s="70">
        <v>1.63766633E-2</v>
      </c>
      <c r="D60" s="15">
        <v>102</v>
      </c>
      <c r="E60" s="32">
        <f t="shared" ref="E60:E63" si="26">IF(ISNUMBER(D60), (D60 - $B60) / $B60, "")</f>
        <v>2.7190332326284018E-2</v>
      </c>
      <c r="F60" s="18">
        <f>IF(ISNUMBER(D60), $B64 * E60, "")</f>
        <v>4078.5498489426027</v>
      </c>
      <c r="G60" s="31">
        <v>99.3</v>
      </c>
      <c r="H60" s="32">
        <f t="shared" ref="H60:H63" si="27">IF(ISNUMBER(G60), (G60 - $B60) / $B60, "")</f>
        <v>0</v>
      </c>
      <c r="I60" s="91">
        <f>IF(ISNUMBER(G60), $B64 * H60, "")</f>
        <v>0</v>
      </c>
      <c r="J60" s="15">
        <v>99.2</v>
      </c>
      <c r="K60" s="32">
        <f t="shared" ref="K60:K63" si="28">IF(ISNUMBER(J60), (J60 - $B60) / $B60, "")</f>
        <v>-1.0070493454178682E-3</v>
      </c>
      <c r="L60" s="18">
        <f>IF(ISNUMBER(J60), $B64 * K60, "")</f>
        <v>-151.05740181268024</v>
      </c>
      <c r="M60" s="31">
        <v>99</v>
      </c>
      <c r="N60" s="32">
        <f t="shared" ref="N60:N63" si="29">IF(ISNUMBER(M60), (M60 - $B60) / $B60, "")</f>
        <v>-3.0211480362537478E-3</v>
      </c>
      <c r="O60" s="18">
        <f>IF(ISNUMBER(M60), $B64 * N60, "")</f>
        <v>-453.17220543806218</v>
      </c>
      <c r="Q60" s="146"/>
      <c r="R60" s="146"/>
      <c r="S60" s="146"/>
    </row>
    <row r="61" spans="1:19" ht="17.25" customHeight="1" thickBot="1">
      <c r="A61" s="109" t="s">
        <v>56</v>
      </c>
      <c r="B61" s="110">
        <v>44.8</v>
      </c>
      <c r="C61" s="70">
        <v>1.5873015899999999E-2</v>
      </c>
      <c r="D61" s="15">
        <v>45.7</v>
      </c>
      <c r="E61" s="32">
        <f t="shared" si="26"/>
        <v>2.0089285714285844E-2</v>
      </c>
      <c r="F61" s="18">
        <f>IF(ISNUMBER(D61), $B64 * E61, "")</f>
        <v>3013.3928571428764</v>
      </c>
      <c r="G61" s="31">
        <v>45.1</v>
      </c>
      <c r="H61" s="32">
        <f t="shared" si="27"/>
        <v>6.6964285714286673E-3</v>
      </c>
      <c r="I61" s="91">
        <f>IF(ISNUMBER(G61), $B64 * H61, "")</f>
        <v>1004.4642857143001</v>
      </c>
      <c r="J61" s="15">
        <v>45.1</v>
      </c>
      <c r="K61" s="32">
        <f t="shared" si="28"/>
        <v>6.6964285714286673E-3</v>
      </c>
      <c r="L61" s="18">
        <f>IF(ISNUMBER(J61), $B64 * K61, "")</f>
        <v>1004.4642857143001</v>
      </c>
      <c r="M61" s="31">
        <v>45.2</v>
      </c>
      <c r="N61" s="32">
        <f t="shared" si="29"/>
        <v>8.9285714285715564E-3</v>
      </c>
      <c r="O61" s="18">
        <f>IF(ISNUMBER(M61), $B64 * N61, "")</f>
        <v>1339.2857142857335</v>
      </c>
      <c r="Q61" s="146"/>
      <c r="R61" s="146"/>
      <c r="S61" s="146"/>
    </row>
    <row r="62" spans="1:19" ht="17.25" customHeight="1">
      <c r="A62" s="109" t="s">
        <v>227</v>
      </c>
      <c r="B62" s="110">
        <v>42</v>
      </c>
      <c r="C62" s="70">
        <v>1.44927536E-2</v>
      </c>
      <c r="D62" s="15">
        <v>42.7</v>
      </c>
      <c r="E62" s="32">
        <f t="shared" si="26"/>
        <v>1.6666666666666736E-2</v>
      </c>
      <c r="F62" s="18">
        <f>IF(ISNUMBER(D62), $B64 * E62, "")</f>
        <v>2500.0000000000105</v>
      </c>
      <c r="G62" s="31">
        <v>41.4</v>
      </c>
      <c r="H62" s="32">
        <f t="shared" si="27"/>
        <v>-1.428571428571432E-2</v>
      </c>
      <c r="I62" s="91">
        <f>IF(ISNUMBER(G62), $B64 * H62, "")</f>
        <v>-2142.8571428571481</v>
      </c>
      <c r="J62" s="15">
        <v>41.4</v>
      </c>
      <c r="K62" s="32">
        <f t="shared" si="28"/>
        <v>-1.428571428571432E-2</v>
      </c>
      <c r="L62" s="18">
        <f>IF(ISNUMBER(J62), $B64 * K62, "")</f>
        <v>-2142.8571428571481</v>
      </c>
      <c r="M62" s="31">
        <v>41.6</v>
      </c>
      <c r="N62" s="32">
        <f t="shared" si="29"/>
        <v>-9.52380952380949E-3</v>
      </c>
      <c r="O62" s="18">
        <f>IF(ISNUMBER(M62), $B64 * N62, "")</f>
        <v>-1428.5714285714234</v>
      </c>
      <c r="Q62" s="135"/>
      <c r="R62" s="136"/>
      <c r="S62" s="137"/>
    </row>
    <row r="63" spans="1:19" ht="17.25" customHeight="1" thickBot="1">
      <c r="A63" s="114" t="s">
        <v>181</v>
      </c>
      <c r="B63" s="115">
        <v>4.57</v>
      </c>
      <c r="C63" s="72">
        <v>1.33037694E-2</v>
      </c>
      <c r="D63" s="24">
        <v>4.6100000000000003</v>
      </c>
      <c r="E63" s="25">
        <f t="shared" si="26"/>
        <v>8.7527352297593064E-3</v>
      </c>
      <c r="F63" s="94">
        <f>IF(ISNUMBER(D63), $B64 * E63, "")</f>
        <v>1312.910284463896</v>
      </c>
      <c r="G63" s="92">
        <v>4.45</v>
      </c>
      <c r="H63" s="25">
        <f t="shared" si="27"/>
        <v>-2.6258205689277923E-2</v>
      </c>
      <c r="I63" s="93">
        <f>IF(ISNUMBER(G63), $B64 * H63, "")</f>
        <v>-3938.7308533916885</v>
      </c>
      <c r="J63" s="24">
        <v>4.5</v>
      </c>
      <c r="K63" s="25">
        <f t="shared" si="28"/>
        <v>-1.5317286652078837E-2</v>
      </c>
      <c r="L63" s="94">
        <f>IF(ISNUMBER(J63), $B64 * K63, "")</f>
        <v>-2297.5929978118256</v>
      </c>
      <c r="M63" s="92">
        <v>4.4800000000000004</v>
      </c>
      <c r="N63" s="25">
        <f t="shared" si="29"/>
        <v>-1.9693654266958391E-2</v>
      </c>
      <c r="O63" s="94">
        <f>IF(ISNUMBER(M63), $B64 * N63, "")</f>
        <v>-2954.0481400437588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9.4316223051230091E-3</v>
      </c>
      <c r="F64" s="28">
        <f>SUM(F44:F63)</f>
        <v>28294.866915369028</v>
      </c>
      <c r="G64" s="26" t="s">
        <v>258</v>
      </c>
      <c r="H64" s="27">
        <f>IF(COUNT(H44:H63), SUM(H44:H63) / COUNT(H44:H63), 0)</f>
        <v>-1.4005296193894423E-2</v>
      </c>
      <c r="I64" s="28">
        <f>SUM(I44:I63)</f>
        <v>-42015.88858168327</v>
      </c>
      <c r="J64" s="26" t="s">
        <v>258</v>
      </c>
      <c r="K64" s="27">
        <f>IF(COUNT(K44:K63), SUM(K44:K63) / COUNT(K44:K63), 0)</f>
        <v>-9.4725672163007459E-3</v>
      </c>
      <c r="L64" s="28">
        <f>SUM(L44:L63)</f>
        <v>-28417.701648902228</v>
      </c>
      <c r="M64" s="26" t="s">
        <v>258</v>
      </c>
      <c r="N64" s="27">
        <f>IF(COUNT(N44:N63), SUM(N44:N63) / COUNT(N44:N63), 0)</f>
        <v>-8.6841421383339838E-3</v>
      </c>
      <c r="O64" s="28">
        <f>SUM(O44:O63)</f>
        <v>-26052.426415001952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2023-01-16(월) 오전 00:00</v>
      </c>
      <c r="C69" s="198"/>
      <c r="D69" s="170" t="str">
        <f>TEXT($G$1, "[$-ko-KR]yyyy-mm-dd(ddd) ") &amp; "오후 14:00"</f>
        <v>2023-01-16(월) 오후 14:00</v>
      </c>
      <c r="E69" s="171"/>
      <c r="F69" s="172"/>
      <c r="G69" s="170" t="str">
        <f>TEXT($G$1, "[$-ko-KR]yyyy-mm-dd(ddd) ") &amp; "오후 19:00"</f>
        <v>2023-01-16(월) 오후 19:00</v>
      </c>
      <c r="H69" s="171"/>
      <c r="I69" s="172"/>
      <c r="J69" s="170" t="str">
        <f>TEXT($G$1, "[$-ko-KR]yyyy-mm-dd(ddd) ") &amp; "오후 21:00"</f>
        <v>2023-01-16(월) 오후 21:00</v>
      </c>
      <c r="K69" s="171"/>
      <c r="L69" s="172"/>
      <c r="M69" s="170" t="str">
        <f>TEXT($G$1+1, "[$-ko-KR]yyyy-mm-dd(ddd) ") &amp; "오전 00:00"</f>
        <v>2023-01-17(화)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345</v>
      </c>
      <c r="B71" s="108">
        <v>190</v>
      </c>
      <c r="C71" s="69">
        <v>0.47286821709999999</v>
      </c>
      <c r="D71" s="13">
        <v>198</v>
      </c>
      <c r="E71" s="14">
        <f>IF(ISNUMBER(D71), (D71 - $B71) / $B71, "")</f>
        <v>4.2105263157894736E-2</v>
      </c>
      <c r="F71" s="16">
        <f>IF(ISNUMBER(D71), $B91 * E71, "")</f>
        <v>6315.78947368421</v>
      </c>
      <c r="G71" s="29">
        <v>192</v>
      </c>
      <c r="H71" s="14">
        <f>IF(ISNUMBER(G71), (G71 - $B71) / $B71, "")</f>
        <v>1.0526315789473684E-2</v>
      </c>
      <c r="I71" s="90">
        <f>IF(ISNUMBER(G71), $B91 * H71, "")</f>
        <v>1578.9473684210525</v>
      </c>
      <c r="J71" s="13">
        <v>192</v>
      </c>
      <c r="K71" s="14">
        <f>IF(ISNUMBER(J71), (J71 - $B71) / $B71, "")</f>
        <v>1.0526315789473684E-2</v>
      </c>
      <c r="L71" s="16">
        <f>IF(ISNUMBER(J71), $B91 * K71, "")</f>
        <v>1578.9473684210525</v>
      </c>
      <c r="M71" s="29">
        <v>188</v>
      </c>
      <c r="N71" s="14">
        <f>IF(ISNUMBER(M71), (M71 - $B71) / $B71, "")</f>
        <v>-1.0526315789473684E-2</v>
      </c>
      <c r="O71" s="16">
        <f>IF(ISNUMBER(M71), $B91 * N71, "")</f>
        <v>-1578.9473684210525</v>
      </c>
      <c r="Q71" s="156"/>
      <c r="R71" s="156"/>
      <c r="S71" s="156"/>
    </row>
    <row r="72" spans="1:19" ht="17.25" thickBot="1">
      <c r="A72" s="109" t="s">
        <v>120</v>
      </c>
      <c r="B72" s="110">
        <v>131</v>
      </c>
      <c r="C72" s="70">
        <v>0.11016949149999999</v>
      </c>
      <c r="D72" s="15">
        <v>133</v>
      </c>
      <c r="E72" s="32">
        <f t="shared" ref="E72:E75" si="30">IF(ISNUMBER(D72), (D72 - $B72) / $B72, "")</f>
        <v>1.5267175572519083E-2</v>
      </c>
      <c r="F72" s="18">
        <f>IF(ISNUMBER(D72), $B91 * E72, "")</f>
        <v>2290.0763358778627</v>
      </c>
      <c r="G72" s="31">
        <v>127</v>
      </c>
      <c r="H72" s="32">
        <f t="shared" ref="H72:H75" si="31">IF(ISNUMBER(G72), (G72 - $B72) / $B72, "")</f>
        <v>-3.0534351145038167E-2</v>
      </c>
      <c r="I72" s="9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156"/>
      <c r="R72" s="156"/>
      <c r="S72" s="156"/>
    </row>
    <row r="73" spans="1:19" ht="17.25" thickBot="1">
      <c r="A73" s="109" t="s">
        <v>68</v>
      </c>
      <c r="B73" s="110">
        <v>696</v>
      </c>
      <c r="C73" s="70">
        <v>8.4112149499999997E-2</v>
      </c>
      <c r="D73" s="15">
        <v>702</v>
      </c>
      <c r="E73" s="32">
        <f t="shared" si="30"/>
        <v>8.6206896551724137E-3</v>
      </c>
      <c r="F73" s="18">
        <f>IF(ISNUMBER(D73), $B91 * E73, "")</f>
        <v>1293.1034482758621</v>
      </c>
      <c r="G73" s="31">
        <v>688</v>
      </c>
      <c r="H73" s="32">
        <f t="shared" si="31"/>
        <v>-1.1494252873563218E-2</v>
      </c>
      <c r="I73" s="91">
        <f>IF(ISNUMBER(G73), $B91 * H73, "")</f>
        <v>-1724.1379310344828</v>
      </c>
      <c r="J73" s="15">
        <v>693</v>
      </c>
      <c r="K73" s="32">
        <f t="shared" si="32"/>
        <v>-4.3103448275862068E-3</v>
      </c>
      <c r="L73" s="18">
        <f>IF(ISNUMBER(J73), $B91 * K73, "")</f>
        <v>-646.55172413793105</v>
      </c>
      <c r="M73" s="31">
        <v>681</v>
      </c>
      <c r="N73" s="32">
        <f t="shared" si="33"/>
        <v>-2.1551724137931036E-2</v>
      </c>
      <c r="O73" s="18">
        <f>IF(ISNUMBER(M73), $B91 * N73, "")</f>
        <v>-3232.7586206896553</v>
      </c>
      <c r="Q73" s="146"/>
      <c r="R73" s="146"/>
      <c r="S73" s="146"/>
    </row>
    <row r="74" spans="1:19" ht="17.25" thickBot="1">
      <c r="A74" s="109" t="s">
        <v>205</v>
      </c>
      <c r="B74" s="110">
        <v>112</v>
      </c>
      <c r="C74" s="70">
        <v>3.7037037000000002E-2</v>
      </c>
      <c r="D74" s="15">
        <v>116</v>
      </c>
      <c r="E74" s="32">
        <f t="shared" si="30"/>
        <v>3.5714285714285712E-2</v>
      </c>
      <c r="F74" s="18">
        <f>IF(ISNUMBER(D74), $B91 * E74, "")</f>
        <v>5357.1428571428569</v>
      </c>
      <c r="G74" s="31">
        <v>116</v>
      </c>
      <c r="H74" s="32">
        <f t="shared" si="31"/>
        <v>3.5714285714285712E-2</v>
      </c>
      <c r="I74" s="91">
        <f>IF(ISNUMBER(G74), $B91 * H74, "")</f>
        <v>5357.1428571428569</v>
      </c>
      <c r="J74" s="15">
        <v>116</v>
      </c>
      <c r="K74" s="32">
        <f t="shared" si="32"/>
        <v>3.5714285714285712E-2</v>
      </c>
      <c r="L74" s="18">
        <f>IF(ISNUMBER(J74), $B91 * K74, "")</f>
        <v>5357.1428571428569</v>
      </c>
      <c r="M74" s="31">
        <v>116</v>
      </c>
      <c r="N74" s="32">
        <f t="shared" si="33"/>
        <v>3.5714285714285712E-2</v>
      </c>
      <c r="O74" s="18">
        <f>IF(ISNUMBER(M74), $B91 * N74, "")</f>
        <v>5357.1428571428569</v>
      </c>
      <c r="Q74" s="146"/>
      <c r="R74" s="146"/>
      <c r="S74" s="146"/>
    </row>
    <row r="75" spans="1:19" ht="17.25" thickBot="1">
      <c r="A75" s="111" t="s">
        <v>105</v>
      </c>
      <c r="B75" s="112">
        <v>238</v>
      </c>
      <c r="C75" s="71">
        <v>3.4782608700000002E-2</v>
      </c>
      <c r="D75" s="20">
        <v>240</v>
      </c>
      <c r="E75" s="21">
        <f t="shared" si="30"/>
        <v>8.4033613445378148E-3</v>
      </c>
      <c r="F75" s="22">
        <f>IF(ISNUMBER(D75), $B91 * E75, "")</f>
        <v>1260.5042016806722</v>
      </c>
      <c r="G75" s="30">
        <v>233</v>
      </c>
      <c r="H75" s="21">
        <f t="shared" si="31"/>
        <v>-2.100840336134454E-2</v>
      </c>
      <c r="I75" s="95">
        <f>IF(ISNUMBER(G75), $B91 * H75, "")</f>
        <v>-3151.2605042016808</v>
      </c>
      <c r="J75" s="20">
        <v>234</v>
      </c>
      <c r="K75" s="21">
        <f t="shared" si="32"/>
        <v>-1.680672268907563E-2</v>
      </c>
      <c r="L75" s="22">
        <f>IF(ISNUMBER(J75), $B91 * K75, "")</f>
        <v>-2521.0084033613443</v>
      </c>
      <c r="M75" s="30">
        <v>235</v>
      </c>
      <c r="N75" s="21">
        <f t="shared" si="33"/>
        <v>-1.2605042016806723E-2</v>
      </c>
      <c r="O75" s="22">
        <f>IF(ISNUMBER(M75), $B91 * N75, "")</f>
        <v>-1890.7563025210084</v>
      </c>
      <c r="Q75" s="146"/>
      <c r="R75" s="146"/>
      <c r="S75" s="146"/>
    </row>
    <row r="76" spans="1:19" ht="17.25" thickBot="1">
      <c r="A76" s="109" t="s">
        <v>332</v>
      </c>
      <c r="B76" s="113">
        <v>617</v>
      </c>
      <c r="C76" s="73">
        <v>3.3500837499999998E-2</v>
      </c>
      <c r="D76" s="96">
        <v>624</v>
      </c>
      <c r="E76" s="97">
        <f>IF(ISNUMBER(D76), (D76 - $B76) / $B76, "")</f>
        <v>1.1345218800648298E-2</v>
      </c>
      <c r="F76" s="98">
        <f>IF(ISNUMBER(D76), $B91 * E76, "")</f>
        <v>1701.7828200972447</v>
      </c>
      <c r="G76" s="99">
        <v>603</v>
      </c>
      <c r="H76" s="97">
        <f>IF(ISNUMBER(G76), (G76 - $B76) / $B76, "")</f>
        <v>-2.2690437601296597E-2</v>
      </c>
      <c r="I76" s="100">
        <f>IF(ISNUMBER(G76), $B91 * H76, "")</f>
        <v>-3403.5656401944893</v>
      </c>
      <c r="J76" s="96">
        <v>601</v>
      </c>
      <c r="K76" s="97">
        <f>IF(ISNUMBER(J76), (J76 - $B76) / $B76, "")</f>
        <v>-2.5931928687196109E-2</v>
      </c>
      <c r="L76" s="98">
        <f>IF(ISNUMBER(J76), $B91 * K76, "")</f>
        <v>-3889.7893030794162</v>
      </c>
      <c r="M76" s="99">
        <v>599</v>
      </c>
      <c r="N76" s="97">
        <f>IF(ISNUMBER(M76), (M76 - $B76) / $B76, "")</f>
        <v>-2.9173419773095625E-2</v>
      </c>
      <c r="O76" s="98">
        <f>IF(ISNUMBER(M76), $B91 * N76, "")</f>
        <v>-4376.0129659643435</v>
      </c>
      <c r="Q76" s="146"/>
      <c r="R76" s="146"/>
      <c r="S76" s="146"/>
    </row>
    <row r="77" spans="1:19" ht="17.25" thickBot="1">
      <c r="A77" s="109" t="s">
        <v>341</v>
      </c>
      <c r="B77" s="110">
        <v>804</v>
      </c>
      <c r="C77" s="70">
        <v>3.0769230799999998E-2</v>
      </c>
      <c r="D77" s="15">
        <v>919</v>
      </c>
      <c r="E77" s="32">
        <f t="shared" ref="E77:E80" si="34">IF(ISNUMBER(D77), (D77 - $B77) / $B77, "")</f>
        <v>0.14303482587064675</v>
      </c>
      <c r="F77" s="18">
        <f>IF(ISNUMBER(D77), $B91 * E77, "")</f>
        <v>21455.223880597012</v>
      </c>
      <c r="G77" s="31">
        <v>947</v>
      </c>
      <c r="H77" s="32">
        <f t="shared" ref="H77:H80" si="35">IF(ISNUMBER(G77), (G77 - $B77) / $B77, "")</f>
        <v>0.17786069651741293</v>
      </c>
      <c r="I77" s="91">
        <f>IF(ISNUMBER(G77), $B91 * H77, "")</f>
        <v>26679.104477611938</v>
      </c>
      <c r="J77" s="15">
        <v>919</v>
      </c>
      <c r="K77" s="32">
        <f t="shared" ref="K77:K80" si="36">IF(ISNUMBER(J77), (J77 - $B77) / $B77, "")</f>
        <v>0.14303482587064675</v>
      </c>
      <c r="L77" s="18">
        <f>IF(ISNUMBER(J77), $B91 * K77, "")</f>
        <v>21455.223880597012</v>
      </c>
      <c r="M77" s="31">
        <v>904</v>
      </c>
      <c r="N77" s="32">
        <f t="shared" ref="N77:N80" si="37">IF(ISNUMBER(M77), (M77 - $B77) / $B77, "")</f>
        <v>0.12437810945273632</v>
      </c>
      <c r="O77" s="18">
        <f>IF(ISNUMBER(M77), $B91 * N77, "")</f>
        <v>18656.716417910447</v>
      </c>
      <c r="Q77" s="146"/>
      <c r="R77" s="146"/>
      <c r="S77" s="146"/>
    </row>
    <row r="78" spans="1:19" ht="17.25" thickBot="1">
      <c r="A78" s="109" t="s">
        <v>101</v>
      </c>
      <c r="B78" s="110">
        <v>246</v>
      </c>
      <c r="C78" s="70">
        <v>2.9288702900000001E-2</v>
      </c>
      <c r="D78" s="15">
        <v>245</v>
      </c>
      <c r="E78" s="32">
        <f t="shared" si="34"/>
        <v>-4.0650406504065045E-3</v>
      </c>
      <c r="F78" s="18">
        <f>IF(ISNUMBER(D78), $B91 * E78, "")</f>
        <v>-609.75609756097572</v>
      </c>
      <c r="G78" s="31">
        <v>242</v>
      </c>
      <c r="H78" s="32">
        <f t="shared" si="35"/>
        <v>-1.6260162601626018E-2</v>
      </c>
      <c r="I78" s="91">
        <f>IF(ISNUMBER(G78), $B91 * H78, "")</f>
        <v>-2439.0243902439029</v>
      </c>
      <c r="J78" s="15">
        <v>243</v>
      </c>
      <c r="K78" s="32">
        <f t="shared" si="36"/>
        <v>-1.2195121951219513E-2</v>
      </c>
      <c r="L78" s="18">
        <f>IF(ISNUMBER(J78), $B91 * K78, "")</f>
        <v>-1829.2682926829268</v>
      </c>
      <c r="M78" s="31">
        <v>242</v>
      </c>
      <c r="N78" s="32">
        <f t="shared" si="37"/>
        <v>-1.6260162601626018E-2</v>
      </c>
      <c r="O78" s="18">
        <f>IF(ISNUMBER(M78), $B91 * N78, "")</f>
        <v>-2439.0243902439029</v>
      </c>
      <c r="Q78" s="146"/>
      <c r="R78" s="146"/>
      <c r="S78" s="146"/>
    </row>
    <row r="79" spans="1:19" ht="17.25" thickBot="1">
      <c r="A79" s="109" t="s">
        <v>326</v>
      </c>
      <c r="B79" s="110">
        <v>291</v>
      </c>
      <c r="C79" s="70">
        <v>2.8268551199999999E-2</v>
      </c>
      <c r="D79" s="15">
        <v>295</v>
      </c>
      <c r="E79" s="32">
        <f t="shared" si="34"/>
        <v>1.3745704467353952E-2</v>
      </c>
      <c r="F79" s="18">
        <f>IF(ISNUMBER(D79), $B91 * E79, "")</f>
        <v>2061.855670103093</v>
      </c>
      <c r="G79" s="31">
        <v>286</v>
      </c>
      <c r="H79" s="32">
        <f t="shared" si="35"/>
        <v>-1.7182130584192441E-2</v>
      </c>
      <c r="I79" s="91">
        <f>IF(ISNUMBER(G79), $B91 * H79, "")</f>
        <v>-2577.319587628866</v>
      </c>
      <c r="J79" s="15">
        <v>287</v>
      </c>
      <c r="K79" s="32">
        <f t="shared" si="36"/>
        <v>-1.3745704467353952E-2</v>
      </c>
      <c r="L79" s="18">
        <f>IF(ISNUMBER(J79), $B91 * K79, "")</f>
        <v>-2061.855670103093</v>
      </c>
      <c r="M79" s="31">
        <v>286</v>
      </c>
      <c r="N79" s="32">
        <f t="shared" si="37"/>
        <v>-1.7182130584192441E-2</v>
      </c>
      <c r="O79" s="18">
        <f>IF(ISNUMBER(M79), $B91 * N79, "")</f>
        <v>-2577.319587628866</v>
      </c>
      <c r="Q79" s="33"/>
      <c r="R79" s="33"/>
    </row>
    <row r="80" spans="1:19" ht="17.25" thickBot="1">
      <c r="A80" s="114" t="s">
        <v>157</v>
      </c>
      <c r="B80" s="115">
        <v>231</v>
      </c>
      <c r="C80" s="72">
        <v>2.6666666700000001E-2</v>
      </c>
      <c r="D80" s="24">
        <v>231</v>
      </c>
      <c r="E80" s="25">
        <f t="shared" si="34"/>
        <v>0</v>
      </c>
      <c r="F80" s="94">
        <f>IF(ISNUMBER(D80), $B91 * E80, "")</f>
        <v>0</v>
      </c>
      <c r="G80" s="92">
        <v>224</v>
      </c>
      <c r="H80" s="25">
        <f t="shared" si="35"/>
        <v>-3.0303030303030304E-2</v>
      </c>
      <c r="I80" s="93">
        <f>IF(ISNUMBER(G80), $B91 * H80, "")</f>
        <v>-4545.454545454546</v>
      </c>
      <c r="J80" s="24">
        <v>224</v>
      </c>
      <c r="K80" s="25">
        <f t="shared" si="36"/>
        <v>-3.0303030303030304E-2</v>
      </c>
      <c r="L80" s="94">
        <f>IF(ISNUMBER(J80), $B91 * K80, "")</f>
        <v>-4545.454545454546</v>
      </c>
      <c r="M80" s="92">
        <v>225</v>
      </c>
      <c r="N80" s="25">
        <f t="shared" si="37"/>
        <v>-2.5974025974025976E-2</v>
      </c>
      <c r="O80" s="94">
        <f>IF(ISNUMBER(M80), $B91 * N80, "")</f>
        <v>-3896.1038961038962</v>
      </c>
      <c r="Q80" s="147"/>
      <c r="R80" s="148"/>
      <c r="S80" s="149"/>
    </row>
    <row r="81" spans="1:19">
      <c r="A81" s="107" t="s">
        <v>321</v>
      </c>
      <c r="B81" s="108">
        <v>205</v>
      </c>
      <c r="C81" s="69">
        <v>2.5000000000000001E-2</v>
      </c>
      <c r="D81" s="13">
        <v>216</v>
      </c>
      <c r="E81" s="14">
        <f>IF(ISNUMBER(D81), (D81 - $B81) / $B81, "")</f>
        <v>5.3658536585365853E-2</v>
      </c>
      <c r="F81" s="16">
        <f>IF(ISNUMBER(D81), $B91 * E81, "")</f>
        <v>8048.7804878048782</v>
      </c>
      <c r="G81" s="29">
        <v>207</v>
      </c>
      <c r="H81" s="14">
        <f>IF(ISNUMBER(G81), (G81 - $B81) / $B81, "")</f>
        <v>9.7560975609756097E-3</v>
      </c>
      <c r="I81" s="90">
        <f>IF(ISNUMBER(G81), $B91 * H81, "")</f>
        <v>1463.4146341463415</v>
      </c>
      <c r="J81" s="13">
        <v>207</v>
      </c>
      <c r="K81" s="14">
        <f>IF(ISNUMBER(J81), (J81 - $B81) / $B81, "")</f>
        <v>9.7560975609756097E-3</v>
      </c>
      <c r="L81" s="16">
        <f>IF(ISNUMBER(J81), $B91 * K81, "")</f>
        <v>1463.4146341463415</v>
      </c>
      <c r="M81" s="29">
        <v>208</v>
      </c>
      <c r="N81" s="14">
        <f>IF(ISNUMBER(M81), (M81 - $B81) / $B81, "")</f>
        <v>1.4634146341463415E-2</v>
      </c>
      <c r="O81" s="16">
        <f>IF(ISNUMBER(M81), $B91 * N81, "")</f>
        <v>2195.1219512195125</v>
      </c>
      <c r="Q81" s="150"/>
      <c r="R81" s="151"/>
      <c r="S81" s="152"/>
    </row>
    <row r="82" spans="1:19" ht="17.25" thickBot="1">
      <c r="A82" s="109" t="s">
        <v>169</v>
      </c>
      <c r="B82" s="110">
        <v>268</v>
      </c>
      <c r="C82" s="70">
        <v>1.9011406799999998E-2</v>
      </c>
      <c r="D82" s="15">
        <v>267</v>
      </c>
      <c r="E82" s="32">
        <f t="shared" ref="E82:E85" si="38">IF(ISNUMBER(D82), (D82 - $B82) / $B82, "")</f>
        <v>-3.7313432835820895E-3</v>
      </c>
      <c r="F82" s="18">
        <f>IF(ISNUMBER(D82), $B91 * E82, "")</f>
        <v>-559.70149253731347</v>
      </c>
      <c r="G82" s="31">
        <v>262</v>
      </c>
      <c r="H82" s="32">
        <f t="shared" ref="H82:H85" si="39">IF(ISNUMBER(G82), (G82 - $B82) / $B82, "")</f>
        <v>-2.2388059701492536E-2</v>
      </c>
      <c r="I82" s="91">
        <f>IF(ISNUMBER(G82), $B91 * H82, "")</f>
        <v>-3358.2089552238804</v>
      </c>
      <c r="J82" s="15">
        <v>261</v>
      </c>
      <c r="K82" s="32">
        <f t="shared" ref="K82:K85" si="40">IF(ISNUMBER(J82), (J82 - $B82) / $B82, "")</f>
        <v>-2.6119402985074626E-2</v>
      </c>
      <c r="L82" s="18">
        <f>IF(ISNUMBER(J82), $B91 * K82, "")</f>
        <v>-3917.9104477611941</v>
      </c>
      <c r="M82" s="31">
        <v>260</v>
      </c>
      <c r="N82" s="32">
        <f t="shared" ref="N82:N85" si="41">IF(ISNUMBER(M82), (M82 - $B82) / $B82, "")</f>
        <v>-2.9850746268656716E-2</v>
      </c>
      <c r="O82" s="18">
        <f>IF(ISNUMBER(M82), $B91 * N82, "")</f>
        <v>-4477.6119402985078</v>
      </c>
      <c r="Q82" s="153"/>
      <c r="R82" s="154"/>
      <c r="S82" s="155"/>
    </row>
    <row r="83" spans="1:19" ht="17.25" thickBot="1">
      <c r="A83" s="109" t="s">
        <v>183</v>
      </c>
      <c r="B83" s="110">
        <v>138</v>
      </c>
      <c r="C83" s="70">
        <v>1.47058824E-2</v>
      </c>
      <c r="D83" s="15">
        <v>142</v>
      </c>
      <c r="E83" s="32">
        <f t="shared" si="38"/>
        <v>2.8985507246376812E-2</v>
      </c>
      <c r="F83" s="18">
        <f>IF(ISNUMBER(D83), $B91 * E83, "")</f>
        <v>4347.826086956522</v>
      </c>
      <c r="G83" s="31">
        <v>137</v>
      </c>
      <c r="H83" s="32">
        <f t="shared" si="39"/>
        <v>-7.246376811594203E-3</v>
      </c>
      <c r="I83" s="91">
        <f>IF(ISNUMBER(G83), $B91 * H83, "")</f>
        <v>-1086.9565217391305</v>
      </c>
      <c r="J83" s="15">
        <v>137</v>
      </c>
      <c r="K83" s="32">
        <f t="shared" si="40"/>
        <v>-7.246376811594203E-3</v>
      </c>
      <c r="L83" s="18">
        <f>IF(ISNUMBER(J83), $B91 * K83, "")</f>
        <v>-1086.9565217391305</v>
      </c>
      <c r="M83" s="31">
        <v>137</v>
      </c>
      <c r="N83" s="32">
        <f t="shared" si="41"/>
        <v>-7.246376811594203E-3</v>
      </c>
      <c r="O83" s="18">
        <f>IF(ISNUMBER(M83), $B91 * N83, "")</f>
        <v>-1086.9565217391305</v>
      </c>
      <c r="Q83" s="146"/>
      <c r="R83" s="146"/>
      <c r="S83" s="146"/>
    </row>
    <row r="84" spans="1:19" ht="17.25" thickBot="1">
      <c r="A84" s="109" t="s">
        <v>79</v>
      </c>
      <c r="B84" s="110">
        <v>284</v>
      </c>
      <c r="C84" s="70">
        <v>1.42857143E-2</v>
      </c>
      <c r="D84" s="15">
        <v>291</v>
      </c>
      <c r="E84" s="32">
        <f t="shared" si="38"/>
        <v>2.464788732394366E-2</v>
      </c>
      <c r="F84" s="18">
        <f>IF(ISNUMBER(D84), $B91 * E84, "")</f>
        <v>3697.183098591549</v>
      </c>
      <c r="G84" s="31">
        <v>282</v>
      </c>
      <c r="H84" s="32">
        <f t="shared" si="39"/>
        <v>-7.0422535211267607E-3</v>
      </c>
      <c r="I84" s="91">
        <f>IF(ISNUMBER(G84), $B91 * H84, "")</f>
        <v>-1056.338028169014</v>
      </c>
      <c r="J84" s="15">
        <v>282</v>
      </c>
      <c r="K84" s="32">
        <f t="shared" si="40"/>
        <v>-7.0422535211267607E-3</v>
      </c>
      <c r="L84" s="18">
        <f>IF(ISNUMBER(J84), $B91 * K84, "")</f>
        <v>-1056.338028169014</v>
      </c>
      <c r="M84" s="31">
        <v>281</v>
      </c>
      <c r="N84" s="32">
        <f t="shared" si="41"/>
        <v>-1.0563380281690141E-2</v>
      </c>
      <c r="O84" s="18">
        <f>IF(ISNUMBER(M84), $B91 * N84, "")</f>
        <v>-1584.5070422535211</v>
      </c>
      <c r="Q84" s="156"/>
      <c r="R84" s="156"/>
      <c r="S84" s="156"/>
    </row>
    <row r="85" spans="1:19" ht="17.25" thickBot="1">
      <c r="A85" s="111" t="s">
        <v>111</v>
      </c>
      <c r="B85" s="112">
        <v>832</v>
      </c>
      <c r="C85" s="71">
        <v>1.33982948E-2</v>
      </c>
      <c r="D85" s="20">
        <v>884</v>
      </c>
      <c r="E85" s="21">
        <f t="shared" si="38"/>
        <v>6.25E-2</v>
      </c>
      <c r="F85" s="22">
        <f>IF(ISNUMBER(D85), $B91 * E85, "")</f>
        <v>9375</v>
      </c>
      <c r="G85" s="30">
        <v>856</v>
      </c>
      <c r="H85" s="21">
        <f t="shared" si="39"/>
        <v>2.8846153846153848E-2</v>
      </c>
      <c r="I85" s="95">
        <f>IF(ISNUMBER(G85), $B91 * H85, "")</f>
        <v>4326.9230769230771</v>
      </c>
      <c r="J85" s="20">
        <v>863</v>
      </c>
      <c r="K85" s="21">
        <f t="shared" si="40"/>
        <v>3.7259615384615384E-2</v>
      </c>
      <c r="L85" s="22">
        <f>IF(ISNUMBER(J85), $B91 * K85, "")</f>
        <v>5588.9423076923076</v>
      </c>
      <c r="M85" s="30">
        <v>866</v>
      </c>
      <c r="N85" s="21">
        <f t="shared" si="41"/>
        <v>4.0865384615384616E-2</v>
      </c>
      <c r="O85" s="22">
        <f>IF(ISNUMBER(M85), $B91 * N85, "")</f>
        <v>6129.8076923076924</v>
      </c>
      <c r="Q85" s="156"/>
      <c r="R85" s="156"/>
      <c r="S85" s="156"/>
    </row>
    <row r="86" spans="1:19" ht="17.25" thickBot="1">
      <c r="A86" s="109" t="s">
        <v>130</v>
      </c>
      <c r="B86" s="113">
        <v>912</v>
      </c>
      <c r="C86" s="73">
        <v>1.2208656999999999E-2</v>
      </c>
      <c r="D86" s="96">
        <v>918</v>
      </c>
      <c r="E86" s="97">
        <f>IF(ISNUMBER(D86), (D86 - $B86) / $B86, "")</f>
        <v>6.5789473684210523E-3</v>
      </c>
      <c r="F86" s="98">
        <f>IF(ISNUMBER(D86), $B91 * E86, "")</f>
        <v>986.8421052631578</v>
      </c>
      <c r="G86" s="99">
        <v>884</v>
      </c>
      <c r="H86" s="97">
        <f>IF(ISNUMBER(G86), (G86 - $B86) / $B86, "")</f>
        <v>-3.0701754385964911E-2</v>
      </c>
      <c r="I86" s="100">
        <f>IF(ISNUMBER(G86), $B91 * H86, "")</f>
        <v>-4605.2631578947367</v>
      </c>
      <c r="J86" s="96">
        <v>890</v>
      </c>
      <c r="K86" s="97">
        <f>IF(ISNUMBER(J86), (J86 - $B86) / $B86, "")</f>
        <v>-2.4122807017543858E-2</v>
      </c>
      <c r="L86" s="98">
        <f>IF(ISNUMBER(J86), $B91 * K86, "")</f>
        <v>-3618.4210526315787</v>
      </c>
      <c r="M86" s="99">
        <v>914</v>
      </c>
      <c r="N86" s="97">
        <f>IF(ISNUMBER(M86), (M86 - $B86) / $B86, "")</f>
        <v>2.1929824561403508E-3</v>
      </c>
      <c r="O86" s="98">
        <f>IF(ISNUMBER(M86), $B91 * N86, "")</f>
        <v>328.9473684210526</v>
      </c>
      <c r="Q86" s="146"/>
      <c r="R86" s="146"/>
      <c r="S86" s="146"/>
    </row>
    <row r="87" spans="1:19" ht="17.25" thickBot="1">
      <c r="A87" s="109" t="s">
        <v>231</v>
      </c>
      <c r="B87" s="110">
        <v>367</v>
      </c>
      <c r="C87" s="70">
        <v>1.10192837E-2</v>
      </c>
      <c r="D87" s="15">
        <v>426</v>
      </c>
      <c r="E87" s="32">
        <f t="shared" ref="E87:E90" si="42">IF(ISNUMBER(D87), (D87 - $B87) / $B87, "")</f>
        <v>0.16076294277929154</v>
      </c>
      <c r="F87" s="18">
        <f>IF(ISNUMBER(D87), $B91 * E87, "")</f>
        <v>24114.441416893729</v>
      </c>
      <c r="G87" s="31">
        <v>405</v>
      </c>
      <c r="H87" s="32">
        <f t="shared" ref="H87:H90" si="43">IF(ISNUMBER(G87), (G87 - $B87) / $B87, "")</f>
        <v>0.10354223433242507</v>
      </c>
      <c r="I87" s="91">
        <f>IF(ISNUMBER(G87), $B91 * H87, "")</f>
        <v>15531.33514986376</v>
      </c>
      <c r="J87" s="15">
        <v>400</v>
      </c>
      <c r="K87" s="32">
        <f t="shared" ref="K87:K90" si="44">IF(ISNUMBER(J87), (J87 - $B87) / $B87, "")</f>
        <v>8.9918256130790186E-2</v>
      </c>
      <c r="L87" s="18">
        <f>IF(ISNUMBER(J87), $B91 * K87, "")</f>
        <v>13487.738419618528</v>
      </c>
      <c r="M87" s="31">
        <v>406</v>
      </c>
      <c r="N87" s="32">
        <f t="shared" ref="N87:N90" si="45">IF(ISNUMBER(M87), (M87 - $B87) / $B87, "")</f>
        <v>0.10626702997275204</v>
      </c>
      <c r="O87" s="18">
        <f>IF(ISNUMBER(M87), $B91 * N87, "")</f>
        <v>15940.054495912807</v>
      </c>
      <c r="Q87" s="146"/>
      <c r="R87" s="146"/>
      <c r="S87" s="146"/>
    </row>
    <row r="88" spans="1:19" ht="17.25" thickBot="1">
      <c r="A88" s="109" t="s">
        <v>330</v>
      </c>
      <c r="B88" s="110">
        <v>324</v>
      </c>
      <c r="C88" s="70">
        <v>6.2111800999999998E-3</v>
      </c>
      <c r="D88" s="15">
        <v>327</v>
      </c>
      <c r="E88" s="32">
        <f t="shared" si="42"/>
        <v>9.2592592592592587E-3</v>
      </c>
      <c r="F88" s="18">
        <f>IF(ISNUMBER(D88), $B91 * E88, "")</f>
        <v>1388.8888888888889</v>
      </c>
      <c r="G88" s="31">
        <v>319</v>
      </c>
      <c r="H88" s="32">
        <f t="shared" si="43"/>
        <v>-1.5432098765432098E-2</v>
      </c>
      <c r="I88" s="91">
        <f>IF(ISNUMBER(G88), $B91 * H88, "")</f>
        <v>-2314.8148148148148</v>
      </c>
      <c r="J88" s="15">
        <v>321</v>
      </c>
      <c r="K88" s="32">
        <f t="shared" si="44"/>
        <v>-9.2592592592592587E-3</v>
      </c>
      <c r="L88" s="18">
        <f>IF(ISNUMBER(J88), $B91 * K88, "")</f>
        <v>-1388.8888888888889</v>
      </c>
      <c r="M88" s="31">
        <v>321</v>
      </c>
      <c r="N88" s="32">
        <f t="shared" si="45"/>
        <v>-9.2592592592592587E-3</v>
      </c>
      <c r="O88" s="18">
        <f>IF(ISNUMBER(M88), $B91 * N88, "")</f>
        <v>-1388.8888888888889</v>
      </c>
      <c r="Q88" s="146"/>
      <c r="R88" s="146"/>
      <c r="S88" s="146"/>
    </row>
    <row r="89" spans="1:19">
      <c r="A89" s="109" t="s">
        <v>187</v>
      </c>
      <c r="B89" s="110">
        <v>813</v>
      </c>
      <c r="C89" s="70">
        <v>4.9443758000000003E-3</v>
      </c>
      <c r="D89" s="15">
        <v>835</v>
      </c>
      <c r="E89" s="32">
        <f t="shared" si="42"/>
        <v>2.7060270602706028E-2</v>
      </c>
      <c r="F89" s="18">
        <f>IF(ISNUMBER(D89), $B91 * E89, "")</f>
        <v>4059.0405904059044</v>
      </c>
      <c r="G89" s="31">
        <v>838</v>
      </c>
      <c r="H89" s="32">
        <f t="shared" si="43"/>
        <v>3.0750307503075031E-2</v>
      </c>
      <c r="I89" s="91">
        <f>IF(ISNUMBER(G89), $B91 * H89, "")</f>
        <v>4612.5461254612546</v>
      </c>
      <c r="J89" s="15">
        <v>875</v>
      </c>
      <c r="K89" s="32">
        <f t="shared" si="44"/>
        <v>7.626076260762607E-2</v>
      </c>
      <c r="L89" s="18">
        <f>IF(ISNUMBER(J89), $B91 * K89, "")</f>
        <v>11439.11439114391</v>
      </c>
      <c r="M89" s="31">
        <v>920</v>
      </c>
      <c r="N89" s="32">
        <f t="shared" si="45"/>
        <v>0.13161131611316113</v>
      </c>
      <c r="O89" s="18">
        <f>IF(ISNUMBER(M89), $B91 * N89, "")</f>
        <v>19741.69741697417</v>
      </c>
      <c r="Q89" s="135"/>
      <c r="R89" s="136"/>
      <c r="S89" s="137"/>
    </row>
    <row r="90" spans="1:19" ht="17.25" thickBot="1">
      <c r="A90" s="114" t="s">
        <v>319</v>
      </c>
      <c r="B90" s="115">
        <v>641</v>
      </c>
      <c r="C90" s="72">
        <v>3.1298904999999999E-3</v>
      </c>
      <c r="D90" s="24">
        <v>631</v>
      </c>
      <c r="E90" s="25">
        <f t="shared" si="42"/>
        <v>-1.5600624024960999E-2</v>
      </c>
      <c r="F90" s="94">
        <f>IF(ISNUMBER(D90), $B91 * E90, "")</f>
        <v>-2340.0936037441497</v>
      </c>
      <c r="G90" s="92">
        <v>608</v>
      </c>
      <c r="H90" s="25">
        <f t="shared" si="43"/>
        <v>-5.1482059282371297E-2</v>
      </c>
      <c r="I90" s="93">
        <f>IF(ISNUMBER(G90), $B91 * H90, "")</f>
        <v>-7722.3088923556943</v>
      </c>
      <c r="J90" s="24">
        <v>612</v>
      </c>
      <c r="K90" s="25">
        <f t="shared" si="44"/>
        <v>-4.5241809672386897E-2</v>
      </c>
      <c r="L90" s="94">
        <f>IF(ISNUMBER(J90), $B91 * K90, "")</f>
        <v>-6786.2714508580348</v>
      </c>
      <c r="M90" s="92">
        <v>610</v>
      </c>
      <c r="N90" s="25">
        <f t="shared" si="45"/>
        <v>-4.8361934477379097E-2</v>
      </c>
      <c r="O90" s="94">
        <f>IF(ISNUMBER(M90), $B91 * N90, "")</f>
        <v>-7254.2901716068645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3.1414643389473675E-2</v>
      </c>
      <c r="F91" s="28">
        <f>SUM(F71:F90)</f>
        <v>94243.930168420979</v>
      </c>
      <c r="G91" s="26" t="s">
        <v>258</v>
      </c>
      <c r="H91" s="27">
        <f>IF(COUNT(H71:H90), SUM(H71:H90) / COUNT(H71:H90), 0)</f>
        <v>5.6615360162864392E-3</v>
      </c>
      <c r="I91" s="28">
        <f>SUM(I71:I90)</f>
        <v>16984.608048859322</v>
      </c>
      <c r="J91" s="26" t="s">
        <v>258</v>
      </c>
      <c r="K91" s="27">
        <f>IF(COUNT(K71:K90), SUM(K71:K90) / COUNT(K71:K90), 0)</f>
        <v>7.8622316753593734E-3</v>
      </c>
      <c r="L91" s="28">
        <f>SUM(L71:L90)</f>
        <v>23586.695026078116</v>
      </c>
      <c r="M91" s="26" t="s">
        <v>258</v>
      </c>
      <c r="N91" s="27">
        <f>IF(COUNT(N71:N90), SUM(N71:N90) / COUNT(N71:N90), 0)</f>
        <v>8.9470398879447476E-3</v>
      </c>
      <c r="O91" s="28">
        <f>SUM(O71:O90)</f>
        <v>26841.119663834244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2023-01-16(월) 오전 00:00</v>
      </c>
      <c r="C96" s="198"/>
      <c r="D96" s="170" t="str">
        <f>TEXT($G$1, "[$-ko-KR]yyyy-mm-dd(ddd) ") &amp; "오후 14:00"</f>
        <v>2023-01-16(월) 오후 14:00</v>
      </c>
      <c r="E96" s="171"/>
      <c r="F96" s="172"/>
      <c r="G96" s="170" t="str">
        <f>TEXT($G$1, "[$-ko-KR]yyyy-mm-dd(ddd) ") &amp; "오후 19:00"</f>
        <v>2023-01-16(월) 오후 19:00</v>
      </c>
      <c r="H96" s="171"/>
      <c r="I96" s="172"/>
      <c r="J96" s="170" t="str">
        <f>TEXT($G$1, "[$-ko-KR]yyyy-mm-dd(ddd) ") &amp; "오후 21:00"</f>
        <v>2023-01-16(월) 오후 21:00</v>
      </c>
      <c r="K96" s="171"/>
      <c r="L96" s="172"/>
      <c r="M96" s="170" t="str">
        <f>TEXT($G$1+1, "[$-ko-KR]yyyy-mm-dd(ddd) ") &amp; "오전 00:00"</f>
        <v>2023-01-17(화)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345</v>
      </c>
      <c r="B98" s="108">
        <v>190</v>
      </c>
      <c r="C98" s="69">
        <v>0.47286821709999999</v>
      </c>
      <c r="D98" s="13">
        <v>198</v>
      </c>
      <c r="E98" s="14">
        <f>IF(ISNUMBER(D98), (D98 - $B98) / $B98, "")</f>
        <v>4.2105263157894736E-2</v>
      </c>
      <c r="F98" s="16">
        <f>IF(ISNUMBER(D98), $B118 * E98, "")</f>
        <v>6315.78947368421</v>
      </c>
      <c r="G98" s="29">
        <v>192</v>
      </c>
      <c r="H98" s="14">
        <f>IF(ISNUMBER(G98), (G98 - $B98) / $B98, "")</f>
        <v>1.0526315789473684E-2</v>
      </c>
      <c r="I98" s="90">
        <f>IF(ISNUMBER(G98), $B118 * H98, "")</f>
        <v>1578.9473684210525</v>
      </c>
      <c r="J98" s="13">
        <v>192</v>
      </c>
      <c r="K98" s="14">
        <f>IF(ISNUMBER(J98), (J98 - $B98) / $B98, "")</f>
        <v>1.0526315789473684E-2</v>
      </c>
      <c r="L98" s="16">
        <f>IF(ISNUMBER(J98), $B118 * K98, "")</f>
        <v>1578.9473684210525</v>
      </c>
      <c r="M98" s="29">
        <v>188</v>
      </c>
      <c r="N98" s="14">
        <f>IF(ISNUMBER(M98), (M98 - $B98) / $B98, "")</f>
        <v>-1.0526315789473684E-2</v>
      </c>
      <c r="O98" s="16">
        <f>IF(ISNUMBER(M98), $B118 * N98, "")</f>
        <v>-1578.9473684210525</v>
      </c>
      <c r="Q98" s="156"/>
      <c r="R98" s="156"/>
      <c r="S98" s="156"/>
    </row>
    <row r="99" spans="1:19" ht="17.25" thickBot="1">
      <c r="A99" s="109" t="s">
        <v>350</v>
      </c>
      <c r="B99" s="110">
        <v>7.93</v>
      </c>
      <c r="C99" s="70">
        <v>0.20884146340000001</v>
      </c>
      <c r="D99" s="15">
        <v>7.9</v>
      </c>
      <c r="E99" s="32">
        <f t="shared" ref="E99:E102" si="46">IF(ISNUMBER(D99), (D99 - $B99) / $B99, "")</f>
        <v>-3.7831021437578008E-3</v>
      </c>
      <c r="F99" s="18">
        <f>IF(ISNUMBER(D99), $B118 * E99, "")</f>
        <v>-567.46532156367016</v>
      </c>
      <c r="G99" s="31">
        <v>7.79</v>
      </c>
      <c r="H99" s="32">
        <f t="shared" ref="H99:H102" si="47">IF(ISNUMBER(G99), (G99 - $B99) / $B99, "")</f>
        <v>-1.7654476670870074E-2</v>
      </c>
      <c r="I99" s="91">
        <f>IF(ISNUMBER(G99), $B118 * H99, "")</f>
        <v>-2648.1715006305112</v>
      </c>
      <c r="J99" s="15">
        <v>7.81</v>
      </c>
      <c r="K99" s="32">
        <f t="shared" ref="K99:K102" si="48">IF(ISNUMBER(J99), (J99 - $B99) / $B99, "")</f>
        <v>-1.513240857503154E-2</v>
      </c>
      <c r="L99" s="18">
        <f>IF(ISNUMBER(J99), $B118 * K99, "")</f>
        <v>-2269.8612862547311</v>
      </c>
      <c r="M99" s="31">
        <v>7.75</v>
      </c>
      <c r="N99" s="32">
        <f t="shared" ref="N99:N102" si="49">IF(ISNUMBER(M99), (M99 - $B99) / $B99, "")</f>
        <v>-2.2698612862547252E-2</v>
      </c>
      <c r="O99" s="18">
        <f>IF(ISNUMBER(M99), $B118 * N99, "")</f>
        <v>-3404.7919293820878</v>
      </c>
      <c r="Q99" s="156"/>
      <c r="R99" s="156"/>
      <c r="S99" s="156"/>
    </row>
    <row r="100" spans="1:19" ht="17.25" thickBot="1">
      <c r="A100" s="109" t="s">
        <v>328</v>
      </c>
      <c r="B100" s="110">
        <v>10750</v>
      </c>
      <c r="C100" s="70">
        <v>0.13038906410000001</v>
      </c>
      <c r="D100" s="15">
        <v>9885</v>
      </c>
      <c r="E100" s="32">
        <f t="shared" si="46"/>
        <v>-8.046511627906977E-2</v>
      </c>
      <c r="F100" s="18">
        <f>IF(ISNUMBER(D100), $B118 * E100, "")</f>
        <v>-12069.767441860466</v>
      </c>
      <c r="G100" s="31">
        <v>9890</v>
      </c>
      <c r="H100" s="32">
        <f t="shared" si="47"/>
        <v>-0.08</v>
      </c>
      <c r="I100" s="91">
        <f>IF(ISNUMBER(G100), $B118 * H100, "")</f>
        <v>-12000</v>
      </c>
      <c r="J100" s="15">
        <v>10370</v>
      </c>
      <c r="K100" s="32">
        <f t="shared" si="48"/>
        <v>-3.5348837209302326E-2</v>
      </c>
      <c r="L100" s="18">
        <f>IF(ISNUMBER(J100), $B118 * K100, "")</f>
        <v>-5302.3255813953492</v>
      </c>
      <c r="M100" s="31">
        <v>9965</v>
      </c>
      <c r="N100" s="32">
        <f t="shared" si="49"/>
        <v>-7.3023255813953483E-2</v>
      </c>
      <c r="O100" s="18">
        <f>IF(ISNUMBER(M100), $B118 * N100, "")</f>
        <v>-10953.488372093023</v>
      </c>
      <c r="Q100" s="146"/>
      <c r="R100" s="146"/>
      <c r="S100" s="146"/>
    </row>
    <row r="101" spans="1:19" ht="17.25" thickBot="1">
      <c r="A101" s="109" t="s">
        <v>120</v>
      </c>
      <c r="B101" s="110">
        <v>131</v>
      </c>
      <c r="C101" s="70">
        <v>0.11016949149999999</v>
      </c>
      <c r="D101" s="15">
        <v>133</v>
      </c>
      <c r="E101" s="32">
        <f t="shared" si="46"/>
        <v>1.5267175572519083E-2</v>
      </c>
      <c r="F101" s="18">
        <f>IF(ISNUMBER(D101), $B118 * E101, "")</f>
        <v>2290.0763358778627</v>
      </c>
      <c r="G101" s="31">
        <v>127</v>
      </c>
      <c r="H101" s="32">
        <f t="shared" si="47"/>
        <v>-3.0534351145038167E-2</v>
      </c>
      <c r="I101" s="91">
        <f>IF(ISNUMBER(G101), $B118 * H101, "")</f>
        <v>-4580.1526717557254</v>
      </c>
      <c r="J101" s="15">
        <v>128</v>
      </c>
      <c r="K101" s="32">
        <f t="shared" si="48"/>
        <v>-2.2900763358778626E-2</v>
      </c>
      <c r="L101" s="18">
        <f>IF(ISNUMBER(J101), $B118 * K101, "")</f>
        <v>-3435.1145038167938</v>
      </c>
      <c r="M101" s="31">
        <v>126</v>
      </c>
      <c r="N101" s="32">
        <f t="shared" si="49"/>
        <v>-3.8167938931297711E-2</v>
      </c>
      <c r="O101" s="18">
        <f>IF(ISNUMBER(M101), $B118 * N101, "")</f>
        <v>-5725.1908396946565</v>
      </c>
      <c r="Q101" s="146"/>
      <c r="R101" s="146"/>
      <c r="S101" s="146"/>
    </row>
    <row r="102" spans="1:19" ht="17.25" thickBot="1">
      <c r="A102" s="111" t="s">
        <v>68</v>
      </c>
      <c r="B102" s="112">
        <v>696</v>
      </c>
      <c r="C102" s="71">
        <v>8.4112149499999997E-2</v>
      </c>
      <c r="D102" s="20">
        <v>702</v>
      </c>
      <c r="E102" s="21">
        <f t="shared" si="46"/>
        <v>8.6206896551724137E-3</v>
      </c>
      <c r="F102" s="22">
        <f>IF(ISNUMBER(D102), $B118 * E102, "")</f>
        <v>1293.1034482758621</v>
      </c>
      <c r="G102" s="30">
        <v>688</v>
      </c>
      <c r="H102" s="21">
        <f t="shared" si="47"/>
        <v>-1.1494252873563218E-2</v>
      </c>
      <c r="I102" s="95">
        <f>IF(ISNUMBER(G102), $B118 * H102, "")</f>
        <v>-1724.1379310344828</v>
      </c>
      <c r="J102" s="20">
        <v>693</v>
      </c>
      <c r="K102" s="21">
        <f t="shared" si="48"/>
        <v>-4.3103448275862068E-3</v>
      </c>
      <c r="L102" s="22">
        <f>IF(ISNUMBER(J102), $B118 * K102, "")</f>
        <v>-646.55172413793105</v>
      </c>
      <c r="M102" s="30">
        <v>681</v>
      </c>
      <c r="N102" s="21">
        <f t="shared" si="49"/>
        <v>-2.1551724137931036E-2</v>
      </c>
      <c r="O102" s="22">
        <f>IF(ISNUMBER(M102), $B118 * N102, "")</f>
        <v>-3232.7586206896553</v>
      </c>
      <c r="Q102" s="146"/>
      <c r="R102" s="146"/>
      <c r="S102" s="146"/>
    </row>
    <row r="103" spans="1:19" ht="17.25" thickBot="1">
      <c r="A103" s="109" t="s">
        <v>197</v>
      </c>
      <c r="B103" s="113">
        <v>7.09</v>
      </c>
      <c r="C103" s="73">
        <v>8.0792682899999996E-2</v>
      </c>
      <c r="D103" s="96">
        <v>7.11</v>
      </c>
      <c r="E103" s="97">
        <f>IF(ISNUMBER(D103), (D103 - $B103) / $B103, "")</f>
        <v>2.8208744710861017E-3</v>
      </c>
      <c r="F103" s="98">
        <f>IF(ISNUMBER(D103), $B118 * E103, "")</f>
        <v>423.13117066291522</v>
      </c>
      <c r="G103" s="99">
        <v>6.88</v>
      </c>
      <c r="H103" s="97">
        <f>IF(ISNUMBER(G103), (G103 - $B103) / $B103, "")</f>
        <v>-2.9619181946403381E-2</v>
      </c>
      <c r="I103" s="100">
        <f>IF(ISNUMBER(G103), $B118 * H103, "")</f>
        <v>-4442.8772919605071</v>
      </c>
      <c r="J103" s="96">
        <v>6.96</v>
      </c>
      <c r="K103" s="97">
        <f>IF(ISNUMBER(J103), (J103 - $B103) / $B103, "")</f>
        <v>-1.8335684062059224E-2</v>
      </c>
      <c r="L103" s="98">
        <f>IF(ISNUMBER(J103), $B118 * K103, "")</f>
        <v>-2750.3526093088835</v>
      </c>
      <c r="M103" s="99">
        <v>7.12</v>
      </c>
      <c r="N103" s="97">
        <f>IF(ISNUMBER(M103), (M103 - $B103) / $B103, "")</f>
        <v>4.2313117066290901E-3</v>
      </c>
      <c r="O103" s="98">
        <f>IF(ISNUMBER(M103), $B118 * N103, "")</f>
        <v>634.69675599436346</v>
      </c>
      <c r="Q103" s="146"/>
      <c r="R103" s="146"/>
      <c r="S103" s="146"/>
    </row>
    <row r="104" spans="1:19" ht="17.25" thickBot="1">
      <c r="A104" s="109" t="s">
        <v>151</v>
      </c>
      <c r="B104" s="110">
        <v>2880</v>
      </c>
      <c r="C104" s="70">
        <v>8.0675422100000005E-2</v>
      </c>
      <c r="D104" s="15">
        <v>3015</v>
      </c>
      <c r="E104" s="32">
        <f t="shared" ref="E104:E107" si="50">IF(ISNUMBER(D104), (D104 - $B104) / $B104, "")</f>
        <v>4.6875E-2</v>
      </c>
      <c r="F104" s="18">
        <f>IF(ISNUMBER(D104), $B118 * E104, "")</f>
        <v>7031.25</v>
      </c>
      <c r="G104" s="31">
        <v>2910</v>
      </c>
      <c r="H104" s="32">
        <f t="shared" ref="H104:H107" si="51">IF(ISNUMBER(G104), (G104 - $B104) / $B104, "")</f>
        <v>1.0416666666666666E-2</v>
      </c>
      <c r="I104" s="91">
        <f>IF(ISNUMBER(G104), $B118 * H104, "")</f>
        <v>1562.5</v>
      </c>
      <c r="J104" s="15">
        <v>2900</v>
      </c>
      <c r="K104" s="32">
        <f t="shared" ref="K104:K107" si="52">IF(ISNUMBER(J104), (J104 - $B104) / $B104, "")</f>
        <v>6.9444444444444441E-3</v>
      </c>
      <c r="L104" s="18">
        <f>IF(ISNUMBER(J104), $B118 * K104, "")</f>
        <v>1041.6666666666665</v>
      </c>
      <c r="M104" s="31">
        <v>2935</v>
      </c>
      <c r="N104" s="32">
        <f t="shared" ref="N104:N107" si="53">IF(ISNUMBER(M104), (M104 - $B104) / $B104, "")</f>
        <v>1.9097222222222224E-2</v>
      </c>
      <c r="O104" s="18">
        <f>IF(ISNUMBER(M104), $B118 * N104, "")</f>
        <v>2864.5833333333335</v>
      </c>
      <c r="Q104" s="146"/>
      <c r="R104" s="146"/>
      <c r="S104" s="146"/>
    </row>
    <row r="105" spans="1:19" ht="17.25" thickBot="1">
      <c r="A105" s="109" t="s">
        <v>349</v>
      </c>
      <c r="B105" s="110">
        <v>27.4</v>
      </c>
      <c r="C105" s="70">
        <v>5.3846153799999998E-2</v>
      </c>
      <c r="D105" s="15">
        <v>27.4</v>
      </c>
      <c r="E105" s="32">
        <f t="shared" si="50"/>
        <v>0</v>
      </c>
      <c r="F105" s="18">
        <f>IF(ISNUMBER(D105), $B118 * E105, "")</f>
        <v>0</v>
      </c>
      <c r="G105" s="31">
        <v>27</v>
      </c>
      <c r="H105" s="32">
        <f t="shared" si="51"/>
        <v>-1.4598540145985351E-2</v>
      </c>
      <c r="I105" s="91">
        <f>IF(ISNUMBER(G105), $B118 * H105, "")</f>
        <v>-2189.7810218978025</v>
      </c>
      <c r="J105" s="15">
        <v>26.8</v>
      </c>
      <c r="K105" s="32">
        <f t="shared" si="52"/>
        <v>-2.1897810218978027E-2</v>
      </c>
      <c r="L105" s="18">
        <f>IF(ISNUMBER(J105), $B118 * K105, "")</f>
        <v>-3284.6715328467039</v>
      </c>
      <c r="M105" s="31">
        <v>27</v>
      </c>
      <c r="N105" s="32">
        <f t="shared" si="53"/>
        <v>-1.4598540145985351E-2</v>
      </c>
      <c r="O105" s="18">
        <f>IF(ISNUMBER(M105), $B118 * N105, "")</f>
        <v>-2189.7810218978025</v>
      </c>
      <c r="Q105" s="146"/>
      <c r="R105" s="146"/>
      <c r="S105" s="146"/>
    </row>
    <row r="106" spans="1:19" ht="17.25" thickBot="1">
      <c r="A106" s="109" t="s">
        <v>118</v>
      </c>
      <c r="B106" s="110">
        <v>6.28</v>
      </c>
      <c r="C106" s="70">
        <v>5.3691275199999999E-2</v>
      </c>
      <c r="D106" s="15">
        <v>6.4</v>
      </c>
      <c r="E106" s="32">
        <f t="shared" si="50"/>
        <v>1.9108280254777087E-2</v>
      </c>
      <c r="F106" s="18">
        <f>IF(ISNUMBER(D106), $B118 * E106, "")</f>
        <v>2866.2420382165628</v>
      </c>
      <c r="G106" s="31">
        <v>6.28</v>
      </c>
      <c r="H106" s="32">
        <f t="shared" si="51"/>
        <v>0</v>
      </c>
      <c r="I106" s="91">
        <f>IF(ISNUMBER(G106), $B118 * H106, "")</f>
        <v>0</v>
      </c>
      <c r="J106" s="15">
        <v>6.29</v>
      </c>
      <c r="K106" s="32">
        <f t="shared" si="52"/>
        <v>1.5923566878980552E-3</v>
      </c>
      <c r="L106" s="18">
        <f>IF(ISNUMBER(J106), $B118 * K106, "")</f>
        <v>238.85350318470827</v>
      </c>
      <c r="M106" s="31">
        <v>6.26</v>
      </c>
      <c r="N106" s="32">
        <f t="shared" si="53"/>
        <v>-3.1847133757962518E-3</v>
      </c>
      <c r="O106" s="18">
        <f>IF(ISNUMBER(M106), $B118 * N106, "")</f>
        <v>-477.70700636943775</v>
      </c>
      <c r="Q106" s="33"/>
      <c r="R106" s="33"/>
    </row>
    <row r="107" spans="1:19" ht="17.25" thickBot="1">
      <c r="A107" s="114" t="s">
        <v>189</v>
      </c>
      <c r="B107" s="115">
        <v>1335</v>
      </c>
      <c r="C107" s="72">
        <v>5.1181102399999998E-2</v>
      </c>
      <c r="D107" s="24">
        <v>1360</v>
      </c>
      <c r="E107" s="25">
        <f t="shared" si="50"/>
        <v>1.8726591760299626E-2</v>
      </c>
      <c r="F107" s="94">
        <f>IF(ISNUMBER(D107), $B118 * E107, "")</f>
        <v>2808.9887640449438</v>
      </c>
      <c r="G107" s="92">
        <v>1295</v>
      </c>
      <c r="H107" s="25">
        <f t="shared" si="51"/>
        <v>-2.9962546816479401E-2</v>
      </c>
      <c r="I107" s="93">
        <f>IF(ISNUMBER(G107), $B118 * H107, "")</f>
        <v>-4494.3820224719102</v>
      </c>
      <c r="J107" s="24">
        <v>1300</v>
      </c>
      <c r="K107" s="25">
        <f t="shared" si="52"/>
        <v>-2.6217228464419477E-2</v>
      </c>
      <c r="L107" s="94">
        <f>IF(ISNUMBER(J107), $B118 * K107, "")</f>
        <v>-3932.5842696629215</v>
      </c>
      <c r="M107" s="92">
        <v>1305</v>
      </c>
      <c r="N107" s="25">
        <f t="shared" si="53"/>
        <v>-2.247191011235955E-2</v>
      </c>
      <c r="O107" s="94">
        <f>IF(ISNUMBER(M107), $B118 * N107, "")</f>
        <v>-3370.7865168539324</v>
      </c>
      <c r="Q107" s="147"/>
      <c r="R107" s="148"/>
      <c r="S107" s="149"/>
    </row>
    <row r="108" spans="1:19">
      <c r="A108" s="107" t="s">
        <v>337</v>
      </c>
      <c r="B108" s="108">
        <v>98300</v>
      </c>
      <c r="C108" s="69">
        <v>4.9428845899999997E-2</v>
      </c>
      <c r="D108" s="13">
        <v>100950</v>
      </c>
      <c r="E108" s="14">
        <f>IF(ISNUMBER(D108), (D108 - $B108) / $B108, "")</f>
        <v>2.6958290946083419E-2</v>
      </c>
      <c r="F108" s="16">
        <f>IF(ISNUMBER(D108), $B118 * E108, "")</f>
        <v>4043.7436419125129</v>
      </c>
      <c r="G108" s="29">
        <v>98050</v>
      </c>
      <c r="H108" s="14">
        <f>IF(ISNUMBER(G108), (G108 - $B108) / $B108, "")</f>
        <v>-2.5432349949135302E-3</v>
      </c>
      <c r="I108" s="90">
        <f>IF(ISNUMBER(G108), $B118 * H108, "")</f>
        <v>-381.48524923702951</v>
      </c>
      <c r="J108" s="13">
        <v>97330</v>
      </c>
      <c r="K108" s="14">
        <f>IF(ISNUMBER(J108), (J108 - $B108) / $B108, "")</f>
        <v>-9.8677517802644964E-3</v>
      </c>
      <c r="L108" s="16">
        <f>IF(ISNUMBER(J108), $B118 * K108, "")</f>
        <v>-1480.1627670396745</v>
      </c>
      <c r="M108" s="29">
        <v>97110</v>
      </c>
      <c r="N108" s="14">
        <f>IF(ISNUMBER(M108), (M108 - $B108) / $B108, "")</f>
        <v>-1.2105798575788402E-2</v>
      </c>
      <c r="O108" s="16">
        <f>IF(ISNUMBER(M108), $B118 * N108, "")</f>
        <v>-1815.8697863682603</v>
      </c>
      <c r="Q108" s="150"/>
      <c r="R108" s="151"/>
      <c r="S108" s="152"/>
    </row>
    <row r="109" spans="1:19" ht="17.25" thickBot="1">
      <c r="A109" s="109" t="s">
        <v>203</v>
      </c>
      <c r="B109" s="110">
        <v>3.62</v>
      </c>
      <c r="C109" s="70">
        <v>4.6242774600000001E-2</v>
      </c>
      <c r="D109" s="15">
        <v>3.62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3.54</v>
      </c>
      <c r="H109" s="32">
        <f t="shared" ref="H109:H112" si="55">IF(ISNUMBER(G109), (G109 - $B109) / $B109, "")</f>
        <v>-2.2099447513812175E-2</v>
      </c>
      <c r="I109" s="91">
        <f>IF(ISNUMBER(G109), $B118 * H109, "")</f>
        <v>-3314.9171270718261</v>
      </c>
      <c r="J109" s="15">
        <v>3.56</v>
      </c>
      <c r="K109" s="32">
        <f t="shared" ref="K109:K112" si="56">IF(ISNUMBER(J109), (J109 - $B109) / $B109, "")</f>
        <v>-1.6574585635359129E-2</v>
      </c>
      <c r="L109" s="18">
        <f>IF(ISNUMBER(J109), $B118 * K109, "")</f>
        <v>-2486.1878453038694</v>
      </c>
      <c r="M109" s="31">
        <v>3.56</v>
      </c>
      <c r="N109" s="32">
        <f t="shared" ref="N109:N112" si="57">IF(ISNUMBER(M109), (M109 - $B109) / $B109, "")</f>
        <v>-1.6574585635359129E-2</v>
      </c>
      <c r="O109" s="18">
        <f>IF(ISNUMBER(M109), $B118 * N109, "")</f>
        <v>-2486.1878453038694</v>
      </c>
      <c r="Q109" s="153"/>
      <c r="R109" s="154"/>
      <c r="S109" s="155"/>
    </row>
    <row r="110" spans="1:19" ht="17.25" thickBot="1">
      <c r="A110" s="109" t="s">
        <v>205</v>
      </c>
      <c r="B110" s="110">
        <v>112</v>
      </c>
      <c r="C110" s="70">
        <v>3.7037037000000002E-2</v>
      </c>
      <c r="D110" s="15">
        <v>116</v>
      </c>
      <c r="E110" s="32">
        <f t="shared" si="54"/>
        <v>3.5714285714285712E-2</v>
      </c>
      <c r="F110" s="18">
        <f>IF(ISNUMBER(D110), $B118 * E110, "")</f>
        <v>5357.1428571428569</v>
      </c>
      <c r="G110" s="31">
        <v>116</v>
      </c>
      <c r="H110" s="32">
        <f t="shared" si="55"/>
        <v>3.5714285714285712E-2</v>
      </c>
      <c r="I110" s="91">
        <f>IF(ISNUMBER(G110), $B118 * H110, "")</f>
        <v>5357.1428571428569</v>
      </c>
      <c r="J110" s="15">
        <v>116</v>
      </c>
      <c r="K110" s="32">
        <f t="shared" si="56"/>
        <v>3.5714285714285712E-2</v>
      </c>
      <c r="L110" s="18">
        <f>IF(ISNUMBER(J110), $B118 * K110, "")</f>
        <v>5357.1428571428569</v>
      </c>
      <c r="M110" s="31">
        <v>116</v>
      </c>
      <c r="N110" s="32">
        <f t="shared" si="57"/>
        <v>3.5714285714285712E-2</v>
      </c>
      <c r="O110" s="18">
        <f>IF(ISNUMBER(M110), $B118 * N110, "")</f>
        <v>5357.1428571428569</v>
      </c>
      <c r="Q110" s="146"/>
      <c r="R110" s="146"/>
      <c r="S110" s="146"/>
    </row>
    <row r="111" spans="1:19" ht="17.25" thickBot="1">
      <c r="A111" s="109" t="s">
        <v>105</v>
      </c>
      <c r="B111" s="110">
        <v>238</v>
      </c>
      <c r="C111" s="70">
        <v>3.4782608700000002E-2</v>
      </c>
      <c r="D111" s="15">
        <v>240</v>
      </c>
      <c r="E111" s="32">
        <f t="shared" si="54"/>
        <v>8.4033613445378148E-3</v>
      </c>
      <c r="F111" s="18">
        <f>IF(ISNUMBER(D111), $B118 * E111, "")</f>
        <v>1260.5042016806722</v>
      </c>
      <c r="G111" s="31">
        <v>233</v>
      </c>
      <c r="H111" s="32">
        <f t="shared" si="55"/>
        <v>-2.100840336134454E-2</v>
      </c>
      <c r="I111" s="91">
        <f>IF(ISNUMBER(G111), $B118 * H111, "")</f>
        <v>-3151.2605042016808</v>
      </c>
      <c r="J111" s="15">
        <v>234</v>
      </c>
      <c r="K111" s="32">
        <f t="shared" si="56"/>
        <v>-1.680672268907563E-2</v>
      </c>
      <c r="L111" s="18">
        <f>IF(ISNUMBER(J111), $B118 * K111, "")</f>
        <v>-2521.0084033613443</v>
      </c>
      <c r="M111" s="31">
        <v>235</v>
      </c>
      <c r="N111" s="32">
        <f t="shared" si="57"/>
        <v>-1.2605042016806723E-2</v>
      </c>
      <c r="O111" s="18">
        <f>IF(ISNUMBER(M111), $B118 * N111, "")</f>
        <v>-1890.7563025210084</v>
      </c>
      <c r="Q111" s="156"/>
      <c r="R111" s="156"/>
      <c r="S111" s="156"/>
    </row>
    <row r="112" spans="1:19" ht="17.25" thickBot="1">
      <c r="A112" s="111" t="s">
        <v>107</v>
      </c>
      <c r="B112" s="112">
        <v>42</v>
      </c>
      <c r="C112" s="71">
        <v>3.4482758600000003E-2</v>
      </c>
      <c r="D112" s="20">
        <v>42.2</v>
      </c>
      <c r="E112" s="21">
        <f t="shared" si="54"/>
        <v>4.76190476190483E-3</v>
      </c>
      <c r="F112" s="22">
        <f>IF(ISNUMBER(D112), $B118 * E112, "")</f>
        <v>714.28571428572445</v>
      </c>
      <c r="G112" s="30">
        <v>41.3</v>
      </c>
      <c r="H112" s="21">
        <f t="shared" si="55"/>
        <v>-1.6666666666666736E-2</v>
      </c>
      <c r="I112" s="95">
        <f>IF(ISNUMBER(G112), $B118 * H112, "")</f>
        <v>-2500.0000000000105</v>
      </c>
      <c r="J112" s="20">
        <v>41.3</v>
      </c>
      <c r="K112" s="21">
        <f t="shared" si="56"/>
        <v>-1.6666666666666736E-2</v>
      </c>
      <c r="L112" s="22">
        <f>IF(ISNUMBER(J112), $B118 * K112, "")</f>
        <v>-2500.0000000000105</v>
      </c>
      <c r="M112" s="30">
        <v>41.6</v>
      </c>
      <c r="N112" s="21">
        <f t="shared" si="57"/>
        <v>-9.52380952380949E-3</v>
      </c>
      <c r="O112" s="22">
        <f>IF(ISNUMBER(M112), $B118 * N112, "")</f>
        <v>-1428.5714285714234</v>
      </c>
      <c r="Q112" s="156"/>
      <c r="R112" s="156"/>
      <c r="S112" s="156"/>
    </row>
    <row r="113" spans="1:19" ht="17.25" thickBot="1">
      <c r="A113" s="109" t="s">
        <v>332</v>
      </c>
      <c r="B113" s="113">
        <v>617</v>
      </c>
      <c r="C113" s="73">
        <v>3.3500837499999998E-2</v>
      </c>
      <c r="D113" s="96">
        <v>624</v>
      </c>
      <c r="E113" s="97">
        <f>IF(ISNUMBER(D113), (D113 - $B113) / $B113, "")</f>
        <v>1.1345218800648298E-2</v>
      </c>
      <c r="F113" s="98">
        <f>IF(ISNUMBER(D113), $B118 * E113, "")</f>
        <v>1701.7828200972447</v>
      </c>
      <c r="G113" s="99">
        <v>603</v>
      </c>
      <c r="H113" s="97">
        <f>IF(ISNUMBER(G113), (G113 - $B113) / $B113, "")</f>
        <v>-2.2690437601296597E-2</v>
      </c>
      <c r="I113" s="100">
        <f>IF(ISNUMBER(G113), $B118 * H113, "")</f>
        <v>-3403.5656401944893</v>
      </c>
      <c r="J113" s="96">
        <v>601</v>
      </c>
      <c r="K113" s="97">
        <f>IF(ISNUMBER(J113), (J113 - $B113) / $B113, "")</f>
        <v>-2.5931928687196109E-2</v>
      </c>
      <c r="L113" s="98">
        <f>IF(ISNUMBER(J113), $B118 * K113, "")</f>
        <v>-3889.7893030794162</v>
      </c>
      <c r="M113" s="99">
        <v>599</v>
      </c>
      <c r="N113" s="97">
        <f>IF(ISNUMBER(M113), (M113 - $B113) / $B113, "")</f>
        <v>-2.9173419773095625E-2</v>
      </c>
      <c r="O113" s="98">
        <f>IF(ISNUMBER(M113), $B118 * N113, "")</f>
        <v>-4376.0129659643435</v>
      </c>
      <c r="Q113" s="146"/>
      <c r="R113" s="146"/>
      <c r="S113" s="146"/>
    </row>
    <row r="114" spans="1:19" ht="17.25" thickBot="1">
      <c r="A114" s="109" t="s">
        <v>195</v>
      </c>
      <c r="B114" s="110">
        <v>6.57</v>
      </c>
      <c r="C114" s="70">
        <v>3.1397174299999997E-2</v>
      </c>
      <c r="D114" s="15">
        <v>6.6</v>
      </c>
      <c r="E114" s="32">
        <f t="shared" ref="E114:E117" si="58">IF(ISNUMBER(D114), (D114 - $B114) / $B114, "")</f>
        <v>4.5662100456620031E-3</v>
      </c>
      <c r="F114" s="18">
        <f>IF(ISNUMBER(D114), $B118 * E114, "")</f>
        <v>684.93150684930049</v>
      </c>
      <c r="G114" s="31">
        <v>6.46</v>
      </c>
      <c r="H114" s="32">
        <f t="shared" ref="H114:H117" si="59">IF(ISNUMBER(G114), (G114 - $B114) / $B114, "")</f>
        <v>-1.6742770167427749E-2</v>
      </c>
      <c r="I114" s="91">
        <f>IF(ISNUMBER(G114), $B118 * H114, "")</f>
        <v>-2511.4155251141624</v>
      </c>
      <c r="J114" s="15">
        <v>6.46</v>
      </c>
      <c r="K114" s="32">
        <f t="shared" ref="K114:K117" si="60">IF(ISNUMBER(J114), (J114 - $B114) / $B114, "")</f>
        <v>-1.6742770167427749E-2</v>
      </c>
      <c r="L114" s="18">
        <f>IF(ISNUMBER(J114), $B118 * K114, "")</f>
        <v>-2511.4155251141624</v>
      </c>
      <c r="M114" s="31">
        <v>6.48</v>
      </c>
      <c r="N114" s="32">
        <f t="shared" ref="N114:N117" si="61">IF(ISNUMBER(M114), (M114 - $B114) / $B114, "")</f>
        <v>-1.369863013698628E-2</v>
      </c>
      <c r="O114" s="18">
        <f>IF(ISNUMBER(M114), $B118 * N114, "")</f>
        <v>-2054.7945205479418</v>
      </c>
      <c r="Q114" s="146"/>
      <c r="R114" s="146"/>
      <c r="S114" s="146"/>
    </row>
    <row r="115" spans="1:19" ht="17.25" thickBot="1">
      <c r="A115" s="109" t="s">
        <v>341</v>
      </c>
      <c r="B115" s="110">
        <v>804</v>
      </c>
      <c r="C115" s="70">
        <v>3.0769230799999998E-2</v>
      </c>
      <c r="D115" s="15">
        <v>919</v>
      </c>
      <c r="E115" s="32">
        <f t="shared" si="58"/>
        <v>0.14303482587064675</v>
      </c>
      <c r="F115" s="18">
        <f>IF(ISNUMBER(D115), $B118 * E115, "")</f>
        <v>21455.223880597012</v>
      </c>
      <c r="G115" s="31">
        <v>947</v>
      </c>
      <c r="H115" s="32">
        <f t="shared" si="59"/>
        <v>0.17786069651741293</v>
      </c>
      <c r="I115" s="91">
        <f>IF(ISNUMBER(G115), $B118 * H115, "")</f>
        <v>26679.104477611938</v>
      </c>
      <c r="J115" s="15">
        <v>919</v>
      </c>
      <c r="K115" s="32">
        <f t="shared" si="60"/>
        <v>0.14303482587064675</v>
      </c>
      <c r="L115" s="18">
        <f>IF(ISNUMBER(J115), $B118 * K115, "")</f>
        <v>21455.223880597012</v>
      </c>
      <c r="M115" s="31">
        <v>904</v>
      </c>
      <c r="N115" s="32">
        <f t="shared" si="61"/>
        <v>0.12437810945273632</v>
      </c>
      <c r="O115" s="18">
        <f>IF(ISNUMBER(M115), $B118 * N115, "")</f>
        <v>18656.716417910447</v>
      </c>
      <c r="Q115" s="146"/>
      <c r="R115" s="146"/>
      <c r="S115" s="146"/>
    </row>
    <row r="116" spans="1:19">
      <c r="A116" s="109" t="s">
        <v>113</v>
      </c>
      <c r="B116" s="110">
        <v>1365</v>
      </c>
      <c r="C116" s="70">
        <v>3.0188679199999999E-2</v>
      </c>
      <c r="D116" s="15">
        <v>1410</v>
      </c>
      <c r="E116" s="32">
        <f t="shared" si="58"/>
        <v>3.2967032967032968E-2</v>
      </c>
      <c r="F116" s="18">
        <f>IF(ISNUMBER(D116), $B118 * E116, "")</f>
        <v>4945.0549450549452</v>
      </c>
      <c r="G116" s="31">
        <v>1380</v>
      </c>
      <c r="H116" s="32">
        <f t="shared" si="59"/>
        <v>1.098901098901099E-2</v>
      </c>
      <c r="I116" s="91">
        <f>IF(ISNUMBER(G116), $B118 * H116, "")</f>
        <v>1648.3516483516485</v>
      </c>
      <c r="J116" s="15">
        <v>1385</v>
      </c>
      <c r="K116" s="32">
        <f t="shared" si="60"/>
        <v>1.4652014652014652E-2</v>
      </c>
      <c r="L116" s="18">
        <f>IF(ISNUMBER(J116), $B118 * K116, "")</f>
        <v>2197.802197802198</v>
      </c>
      <c r="M116" s="31">
        <v>1385</v>
      </c>
      <c r="N116" s="32">
        <f t="shared" si="61"/>
        <v>1.4652014652014652E-2</v>
      </c>
      <c r="O116" s="18">
        <f>IF(ISNUMBER(M116), $B118 * N116, "")</f>
        <v>2197.802197802198</v>
      </c>
      <c r="Q116" s="135"/>
      <c r="R116" s="136"/>
      <c r="S116" s="137"/>
    </row>
    <row r="117" spans="1:19" ht="17.25" thickBot="1">
      <c r="A117" s="114" t="s">
        <v>101</v>
      </c>
      <c r="B117" s="115">
        <v>246</v>
      </c>
      <c r="C117" s="72">
        <v>2.9288702900000001E-2</v>
      </c>
      <c r="D117" s="24">
        <v>245</v>
      </c>
      <c r="E117" s="25">
        <f t="shared" si="58"/>
        <v>-4.0650406504065045E-3</v>
      </c>
      <c r="F117" s="94">
        <f>IF(ISNUMBER(D117), $B118 * E117, "")</f>
        <v>-609.75609756097572</v>
      </c>
      <c r="G117" s="92">
        <v>242</v>
      </c>
      <c r="H117" s="25">
        <f t="shared" si="59"/>
        <v>-1.6260162601626018E-2</v>
      </c>
      <c r="I117" s="93">
        <f>IF(ISNUMBER(G117), $B118 * H117, "")</f>
        <v>-2439.0243902439029</v>
      </c>
      <c r="J117" s="24">
        <v>243</v>
      </c>
      <c r="K117" s="25">
        <f t="shared" si="60"/>
        <v>-1.2195121951219513E-2</v>
      </c>
      <c r="L117" s="94">
        <f>IF(ISNUMBER(J117), $B118 * K117, "")</f>
        <v>-1829.2682926829268</v>
      </c>
      <c r="M117" s="92">
        <v>242</v>
      </c>
      <c r="N117" s="25">
        <f t="shared" si="61"/>
        <v>-1.6260162601626018E-2</v>
      </c>
      <c r="O117" s="94">
        <f>IF(ISNUMBER(M117), $B118 * N117, "")</f>
        <v>-2439.0243902439029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1.6648087312465837E-2</v>
      </c>
      <c r="F118" s="28">
        <f>SUM(F98:F117)</f>
        <v>49944.26193739751</v>
      </c>
      <c r="G118" s="26" t="s">
        <v>258</v>
      </c>
      <c r="H118" s="27">
        <f>IF(COUNT(H98:H117), SUM(H98:H117) / COUNT(H98:H117), 0)</f>
        <v>-4.3183748414288483E-3</v>
      </c>
      <c r="I118" s="28">
        <f>SUM(I98:I117)</f>
        <v>-12955.124524286535</v>
      </c>
      <c r="J118" s="26" t="s">
        <v>258</v>
      </c>
      <c r="K118" s="27">
        <f>IF(COUNT(K98:K117), SUM(K98:K117) / COUNT(K98:K117), 0)</f>
        <v>-2.3232190567300743E-3</v>
      </c>
      <c r="L118" s="28">
        <f>SUM(L98:L117)</f>
        <v>-6969.6571701902249</v>
      </c>
      <c r="M118" s="26" t="s">
        <v>258</v>
      </c>
      <c r="N118" s="27">
        <f>IF(COUNT(N98:N117), SUM(N98:N117) / COUNT(N98:N117), 0)</f>
        <v>-5.9045757842463983E-3</v>
      </c>
      <c r="O118" s="28">
        <f>SUM(O98:O117)</f>
        <v>-17713.727352739195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2023-01-16(월) 오전 00:00</v>
      </c>
      <c r="C123" s="198"/>
      <c r="D123" s="170" t="str">
        <f>TEXT($G$1, "[$-ko-KR]yyyy-mm-dd(ddd) ") &amp; "오후 14:00"</f>
        <v>2023-01-16(월) 오후 14:00</v>
      </c>
      <c r="E123" s="171"/>
      <c r="F123" s="172"/>
      <c r="G123" s="170" t="str">
        <f>TEXT($G$1, "[$-ko-KR]yyyy-mm-dd(ddd) ") &amp; "오후 19:00"</f>
        <v>2023-01-16(월) 오후 19:00</v>
      </c>
      <c r="H123" s="171"/>
      <c r="I123" s="172"/>
      <c r="J123" s="170" t="str">
        <f>TEXT($G$1, "[$-ko-KR]yyyy-mm-dd(ddd) ") &amp; "오후 21:00"</f>
        <v>2023-01-16(월) 오후 21:00</v>
      </c>
      <c r="K123" s="171"/>
      <c r="L123" s="172"/>
      <c r="M123" s="170" t="str">
        <f>TEXT($G$1+1, "[$-ko-KR]yyyy-mm-dd(ddd) ") &amp; "오전 00:00"</f>
        <v>2023-01-17(화)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241</v>
      </c>
      <c r="B125" s="108">
        <v>99.3</v>
      </c>
      <c r="C125" s="69">
        <v>1.63766633E-2</v>
      </c>
      <c r="D125" s="13">
        <v>102</v>
      </c>
      <c r="E125" s="14">
        <f>IF(ISNUMBER(D125), (D125 - $B125) / $B125, "")</f>
        <v>2.7190332326284018E-2</v>
      </c>
      <c r="F125" s="16">
        <f>IF(ISNUMBER(D125), $B145 * E125, "")</f>
        <v>4078.5498489426027</v>
      </c>
      <c r="G125" s="29">
        <v>99.3</v>
      </c>
      <c r="H125" s="14">
        <f>IF(ISNUMBER(G125), (G125 - $B125) / $B125, "")</f>
        <v>0</v>
      </c>
      <c r="I125" s="90">
        <f>IF(ISNUMBER(G125), $B145 * H125, "")</f>
        <v>0</v>
      </c>
      <c r="J125" s="13">
        <v>99.2</v>
      </c>
      <c r="K125" s="14">
        <f>IF(ISNUMBER(J125), (J125 - $B125) / $B125, "")</f>
        <v>-1.0070493454178682E-3</v>
      </c>
      <c r="L125" s="16">
        <f>IF(ISNUMBER(J125), $B145 * K125, "")</f>
        <v>-151.05740181268024</v>
      </c>
      <c r="M125" s="29">
        <v>99</v>
      </c>
      <c r="N125" s="14">
        <f>IF(ISNUMBER(M125), (M125 - $B125) / $B125, "")</f>
        <v>-3.0211480362537478E-3</v>
      </c>
      <c r="O125" s="16">
        <f>IF(ISNUMBER(M125), $B145 * N125, "")</f>
        <v>-453.17220543806218</v>
      </c>
      <c r="Q125" s="156"/>
      <c r="R125" s="156"/>
      <c r="S125" s="156"/>
    </row>
    <row r="126" spans="1:19" ht="17.25" thickBot="1">
      <c r="A126" s="109" t="s">
        <v>56</v>
      </c>
      <c r="B126" s="110">
        <v>44.8</v>
      </c>
      <c r="C126" s="70">
        <v>1.5873015899999999E-2</v>
      </c>
      <c r="D126" s="15">
        <v>45.7</v>
      </c>
      <c r="E126" s="32">
        <f t="shared" ref="E126:E129" si="62">IF(ISNUMBER(D126), (D126 - $B126) / $B126, "")</f>
        <v>2.0089285714285844E-2</v>
      </c>
      <c r="F126" s="18">
        <f>IF(ISNUMBER(D126), $B145 * E126, "")</f>
        <v>3013.3928571428764</v>
      </c>
      <c r="G126" s="31">
        <v>45.1</v>
      </c>
      <c r="H126" s="32">
        <f t="shared" ref="H126:H129" si="63">IF(ISNUMBER(G126), (G126 - $B126) / $B126, "")</f>
        <v>6.6964285714286673E-3</v>
      </c>
      <c r="I126" s="91">
        <f>IF(ISNUMBER(G126), $B145 * H126, "")</f>
        <v>1004.4642857143001</v>
      </c>
      <c r="J126" s="15">
        <v>45.1</v>
      </c>
      <c r="K126" s="32">
        <f t="shared" ref="K126:K129" si="64">IF(ISNUMBER(J126), (J126 - $B126) / $B126, "")</f>
        <v>6.6964285714286673E-3</v>
      </c>
      <c r="L126" s="18">
        <f>IF(ISNUMBER(J126), $B145 * K126, "")</f>
        <v>1004.4642857143001</v>
      </c>
      <c r="M126" s="31">
        <v>45.2</v>
      </c>
      <c r="N126" s="32">
        <f t="shared" ref="N126:N129" si="65">IF(ISNUMBER(M126), (M126 - $B126) / $B126, "")</f>
        <v>8.9285714285715564E-3</v>
      </c>
      <c r="O126" s="18">
        <f>IF(ISNUMBER(M126), $B145 * N126, "")</f>
        <v>1339.2857142857335</v>
      </c>
      <c r="Q126" s="156"/>
      <c r="R126" s="156"/>
      <c r="S126" s="156"/>
    </row>
    <row r="127" spans="1:19" ht="17.25" thickBot="1">
      <c r="A127" s="109" t="s">
        <v>227</v>
      </c>
      <c r="B127" s="110">
        <v>42</v>
      </c>
      <c r="C127" s="70">
        <v>1.44927536E-2</v>
      </c>
      <c r="D127" s="15">
        <v>42.7</v>
      </c>
      <c r="E127" s="32">
        <f t="shared" si="62"/>
        <v>1.6666666666666736E-2</v>
      </c>
      <c r="F127" s="18">
        <f>IF(ISNUMBER(D127), $B145 * E127, "")</f>
        <v>2500.0000000000105</v>
      </c>
      <c r="G127" s="31">
        <v>41.4</v>
      </c>
      <c r="H127" s="32">
        <f t="shared" si="63"/>
        <v>-1.428571428571432E-2</v>
      </c>
      <c r="I127" s="91">
        <f>IF(ISNUMBER(G127), $B145 * H127, "")</f>
        <v>-2142.8571428571481</v>
      </c>
      <c r="J127" s="15">
        <v>41.4</v>
      </c>
      <c r="K127" s="32">
        <f t="shared" si="64"/>
        <v>-1.428571428571432E-2</v>
      </c>
      <c r="L127" s="18">
        <f>IF(ISNUMBER(J127), $B145 * K127, "")</f>
        <v>-2142.8571428571481</v>
      </c>
      <c r="M127" s="31">
        <v>41.6</v>
      </c>
      <c r="N127" s="32">
        <f t="shared" si="65"/>
        <v>-9.52380952380949E-3</v>
      </c>
      <c r="O127" s="18">
        <f>IF(ISNUMBER(M127), $B145 * N127, "")</f>
        <v>-1428.5714285714234</v>
      </c>
      <c r="Q127" s="146"/>
      <c r="R127" s="146"/>
      <c r="S127" s="146"/>
    </row>
    <row r="128" spans="1:19" ht="17.25" thickBot="1">
      <c r="A128" s="109" t="s">
        <v>181</v>
      </c>
      <c r="B128" s="110">
        <v>4.57</v>
      </c>
      <c r="C128" s="70">
        <v>1.33037694E-2</v>
      </c>
      <c r="D128" s="15">
        <v>4.6100000000000003</v>
      </c>
      <c r="E128" s="32">
        <f t="shared" si="62"/>
        <v>8.7527352297593064E-3</v>
      </c>
      <c r="F128" s="18">
        <f>IF(ISNUMBER(D128), $B145 * E128, "")</f>
        <v>1312.910284463896</v>
      </c>
      <c r="G128" s="31">
        <v>4.45</v>
      </c>
      <c r="H128" s="32">
        <f t="shared" si="63"/>
        <v>-2.6258205689277923E-2</v>
      </c>
      <c r="I128" s="91">
        <f>IF(ISNUMBER(G128), $B145 * H128, "")</f>
        <v>-3938.7308533916885</v>
      </c>
      <c r="J128" s="15">
        <v>4.5</v>
      </c>
      <c r="K128" s="32">
        <f t="shared" si="64"/>
        <v>-1.5317286652078837E-2</v>
      </c>
      <c r="L128" s="18">
        <f>IF(ISNUMBER(J128), $B145 * K128, "")</f>
        <v>-2297.5929978118256</v>
      </c>
      <c r="M128" s="31">
        <v>4.4800000000000004</v>
      </c>
      <c r="N128" s="32">
        <f t="shared" si="65"/>
        <v>-1.9693654266958391E-2</v>
      </c>
      <c r="O128" s="18">
        <f>IF(ISNUMBER(M128), $B145 * N128, "")</f>
        <v>-2954.0481400437588</v>
      </c>
      <c r="Q128" s="146"/>
      <c r="R128" s="146"/>
      <c r="S128" s="146"/>
    </row>
    <row r="129" spans="1:19" ht="17.25" thickBot="1">
      <c r="A129" s="111" t="s">
        <v>191</v>
      </c>
      <c r="B129" s="112">
        <v>57.2</v>
      </c>
      <c r="C129" s="71">
        <v>1.06007067E-2</v>
      </c>
      <c r="D129" s="20">
        <v>59.1</v>
      </c>
      <c r="E129" s="21">
        <f t="shared" si="62"/>
        <v>3.3216783216783188E-2</v>
      </c>
      <c r="F129" s="22">
        <f>IF(ISNUMBER(D129), $B145 * E129, "")</f>
        <v>4982.5174825174781</v>
      </c>
      <c r="G129" s="30">
        <v>57.9</v>
      </c>
      <c r="H129" s="21">
        <f t="shared" si="63"/>
        <v>1.2237762237762163E-2</v>
      </c>
      <c r="I129" s="95">
        <f>IF(ISNUMBER(G129), $B145 * H129, "")</f>
        <v>1835.6643356643244</v>
      </c>
      <c r="J129" s="20">
        <v>57.6</v>
      </c>
      <c r="K129" s="21">
        <f t="shared" si="64"/>
        <v>6.9930069930069678E-3</v>
      </c>
      <c r="L129" s="22">
        <f>IF(ISNUMBER(J129), $B145 * K129, "")</f>
        <v>1048.9510489510451</v>
      </c>
      <c r="M129" s="30">
        <v>57.8</v>
      </c>
      <c r="N129" s="21">
        <f t="shared" si="65"/>
        <v>1.0489510489510389E-2</v>
      </c>
      <c r="O129" s="22">
        <f>IF(ISNUMBER(M129), $B145 * N129, "")</f>
        <v>1573.4265734265584</v>
      </c>
      <c r="Q129" s="146"/>
      <c r="R129" s="146"/>
      <c r="S129" s="146"/>
    </row>
    <row r="130" spans="1:19" ht="17.25" thickBot="1">
      <c r="A130" s="109" t="s">
        <v>145</v>
      </c>
      <c r="B130" s="113">
        <v>77.099999999999994</v>
      </c>
      <c r="C130" s="73">
        <v>9.1623037000000008E-3</v>
      </c>
      <c r="D130" s="96">
        <v>77.900000000000006</v>
      </c>
      <c r="E130" s="97">
        <f>IF(ISNUMBER(D130), (D130 - $B130) / $B130, "")</f>
        <v>1.0376134889753716E-2</v>
      </c>
      <c r="F130" s="98">
        <f>IF(ISNUMBER(D130), $B145 * E130, "")</f>
        <v>1556.4202334630572</v>
      </c>
      <c r="G130" s="99">
        <v>76.599999999999994</v>
      </c>
      <c r="H130" s="97">
        <f>IF(ISNUMBER(G130), (G130 - $B130) / $B130, "")</f>
        <v>-6.4850843060959796E-3</v>
      </c>
      <c r="I130" s="100">
        <f>IF(ISNUMBER(G130), $B145 * H130, "")</f>
        <v>-972.7626459143969</v>
      </c>
      <c r="J130" s="96">
        <v>76.900000000000006</v>
      </c>
      <c r="K130" s="97">
        <f>IF(ISNUMBER(J130), (J130 - $B130) / $B130, "")</f>
        <v>-2.5940337224382446E-3</v>
      </c>
      <c r="L130" s="98">
        <f>IF(ISNUMBER(J130), $B145 * K130, "")</f>
        <v>-389.10505836573668</v>
      </c>
      <c r="M130" s="99">
        <v>77.2</v>
      </c>
      <c r="N130" s="97">
        <f>IF(ISNUMBER(M130), (M130 - $B130) / $B130, "")</f>
        <v>1.2970168612193066E-3</v>
      </c>
      <c r="O130" s="98">
        <f>IF(ISNUMBER(M130), $B145 * N130, "")</f>
        <v>194.552529182896</v>
      </c>
      <c r="Q130" s="146"/>
      <c r="R130" s="146"/>
      <c r="S130" s="146"/>
    </row>
    <row r="131" spans="1:19" ht="17.25" thickBot="1">
      <c r="A131" s="109" t="s">
        <v>122</v>
      </c>
      <c r="B131" s="110">
        <v>25.8</v>
      </c>
      <c r="C131" s="70">
        <v>7.8125E-3</v>
      </c>
      <c r="D131" s="15">
        <v>26.6</v>
      </c>
      <c r="E131" s="32">
        <f t="shared" ref="E131:E134" si="66">IF(ISNUMBER(D131), (D131 - $B131) / $B131, "")</f>
        <v>3.1007751937984523E-2</v>
      </c>
      <c r="F131" s="18">
        <f>IF(ISNUMBER(D131), $B145 * E131, "")</f>
        <v>4651.1627906976782</v>
      </c>
      <c r="G131" s="31">
        <v>26</v>
      </c>
      <c r="H131" s="32">
        <f t="shared" ref="H131:H134" si="67">IF(ISNUMBER(G131), (G131 - $B131) / $B131, "")</f>
        <v>7.7519379844960962E-3</v>
      </c>
      <c r="I131" s="91">
        <f>IF(ISNUMBER(G131), $B145 * H131, "")</f>
        <v>1162.7906976744143</v>
      </c>
      <c r="J131" s="15">
        <v>26.2</v>
      </c>
      <c r="K131" s="32">
        <f t="shared" ref="K131:K134" si="68">IF(ISNUMBER(J131), (J131 - $B131) / $B131, "")</f>
        <v>1.5503875968992192E-2</v>
      </c>
      <c r="L131" s="18">
        <f>IF(ISNUMBER(J131), $B145 * K131, "")</f>
        <v>2325.5813953488287</v>
      </c>
      <c r="M131" s="31">
        <v>25.9</v>
      </c>
      <c r="N131" s="32">
        <f t="shared" ref="N131:N134" si="69">IF(ISNUMBER(M131), (M131 - $B131) / $B131, "")</f>
        <v>3.8759689922479791E-3</v>
      </c>
      <c r="O131" s="18">
        <f>IF(ISNUMBER(M131), $B145 * N131, "")</f>
        <v>581.39534883719682</v>
      </c>
      <c r="Q131" s="146"/>
      <c r="R131" s="146"/>
      <c r="S131" s="146"/>
    </row>
    <row r="132" spans="1:19" ht="17.25" thickBot="1">
      <c r="A132" s="109" t="s">
        <v>143</v>
      </c>
      <c r="B132" s="110">
        <v>4.05</v>
      </c>
      <c r="C132" s="70">
        <v>7.4626865999999998E-3</v>
      </c>
      <c r="D132" s="15">
        <v>4.09</v>
      </c>
      <c r="E132" s="32">
        <f t="shared" si="66"/>
        <v>9.8765432098765517E-3</v>
      </c>
      <c r="F132" s="18">
        <f>IF(ISNUMBER(D132), $B145 * E132, "")</f>
        <v>1481.4814814814827</v>
      </c>
      <c r="G132" s="31">
        <v>3.99</v>
      </c>
      <c r="H132" s="32">
        <f t="shared" si="67"/>
        <v>-1.4814814814814718E-2</v>
      </c>
      <c r="I132" s="91">
        <f>IF(ISNUMBER(G132), $B145 * H132, "")</f>
        <v>-2222.2222222222076</v>
      </c>
      <c r="J132" s="15">
        <v>4</v>
      </c>
      <c r="K132" s="32">
        <f t="shared" si="68"/>
        <v>-1.2345679012345635E-2</v>
      </c>
      <c r="L132" s="18">
        <f>IF(ISNUMBER(J132), $B145 * K132, "")</f>
        <v>-1851.8518518518451</v>
      </c>
      <c r="M132" s="31">
        <v>4.01</v>
      </c>
      <c r="N132" s="32">
        <f t="shared" si="69"/>
        <v>-9.8765432098765517E-3</v>
      </c>
      <c r="O132" s="18">
        <f>IF(ISNUMBER(M132), $B145 * N132, "")</f>
        <v>-1481.4814814814827</v>
      </c>
      <c r="Q132" s="146"/>
      <c r="R132" s="146"/>
      <c r="S132" s="146"/>
    </row>
    <row r="133" spans="1:19" ht="17.25" thickBot="1">
      <c r="A133" s="109" t="s">
        <v>97</v>
      </c>
      <c r="B133" s="110">
        <v>8.9999999999999998E-4</v>
      </c>
      <c r="C133" s="70">
        <v>0</v>
      </c>
      <c r="D133" s="15">
        <v>1E-3</v>
      </c>
      <c r="E133" s="32">
        <f t="shared" si="66"/>
        <v>0.11111111111111116</v>
      </c>
      <c r="F133" s="18">
        <f>IF(ISNUMBER(D133), $B145 * E133, "")</f>
        <v>16666.666666666675</v>
      </c>
      <c r="G133" s="31">
        <v>8.9999999999999998E-4</v>
      </c>
      <c r="H133" s="32">
        <f t="shared" si="67"/>
        <v>0</v>
      </c>
      <c r="I133" s="91">
        <f>IF(ISNUMBER(G133), $B145 * H133, "")</f>
        <v>0</v>
      </c>
      <c r="J133" s="15">
        <v>1E-3</v>
      </c>
      <c r="K133" s="32">
        <f t="shared" si="68"/>
        <v>0.11111111111111116</v>
      </c>
      <c r="L133" s="18">
        <f>IF(ISNUMBER(J133), $B145 * K133, "")</f>
        <v>16666.666666666675</v>
      </c>
      <c r="M133" s="31">
        <v>8.9999999999999998E-4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14" t="s">
        <v>225</v>
      </c>
      <c r="B134" s="115">
        <v>59.7</v>
      </c>
      <c r="C134" s="72">
        <v>0</v>
      </c>
      <c r="D134" s="24">
        <v>61</v>
      </c>
      <c r="E134" s="25">
        <f t="shared" si="66"/>
        <v>2.1775544388609666E-2</v>
      </c>
      <c r="F134" s="94">
        <f>IF(ISNUMBER(D134), $B145 * E134, "")</f>
        <v>3266.3316582914499</v>
      </c>
      <c r="G134" s="92">
        <v>59.1</v>
      </c>
      <c r="H134" s="25">
        <f t="shared" si="67"/>
        <v>-1.005025125628143E-2</v>
      </c>
      <c r="I134" s="93">
        <f>IF(ISNUMBER(G134), $B145 * H134, "")</f>
        <v>-1507.5376884422144</v>
      </c>
      <c r="J134" s="24">
        <v>59.2</v>
      </c>
      <c r="K134" s="25">
        <f t="shared" si="68"/>
        <v>-8.3752093802345051E-3</v>
      </c>
      <c r="L134" s="94">
        <f>IF(ISNUMBER(J134), $B145 * K134, "")</f>
        <v>-1256.2814070351758</v>
      </c>
      <c r="M134" s="92">
        <v>59.5</v>
      </c>
      <c r="N134" s="25">
        <f t="shared" si="69"/>
        <v>-3.3500837520938497E-3</v>
      </c>
      <c r="O134" s="94">
        <f>IF(ISNUMBER(M134), $B145 * N134, "")</f>
        <v>-502.51256281407746</v>
      </c>
      <c r="Q134" s="147"/>
      <c r="R134" s="148"/>
      <c r="S134" s="149"/>
    </row>
    <row r="135" spans="1:19">
      <c r="A135" s="107" t="s">
        <v>155</v>
      </c>
      <c r="B135" s="108">
        <v>29.5</v>
      </c>
      <c r="C135" s="69">
        <v>0</v>
      </c>
      <c r="D135" s="13">
        <v>30.5</v>
      </c>
      <c r="E135" s="14">
        <f>IF(ISNUMBER(D135), (D135 - $B135) / $B135, "")</f>
        <v>3.3898305084745763E-2</v>
      </c>
      <c r="F135" s="16">
        <f>IF(ISNUMBER(D135), $B145 * E135, "")</f>
        <v>5084.7457627118647</v>
      </c>
      <c r="G135" s="29">
        <v>29.8</v>
      </c>
      <c r="H135" s="14">
        <f>IF(ISNUMBER(G135), (G135 - $B135) / $B135, "")</f>
        <v>1.0169491525423752E-2</v>
      </c>
      <c r="I135" s="90">
        <f>IF(ISNUMBER(G135), $B145 * H135, "")</f>
        <v>1525.4237288135628</v>
      </c>
      <c r="J135" s="13">
        <v>29.6</v>
      </c>
      <c r="K135" s="14">
        <f>IF(ISNUMBER(J135), (J135 - $B135) / $B135, "")</f>
        <v>3.3898305084746243E-3</v>
      </c>
      <c r="L135" s="16">
        <f>IF(ISNUMBER(J135), $B145 * K135, "")</f>
        <v>508.47457627119365</v>
      </c>
      <c r="M135" s="29">
        <v>29.9</v>
      </c>
      <c r="N135" s="14">
        <f>IF(ISNUMBER(M135), (M135 - $B135) / $B135, "")</f>
        <v>1.3559322033898256E-2</v>
      </c>
      <c r="O135" s="16">
        <f>IF(ISNUMBER(M135), $B145 * N135, "")</f>
        <v>2033.8983050847385</v>
      </c>
      <c r="Q135" s="150"/>
      <c r="R135" s="151"/>
      <c r="S135" s="152"/>
    </row>
    <row r="136" spans="1:19" ht="17.25" thickBot="1">
      <c r="A136" s="109" t="s">
        <v>124</v>
      </c>
      <c r="B136" s="110">
        <v>32.299999999999997</v>
      </c>
      <c r="C136" s="70">
        <v>-3.0864197999999998E-3</v>
      </c>
      <c r="D136" s="15">
        <v>33.4</v>
      </c>
      <c r="E136" s="32">
        <f t="shared" ref="E136:E139" si="70">IF(ISNUMBER(D136), (D136 - $B136) / $B136, "")</f>
        <v>3.4055727554179613E-2</v>
      </c>
      <c r="F136" s="18">
        <f>IF(ISNUMBER(D136), $B145 * E136, "")</f>
        <v>5108.3591331269417</v>
      </c>
      <c r="G136" s="31">
        <v>32.299999999999997</v>
      </c>
      <c r="H136" s="32">
        <f t="shared" ref="H136:H139" si="71">IF(ISNUMBER(G136), (G136 - $B136) / $B136, "")</f>
        <v>0</v>
      </c>
      <c r="I136" s="91">
        <f>IF(ISNUMBER(G136), $B145 * H136, "")</f>
        <v>0</v>
      </c>
      <c r="J136" s="15">
        <v>32.6</v>
      </c>
      <c r="K136" s="32">
        <f t="shared" ref="K136:K139" si="72">IF(ISNUMBER(J136), (J136 - $B136) / $B136, "")</f>
        <v>9.2879256965945605E-3</v>
      </c>
      <c r="L136" s="18">
        <f>IF(ISNUMBER(J136), $B145 * K136, "")</f>
        <v>1393.188854489184</v>
      </c>
      <c r="M136" s="31">
        <v>32.700000000000003</v>
      </c>
      <c r="N136" s="32">
        <f t="shared" ref="N136:N139" si="73">IF(ISNUMBER(M136), (M136 - $B136) / $B136, "")</f>
        <v>1.2383900928792747E-2</v>
      </c>
      <c r="O136" s="18">
        <f>IF(ISNUMBER(M136), $B145 * N136, "")</f>
        <v>1857.5851393189121</v>
      </c>
      <c r="Q136" s="153"/>
      <c r="R136" s="154"/>
      <c r="S136" s="155"/>
    </row>
    <row r="137" spans="1:19" ht="17.25" thickBot="1">
      <c r="A137" s="109" t="s">
        <v>138</v>
      </c>
      <c r="B137" s="110">
        <v>28.4</v>
      </c>
      <c r="C137" s="70">
        <v>-3.5087718999999998E-3</v>
      </c>
      <c r="D137" s="15">
        <v>29.4</v>
      </c>
      <c r="E137" s="32">
        <f t="shared" si="70"/>
        <v>3.5211267605633804E-2</v>
      </c>
      <c r="F137" s="18">
        <f>IF(ISNUMBER(D137), $B145 * E137, "")</f>
        <v>5281.6901408450703</v>
      </c>
      <c r="G137" s="31">
        <v>28.2</v>
      </c>
      <c r="H137" s="32">
        <f t="shared" si="71"/>
        <v>-7.0422535211267356E-3</v>
      </c>
      <c r="I137" s="91">
        <f>IF(ISNUMBER(G137), $B145 * H137, "")</f>
        <v>-1056.3380281690104</v>
      </c>
      <c r="J137" s="15">
        <v>28.2</v>
      </c>
      <c r="K137" s="32">
        <f t="shared" si="72"/>
        <v>-7.0422535211267356E-3</v>
      </c>
      <c r="L137" s="18">
        <f>IF(ISNUMBER(J137), $B145 * K137, "")</f>
        <v>-1056.3380281690104</v>
      </c>
      <c r="M137" s="31">
        <v>28.1</v>
      </c>
      <c r="N137" s="32">
        <f t="shared" si="73"/>
        <v>-1.0563380281690042E-2</v>
      </c>
      <c r="O137" s="18">
        <f>IF(ISNUMBER(M137), $B145 * N137, "")</f>
        <v>-1584.5070422535064</v>
      </c>
      <c r="Q137" s="146"/>
      <c r="R137" s="146"/>
      <c r="S137" s="146"/>
    </row>
    <row r="138" spans="1:19" ht="17.25" thickBot="1">
      <c r="A138" s="109" t="s">
        <v>132</v>
      </c>
      <c r="B138" s="110">
        <v>52.1</v>
      </c>
      <c r="C138" s="70">
        <v>-3.8240917999999998E-3</v>
      </c>
      <c r="D138" s="15">
        <v>53.1</v>
      </c>
      <c r="E138" s="32">
        <f t="shared" si="70"/>
        <v>1.9193857965451054E-2</v>
      </c>
      <c r="F138" s="18">
        <f>IF(ISNUMBER(D138), $B145 * E138, "")</f>
        <v>2879.0786948176583</v>
      </c>
      <c r="G138" s="31">
        <v>51.8</v>
      </c>
      <c r="H138" s="32">
        <f t="shared" si="71"/>
        <v>-5.7581573896353985E-3</v>
      </c>
      <c r="I138" s="91">
        <f>IF(ISNUMBER(G138), $B145 * H138, "")</f>
        <v>-863.72360844530976</v>
      </c>
      <c r="J138" s="15">
        <v>51.9</v>
      </c>
      <c r="K138" s="32">
        <f t="shared" si="72"/>
        <v>-3.8387715930902656E-3</v>
      </c>
      <c r="L138" s="18">
        <f>IF(ISNUMBER(J138), $B145 * K138, "")</f>
        <v>-575.81573896353984</v>
      </c>
      <c r="M138" s="31">
        <v>52.1</v>
      </c>
      <c r="N138" s="32">
        <f t="shared" si="73"/>
        <v>0</v>
      </c>
      <c r="O138" s="18">
        <f>IF(ISNUMBER(M138), $B145 * N138, "")</f>
        <v>0</v>
      </c>
      <c r="Q138" s="156"/>
      <c r="R138" s="156"/>
      <c r="S138" s="156"/>
    </row>
    <row r="139" spans="1:19" ht="17.25" thickBot="1">
      <c r="A139" s="111" t="s">
        <v>207</v>
      </c>
      <c r="B139" s="112">
        <v>69</v>
      </c>
      <c r="C139" s="71">
        <v>-4.3290042999999997E-3</v>
      </c>
      <c r="D139" s="20">
        <v>70.400000000000006</v>
      </c>
      <c r="E139" s="21">
        <f t="shared" si="70"/>
        <v>2.028985507246385E-2</v>
      </c>
      <c r="F139" s="22">
        <f>IF(ISNUMBER(D139), $B145 * E139, "")</f>
        <v>3043.4782608695773</v>
      </c>
      <c r="G139" s="30">
        <v>68.900000000000006</v>
      </c>
      <c r="H139" s="21">
        <f t="shared" si="71"/>
        <v>-1.4492753623187582E-3</v>
      </c>
      <c r="I139" s="95">
        <f>IF(ISNUMBER(G139), $B145 * H139, "")</f>
        <v>-217.39130434781373</v>
      </c>
      <c r="J139" s="20">
        <v>68.8</v>
      </c>
      <c r="K139" s="21">
        <f t="shared" si="72"/>
        <v>-2.8985507246377224E-3</v>
      </c>
      <c r="L139" s="22">
        <f>IF(ISNUMBER(J139), $B145 * K139, "")</f>
        <v>-434.78260869565838</v>
      </c>
      <c r="M139" s="30">
        <v>70</v>
      </c>
      <c r="N139" s="21">
        <f t="shared" si="73"/>
        <v>1.4492753623188406E-2</v>
      </c>
      <c r="O139" s="22">
        <f>IF(ISNUMBER(M139), $B145 * N139, "")</f>
        <v>2173.913043478261</v>
      </c>
      <c r="Q139" s="156"/>
      <c r="R139" s="156"/>
      <c r="S139" s="156"/>
    </row>
    <row r="140" spans="1:19" ht="17.25" thickBot="1">
      <c r="A140" s="109" t="s">
        <v>209</v>
      </c>
      <c r="B140" s="113">
        <v>85.7</v>
      </c>
      <c r="C140" s="73">
        <v>-5.800464E-3</v>
      </c>
      <c r="D140" s="96">
        <v>87.3</v>
      </c>
      <c r="E140" s="97">
        <f>IF(ISNUMBER(D140), (D140 - $B140) / $B140, "")</f>
        <v>1.8669778296382663E-2</v>
      </c>
      <c r="F140" s="98">
        <f>IF(ISNUMBER(D140), $B145 * E140, "")</f>
        <v>2800.4667444573993</v>
      </c>
      <c r="G140" s="99">
        <v>85</v>
      </c>
      <c r="H140" s="97">
        <f>IF(ISNUMBER(G140), (G140 - $B140) / $B140, "")</f>
        <v>-8.1680280046674773E-3</v>
      </c>
      <c r="I140" s="100">
        <f>IF(ISNUMBER(G140), $B145 * H140, "")</f>
        <v>-1225.2042007001216</v>
      </c>
      <c r="J140" s="96">
        <v>85.3</v>
      </c>
      <c r="K140" s="97">
        <f>IF(ISNUMBER(J140), (J140 - $B140) / $B140, "")</f>
        <v>-4.667444574095749E-3</v>
      </c>
      <c r="L140" s="98">
        <f>IF(ISNUMBER(J140), $B145 * K140, "")</f>
        <v>-700.11668611436232</v>
      </c>
      <c r="M140" s="99">
        <v>86</v>
      </c>
      <c r="N140" s="97">
        <f>IF(ISNUMBER(M140), (M140 - $B140) / $B140, "")</f>
        <v>3.5005834305717287E-3</v>
      </c>
      <c r="O140" s="98">
        <f>IF(ISNUMBER(M140), $B145 * N140, "")</f>
        <v>525.08751458575932</v>
      </c>
      <c r="Q140" s="146"/>
      <c r="R140" s="146"/>
      <c r="S140" s="146"/>
    </row>
    <row r="141" spans="1:19" ht="17.25" thickBot="1">
      <c r="A141" s="109" t="s">
        <v>329</v>
      </c>
      <c r="B141" s="110">
        <v>64</v>
      </c>
      <c r="C141" s="70">
        <v>-2.2900763399999999E-2</v>
      </c>
      <c r="D141" s="15">
        <v>65.7</v>
      </c>
      <c r="E141" s="32">
        <f t="shared" ref="E141:E144" si="74">IF(ISNUMBER(D141), (D141 - $B141) / $B141, "")</f>
        <v>2.6562500000000044E-2</v>
      </c>
      <c r="F141" s="18">
        <f>IF(ISNUMBER(D141), $B145 * E141, "")</f>
        <v>3984.3750000000068</v>
      </c>
      <c r="G141" s="31">
        <v>64.8</v>
      </c>
      <c r="H141" s="32">
        <f t="shared" ref="H141:H144" si="75">IF(ISNUMBER(G141), (G141 - $B141) / $B141, "")</f>
        <v>1.2499999999999956E-2</v>
      </c>
      <c r="I141" s="91">
        <f>IF(ISNUMBER(G141), $B145 * H141, "")</f>
        <v>1874.9999999999934</v>
      </c>
      <c r="J141" s="15">
        <v>65.8</v>
      </c>
      <c r="K141" s="32">
        <f t="shared" ref="K141:K144" si="76">IF(ISNUMBER(J141), (J141 - $B141) / $B141, "")</f>
        <v>2.8124999999999956E-2</v>
      </c>
      <c r="L141" s="18">
        <f>IF(ISNUMBER(J141), $B145 * K141, "")</f>
        <v>4218.7499999999936</v>
      </c>
      <c r="M141" s="31">
        <v>64.8</v>
      </c>
      <c r="N141" s="32">
        <f t="shared" ref="N141:N144" si="77">IF(ISNUMBER(M141), (M141 - $B141) / $B141, "")</f>
        <v>1.2499999999999956E-2</v>
      </c>
      <c r="O141" s="18">
        <f>IF(ISNUMBER(M141), $B145 * N141, "")</f>
        <v>1874.9999999999934</v>
      </c>
      <c r="Q141" s="146"/>
      <c r="R141" s="146"/>
      <c r="S141" s="146"/>
    </row>
    <row r="142" spans="1:19" ht="17.25" thickBot="1">
      <c r="A142" s="109" t="s">
        <v>324</v>
      </c>
      <c r="B142" s="110">
        <v>91.3</v>
      </c>
      <c r="C142" s="70">
        <v>-2.5613660600000001E-2</v>
      </c>
      <c r="D142" s="15">
        <v>92.6</v>
      </c>
      <c r="E142" s="32">
        <f t="shared" si="74"/>
        <v>1.4238773274917823E-2</v>
      </c>
      <c r="F142" s="18">
        <f>IF(ISNUMBER(D142), $B145 * E142, "")</f>
        <v>2135.8159912376732</v>
      </c>
      <c r="G142" s="31">
        <v>101</v>
      </c>
      <c r="H142" s="32">
        <f t="shared" si="75"/>
        <v>0.10624315443592555</v>
      </c>
      <c r="I142" s="91">
        <f>IF(ISNUMBER(G142), $B145 * H142, "")</f>
        <v>15936.473165388832</v>
      </c>
      <c r="J142" s="15">
        <v>99.8</v>
      </c>
      <c r="K142" s="32">
        <f t="shared" si="76"/>
        <v>9.3099671412924426E-2</v>
      </c>
      <c r="L142" s="18">
        <f>IF(ISNUMBER(J142), $B145 * K142, "")</f>
        <v>13964.950711938664</v>
      </c>
      <c r="M142" s="31">
        <v>99.5</v>
      </c>
      <c r="N142" s="32">
        <f t="shared" si="77"/>
        <v>8.9813800657174189E-2</v>
      </c>
      <c r="O142" s="18">
        <f>IF(ISNUMBER(M142), $B145 * N142, "")</f>
        <v>13472.070098576129</v>
      </c>
      <c r="Q142" s="146"/>
      <c r="R142" s="146"/>
      <c r="S142" s="146"/>
    </row>
    <row r="143" spans="1:19">
      <c r="A143" s="109" t="s">
        <v>126</v>
      </c>
      <c r="B143" s="110">
        <v>31.9</v>
      </c>
      <c r="C143" s="70">
        <v>-3.03951368E-2</v>
      </c>
      <c r="D143" s="15">
        <v>34.299999999999997</v>
      </c>
      <c r="E143" s="32">
        <f t="shared" si="74"/>
        <v>7.5235109717868301E-2</v>
      </c>
      <c r="F143" s="18">
        <f>IF(ISNUMBER(D143), $B145 * E143, "")</f>
        <v>11285.266457680245</v>
      </c>
      <c r="G143" s="31">
        <v>34.9</v>
      </c>
      <c r="H143" s="32">
        <f t="shared" si="75"/>
        <v>9.4043887147335428E-2</v>
      </c>
      <c r="I143" s="91">
        <f>IF(ISNUMBER(G143), $B145 * H143, "")</f>
        <v>14106.583072100315</v>
      </c>
      <c r="J143" s="15">
        <v>34.700000000000003</v>
      </c>
      <c r="K143" s="32">
        <f t="shared" si="76"/>
        <v>8.7774294670846534E-2</v>
      </c>
      <c r="L143" s="18">
        <f>IF(ISNUMBER(J143), $B145 * K143, "")</f>
        <v>13166.144200626981</v>
      </c>
      <c r="M143" s="31">
        <v>34</v>
      </c>
      <c r="N143" s="32">
        <f t="shared" si="77"/>
        <v>6.5830721003134848E-2</v>
      </c>
      <c r="O143" s="18">
        <f>IF(ISNUMBER(M143), $B145 * N143, "")</f>
        <v>9874.608150470227</v>
      </c>
      <c r="Q143" s="135"/>
      <c r="R143" s="136"/>
      <c r="S143" s="137"/>
    </row>
    <row r="144" spans="1:19" ht="17.25" thickBot="1">
      <c r="A144" s="114" t="s">
        <v>217</v>
      </c>
      <c r="B144" s="115">
        <v>73.400000000000006</v>
      </c>
      <c r="C144" s="72">
        <v>-3.9267015699999998E-2</v>
      </c>
      <c r="D144" s="24">
        <v>74.8</v>
      </c>
      <c r="E144" s="25">
        <f t="shared" si="74"/>
        <v>1.9073569482288711E-2</v>
      </c>
      <c r="F144" s="94">
        <f>IF(ISNUMBER(D144), $B145 * E144, "")</f>
        <v>2861.0354223433064</v>
      </c>
      <c r="G144" s="92">
        <v>72.7</v>
      </c>
      <c r="H144" s="25">
        <f t="shared" si="75"/>
        <v>-9.5367847411444526E-3</v>
      </c>
      <c r="I144" s="93">
        <f>IF(ISNUMBER(G144), $B145 * H144, "")</f>
        <v>-1430.517711171668</v>
      </c>
      <c r="J144" s="24">
        <v>73.3</v>
      </c>
      <c r="K144" s="25">
        <f t="shared" si="76"/>
        <v>-1.3623978201636037E-3</v>
      </c>
      <c r="L144" s="94">
        <f>IF(ISNUMBER(J144), $B145 * K144, "")</f>
        <v>-204.35967302454054</v>
      </c>
      <c r="M144" s="92">
        <v>73</v>
      </c>
      <c r="N144" s="25">
        <f t="shared" si="77"/>
        <v>-5.449591280654028E-3</v>
      </c>
      <c r="O144" s="94">
        <f>IF(ISNUMBER(M144), $B145 * N144, "")</f>
        <v>-817.43869209810418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2.9324581637252316E-2</v>
      </c>
      <c r="F145" s="28">
        <f>SUM(F125:F144)</f>
        <v>87973.744911756949</v>
      </c>
      <c r="G145" s="26" t="s">
        <v>258</v>
      </c>
      <c r="H145" s="27">
        <f>IF(COUNT(H125:H144), SUM(H125:H144) / COUNT(H125:H144), 0)</f>
        <v>7.2897046265647221E-3</v>
      </c>
      <c r="I145" s="28">
        <f>SUM(I125:I144)</f>
        <v>21869.113879694163</v>
      </c>
      <c r="J145" s="26" t="s">
        <v>258</v>
      </c>
      <c r="K145" s="27">
        <f>IF(COUNT(K125:K144), SUM(K125:K144) / COUNT(K125:K144), 0)</f>
        <v>1.4412337715101777E-2</v>
      </c>
      <c r="L145" s="28">
        <f>SUM(L125:L144)</f>
        <v>43237.01314530534</v>
      </c>
      <c r="M145" s="26" t="s">
        <v>258</v>
      </c>
      <c r="N145" s="27">
        <f>IF(COUNT(N125:N144), SUM(N125:N144) / COUNT(N125:N144), 0)</f>
        <v>8.7596969548486645E-3</v>
      </c>
      <c r="O145" s="28">
        <f>SUM(O125:O144)</f>
        <v>26279.090864545989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2023-01-16(월) 오전 00:00</v>
      </c>
      <c r="C150" s="198"/>
      <c r="D150" s="170" t="str">
        <f>TEXT($G$1, "[$-ko-KR]yyyy-mm-dd(ddd) ") &amp; "오후 14:00"</f>
        <v>2023-01-16(월) 오후 14:00</v>
      </c>
      <c r="E150" s="171"/>
      <c r="F150" s="172"/>
      <c r="G150" s="170" t="str">
        <f>TEXT($G$1, "[$-ko-KR]yyyy-mm-dd(ddd) ") &amp; "오후 19:00"</f>
        <v>2023-01-16(월) 오후 19:00</v>
      </c>
      <c r="H150" s="171"/>
      <c r="I150" s="172"/>
      <c r="J150" s="170" t="str">
        <f>TEXT($G$1, "[$-ko-KR]yyyy-mm-dd(ddd) ") &amp; "오후 21:00"</f>
        <v>2023-01-16(월) 오후 21:00</v>
      </c>
      <c r="K150" s="171"/>
      <c r="L150" s="172"/>
      <c r="M150" s="170" t="str">
        <f>TEXT($G$1+1, "[$-ko-KR]yyyy-mm-dd(ddd) ") &amp; "오전 00:00"</f>
        <v>2023-01-17(화)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215</v>
      </c>
      <c r="B152" s="108">
        <v>341</v>
      </c>
      <c r="C152" s="69">
        <v>0</v>
      </c>
      <c r="D152" s="13">
        <v>367</v>
      </c>
      <c r="E152" s="14">
        <f>IF(ISNUMBER(D152), (D152 - $B152) / $B152, "")</f>
        <v>7.6246334310850442E-2</v>
      </c>
      <c r="F152" s="16">
        <f>IF(ISNUMBER(D152), $B172 * E152, "")</f>
        <v>11436.950146627567</v>
      </c>
      <c r="G152" s="29">
        <v>363</v>
      </c>
      <c r="H152" s="14">
        <f>IF(ISNUMBER(G152), (G152 - $B152) / $B152, "")</f>
        <v>6.4516129032258063E-2</v>
      </c>
      <c r="I152" s="90">
        <f>IF(ISNUMBER(G152), $B172 * H152, "")</f>
        <v>9677.4193548387102</v>
      </c>
      <c r="J152" s="13">
        <v>360</v>
      </c>
      <c r="K152" s="14">
        <f>IF(ISNUMBER(J152), (J152 - $B152) / $B152, "")</f>
        <v>5.5718475073313782E-2</v>
      </c>
      <c r="L152" s="16">
        <f>IF(ISNUMBER(J152), $B172 * K152, "")</f>
        <v>8357.7712609970677</v>
      </c>
      <c r="M152" s="29">
        <v>361</v>
      </c>
      <c r="N152" s="14">
        <f>IF(ISNUMBER(M152), (M152 - $B152) / $B152, "")</f>
        <v>5.865102639296188E-2</v>
      </c>
      <c r="O152" s="16">
        <f>IF(ISNUMBER(M152), $B172 * N152, "")</f>
        <v>8797.6539589442818</v>
      </c>
      <c r="Q152" s="156"/>
      <c r="R152" s="156"/>
      <c r="S152" s="156"/>
    </row>
    <row r="153" spans="1:19" ht="17.25" thickBot="1">
      <c r="A153" s="109" t="s">
        <v>176</v>
      </c>
      <c r="B153" s="110">
        <v>325</v>
      </c>
      <c r="C153" s="70">
        <v>0</v>
      </c>
      <c r="D153" s="15">
        <v>334</v>
      </c>
      <c r="E153" s="32">
        <f t="shared" ref="E153:E156" si="78">IF(ISNUMBER(D153), (D153 - $B153) / $B153, "")</f>
        <v>2.7692307692307693E-2</v>
      </c>
      <c r="F153" s="18">
        <f>IF(ISNUMBER(D153), $B172 * E153, "")</f>
        <v>4153.8461538461543</v>
      </c>
      <c r="G153" s="31">
        <v>327</v>
      </c>
      <c r="H153" s="32">
        <f t="shared" ref="H153:H156" si="79">IF(ISNUMBER(G153), (G153 - $B153) / $B153, "")</f>
        <v>6.1538461538461538E-3</v>
      </c>
      <c r="I153" s="91">
        <f>IF(ISNUMBER(G153), $B172 * H153, "")</f>
        <v>923.07692307692309</v>
      </c>
      <c r="J153" s="15">
        <v>329</v>
      </c>
      <c r="K153" s="32">
        <f t="shared" ref="K153:K156" si="80">IF(ISNUMBER(J153), (J153 - $B153) / $B153, "")</f>
        <v>1.2307692307692308E-2</v>
      </c>
      <c r="L153" s="18">
        <f>IF(ISNUMBER(J153), $B172 * K153, "")</f>
        <v>1846.1538461538462</v>
      </c>
      <c r="M153" s="31">
        <v>332</v>
      </c>
      <c r="N153" s="32">
        <f t="shared" ref="N153:N156" si="81">IF(ISNUMBER(M153), (M153 - $B153) / $B153, "")</f>
        <v>2.1538461538461538E-2</v>
      </c>
      <c r="O153" s="18">
        <f>IF(ISNUMBER(M153), $B172 * N153, "")</f>
        <v>3230.7692307692305</v>
      </c>
      <c r="Q153" s="156"/>
      <c r="R153" s="156"/>
      <c r="S153" s="156"/>
    </row>
    <row r="154" spans="1:19" ht="17.25" thickBot="1">
      <c r="A154" s="109" t="s">
        <v>167</v>
      </c>
      <c r="B154" s="110">
        <v>196</v>
      </c>
      <c r="C154" s="70">
        <v>0</v>
      </c>
      <c r="D154" s="15">
        <v>200</v>
      </c>
      <c r="E154" s="32">
        <f t="shared" si="78"/>
        <v>2.0408163265306121E-2</v>
      </c>
      <c r="F154" s="18">
        <f>IF(ISNUMBER(D154), $B172 * E154, "")</f>
        <v>3061.2244897959181</v>
      </c>
      <c r="G154" s="31">
        <v>192</v>
      </c>
      <c r="H154" s="32">
        <f t="shared" si="79"/>
        <v>-2.0408163265306121E-2</v>
      </c>
      <c r="I154" s="91">
        <f>IF(ISNUMBER(G154), $B172 * H154, "")</f>
        <v>-3061.2244897959181</v>
      </c>
      <c r="J154" s="15">
        <v>194</v>
      </c>
      <c r="K154" s="32">
        <f t="shared" si="80"/>
        <v>-1.020408163265306E-2</v>
      </c>
      <c r="L154" s="18">
        <f>IF(ISNUMBER(J154), $B172 * K154, "")</f>
        <v>-1530.612244897959</v>
      </c>
      <c r="M154" s="31">
        <v>195</v>
      </c>
      <c r="N154" s="32">
        <f t="shared" si="81"/>
        <v>-5.1020408163265302E-3</v>
      </c>
      <c r="O154" s="18">
        <f>IF(ISNUMBER(M154), $B172 * N154, "")</f>
        <v>-765.30612244897952</v>
      </c>
      <c r="Q154" s="146"/>
      <c r="R154" s="146"/>
      <c r="S154" s="146"/>
    </row>
    <row r="155" spans="1:19" ht="17.25" thickBot="1">
      <c r="A155" s="109" t="s">
        <v>213</v>
      </c>
      <c r="B155" s="110">
        <v>494</v>
      </c>
      <c r="C155" s="70">
        <v>0</v>
      </c>
      <c r="D155" s="15">
        <v>506</v>
      </c>
      <c r="E155" s="32">
        <f t="shared" si="78"/>
        <v>2.4291497975708502E-2</v>
      </c>
      <c r="F155" s="18">
        <f>IF(ISNUMBER(D155), $B172 * E155, "")</f>
        <v>3643.7246963562752</v>
      </c>
      <c r="G155" s="31">
        <v>489</v>
      </c>
      <c r="H155" s="32">
        <f t="shared" si="79"/>
        <v>-1.0121457489878543E-2</v>
      </c>
      <c r="I155" s="91">
        <f>IF(ISNUMBER(G155), $B172 * H155, "")</f>
        <v>-1518.2186234817814</v>
      </c>
      <c r="J155" s="15">
        <v>491</v>
      </c>
      <c r="K155" s="32">
        <f t="shared" si="80"/>
        <v>-6.0728744939271256E-3</v>
      </c>
      <c r="L155" s="18">
        <f>IF(ISNUMBER(J155), $B172 * K155, "")</f>
        <v>-910.9311740890688</v>
      </c>
      <c r="M155" s="31">
        <v>495</v>
      </c>
      <c r="N155" s="32">
        <f t="shared" si="81"/>
        <v>2.0242914979757085E-3</v>
      </c>
      <c r="O155" s="18">
        <f>IF(ISNUMBER(M155), $B172 * N155, "")</f>
        <v>303.64372469635629</v>
      </c>
      <c r="Q155" s="146"/>
      <c r="R155" s="146"/>
      <c r="S155" s="146"/>
    </row>
    <row r="156" spans="1:19" ht="17.25" thickBot="1">
      <c r="A156" s="111" t="s">
        <v>235</v>
      </c>
      <c r="B156" s="112">
        <v>597</v>
      </c>
      <c r="C156" s="71">
        <v>-1.6722408E-3</v>
      </c>
      <c r="D156" s="20">
        <v>608</v>
      </c>
      <c r="E156" s="21">
        <f t="shared" si="78"/>
        <v>1.8425460636515914E-2</v>
      </c>
      <c r="F156" s="22">
        <f>IF(ISNUMBER(D156), $B172 * E156, "")</f>
        <v>2763.8190954773872</v>
      </c>
      <c r="G156" s="30">
        <v>592</v>
      </c>
      <c r="H156" s="21">
        <f t="shared" si="79"/>
        <v>-8.3752093802345051E-3</v>
      </c>
      <c r="I156" s="95">
        <f>IF(ISNUMBER(G156), $B172 * H156, "")</f>
        <v>-1256.2814070351758</v>
      </c>
      <c r="J156" s="20">
        <v>596</v>
      </c>
      <c r="K156" s="21">
        <f t="shared" si="80"/>
        <v>-1.6750418760469012E-3</v>
      </c>
      <c r="L156" s="22">
        <f>IF(ISNUMBER(J156), $B172 * K156, "")</f>
        <v>-251.25628140703517</v>
      </c>
      <c r="M156" s="30">
        <v>598</v>
      </c>
      <c r="N156" s="21">
        <f t="shared" si="81"/>
        <v>1.6750418760469012E-3</v>
      </c>
      <c r="O156" s="22">
        <f>IF(ISNUMBER(M156), $B172 * N156, "")</f>
        <v>251.25628140703517</v>
      </c>
      <c r="Q156" s="146"/>
      <c r="R156" s="146"/>
      <c r="S156" s="146"/>
    </row>
    <row r="157" spans="1:19" ht="17.25" thickBot="1">
      <c r="A157" s="109" t="s">
        <v>149</v>
      </c>
      <c r="B157" s="113">
        <v>433</v>
      </c>
      <c r="C157" s="73">
        <v>-2.3041475E-3</v>
      </c>
      <c r="D157" s="96">
        <v>458</v>
      </c>
      <c r="E157" s="97">
        <f>IF(ISNUMBER(D157), (D157 - $B157) / $B157, "")</f>
        <v>5.7736720554272515E-2</v>
      </c>
      <c r="F157" s="98">
        <f>IF(ISNUMBER(D157), $B172 * E157, "")</f>
        <v>8660.5080831408777</v>
      </c>
      <c r="G157" s="99">
        <v>450</v>
      </c>
      <c r="H157" s="97">
        <f>IF(ISNUMBER(G157), (G157 - $B157) / $B157, "")</f>
        <v>3.9260969976905313E-2</v>
      </c>
      <c r="I157" s="100">
        <f>IF(ISNUMBER(G157), $B172 * H157, "")</f>
        <v>5889.1454965357971</v>
      </c>
      <c r="J157" s="96">
        <v>449</v>
      </c>
      <c r="K157" s="97">
        <f>IF(ISNUMBER(J157), (J157 - $B157) / $B157, "")</f>
        <v>3.695150115473441E-2</v>
      </c>
      <c r="L157" s="98">
        <f>IF(ISNUMBER(J157), $B172 * K157, "")</f>
        <v>5542.7251732101613</v>
      </c>
      <c r="M157" s="99">
        <v>449</v>
      </c>
      <c r="N157" s="97">
        <f>IF(ISNUMBER(M157), (M157 - $B157) / $B157, "")</f>
        <v>3.695150115473441E-2</v>
      </c>
      <c r="O157" s="98">
        <f>IF(ISNUMBER(M157), $B172 * N157, "")</f>
        <v>5542.7251732101613</v>
      </c>
      <c r="Q157" s="146"/>
      <c r="R157" s="146"/>
      <c r="S157" s="146"/>
    </row>
    <row r="158" spans="1:19" ht="17.25" thickBot="1">
      <c r="A158" s="109" t="s">
        <v>60</v>
      </c>
      <c r="B158" s="110">
        <v>732</v>
      </c>
      <c r="C158" s="70">
        <v>-2.7247956000000001E-3</v>
      </c>
      <c r="D158" s="15">
        <v>876</v>
      </c>
      <c r="E158" s="32">
        <f t="shared" ref="E158:E161" si="82">IF(ISNUMBER(D158), (D158 - $B158) / $B158, "")</f>
        <v>0.19672131147540983</v>
      </c>
      <c r="F158" s="18">
        <f>IF(ISNUMBER(D158), $B172 * E158, "")</f>
        <v>29508.196721311473</v>
      </c>
      <c r="G158" s="31">
        <v>842</v>
      </c>
      <c r="H158" s="32">
        <f t="shared" ref="H158:H161" si="83">IF(ISNUMBER(G158), (G158 - $B158) / $B158, "")</f>
        <v>0.15027322404371585</v>
      </c>
      <c r="I158" s="91">
        <f>IF(ISNUMBER(G158), $B172 * H158, "")</f>
        <v>22540.983606557376</v>
      </c>
      <c r="J158" s="15">
        <v>863</v>
      </c>
      <c r="K158" s="32">
        <f t="shared" ref="K158:K161" si="84">IF(ISNUMBER(J158), (J158 - $B158) / $B158, "")</f>
        <v>0.17896174863387979</v>
      </c>
      <c r="L158" s="18">
        <f>IF(ISNUMBER(J158), $B172 * K158, "")</f>
        <v>26844.262295081968</v>
      </c>
      <c r="M158" s="31">
        <v>870</v>
      </c>
      <c r="N158" s="32">
        <f t="shared" ref="N158:N161" si="85">IF(ISNUMBER(M158), (M158 - $B158) / $B158, "")</f>
        <v>0.18852459016393441</v>
      </c>
      <c r="O158" s="18">
        <f>IF(ISNUMBER(M158), $B172 * N158, "")</f>
        <v>28278.688524590161</v>
      </c>
      <c r="Q158" s="146"/>
      <c r="R158" s="146"/>
      <c r="S158" s="146"/>
    </row>
    <row r="159" spans="1:19" ht="17.25" thickBot="1">
      <c r="A159" s="109" t="s">
        <v>223</v>
      </c>
      <c r="B159" s="110">
        <v>224</v>
      </c>
      <c r="C159" s="70">
        <v>-4.4444443999999998E-3</v>
      </c>
      <c r="D159" s="15">
        <v>230</v>
      </c>
      <c r="E159" s="32">
        <f t="shared" si="82"/>
        <v>2.6785714285714284E-2</v>
      </c>
      <c r="F159" s="18">
        <f>IF(ISNUMBER(D159), $B172 * E159, "")</f>
        <v>4017.8571428571427</v>
      </c>
      <c r="G159" s="31">
        <v>224</v>
      </c>
      <c r="H159" s="32">
        <f t="shared" si="83"/>
        <v>0</v>
      </c>
      <c r="I159" s="91">
        <f>IF(ISNUMBER(G159), $B172 * H159, "")</f>
        <v>0</v>
      </c>
      <c r="J159" s="15">
        <v>226</v>
      </c>
      <c r="K159" s="32">
        <f t="shared" si="84"/>
        <v>8.9285714285714281E-3</v>
      </c>
      <c r="L159" s="18">
        <f>IF(ISNUMBER(J159), $B172 * K159, "")</f>
        <v>1339.2857142857142</v>
      </c>
      <c r="M159" s="31">
        <v>227</v>
      </c>
      <c r="N159" s="32">
        <f t="shared" si="85"/>
        <v>1.3392857142857142E-2</v>
      </c>
      <c r="O159" s="18">
        <f>IF(ISNUMBER(M159), $B172 * N159, "")</f>
        <v>2008.9285714285713</v>
      </c>
      <c r="Q159" s="146"/>
      <c r="R159" s="146"/>
      <c r="S159" s="146"/>
    </row>
    <row r="160" spans="1:19" ht="17.25" thickBot="1">
      <c r="A160" s="109" t="s">
        <v>85</v>
      </c>
      <c r="B160" s="110">
        <v>170</v>
      </c>
      <c r="C160" s="70">
        <v>-5.8479532000000004E-3</v>
      </c>
      <c r="D160" s="15">
        <v>173</v>
      </c>
      <c r="E160" s="32">
        <f t="shared" si="82"/>
        <v>1.7647058823529412E-2</v>
      </c>
      <c r="F160" s="18">
        <f>IF(ISNUMBER(D160), $B172 * E160, "")</f>
        <v>2647.0588235294117</v>
      </c>
      <c r="G160" s="31">
        <v>170</v>
      </c>
      <c r="H160" s="32">
        <f t="shared" si="83"/>
        <v>0</v>
      </c>
      <c r="I160" s="91">
        <f>IF(ISNUMBER(G160), $B172 * H160, "")</f>
        <v>0</v>
      </c>
      <c r="J160" s="15">
        <v>169</v>
      </c>
      <c r="K160" s="32">
        <f t="shared" si="84"/>
        <v>-5.8823529411764705E-3</v>
      </c>
      <c r="L160" s="18">
        <f>IF(ISNUMBER(J160), $B172 * K160, "")</f>
        <v>-882.35294117647061</v>
      </c>
      <c r="M160" s="31">
        <v>168</v>
      </c>
      <c r="N160" s="32">
        <f t="shared" si="85"/>
        <v>-1.1764705882352941E-2</v>
      </c>
      <c r="O160" s="18">
        <f>IF(ISNUMBER(M160), $B172 * N160, "")</f>
        <v>-1764.7058823529412</v>
      </c>
      <c r="Q160" s="33"/>
      <c r="R160" s="33"/>
    </row>
    <row r="161" spans="1:19" ht="17.25" thickBot="1">
      <c r="A161" s="114" t="s">
        <v>81</v>
      </c>
      <c r="B161" s="115">
        <v>432</v>
      </c>
      <c r="C161" s="72">
        <v>-9.1743119000000008E-3</v>
      </c>
      <c r="D161" s="24">
        <v>445</v>
      </c>
      <c r="E161" s="25">
        <f t="shared" si="82"/>
        <v>3.0092592592592591E-2</v>
      </c>
      <c r="F161" s="94">
        <f>IF(ISNUMBER(D161), $B172 * E161, "")</f>
        <v>4513.8888888888887</v>
      </c>
      <c r="G161" s="92">
        <v>433</v>
      </c>
      <c r="H161" s="25">
        <f t="shared" si="83"/>
        <v>2.3148148148148147E-3</v>
      </c>
      <c r="I161" s="93">
        <f>IF(ISNUMBER(G161), $B172 * H161, "")</f>
        <v>347.22222222222223</v>
      </c>
      <c r="J161" s="24">
        <v>434</v>
      </c>
      <c r="K161" s="25">
        <f t="shared" si="84"/>
        <v>4.6296296296296294E-3</v>
      </c>
      <c r="L161" s="94">
        <f>IF(ISNUMBER(J161), $B172 * K161, "")</f>
        <v>694.44444444444446</v>
      </c>
      <c r="M161" s="92">
        <v>431</v>
      </c>
      <c r="N161" s="25">
        <f t="shared" si="85"/>
        <v>-2.3148148148148147E-3</v>
      </c>
      <c r="O161" s="94">
        <f>IF(ISNUMBER(M161), $B172 * N161, "")</f>
        <v>-347.22222222222223</v>
      </c>
      <c r="Q161" s="147"/>
      <c r="R161" s="148"/>
      <c r="S161" s="149"/>
    </row>
    <row r="162" spans="1:19">
      <c r="A162" s="107" t="s">
        <v>219</v>
      </c>
      <c r="B162" s="108">
        <v>429</v>
      </c>
      <c r="C162" s="69">
        <v>-9.2378753000000001E-3</v>
      </c>
      <c r="D162" s="13">
        <v>451</v>
      </c>
      <c r="E162" s="14">
        <f>IF(ISNUMBER(D162), (D162 - $B162) / $B162, "")</f>
        <v>5.128205128205128E-2</v>
      </c>
      <c r="F162" s="16">
        <f>IF(ISNUMBER(D162), $B172 * E162, "")</f>
        <v>7692.3076923076924</v>
      </c>
      <c r="G162" s="29">
        <v>436</v>
      </c>
      <c r="H162" s="14">
        <f>IF(ISNUMBER(G162), (G162 - $B162) / $B162, "")</f>
        <v>1.6317016317016316E-2</v>
      </c>
      <c r="I162" s="90">
        <f>IF(ISNUMBER(G162), $B172 * H162, "")</f>
        <v>2447.5524475524476</v>
      </c>
      <c r="J162" s="13">
        <v>438</v>
      </c>
      <c r="K162" s="14">
        <f>IF(ISNUMBER(J162), (J162 - $B162) / $B162, "")</f>
        <v>2.097902097902098E-2</v>
      </c>
      <c r="L162" s="16">
        <f>IF(ISNUMBER(J162), $B172 * K162, "")</f>
        <v>3146.8531468531469</v>
      </c>
      <c r="M162" s="29">
        <v>436</v>
      </c>
      <c r="N162" s="14">
        <f>IF(ISNUMBER(M162), (M162 - $B162) / $B162, "")</f>
        <v>1.6317016317016316E-2</v>
      </c>
      <c r="O162" s="16">
        <f>IF(ISNUMBER(M162), $B172 * N162, "")</f>
        <v>2447.5524475524476</v>
      </c>
      <c r="Q162" s="150"/>
      <c r="R162" s="151"/>
      <c r="S162" s="152"/>
    </row>
    <row r="163" spans="1:19" ht="17.25" thickBot="1">
      <c r="A163" s="109" t="s">
        <v>51</v>
      </c>
      <c r="B163" s="110">
        <v>107</v>
      </c>
      <c r="C163" s="70">
        <v>-9.2592592999999994E-3</v>
      </c>
      <c r="D163" s="15">
        <v>111</v>
      </c>
      <c r="E163" s="32">
        <f t="shared" ref="E163:E166" si="86">IF(ISNUMBER(D163), (D163 - $B163) / $B163, "")</f>
        <v>3.7383177570093455E-2</v>
      </c>
      <c r="F163" s="18">
        <f>IF(ISNUMBER(D163), $B172 * E163, "")</f>
        <v>5607.4766355140182</v>
      </c>
      <c r="G163" s="31">
        <v>108</v>
      </c>
      <c r="H163" s="32">
        <f t="shared" ref="H163:H166" si="87">IF(ISNUMBER(G163), (G163 - $B163) / $B163, "")</f>
        <v>9.3457943925233638E-3</v>
      </c>
      <c r="I163" s="91">
        <f>IF(ISNUMBER(G163), $B172 * H163, "")</f>
        <v>1401.8691588785045</v>
      </c>
      <c r="J163" s="15">
        <v>109</v>
      </c>
      <c r="K163" s="32">
        <f t="shared" ref="K163:K166" si="88">IF(ISNUMBER(J163), (J163 - $B163) / $B163, "")</f>
        <v>1.8691588785046728E-2</v>
      </c>
      <c r="L163" s="18">
        <f>IF(ISNUMBER(J163), $B172 * K163, "")</f>
        <v>2803.7383177570091</v>
      </c>
      <c r="M163" s="31">
        <v>108</v>
      </c>
      <c r="N163" s="32">
        <f t="shared" ref="N163:N166" si="89">IF(ISNUMBER(M163), (M163 - $B163) / $B163, "")</f>
        <v>9.3457943925233638E-3</v>
      </c>
      <c r="O163" s="18">
        <f>IF(ISNUMBER(M163), $B172 * N163, "")</f>
        <v>1401.8691588785045</v>
      </c>
      <c r="Q163" s="153"/>
      <c r="R163" s="154"/>
      <c r="S163" s="155"/>
    </row>
    <row r="164" spans="1:19" ht="17.25" thickBot="1">
      <c r="A164" s="109" t="s">
        <v>253</v>
      </c>
      <c r="B164" s="110">
        <v>106</v>
      </c>
      <c r="C164" s="70">
        <v>-9.3457943999999994E-3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104</v>
      </c>
      <c r="H164" s="32">
        <f t="shared" si="87"/>
        <v>-1.8867924528301886E-2</v>
      </c>
      <c r="I164" s="91">
        <f>IF(ISNUMBER(G164), $B172 * H164, "")</f>
        <v>-2830.1886792452829</v>
      </c>
      <c r="J164" s="15">
        <v>104</v>
      </c>
      <c r="K164" s="32">
        <f t="shared" si="88"/>
        <v>-1.8867924528301886E-2</v>
      </c>
      <c r="L164" s="18">
        <f>IF(ISNUMBER(J164), $B172 * K164, "")</f>
        <v>-2830.1886792452829</v>
      </c>
      <c r="M164" s="31">
        <v>104</v>
      </c>
      <c r="N164" s="32">
        <f t="shared" si="89"/>
        <v>-1.8867924528301886E-2</v>
      </c>
      <c r="O164" s="18">
        <f>IF(ISNUMBER(M164), $B172 * N164, "")</f>
        <v>-2830.1886792452829</v>
      </c>
      <c r="Q164" s="146"/>
      <c r="R164" s="146"/>
      <c r="S164" s="146"/>
    </row>
    <row r="165" spans="1:19" ht="17.25" thickBot="1">
      <c r="A165" s="109" t="s">
        <v>317</v>
      </c>
      <c r="B165" s="110">
        <v>646</v>
      </c>
      <c r="C165" s="70">
        <v>-1.0719754999999999E-2</v>
      </c>
      <c r="D165" s="15">
        <v>660</v>
      </c>
      <c r="E165" s="32">
        <f t="shared" si="86"/>
        <v>2.1671826625386997E-2</v>
      </c>
      <c r="F165" s="18">
        <f>IF(ISNUMBER(D165), $B172 * E165, "")</f>
        <v>3250.7739938080495</v>
      </c>
      <c r="G165" s="31">
        <v>632</v>
      </c>
      <c r="H165" s="32">
        <f t="shared" si="87"/>
        <v>-2.1671826625386997E-2</v>
      </c>
      <c r="I165" s="91">
        <f>IF(ISNUMBER(G165), $B172 * H165, "")</f>
        <v>-3250.7739938080495</v>
      </c>
      <c r="J165" s="15">
        <v>636</v>
      </c>
      <c r="K165" s="32">
        <f t="shared" si="88"/>
        <v>-1.5479876160990712E-2</v>
      </c>
      <c r="L165" s="18">
        <f>IF(ISNUMBER(J165), $B172 * K165, "")</f>
        <v>-2321.9814241486069</v>
      </c>
      <c r="M165" s="31">
        <v>635</v>
      </c>
      <c r="N165" s="32">
        <f t="shared" si="89"/>
        <v>-1.7027863777089782E-2</v>
      </c>
      <c r="O165" s="18">
        <f>IF(ISNUMBER(M165), $B172 * N165, "")</f>
        <v>-2554.1795665634672</v>
      </c>
      <c r="Q165" s="156"/>
      <c r="R165" s="156"/>
      <c r="S165" s="156"/>
    </row>
    <row r="166" spans="1:19" ht="17.25" thickBot="1">
      <c r="A166" s="111" t="s">
        <v>103</v>
      </c>
      <c r="B166" s="112">
        <v>252</v>
      </c>
      <c r="C166" s="71">
        <v>-1.17647059E-2</v>
      </c>
      <c r="D166" s="20">
        <v>256</v>
      </c>
      <c r="E166" s="21">
        <f t="shared" si="86"/>
        <v>1.5873015873015872E-2</v>
      </c>
      <c r="F166" s="22">
        <f>IF(ISNUMBER(D166), $B172 * E166, "")</f>
        <v>2380.9523809523807</v>
      </c>
      <c r="G166" s="30">
        <v>252</v>
      </c>
      <c r="H166" s="21">
        <f t="shared" si="87"/>
        <v>0</v>
      </c>
      <c r="I166" s="95">
        <f>IF(ISNUMBER(G166), $B172 * H166, "")</f>
        <v>0</v>
      </c>
      <c r="J166" s="20">
        <v>252</v>
      </c>
      <c r="K166" s="21">
        <f t="shared" si="88"/>
        <v>0</v>
      </c>
      <c r="L166" s="22">
        <f>IF(ISNUMBER(J166), $B172 * K166, "")</f>
        <v>0</v>
      </c>
      <c r="M166" s="30">
        <v>255</v>
      </c>
      <c r="N166" s="21">
        <f t="shared" si="89"/>
        <v>1.1904761904761904E-2</v>
      </c>
      <c r="O166" s="22">
        <f>IF(ISNUMBER(M166), $B172 * N166, "")</f>
        <v>1785.7142857142856</v>
      </c>
      <c r="Q166" s="156"/>
      <c r="R166" s="156"/>
      <c r="S166" s="156"/>
    </row>
    <row r="167" spans="1:19" ht="17.25" thickBot="1">
      <c r="A167" s="109" t="s">
        <v>153</v>
      </c>
      <c r="B167" s="113">
        <v>415</v>
      </c>
      <c r="C167" s="73">
        <v>-1.42517815E-2</v>
      </c>
      <c r="D167" s="96">
        <v>426</v>
      </c>
      <c r="E167" s="97">
        <f>IF(ISNUMBER(D167), (D167 - $B167) / $B167, "")</f>
        <v>2.6506024096385541E-2</v>
      </c>
      <c r="F167" s="98">
        <f>IF(ISNUMBER(D167), $B172 * E167, "")</f>
        <v>3975.9036144578313</v>
      </c>
      <c r="G167" s="99">
        <v>416</v>
      </c>
      <c r="H167" s="97">
        <f>IF(ISNUMBER(G167), (G167 - $B167) / $B167, "")</f>
        <v>2.4096385542168677E-3</v>
      </c>
      <c r="I167" s="100">
        <f>IF(ISNUMBER(G167), $B172 * H167, "")</f>
        <v>361.44578313253015</v>
      </c>
      <c r="J167" s="96">
        <v>416</v>
      </c>
      <c r="K167" s="97">
        <f>IF(ISNUMBER(J167), (J167 - $B167) / $B167, "")</f>
        <v>2.4096385542168677E-3</v>
      </c>
      <c r="L167" s="98">
        <f>IF(ISNUMBER(J167), $B172 * K167, "")</f>
        <v>361.44578313253015</v>
      </c>
      <c r="M167" s="99">
        <v>416</v>
      </c>
      <c r="N167" s="97">
        <f>IF(ISNUMBER(M167), (M167 - $B167) / $B167, "")</f>
        <v>2.4096385542168677E-3</v>
      </c>
      <c r="O167" s="98">
        <f>IF(ISNUMBER(M167), $B172 * N167, "")</f>
        <v>361.44578313253015</v>
      </c>
      <c r="Q167" s="146"/>
      <c r="R167" s="146"/>
      <c r="S167" s="146"/>
    </row>
    <row r="168" spans="1:19" ht="17.25" thickBot="1">
      <c r="A168" s="109" t="s">
        <v>201</v>
      </c>
      <c r="B168" s="110">
        <v>248</v>
      </c>
      <c r="C168" s="70">
        <v>-1.5873015899999999E-2</v>
      </c>
      <c r="D168" s="15">
        <v>268</v>
      </c>
      <c r="E168" s="32">
        <f t="shared" ref="E168:E171" si="90">IF(ISNUMBER(D168), (D168 - $B168) / $B168, "")</f>
        <v>8.0645161290322578E-2</v>
      </c>
      <c r="F168" s="18">
        <f>IF(ISNUMBER(D168), $B172 * E168, "")</f>
        <v>12096.774193548386</v>
      </c>
      <c r="G168" s="31">
        <v>257</v>
      </c>
      <c r="H168" s="32">
        <f t="shared" ref="H168:H171" si="91">IF(ISNUMBER(G168), (G168 - $B168) / $B168, "")</f>
        <v>3.6290322580645164E-2</v>
      </c>
      <c r="I168" s="91">
        <f>IF(ISNUMBER(G168), $B172 * H168, "")</f>
        <v>5443.5483870967746</v>
      </c>
      <c r="J168" s="15">
        <v>258</v>
      </c>
      <c r="K168" s="32">
        <f t="shared" ref="K168:K171" si="92">IF(ISNUMBER(J168), (J168 - $B168) / $B168, "")</f>
        <v>4.0322580645161289E-2</v>
      </c>
      <c r="L168" s="18">
        <f>IF(ISNUMBER(J168), $B172 * K168, "")</f>
        <v>6048.3870967741932</v>
      </c>
      <c r="M168" s="31">
        <v>259</v>
      </c>
      <c r="N168" s="32">
        <f t="shared" ref="N168:N171" si="93">IF(ISNUMBER(M168), (M168 - $B168) / $B168, "")</f>
        <v>4.4354838709677422E-2</v>
      </c>
      <c r="O168" s="18">
        <f>IF(ISNUMBER(M168), $B172 * N168, "")</f>
        <v>6653.2258064516136</v>
      </c>
      <c r="Q168" s="146"/>
      <c r="R168" s="146"/>
      <c r="S168" s="146"/>
    </row>
    <row r="169" spans="1:19" ht="17.25" thickBot="1">
      <c r="A169" s="109" t="s">
        <v>89</v>
      </c>
      <c r="B169" s="110">
        <v>479</v>
      </c>
      <c r="C169" s="70">
        <v>-1.8442622999999998E-2</v>
      </c>
      <c r="D169" s="15">
        <v>496</v>
      </c>
      <c r="E169" s="32">
        <f t="shared" si="90"/>
        <v>3.5490605427974949E-2</v>
      </c>
      <c r="F169" s="18">
        <f>IF(ISNUMBER(D169), $B172 * E169, "")</f>
        <v>5323.5908141962427</v>
      </c>
      <c r="G169" s="31">
        <v>477</v>
      </c>
      <c r="H169" s="32">
        <f t="shared" si="91"/>
        <v>-4.1753653444676405E-3</v>
      </c>
      <c r="I169" s="91">
        <f>IF(ISNUMBER(G169), $B172 * H169, "")</f>
        <v>-626.30480167014605</v>
      </c>
      <c r="J169" s="15">
        <v>479</v>
      </c>
      <c r="K169" s="32">
        <f t="shared" si="92"/>
        <v>0</v>
      </c>
      <c r="L169" s="18">
        <f>IF(ISNUMBER(J169), $B172 * K169, "")</f>
        <v>0</v>
      </c>
      <c r="M169" s="31">
        <v>480</v>
      </c>
      <c r="N169" s="32">
        <f t="shared" si="93"/>
        <v>2.0876826722338203E-3</v>
      </c>
      <c r="O169" s="18">
        <f>IF(ISNUMBER(M169), $B172 * N169, "")</f>
        <v>313.15240083507302</v>
      </c>
      <c r="Q169" s="146"/>
      <c r="R169" s="146"/>
      <c r="S169" s="146"/>
    </row>
    <row r="170" spans="1:19">
      <c r="A170" s="109" t="s">
        <v>66</v>
      </c>
      <c r="B170" s="110">
        <v>727</v>
      </c>
      <c r="C170" s="70">
        <v>-2.2849462399999999E-2</v>
      </c>
      <c r="D170" s="15">
        <v>735</v>
      </c>
      <c r="E170" s="32">
        <f t="shared" si="90"/>
        <v>1.1004126547455296E-2</v>
      </c>
      <c r="F170" s="18">
        <f>IF(ISNUMBER(D170), $B172 * E170, "")</f>
        <v>1650.6189821182943</v>
      </c>
      <c r="G170" s="31">
        <v>716</v>
      </c>
      <c r="H170" s="32">
        <f t="shared" si="91"/>
        <v>-1.5130674002751032E-2</v>
      </c>
      <c r="I170" s="91">
        <f>IF(ISNUMBER(G170), $B172 * H170, "")</f>
        <v>-2269.6011004126549</v>
      </c>
      <c r="J170" s="15">
        <v>719</v>
      </c>
      <c r="K170" s="32">
        <f t="shared" si="92"/>
        <v>-1.1004126547455296E-2</v>
      </c>
      <c r="L170" s="18">
        <f>IF(ISNUMBER(J170), $B172 * K170, "")</f>
        <v>-1650.6189821182943</v>
      </c>
      <c r="M170" s="31">
        <v>729</v>
      </c>
      <c r="N170" s="32">
        <f t="shared" si="93"/>
        <v>2.751031636863824E-3</v>
      </c>
      <c r="O170" s="18">
        <f>IF(ISNUMBER(M170), $B172 * N170, "")</f>
        <v>412.65474552957357</v>
      </c>
      <c r="Q170" s="135"/>
      <c r="R170" s="136"/>
      <c r="S170" s="137"/>
    </row>
    <row r="171" spans="1:19" ht="17.25" thickBot="1">
      <c r="A171" s="114" t="s">
        <v>159</v>
      </c>
      <c r="B171" s="115">
        <v>191</v>
      </c>
      <c r="C171" s="72">
        <v>-3.04568528E-2</v>
      </c>
      <c r="D171" s="24">
        <v>210</v>
      </c>
      <c r="E171" s="25">
        <f t="shared" si="90"/>
        <v>9.947643979057591E-2</v>
      </c>
      <c r="F171" s="94">
        <f>IF(ISNUMBER(D171), $B172 * E171, "")</f>
        <v>14921.465968586386</v>
      </c>
      <c r="G171" s="92">
        <v>197</v>
      </c>
      <c r="H171" s="25">
        <f t="shared" si="91"/>
        <v>3.1413612565445025E-2</v>
      </c>
      <c r="I171" s="93">
        <f>IF(ISNUMBER(G171), $B172 * H171, "")</f>
        <v>4712.0418848167537</v>
      </c>
      <c r="J171" s="24">
        <v>198</v>
      </c>
      <c r="K171" s="25">
        <f t="shared" si="92"/>
        <v>3.6649214659685861E-2</v>
      </c>
      <c r="L171" s="94">
        <f>IF(ISNUMBER(J171), $B172 * K171, "")</f>
        <v>5497.3821989528788</v>
      </c>
      <c r="M171" s="92">
        <v>200</v>
      </c>
      <c r="N171" s="25">
        <f t="shared" si="93"/>
        <v>4.712041884816754E-2</v>
      </c>
      <c r="O171" s="94">
        <f>IF(ISNUMBER(M171), $B172 * N171, "")</f>
        <v>7068.0628272251306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4.4712375732188558E-2</v>
      </c>
      <c r="F172" s="28">
        <f>SUM(F152:F171)</f>
        <v>134137.12719656565</v>
      </c>
      <c r="G172" s="26" t="s">
        <v>258</v>
      </c>
      <c r="H172" s="27">
        <f>IF(COUNT(H152:H171), SUM(H152:H171) / COUNT(H152:H171), 0)</f>
        <v>1.297723738975301E-2</v>
      </c>
      <c r="I172" s="28">
        <f>SUM(I152:I171)</f>
        <v>38931.712169259037</v>
      </c>
      <c r="J172" s="26" t="s">
        <v>258</v>
      </c>
      <c r="K172" s="27">
        <f>IF(COUNT(K152:K171), SUM(K152:K171) / COUNT(K152:K171), 0)</f>
        <v>1.7368169183520084E-2</v>
      </c>
      <c r="L172" s="28">
        <f>SUM(L152:L171)</f>
        <v>52104.507550560244</v>
      </c>
      <c r="M172" s="26" t="s">
        <v>258</v>
      </c>
      <c r="N172" s="27">
        <f>IF(COUNT(N152:N171), SUM(N152:N171) / COUNT(N152:N171), 0)</f>
        <v>2.0198580149177355E-2</v>
      </c>
      <c r="O172" s="28">
        <f>SUM(O152:O171)</f>
        <v>60595.740447532065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2023-01-16(월) 오전 00:00</v>
      </c>
      <c r="C177" s="198"/>
      <c r="D177" s="170" t="str">
        <f>TEXT($G$1, "[$-ko-KR]yyyy-mm-dd(ddd) ") &amp; "오후 14:00"</f>
        <v>2023-01-16(월) 오후 14:00</v>
      </c>
      <c r="E177" s="171"/>
      <c r="F177" s="172"/>
      <c r="G177" s="170" t="str">
        <f>TEXT($G$1, "[$-ko-KR]yyyy-mm-dd(ddd) ") &amp; "오후 19:00"</f>
        <v>2023-01-16(월) 오후 19:00</v>
      </c>
      <c r="H177" s="171"/>
      <c r="I177" s="172"/>
      <c r="J177" s="170" t="str">
        <f>TEXT($G$1, "[$-ko-KR]yyyy-mm-dd(ddd) ") &amp; "오후 21:00"</f>
        <v>2023-01-16(월) 오후 21:00</v>
      </c>
      <c r="K177" s="171"/>
      <c r="L177" s="172"/>
      <c r="M177" s="170" t="str">
        <f>TEXT($G$1+1, "[$-ko-KR]yyyy-mm-dd(ddd) ") &amp; "오전 00:00"</f>
        <v>2023-01-17(화)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347</v>
      </c>
      <c r="B179" s="108">
        <v>20720</v>
      </c>
      <c r="C179" s="69">
        <v>-1.0978520300000001E-2</v>
      </c>
      <c r="D179" s="13">
        <v>20950</v>
      </c>
      <c r="E179" s="14">
        <f>IF(ISNUMBER(D179), (D179 - $B179) / $B179, "")</f>
        <v>1.1100386100386101E-2</v>
      </c>
      <c r="F179" s="16">
        <f>IF(ISNUMBER(D179), $B199 * E179, "")</f>
        <v>1665.0579150579151</v>
      </c>
      <c r="G179" s="29">
        <v>20510</v>
      </c>
      <c r="H179" s="14">
        <f>IF(ISNUMBER(G179), (G179 - $B179) / $B179, "")</f>
        <v>-1.0135135135135136E-2</v>
      </c>
      <c r="I179" s="90">
        <f>IF(ISNUMBER(G179), $B199 * H179, "")</f>
        <v>-1520.2702702702704</v>
      </c>
      <c r="J179" s="13">
        <v>20490</v>
      </c>
      <c r="K179" s="14">
        <f>IF(ISNUMBER(J179), (J179 - $B179) / $B179, "")</f>
        <v>-1.1100386100386101E-2</v>
      </c>
      <c r="L179" s="16">
        <f>IF(ISNUMBER(J179), $B199 * K179, "")</f>
        <v>-1665.0579150579151</v>
      </c>
      <c r="M179" s="29">
        <v>20570</v>
      </c>
      <c r="N179" s="14">
        <f>IF(ISNUMBER(M179), (M179 - $B179) / $B179, "")</f>
        <v>-7.2393822393822397E-3</v>
      </c>
      <c r="O179" s="16">
        <f>IF(ISNUMBER(M179), $B199 * N179, "")</f>
        <v>-1085.9073359073359</v>
      </c>
      <c r="Q179" s="156"/>
      <c r="R179" s="156"/>
      <c r="S179" s="156"/>
    </row>
    <row r="180" spans="1:19" ht="17.25" thickBot="1">
      <c r="A180" s="109" t="s">
        <v>103</v>
      </c>
      <c r="B180" s="110">
        <v>252</v>
      </c>
      <c r="C180" s="70">
        <v>-1.17647059E-2</v>
      </c>
      <c r="D180" s="15">
        <v>256</v>
      </c>
      <c r="E180" s="32">
        <f t="shared" ref="E180:E183" si="94">IF(ISNUMBER(D180), (D180 - $B180) / $B180, "")</f>
        <v>1.5873015873015872E-2</v>
      </c>
      <c r="F180" s="18">
        <f>IF(ISNUMBER(D180), $B199 * E180, "")</f>
        <v>2380.9523809523807</v>
      </c>
      <c r="G180" s="31">
        <v>252</v>
      </c>
      <c r="H180" s="32">
        <f t="shared" ref="H180:H183" si="95">IF(ISNUMBER(G180), (G180 - $B180) / $B180, "")</f>
        <v>0</v>
      </c>
      <c r="I180" s="91">
        <f>IF(ISNUMBER(G180), $B199 * H180, "")</f>
        <v>0</v>
      </c>
      <c r="J180" s="15">
        <v>252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255</v>
      </c>
      <c r="N180" s="32">
        <f t="shared" ref="N180:N183" si="97">IF(ISNUMBER(M180), (M180 - $B180) / $B180, "")</f>
        <v>1.1904761904761904E-2</v>
      </c>
      <c r="O180" s="18">
        <f>IF(ISNUMBER(M180), $B199 * N180, "")</f>
        <v>1785.7142857142856</v>
      </c>
      <c r="Q180" s="156"/>
      <c r="R180" s="156"/>
      <c r="S180" s="156"/>
    </row>
    <row r="181" spans="1:19" ht="17.25" thickBot="1">
      <c r="A181" s="109" t="s">
        <v>153</v>
      </c>
      <c r="B181" s="110">
        <v>415</v>
      </c>
      <c r="C181" s="70">
        <v>-1.42517815E-2</v>
      </c>
      <c r="D181" s="15">
        <v>426</v>
      </c>
      <c r="E181" s="32">
        <f t="shared" si="94"/>
        <v>2.6506024096385541E-2</v>
      </c>
      <c r="F181" s="18">
        <f>IF(ISNUMBER(D181), $B199 * E181, "")</f>
        <v>3975.9036144578313</v>
      </c>
      <c r="G181" s="31">
        <v>416</v>
      </c>
      <c r="H181" s="32">
        <f t="shared" si="95"/>
        <v>2.4096385542168677E-3</v>
      </c>
      <c r="I181" s="91">
        <f>IF(ISNUMBER(G181), $B199 * H181, "")</f>
        <v>361.44578313253015</v>
      </c>
      <c r="J181" s="15">
        <v>416</v>
      </c>
      <c r="K181" s="32">
        <f t="shared" si="96"/>
        <v>2.4096385542168677E-3</v>
      </c>
      <c r="L181" s="18">
        <f>IF(ISNUMBER(J181), $B199 * K181, "")</f>
        <v>361.44578313253015</v>
      </c>
      <c r="M181" s="31">
        <v>416</v>
      </c>
      <c r="N181" s="32">
        <f t="shared" si="97"/>
        <v>2.4096385542168677E-3</v>
      </c>
      <c r="O181" s="18">
        <f>IF(ISNUMBER(M181), $B199 * N181, "")</f>
        <v>361.44578313253015</v>
      </c>
      <c r="Q181" s="146"/>
      <c r="R181" s="146"/>
      <c r="S181" s="146"/>
    </row>
    <row r="182" spans="1:19" ht="17.25" thickBot="1">
      <c r="A182" s="109" t="s">
        <v>99</v>
      </c>
      <c r="B182" s="110">
        <v>27410</v>
      </c>
      <c r="C182" s="70">
        <v>-1.50916277E-2</v>
      </c>
      <c r="D182" s="15">
        <v>27820</v>
      </c>
      <c r="E182" s="32">
        <f t="shared" si="94"/>
        <v>1.4958044509303174E-2</v>
      </c>
      <c r="F182" s="18">
        <f>IF(ISNUMBER(D182), $B199 * E182, "")</f>
        <v>2243.7066763954763</v>
      </c>
      <c r="G182" s="31">
        <v>27040</v>
      </c>
      <c r="H182" s="32">
        <f t="shared" si="95"/>
        <v>-1.34987230937614E-2</v>
      </c>
      <c r="I182" s="91">
        <f>IF(ISNUMBER(G182), $B199 * H182, "")</f>
        <v>-2024.8084640642101</v>
      </c>
      <c r="J182" s="15">
        <v>27130</v>
      </c>
      <c r="K182" s="32">
        <f t="shared" si="96"/>
        <v>-1.0215249908792412E-2</v>
      </c>
      <c r="L182" s="18">
        <f>IF(ISNUMBER(J182), $B199 * K182, "")</f>
        <v>-1532.2874863188617</v>
      </c>
      <c r="M182" s="31">
        <v>27020</v>
      </c>
      <c r="N182" s="32">
        <f t="shared" si="97"/>
        <v>-1.4228383801532287E-2</v>
      </c>
      <c r="O182" s="18">
        <f>IF(ISNUMBER(M182), $B199 * N182, "")</f>
        <v>-2134.2575702298432</v>
      </c>
      <c r="Q182" s="146"/>
      <c r="R182" s="146"/>
      <c r="S182" s="146"/>
    </row>
    <row r="183" spans="1:19" ht="17.25" thickBot="1">
      <c r="A183" s="111" t="s">
        <v>87</v>
      </c>
      <c r="B183" s="112">
        <v>55690</v>
      </c>
      <c r="C183" s="71">
        <v>-1.52077807E-2</v>
      </c>
      <c r="D183" s="20">
        <v>55990</v>
      </c>
      <c r="E183" s="21">
        <f t="shared" si="94"/>
        <v>5.3869635482133235E-3</v>
      </c>
      <c r="F183" s="22">
        <f>IF(ISNUMBER(D183), $B199 * E183, "")</f>
        <v>808.04453223199857</v>
      </c>
      <c r="G183" s="30">
        <v>54600</v>
      </c>
      <c r="H183" s="21">
        <f t="shared" si="95"/>
        <v>-1.9572634225175075E-2</v>
      </c>
      <c r="I183" s="95">
        <f>IF(ISNUMBER(G183), $B199 * H183, "")</f>
        <v>-2935.8951337762614</v>
      </c>
      <c r="J183" s="20">
        <v>54810</v>
      </c>
      <c r="K183" s="21">
        <f t="shared" si="96"/>
        <v>-1.5801759741425749E-2</v>
      </c>
      <c r="L183" s="22">
        <f>IF(ISNUMBER(J183), $B199 * K183, "")</f>
        <v>-2370.2639612138623</v>
      </c>
      <c r="M183" s="30">
        <v>55020</v>
      </c>
      <c r="N183" s="21">
        <f t="shared" si="97"/>
        <v>-1.2030885257676423E-2</v>
      </c>
      <c r="O183" s="22">
        <f>IF(ISNUMBER(M183), $B199 * N183, "")</f>
        <v>-1804.6327886514634</v>
      </c>
      <c r="Q183" s="146"/>
      <c r="R183" s="146"/>
      <c r="S183" s="146"/>
    </row>
    <row r="184" spans="1:19" ht="17.25" thickBot="1">
      <c r="A184" s="109" t="s">
        <v>178</v>
      </c>
      <c r="B184" s="113">
        <v>1615</v>
      </c>
      <c r="C184" s="73">
        <v>-1.52439024E-2</v>
      </c>
      <c r="D184" s="96">
        <v>1640</v>
      </c>
      <c r="E184" s="97">
        <f>IF(ISNUMBER(D184), (D184 - $B184) / $B184, "")</f>
        <v>1.5479876160990712E-2</v>
      </c>
      <c r="F184" s="98">
        <f>IF(ISNUMBER(D184), $B199 * E184, "")</f>
        <v>2321.9814241486069</v>
      </c>
      <c r="G184" s="99">
        <v>1595</v>
      </c>
      <c r="H184" s="97">
        <f>IF(ISNUMBER(G184), (G184 - $B184) / $B184, "")</f>
        <v>-1.238390092879257E-2</v>
      </c>
      <c r="I184" s="100">
        <f>IF(ISNUMBER(G184), $B199 * H184, "")</f>
        <v>-1857.5851393188855</v>
      </c>
      <c r="J184" s="96">
        <v>1595</v>
      </c>
      <c r="K184" s="97">
        <f>IF(ISNUMBER(J184), (J184 - $B184) / $B184, "")</f>
        <v>-1.238390092879257E-2</v>
      </c>
      <c r="L184" s="98">
        <f>IF(ISNUMBER(J184), $B199 * K184, "")</f>
        <v>-1857.5851393188855</v>
      </c>
      <c r="M184" s="99">
        <v>1600</v>
      </c>
      <c r="N184" s="97">
        <f>IF(ISNUMBER(M184), (M184 - $B184) / $B184, "")</f>
        <v>-9.2879256965944269E-3</v>
      </c>
      <c r="O184" s="98">
        <f>IF(ISNUMBER(M184), $B199 * N184, "")</f>
        <v>-1393.188854489164</v>
      </c>
      <c r="Q184" s="146"/>
      <c r="R184" s="146"/>
      <c r="S184" s="146"/>
    </row>
    <row r="185" spans="1:19" ht="17.25" thickBot="1">
      <c r="A185" s="109" t="s">
        <v>201</v>
      </c>
      <c r="B185" s="110">
        <v>248</v>
      </c>
      <c r="C185" s="70">
        <v>-1.5873015899999999E-2</v>
      </c>
      <c r="D185" s="15">
        <v>268</v>
      </c>
      <c r="E185" s="32">
        <f t="shared" ref="E185:E188" si="98">IF(ISNUMBER(D185), (D185 - $B185) / $B185, "")</f>
        <v>8.0645161290322578E-2</v>
      </c>
      <c r="F185" s="18">
        <f>IF(ISNUMBER(D185), $B199 * E185, "")</f>
        <v>12096.774193548386</v>
      </c>
      <c r="G185" s="31">
        <v>257</v>
      </c>
      <c r="H185" s="32">
        <f t="shared" ref="H185:H188" si="99">IF(ISNUMBER(G185), (G185 - $B185) / $B185, "")</f>
        <v>3.6290322580645164E-2</v>
      </c>
      <c r="I185" s="91">
        <f>IF(ISNUMBER(G185), $B199 * H185, "")</f>
        <v>5443.5483870967746</v>
      </c>
      <c r="J185" s="15">
        <v>258</v>
      </c>
      <c r="K185" s="32">
        <f t="shared" ref="K185:K188" si="100">IF(ISNUMBER(J185), (J185 - $B185) / $B185, "")</f>
        <v>4.0322580645161289E-2</v>
      </c>
      <c r="L185" s="18">
        <f>IF(ISNUMBER(J185), $B199 * K185, "")</f>
        <v>6048.3870967741932</v>
      </c>
      <c r="M185" s="31">
        <v>259</v>
      </c>
      <c r="N185" s="32">
        <f t="shared" ref="N185:N188" si="101">IF(ISNUMBER(M185), (M185 - $B185) / $B185, "")</f>
        <v>4.4354838709677422E-2</v>
      </c>
      <c r="O185" s="18">
        <f>IF(ISNUMBER(M185), $B199 * N185, "")</f>
        <v>6653.2258064516136</v>
      </c>
      <c r="Q185" s="146"/>
      <c r="R185" s="146"/>
      <c r="S185" s="146"/>
    </row>
    <row r="186" spans="1:19" ht="17.25" thickBot="1">
      <c r="A186" s="109" t="s">
        <v>335</v>
      </c>
      <c r="B186" s="110">
        <v>2730</v>
      </c>
      <c r="C186" s="70">
        <v>-1.7985611499999998E-2</v>
      </c>
      <c r="D186" s="15">
        <v>2920</v>
      </c>
      <c r="E186" s="32">
        <f t="shared" si="98"/>
        <v>6.95970695970696E-2</v>
      </c>
      <c r="F186" s="18">
        <f>IF(ISNUMBER(D186), $B199 * E186, "")</f>
        <v>10439.56043956044</v>
      </c>
      <c r="G186" s="31">
        <v>2710</v>
      </c>
      <c r="H186" s="32">
        <f t="shared" si="99"/>
        <v>-7.326007326007326E-3</v>
      </c>
      <c r="I186" s="91">
        <f>IF(ISNUMBER(G186), $B199 * H186, "")</f>
        <v>-1098.901098901099</v>
      </c>
      <c r="J186" s="15">
        <v>2700</v>
      </c>
      <c r="K186" s="32">
        <f t="shared" si="100"/>
        <v>-1.098901098901099E-2</v>
      </c>
      <c r="L186" s="18">
        <f>IF(ISNUMBER(J186), $B199 * K186, "")</f>
        <v>-1648.3516483516485</v>
      </c>
      <c r="M186" s="31">
        <v>2670</v>
      </c>
      <c r="N186" s="32">
        <f t="shared" si="101"/>
        <v>-2.197802197802198E-2</v>
      </c>
      <c r="O186" s="18">
        <f>IF(ISNUMBER(M186), $B199 * N186, "")</f>
        <v>-3296.7032967032969</v>
      </c>
      <c r="Q186" s="146"/>
      <c r="R186" s="146"/>
      <c r="S186" s="146"/>
    </row>
    <row r="187" spans="1:19" ht="17.25" thickBot="1">
      <c r="A187" s="109" t="s">
        <v>89</v>
      </c>
      <c r="B187" s="110">
        <v>479</v>
      </c>
      <c r="C187" s="70">
        <v>-1.8442622999999998E-2</v>
      </c>
      <c r="D187" s="15">
        <v>496</v>
      </c>
      <c r="E187" s="32">
        <f t="shared" si="98"/>
        <v>3.5490605427974949E-2</v>
      </c>
      <c r="F187" s="18">
        <f>IF(ISNUMBER(D187), $B199 * E187, "")</f>
        <v>5323.5908141962427</v>
      </c>
      <c r="G187" s="31">
        <v>477</v>
      </c>
      <c r="H187" s="32">
        <f t="shared" si="99"/>
        <v>-4.1753653444676405E-3</v>
      </c>
      <c r="I187" s="91">
        <f>IF(ISNUMBER(G187), $B199 * H187, "")</f>
        <v>-626.30480167014605</v>
      </c>
      <c r="J187" s="15">
        <v>479</v>
      </c>
      <c r="K187" s="32">
        <f t="shared" si="100"/>
        <v>0</v>
      </c>
      <c r="L187" s="18">
        <f>IF(ISNUMBER(J187), $B199 * K187, "")</f>
        <v>0</v>
      </c>
      <c r="M187" s="31">
        <v>480</v>
      </c>
      <c r="N187" s="32">
        <f t="shared" si="101"/>
        <v>2.0876826722338203E-3</v>
      </c>
      <c r="O187" s="18">
        <f>IF(ISNUMBER(M187), $B199 * N187, "")</f>
        <v>313.15240083507302</v>
      </c>
      <c r="Q187" s="33"/>
      <c r="R187" s="33"/>
    </row>
    <row r="188" spans="1:19" ht="17.25" thickBot="1">
      <c r="A188" s="114" t="s">
        <v>163</v>
      </c>
      <c r="B188" s="115">
        <v>6725</v>
      </c>
      <c r="C188" s="72">
        <v>-1.89642597E-2</v>
      </c>
      <c r="D188" s="24">
        <v>6885</v>
      </c>
      <c r="E188" s="25">
        <f t="shared" si="98"/>
        <v>2.379182156133829E-2</v>
      </c>
      <c r="F188" s="94">
        <f>IF(ISNUMBER(D188), $B199 * E188, "")</f>
        <v>3568.7732342007434</v>
      </c>
      <c r="G188" s="92">
        <v>6630</v>
      </c>
      <c r="H188" s="25">
        <f t="shared" si="99"/>
        <v>-1.412639405204461E-2</v>
      </c>
      <c r="I188" s="93">
        <f>IF(ISNUMBER(G188), $B199 * H188, "")</f>
        <v>-2118.9591078066915</v>
      </c>
      <c r="J188" s="24">
        <v>6675</v>
      </c>
      <c r="K188" s="25">
        <f t="shared" si="100"/>
        <v>-7.4349442379182153E-3</v>
      </c>
      <c r="L188" s="94">
        <f>IF(ISNUMBER(J188), $B199 * K188, "")</f>
        <v>-1115.2416356877322</v>
      </c>
      <c r="M188" s="92">
        <v>6710</v>
      </c>
      <c r="N188" s="25">
        <f t="shared" si="101"/>
        <v>-2.2304832713754648E-3</v>
      </c>
      <c r="O188" s="94">
        <f>IF(ISNUMBER(M188), $B199 * N188, "")</f>
        <v>-334.57249070631974</v>
      </c>
      <c r="Q188" s="147"/>
      <c r="R188" s="148"/>
      <c r="S188" s="149"/>
    </row>
    <row r="189" spans="1:19">
      <c r="A189" s="107" t="s">
        <v>66</v>
      </c>
      <c r="B189" s="108">
        <v>727</v>
      </c>
      <c r="C189" s="69">
        <v>-2.2849462399999999E-2</v>
      </c>
      <c r="D189" s="13">
        <v>735</v>
      </c>
      <c r="E189" s="14">
        <f>IF(ISNUMBER(D189), (D189 - $B189) / $B189, "")</f>
        <v>1.1004126547455296E-2</v>
      </c>
      <c r="F189" s="16">
        <f>IF(ISNUMBER(D189), $B199 * E189, "")</f>
        <v>1650.6189821182943</v>
      </c>
      <c r="G189" s="29">
        <v>716</v>
      </c>
      <c r="H189" s="14">
        <f>IF(ISNUMBER(G189), (G189 - $B189) / $B189, "")</f>
        <v>-1.5130674002751032E-2</v>
      </c>
      <c r="I189" s="90">
        <f>IF(ISNUMBER(G189), $B199 * H189, "")</f>
        <v>-2269.6011004126549</v>
      </c>
      <c r="J189" s="13">
        <v>719</v>
      </c>
      <c r="K189" s="14">
        <f>IF(ISNUMBER(J189), (J189 - $B189) / $B189, "")</f>
        <v>-1.1004126547455296E-2</v>
      </c>
      <c r="L189" s="16">
        <f>IF(ISNUMBER(J189), $B199 * K189, "")</f>
        <v>-1650.6189821182943</v>
      </c>
      <c r="M189" s="29">
        <v>729</v>
      </c>
      <c r="N189" s="14">
        <f>IF(ISNUMBER(M189), (M189 - $B189) / $B189, "")</f>
        <v>2.751031636863824E-3</v>
      </c>
      <c r="O189" s="16">
        <f>IF(ISNUMBER(M189), $B199 * N189, "")</f>
        <v>412.65474552957357</v>
      </c>
      <c r="Q189" s="150"/>
      <c r="R189" s="151"/>
      <c r="S189" s="152"/>
    </row>
    <row r="190" spans="1:19" ht="17.25" thickBot="1">
      <c r="A190" s="109" t="s">
        <v>329</v>
      </c>
      <c r="B190" s="110">
        <v>64</v>
      </c>
      <c r="C190" s="70">
        <v>-2.2900763399999999E-2</v>
      </c>
      <c r="D190" s="15">
        <v>65.7</v>
      </c>
      <c r="E190" s="32">
        <f t="shared" ref="E190:E193" si="102">IF(ISNUMBER(D190), (D190 - $B190) / $B190, "")</f>
        <v>2.6562500000000044E-2</v>
      </c>
      <c r="F190" s="18">
        <f>IF(ISNUMBER(D190), $B199 * E190, "")</f>
        <v>3984.3750000000068</v>
      </c>
      <c r="G190" s="31">
        <v>64.8</v>
      </c>
      <c r="H190" s="32">
        <f t="shared" ref="H190:H193" si="103">IF(ISNUMBER(G190), (G190 - $B190) / $B190, "")</f>
        <v>1.2499999999999956E-2</v>
      </c>
      <c r="I190" s="91">
        <f>IF(ISNUMBER(G190), $B199 * H190, "")</f>
        <v>1874.9999999999934</v>
      </c>
      <c r="J190" s="15">
        <v>65.8</v>
      </c>
      <c r="K190" s="32">
        <f t="shared" ref="K190:K193" si="104">IF(ISNUMBER(J190), (J190 - $B190) / $B190, "")</f>
        <v>2.8124999999999956E-2</v>
      </c>
      <c r="L190" s="18">
        <f>IF(ISNUMBER(J190), $B199 * K190, "")</f>
        <v>4218.7499999999936</v>
      </c>
      <c r="M190" s="31">
        <v>64.8</v>
      </c>
      <c r="N190" s="32">
        <f t="shared" ref="N190:N193" si="105">IF(ISNUMBER(M190), (M190 - $B190) / $B190, "")</f>
        <v>1.2499999999999956E-2</v>
      </c>
      <c r="O190" s="18">
        <f>IF(ISNUMBER(M190), $B199 * N190, "")</f>
        <v>1874.9999999999934</v>
      </c>
      <c r="Q190" s="153"/>
      <c r="R190" s="154"/>
      <c r="S190" s="155"/>
    </row>
    <row r="191" spans="1:19" ht="17.25" thickBot="1">
      <c r="A191" s="109" t="s">
        <v>324</v>
      </c>
      <c r="B191" s="110">
        <v>91.3</v>
      </c>
      <c r="C191" s="70">
        <v>-2.5613660600000001E-2</v>
      </c>
      <c r="D191" s="15">
        <v>92.6</v>
      </c>
      <c r="E191" s="32">
        <f t="shared" si="102"/>
        <v>1.4238773274917823E-2</v>
      </c>
      <c r="F191" s="18">
        <f>IF(ISNUMBER(D191), $B199 * E191, "")</f>
        <v>2135.8159912376732</v>
      </c>
      <c r="G191" s="31">
        <v>101</v>
      </c>
      <c r="H191" s="32">
        <f t="shared" si="103"/>
        <v>0.10624315443592555</v>
      </c>
      <c r="I191" s="91">
        <f>IF(ISNUMBER(G191), $B199 * H191, "")</f>
        <v>15936.473165388832</v>
      </c>
      <c r="J191" s="15">
        <v>99.8</v>
      </c>
      <c r="K191" s="32">
        <f t="shared" si="104"/>
        <v>9.3099671412924426E-2</v>
      </c>
      <c r="L191" s="18">
        <f>IF(ISNUMBER(J191), $B199 * K191, "")</f>
        <v>13964.950711938664</v>
      </c>
      <c r="M191" s="31">
        <v>99.5</v>
      </c>
      <c r="N191" s="32">
        <f t="shared" si="105"/>
        <v>8.9813800657174189E-2</v>
      </c>
      <c r="O191" s="18">
        <f>IF(ISNUMBER(M191), $B199 * N191, "")</f>
        <v>13472.070098576129</v>
      </c>
      <c r="Q191" s="146"/>
      <c r="R191" s="146"/>
      <c r="S191" s="146"/>
    </row>
    <row r="192" spans="1:19" ht="17.25" thickBot="1">
      <c r="A192" s="109" t="s">
        <v>147</v>
      </c>
      <c r="B192" s="110">
        <v>11240</v>
      </c>
      <c r="C192" s="70">
        <v>-2.7681660899999998E-2</v>
      </c>
      <c r="D192" s="15">
        <v>11630</v>
      </c>
      <c r="E192" s="32">
        <f t="shared" si="102"/>
        <v>3.4697508896797152E-2</v>
      </c>
      <c r="F192" s="18">
        <f>IF(ISNUMBER(D192), $B199 * E192, "")</f>
        <v>5204.626334519573</v>
      </c>
      <c r="G192" s="31">
        <v>11050</v>
      </c>
      <c r="H192" s="32">
        <f t="shared" si="103"/>
        <v>-1.6903914590747332E-2</v>
      </c>
      <c r="I192" s="91">
        <f>IF(ISNUMBER(G192), $B199 * H192, "")</f>
        <v>-2535.5871886120999</v>
      </c>
      <c r="J192" s="15">
        <v>11070</v>
      </c>
      <c r="K192" s="32">
        <f t="shared" si="104"/>
        <v>-1.5124555160142349E-2</v>
      </c>
      <c r="L192" s="18">
        <f>IF(ISNUMBER(J192), $B199 * K192, "")</f>
        <v>-2268.6832740213522</v>
      </c>
      <c r="M192" s="31">
        <v>11020</v>
      </c>
      <c r="N192" s="32">
        <f t="shared" si="105"/>
        <v>-1.9572953736654804E-2</v>
      </c>
      <c r="O192" s="18">
        <f>IF(ISNUMBER(M192), $B199 * N192, "")</f>
        <v>-2935.9430604982203</v>
      </c>
      <c r="Q192" s="156"/>
      <c r="R192" s="156"/>
      <c r="S192" s="156"/>
    </row>
    <row r="193" spans="1:19" ht="17.25" thickBot="1">
      <c r="A193" s="111" t="s">
        <v>126</v>
      </c>
      <c r="B193" s="112">
        <v>31.9</v>
      </c>
      <c r="C193" s="71">
        <v>-3.03951368E-2</v>
      </c>
      <c r="D193" s="20">
        <v>34.299999999999997</v>
      </c>
      <c r="E193" s="21">
        <f t="shared" si="102"/>
        <v>7.5235109717868301E-2</v>
      </c>
      <c r="F193" s="22">
        <f>IF(ISNUMBER(D193), $B199 * E193, "")</f>
        <v>11285.266457680245</v>
      </c>
      <c r="G193" s="30">
        <v>34.9</v>
      </c>
      <c r="H193" s="21">
        <f t="shared" si="103"/>
        <v>9.4043887147335428E-2</v>
      </c>
      <c r="I193" s="95">
        <f>IF(ISNUMBER(G193), $B199 * H193, "")</f>
        <v>14106.583072100315</v>
      </c>
      <c r="J193" s="20">
        <v>34.700000000000003</v>
      </c>
      <c r="K193" s="21">
        <f t="shared" si="104"/>
        <v>8.7774294670846534E-2</v>
      </c>
      <c r="L193" s="22">
        <f>IF(ISNUMBER(J193), $B199 * K193, "")</f>
        <v>13166.144200626981</v>
      </c>
      <c r="M193" s="30">
        <v>34</v>
      </c>
      <c r="N193" s="21">
        <f t="shared" si="105"/>
        <v>6.5830721003134848E-2</v>
      </c>
      <c r="O193" s="22">
        <f>IF(ISNUMBER(M193), $B199 * N193, "")</f>
        <v>9874.608150470227</v>
      </c>
      <c r="Q193" s="156"/>
      <c r="R193" s="156"/>
      <c r="S193" s="156"/>
    </row>
    <row r="194" spans="1:19" ht="17.25" thickBot="1">
      <c r="A194" s="109" t="s">
        <v>159</v>
      </c>
      <c r="B194" s="113">
        <v>191</v>
      </c>
      <c r="C194" s="73">
        <v>-3.04568528E-2</v>
      </c>
      <c r="D194" s="96">
        <v>210</v>
      </c>
      <c r="E194" s="97">
        <f>IF(ISNUMBER(D194), (D194 - $B194) / $B194, "")</f>
        <v>9.947643979057591E-2</v>
      </c>
      <c r="F194" s="98">
        <f>IF(ISNUMBER(D194), $B199 * E194, "")</f>
        <v>14921.465968586386</v>
      </c>
      <c r="G194" s="99">
        <v>197</v>
      </c>
      <c r="H194" s="97">
        <f>IF(ISNUMBER(G194), (G194 - $B194) / $B194, "")</f>
        <v>3.1413612565445025E-2</v>
      </c>
      <c r="I194" s="100">
        <f>IF(ISNUMBER(G194), $B199 * H194, "")</f>
        <v>4712.0418848167537</v>
      </c>
      <c r="J194" s="96">
        <v>198</v>
      </c>
      <c r="K194" s="97">
        <f>IF(ISNUMBER(J194), (J194 - $B194) / $B194, "")</f>
        <v>3.6649214659685861E-2</v>
      </c>
      <c r="L194" s="98">
        <f>IF(ISNUMBER(J194), $B199 * K194, "")</f>
        <v>5497.3821989528788</v>
      </c>
      <c r="M194" s="99">
        <v>200</v>
      </c>
      <c r="N194" s="97">
        <f>IF(ISNUMBER(M194), (M194 - $B194) / $B194, "")</f>
        <v>4.712041884816754E-2</v>
      </c>
      <c r="O194" s="98">
        <f>IF(ISNUMBER(M194), $B199 * N194, "")</f>
        <v>7068.0628272251306</v>
      </c>
      <c r="Q194" s="146"/>
      <c r="R194" s="146"/>
      <c r="S194" s="146"/>
    </row>
    <row r="195" spans="1:19" ht="17.25" thickBot="1">
      <c r="A195" s="109" t="s">
        <v>91</v>
      </c>
      <c r="B195" s="110">
        <v>19710</v>
      </c>
      <c r="C195" s="70">
        <v>-3.3349681200000002E-2</v>
      </c>
      <c r="D195" s="15">
        <v>19890</v>
      </c>
      <c r="E195" s="32">
        <f t="shared" ref="E195:E198" si="106">IF(ISNUMBER(D195), (D195 - $B195) / $B195, "")</f>
        <v>9.1324200913242004E-3</v>
      </c>
      <c r="F195" s="18">
        <f>IF(ISNUMBER(D195), $B199 * E195, "")</f>
        <v>1369.8630136986301</v>
      </c>
      <c r="G195" s="31">
        <v>19280</v>
      </c>
      <c r="H195" s="32">
        <f t="shared" ref="H195:H198" si="107">IF(ISNUMBER(G195), (G195 - $B195) / $B195, "")</f>
        <v>-2.1816336884830034E-2</v>
      </c>
      <c r="I195" s="91">
        <f>IF(ISNUMBER(G195), $B199 * H195, "")</f>
        <v>-3272.4505327245051</v>
      </c>
      <c r="J195" s="15">
        <v>19390</v>
      </c>
      <c r="K195" s="32">
        <f t="shared" ref="K195:K198" si="108">IF(ISNUMBER(J195), (J195 - $B195) / $B195, "")</f>
        <v>-1.6235413495687467E-2</v>
      </c>
      <c r="L195" s="18">
        <f>IF(ISNUMBER(J195), $B199 * K195, "")</f>
        <v>-2435.3120243531203</v>
      </c>
      <c r="M195" s="31">
        <v>19380</v>
      </c>
      <c r="N195" s="32">
        <f t="shared" ref="N195:N198" si="109">IF(ISNUMBER(M195), (M195 - $B195) / $B195, "")</f>
        <v>-1.6742770167427701E-2</v>
      </c>
      <c r="O195" s="18">
        <f>IF(ISNUMBER(M195), $B199 * N195, "")</f>
        <v>-2511.4155251141551</v>
      </c>
      <c r="Q195" s="146"/>
      <c r="R195" s="146"/>
      <c r="S195" s="146"/>
    </row>
    <row r="196" spans="1:19" ht="17.25" thickBot="1">
      <c r="A196" s="109" t="s">
        <v>343</v>
      </c>
      <c r="B196" s="110">
        <v>28910</v>
      </c>
      <c r="C196" s="70">
        <v>-3.4079518900000001E-2</v>
      </c>
      <c r="D196" s="15">
        <v>28770</v>
      </c>
      <c r="E196" s="32">
        <f t="shared" si="106"/>
        <v>-4.8426150121065378E-3</v>
      </c>
      <c r="F196" s="18">
        <f>IF(ISNUMBER(D196), $B199 * E196, "")</f>
        <v>-726.39225181598067</v>
      </c>
      <c r="G196" s="31">
        <v>28980</v>
      </c>
      <c r="H196" s="32">
        <f t="shared" si="107"/>
        <v>2.4213075060532689E-3</v>
      </c>
      <c r="I196" s="91">
        <f>IF(ISNUMBER(G196), $B199 * H196, "")</f>
        <v>363.19612590799034</v>
      </c>
      <c r="J196" s="15">
        <v>29100</v>
      </c>
      <c r="K196" s="32">
        <f t="shared" si="108"/>
        <v>6.5721203735731584E-3</v>
      </c>
      <c r="L196" s="18">
        <f>IF(ISNUMBER(J196), $B199 * K196, "")</f>
        <v>985.81805603597377</v>
      </c>
      <c r="M196" s="31">
        <v>28770</v>
      </c>
      <c r="N196" s="32">
        <f t="shared" si="109"/>
        <v>-4.8426150121065378E-3</v>
      </c>
      <c r="O196" s="18">
        <f>IF(ISNUMBER(M196), $B199 * N196, "")</f>
        <v>-726.39225181598067</v>
      </c>
      <c r="Q196" s="146"/>
      <c r="R196" s="146"/>
      <c r="S196" s="146"/>
    </row>
    <row r="197" spans="1:19">
      <c r="A197" s="109" t="s">
        <v>217</v>
      </c>
      <c r="B197" s="110">
        <v>73.400000000000006</v>
      </c>
      <c r="C197" s="70">
        <v>-3.9267015699999998E-2</v>
      </c>
      <c r="D197" s="15">
        <v>74.8</v>
      </c>
      <c r="E197" s="32">
        <f t="shared" si="106"/>
        <v>1.9073569482288711E-2</v>
      </c>
      <c r="F197" s="18">
        <f>IF(ISNUMBER(D197), $B199 * E197, "")</f>
        <v>2861.0354223433064</v>
      </c>
      <c r="G197" s="31">
        <v>72.7</v>
      </c>
      <c r="H197" s="32">
        <f t="shared" si="107"/>
        <v>-9.5367847411444526E-3</v>
      </c>
      <c r="I197" s="91">
        <f>IF(ISNUMBER(G197), $B199 * H197, "")</f>
        <v>-1430.517711171668</v>
      </c>
      <c r="J197" s="15">
        <v>73.3</v>
      </c>
      <c r="K197" s="32">
        <f t="shared" si="108"/>
        <v>-1.3623978201636037E-3</v>
      </c>
      <c r="L197" s="18">
        <f>IF(ISNUMBER(J197), $B199 * K197, "")</f>
        <v>-204.35967302454054</v>
      </c>
      <c r="M197" s="31">
        <v>73</v>
      </c>
      <c r="N197" s="32">
        <f t="shared" si="109"/>
        <v>-5.449591280654028E-3</v>
      </c>
      <c r="O197" s="18">
        <f>IF(ISNUMBER(M197), $B199 * N197, "")</f>
        <v>-817.43869209810418</v>
      </c>
      <c r="Q197" s="135"/>
      <c r="R197" s="136"/>
      <c r="S197" s="137"/>
    </row>
    <row r="198" spans="1:19" ht="17.25" thickBot="1">
      <c r="A198" s="114" t="s">
        <v>174</v>
      </c>
      <c r="B198" s="115">
        <v>15380</v>
      </c>
      <c r="C198" s="72">
        <v>-4.4126786799999998E-2</v>
      </c>
      <c r="D198" s="24">
        <v>15460</v>
      </c>
      <c r="E198" s="25">
        <f t="shared" si="106"/>
        <v>5.2015604681404422E-3</v>
      </c>
      <c r="F198" s="94">
        <f>IF(ISNUMBER(D198), $B199 * E198, "")</f>
        <v>780.2340702210663</v>
      </c>
      <c r="G198" s="92">
        <v>15050</v>
      </c>
      <c r="H198" s="25">
        <f t="shared" si="107"/>
        <v>-2.1456436931079324E-2</v>
      </c>
      <c r="I198" s="93">
        <f>IF(ISNUMBER(G198), $B199 * H198, "")</f>
        <v>-3218.4655396618987</v>
      </c>
      <c r="J198" s="24">
        <v>15180</v>
      </c>
      <c r="K198" s="25">
        <f t="shared" si="108"/>
        <v>-1.3003901170351105E-2</v>
      </c>
      <c r="L198" s="94">
        <f>IF(ISNUMBER(J198), $B199 * K198, "")</f>
        <v>-1950.5851755526658</v>
      </c>
      <c r="M198" s="92">
        <v>15110</v>
      </c>
      <c r="N198" s="25">
        <f t="shared" si="109"/>
        <v>-1.7555266579973992E-2</v>
      </c>
      <c r="O198" s="94">
        <f>IF(ISNUMBER(M198), $B199 * N198, "")</f>
        <v>-2633.2899869960988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2.9430418071113067E-2</v>
      </c>
      <c r="F199" s="28">
        <f>SUM(F179:F198)</f>
        <v>88291.254213339227</v>
      </c>
      <c r="G199" s="26" t="s">
        <v>258</v>
      </c>
      <c r="H199" s="27">
        <f>IF(COUNT(H179:H198), SUM(H179:H198) / COUNT(H179:H198), 0)</f>
        <v>5.9629807766842669E-3</v>
      </c>
      <c r="I199" s="28">
        <f>SUM(I179:I198)</f>
        <v>17888.9423300528</v>
      </c>
      <c r="J199" s="26" t="s">
        <v>258</v>
      </c>
      <c r="K199" s="27">
        <f>IF(COUNT(K179:K198), SUM(K179:K198) / COUNT(K179:K198), 0)</f>
        <v>8.5148437108141101E-3</v>
      </c>
      <c r="L199" s="28">
        <f>SUM(L179:L198)</f>
        <v>25544.531132442331</v>
      </c>
      <c r="M199" s="26" t="s">
        <v>258</v>
      </c>
      <c r="N199" s="27">
        <f>IF(COUNT(N179:N198), SUM(N179:N198) / COUNT(N179:N198), 0)</f>
        <v>7.3807307482415246E-3</v>
      </c>
      <c r="O199" s="28">
        <f>SUM(O179:O198)</f>
        <v>22142.192244724567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339BF-9E3F-417C-A190-EC57FA906958}">
  <sheetPr codeName="Sheet1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44943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25,578 KRW (0.85%)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165,410 KRW (5.51%)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48,970 KRW (1.63%)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66,641 KRW (2.22%)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2023-01-17(화) 오전 00:00</v>
      </c>
      <c r="C15" s="196"/>
      <c r="D15" s="170" t="str">
        <f>TEXT($G$1, "[$-ko-KR]yyyy-mm-dd(ddd) ") &amp; "오후 14:00"</f>
        <v>2023-01-17(화) 오후 14:00</v>
      </c>
      <c r="E15" s="171"/>
      <c r="F15" s="172"/>
      <c r="G15" s="170" t="str">
        <f>TEXT($G$1, "[$-ko-KR]yyyy-mm-dd(ddd) ") &amp; "오후 19:00"</f>
        <v>2023-01-17(화) 오후 19:00</v>
      </c>
      <c r="H15" s="171"/>
      <c r="I15" s="172"/>
      <c r="J15" s="170" t="str">
        <f>TEXT($G$1, "[$-ko-KR]yyyy-mm-dd(ddd) ") &amp; "오후 21:00"</f>
        <v>2023-01-17(화) 오후 21:00</v>
      </c>
      <c r="K15" s="171"/>
      <c r="L15" s="172"/>
      <c r="M15" s="170" t="str">
        <f>TEXT($G$1+1, "[$-ko-KR]yyyy-mm-dd(ddd) ") &amp; "오전 00:00"</f>
        <v>2023-01-18(수)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2023-01-17(화) 오전 00:00</v>
      </c>
      <c r="C42" s="198"/>
      <c r="D42" s="170" t="str">
        <f>TEXT($G$1, "[$-ko-KR]yyyy-mm-dd(ddd) ") &amp; "오후 14:00"</f>
        <v>2023-01-17(화) 오후 14:00</v>
      </c>
      <c r="E42" s="171"/>
      <c r="F42" s="172"/>
      <c r="G42" s="170" t="str">
        <f>TEXT($G$1, "[$-ko-KR]yyyy-mm-dd(ddd) ") &amp; "오후 19:00"</f>
        <v>2023-01-17(화) 오후 19:00</v>
      </c>
      <c r="H42" s="171"/>
      <c r="I42" s="172"/>
      <c r="J42" s="170" t="str">
        <f>TEXT($G$1, "[$-ko-KR]yyyy-mm-dd(ddd) ") &amp; "오후 21:00"</f>
        <v>2023-01-17(화) 오후 21:00</v>
      </c>
      <c r="K42" s="171"/>
      <c r="L42" s="172"/>
      <c r="M42" s="170" t="str">
        <f>TEXT($G$1+1, "[$-ko-KR]yyyy-mm-dd(ddd) ") &amp; "오전 00:00"</f>
        <v>2023-01-18(수)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324</v>
      </c>
      <c r="B44" s="108">
        <v>99.5</v>
      </c>
      <c r="C44" s="69">
        <v>7.9175704999999999E-2</v>
      </c>
      <c r="D44" s="13">
        <v>99.1</v>
      </c>
      <c r="E44" s="14">
        <f>IF(ISNUMBER(D44), (D44 - $B44) / $B44, "")</f>
        <v>-4.0201005025126196E-3</v>
      </c>
      <c r="F44" s="16">
        <f>IF(ISNUMBER(D44), $B64 * E44, "")</f>
        <v>-603.01507537689292</v>
      </c>
      <c r="G44" s="29">
        <v>97.3</v>
      </c>
      <c r="H44" s="14">
        <f>IF(ISNUMBER(G44), (G44 - $B44) / $B44, "")</f>
        <v>-2.2110552763819125E-2</v>
      </c>
      <c r="I44" s="90">
        <f>IF(ISNUMBER(G44), $B64 * H44, "")</f>
        <v>-3316.5829145728685</v>
      </c>
      <c r="J44" s="13">
        <v>97.4</v>
      </c>
      <c r="K44" s="14">
        <f>IF(ISNUMBER(J44), (J44 - $B44) / $B44, "")</f>
        <v>-2.1105527638190898E-2</v>
      </c>
      <c r="L44" s="16">
        <f>IF(ISNUMBER(J44), $B64 * K44, "")</f>
        <v>-3165.8291457286346</v>
      </c>
      <c r="M44" s="29">
        <v>97.9</v>
      </c>
      <c r="N44" s="14">
        <f>IF(ISNUMBER(M44), (M44 - $B44) / $B44, "")</f>
        <v>-1.6080402010050194E-2</v>
      </c>
      <c r="O44" s="16">
        <f>IF(ISNUMBER(M44), $B64 * N44, "")</f>
        <v>-2412.0603015075289</v>
      </c>
      <c r="Q44" s="156"/>
      <c r="R44" s="156"/>
      <c r="S44" s="156"/>
    </row>
    <row r="45" spans="1:19" ht="17.25" customHeight="1" thickBot="1">
      <c r="A45" s="109" t="s">
        <v>126</v>
      </c>
      <c r="B45" s="110">
        <v>34</v>
      </c>
      <c r="C45" s="70">
        <v>5.5900621099999999E-2</v>
      </c>
      <c r="D45" s="15">
        <v>34.1</v>
      </c>
      <c r="E45" s="32">
        <f t="shared" ref="E45:E48" si="14">IF(ISNUMBER(D45), (D45 - $B45) / $B45, "")</f>
        <v>2.9411764705882769E-3</v>
      </c>
      <c r="F45" s="18">
        <f>IF(ISNUMBER(D45), $B64 * E45, "")</f>
        <v>441.17647058824156</v>
      </c>
      <c r="G45" s="31">
        <v>34.1</v>
      </c>
      <c r="H45" s="32">
        <f t="shared" ref="H45:H48" si="15">IF(ISNUMBER(G45), (G45 - $B45) / $B45, "")</f>
        <v>2.9411764705882769E-3</v>
      </c>
      <c r="I45" s="91">
        <f>IF(ISNUMBER(G45), $B64 * H45, "")</f>
        <v>441.17647058824156</v>
      </c>
      <c r="J45" s="15">
        <v>35.1</v>
      </c>
      <c r="K45" s="32">
        <f t="shared" ref="K45:K48" si="16">IF(ISNUMBER(J45), (J45 - $B45) / $B45, "")</f>
        <v>3.2352941176470633E-2</v>
      </c>
      <c r="L45" s="18">
        <f>IF(ISNUMBER(J45), $B64 * K45, "")</f>
        <v>4852.9411764705947</v>
      </c>
      <c r="M45" s="31">
        <v>34.6</v>
      </c>
      <c r="N45" s="32">
        <f t="shared" ref="N45:N48" si="17">IF(ISNUMBER(M45), (M45 - $B45) / $B45, "")</f>
        <v>1.7647058823529453E-2</v>
      </c>
      <c r="O45" s="18">
        <f>IF(ISNUMBER(M45), $B64 * N45, "")</f>
        <v>2647.0588235294181</v>
      </c>
      <c r="Q45" s="156"/>
      <c r="R45" s="156"/>
      <c r="S45" s="156"/>
    </row>
    <row r="46" spans="1:19" ht="17.25" customHeight="1" thickBot="1">
      <c r="A46" s="109" t="s">
        <v>56</v>
      </c>
      <c r="B46" s="110">
        <v>45.2</v>
      </c>
      <c r="C46" s="70">
        <v>1.5730337099999998E-2</v>
      </c>
      <c r="D46" s="15">
        <v>45.6</v>
      </c>
      <c r="E46" s="32">
        <f t="shared" si="14"/>
        <v>8.8495575221238625E-3</v>
      </c>
      <c r="F46" s="18">
        <f>IF(ISNUMBER(D46), $B64 * E46, "")</f>
        <v>1327.4336283185794</v>
      </c>
      <c r="G46" s="31">
        <v>45.8</v>
      </c>
      <c r="H46" s="32">
        <f t="shared" si="15"/>
        <v>1.3274336283185714E-2</v>
      </c>
      <c r="I46" s="91">
        <f>IF(ISNUMBER(G46), $B64 * H46, "")</f>
        <v>1991.150442477857</v>
      </c>
      <c r="J46" s="15">
        <v>46.4</v>
      </c>
      <c r="K46" s="32">
        <f t="shared" si="16"/>
        <v>2.6548672566371584E-2</v>
      </c>
      <c r="L46" s="18">
        <f>IF(ISNUMBER(J46), $B64 * K46, "")</f>
        <v>3982.3008849557377</v>
      </c>
      <c r="M46" s="31">
        <v>46.5</v>
      </c>
      <c r="N46" s="32">
        <f t="shared" si="17"/>
        <v>2.8761061946902589E-2</v>
      </c>
      <c r="O46" s="18">
        <f>IF(ISNUMBER(M46), $B64 * N46, "")</f>
        <v>4314.1592920353887</v>
      </c>
      <c r="Q46" s="146"/>
      <c r="R46" s="146"/>
      <c r="S46" s="146"/>
    </row>
    <row r="47" spans="1:19" ht="17.25" customHeight="1" thickBot="1">
      <c r="A47" s="109" t="s">
        <v>145</v>
      </c>
      <c r="B47" s="110">
        <v>77.2</v>
      </c>
      <c r="C47" s="70">
        <v>1.2970169000000001E-3</v>
      </c>
      <c r="D47" s="15">
        <v>77.2</v>
      </c>
      <c r="E47" s="32">
        <f t="shared" si="14"/>
        <v>0</v>
      </c>
      <c r="F47" s="18">
        <f>IF(ISNUMBER(D47), $B64 * E47, "")</f>
        <v>0</v>
      </c>
      <c r="G47" s="31">
        <v>77.2</v>
      </c>
      <c r="H47" s="32">
        <f t="shared" si="15"/>
        <v>0</v>
      </c>
      <c r="I47" s="91">
        <f>IF(ISNUMBER(G47), $B64 * H47, "")</f>
        <v>0</v>
      </c>
      <c r="J47" s="15">
        <v>77.5</v>
      </c>
      <c r="K47" s="32">
        <f t="shared" si="16"/>
        <v>3.8860103626942636E-3</v>
      </c>
      <c r="L47" s="18">
        <f>IF(ISNUMBER(J47), $B64 * K47, "")</f>
        <v>582.90155440413957</v>
      </c>
      <c r="M47" s="31">
        <v>77.2</v>
      </c>
      <c r="N47" s="32">
        <f t="shared" si="17"/>
        <v>0</v>
      </c>
      <c r="O47" s="18">
        <f>IF(ISNUMBER(M47), $B64 * N47, "")</f>
        <v>0</v>
      </c>
      <c r="Q47" s="146"/>
      <c r="R47" s="146"/>
      <c r="S47" s="146"/>
    </row>
    <row r="48" spans="1:19" ht="17.25" customHeight="1" thickBot="1">
      <c r="A48" s="111" t="s">
        <v>97</v>
      </c>
      <c r="B48" s="112">
        <v>8.9999999999999998E-4</v>
      </c>
      <c r="C48" s="71">
        <v>0</v>
      </c>
      <c r="D48" s="20">
        <v>8.9999999999999998E-4</v>
      </c>
      <c r="E48" s="21">
        <f t="shared" si="14"/>
        <v>0</v>
      </c>
      <c r="F48" s="22">
        <f>IF(ISNUMBER(D48), $B64 * E48, "")</f>
        <v>0</v>
      </c>
      <c r="G48" s="30">
        <v>1E-3</v>
      </c>
      <c r="H48" s="21">
        <f t="shared" si="15"/>
        <v>0.11111111111111116</v>
      </c>
      <c r="I48" s="95">
        <f>IF(ISNUMBER(G48), $B64 * H48, "")</f>
        <v>16666.666666666675</v>
      </c>
      <c r="J48" s="20">
        <v>1E-3</v>
      </c>
      <c r="K48" s="21">
        <f t="shared" si="16"/>
        <v>0.11111111111111116</v>
      </c>
      <c r="L48" s="22">
        <f>IF(ISNUMBER(J48), $B64 * K48, "")</f>
        <v>16666.666666666675</v>
      </c>
      <c r="M48" s="30">
        <v>8.9999999999999998E-4</v>
      </c>
      <c r="N48" s="21">
        <f t="shared" si="17"/>
        <v>0</v>
      </c>
      <c r="O48" s="22">
        <f>IF(ISNUMBER(M48), $B64 * N48, "")</f>
        <v>0</v>
      </c>
      <c r="Q48" s="146"/>
      <c r="R48" s="146"/>
      <c r="S48" s="146"/>
    </row>
    <row r="49" spans="1:19" ht="17.25" customHeight="1" thickBot="1">
      <c r="A49" s="109" t="s">
        <v>329</v>
      </c>
      <c r="B49" s="113">
        <v>64.8</v>
      </c>
      <c r="C49" s="73">
        <v>-1.540832E-3</v>
      </c>
      <c r="D49" s="96">
        <v>66.900000000000006</v>
      </c>
      <c r="E49" s="97">
        <f>IF(ISNUMBER(D49), (D49 - $B49) / $B49, "")</f>
        <v>3.2407407407407537E-2</v>
      </c>
      <c r="F49" s="98">
        <f>IF(ISNUMBER(D49), $B64 * E49, "")</f>
        <v>4861.1111111111304</v>
      </c>
      <c r="G49" s="99">
        <v>66.7</v>
      </c>
      <c r="H49" s="97">
        <f>IF(ISNUMBER(G49), (G49 - $B49) / $B49, "")</f>
        <v>2.9320987654321076E-2</v>
      </c>
      <c r="I49" s="100">
        <f>IF(ISNUMBER(G49), $B64 * H49, "")</f>
        <v>4398.1481481481615</v>
      </c>
      <c r="J49" s="96">
        <v>67</v>
      </c>
      <c r="K49" s="97">
        <f>IF(ISNUMBER(J49), (J49 - $B49) / $B49, "")</f>
        <v>3.3950617283950664E-2</v>
      </c>
      <c r="L49" s="98">
        <f>IF(ISNUMBER(J49), $B64 * K49, "")</f>
        <v>5092.5925925925994</v>
      </c>
      <c r="M49" s="99">
        <v>67.099999999999994</v>
      </c>
      <c r="N49" s="97">
        <f>IF(ISNUMBER(M49), (M49 - $B49) / $B49, "")</f>
        <v>3.5493827160493784E-2</v>
      </c>
      <c r="O49" s="98">
        <f>IF(ISNUMBER(M49), $B64 * N49, "")</f>
        <v>5324.0740740740675</v>
      </c>
      <c r="Q49" s="146"/>
      <c r="R49" s="146"/>
      <c r="S49" s="146"/>
    </row>
    <row r="50" spans="1:19" ht="17.25" customHeight="1" thickBot="1">
      <c r="A50" s="109" t="s">
        <v>155</v>
      </c>
      <c r="B50" s="110">
        <v>29.9</v>
      </c>
      <c r="C50" s="70">
        <v>-3.3333333000000001E-3</v>
      </c>
      <c r="D50" s="15">
        <v>30.3</v>
      </c>
      <c r="E50" s="32">
        <f t="shared" ref="E50:E53" si="18">IF(ISNUMBER(D50), (D50 - $B50) / $B50, "")</f>
        <v>1.3377926421404755E-2</v>
      </c>
      <c r="F50" s="18">
        <f>IF(ISNUMBER(D50), $B64 * E50, "")</f>
        <v>2006.6889632107132</v>
      </c>
      <c r="G50" s="31">
        <v>30.4</v>
      </c>
      <c r="H50" s="32">
        <f t="shared" ref="H50:H53" si="19">IF(ISNUMBER(G50), (G50 - $B50) / $B50, "")</f>
        <v>1.6722408026755852E-2</v>
      </c>
      <c r="I50" s="91">
        <f>IF(ISNUMBER(G50), $B64 * H50, "")</f>
        <v>2508.361204013378</v>
      </c>
      <c r="J50" s="15">
        <v>31.4</v>
      </c>
      <c r="K50" s="32">
        <f t="shared" ref="K50:K53" si="20">IF(ISNUMBER(J50), (J50 - $B50) / $B50, "")</f>
        <v>5.016722408026756E-2</v>
      </c>
      <c r="L50" s="18">
        <f>IF(ISNUMBER(J50), $B64 * K50, "")</f>
        <v>7525.0836120401336</v>
      </c>
      <c r="M50" s="31">
        <v>30.9</v>
      </c>
      <c r="N50" s="32">
        <f t="shared" ref="N50:N53" si="21">IF(ISNUMBER(M50), (M50 - $B50) / $B50, "")</f>
        <v>3.3444816053511704E-2</v>
      </c>
      <c r="O50" s="18">
        <f>IF(ISNUMBER(M50), $B64 * N50, "")</f>
        <v>5016.7224080267561</v>
      </c>
      <c r="Q50" s="146"/>
      <c r="R50" s="146"/>
      <c r="S50" s="146"/>
    </row>
    <row r="51" spans="1:19" ht="17.25" customHeight="1" thickBot="1">
      <c r="A51" s="109" t="s">
        <v>122</v>
      </c>
      <c r="B51" s="110">
        <v>25.9</v>
      </c>
      <c r="C51" s="70">
        <v>-7.6628351999999999E-3</v>
      </c>
      <c r="D51" s="15">
        <v>26.5</v>
      </c>
      <c r="E51" s="32">
        <f t="shared" si="18"/>
        <v>2.3166023166023224E-2</v>
      </c>
      <c r="F51" s="18">
        <f>IF(ISNUMBER(D51), $B64 * E51, "")</f>
        <v>3474.9034749034836</v>
      </c>
      <c r="G51" s="31">
        <v>26.3</v>
      </c>
      <c r="H51" s="32">
        <f t="shared" si="19"/>
        <v>1.5444015444015528E-2</v>
      </c>
      <c r="I51" s="91">
        <f>IF(ISNUMBER(G51), $B64 * H51, "")</f>
        <v>2316.6023166023292</v>
      </c>
      <c r="J51" s="15">
        <v>26.5</v>
      </c>
      <c r="K51" s="32">
        <f t="shared" si="20"/>
        <v>2.3166023166023224E-2</v>
      </c>
      <c r="L51" s="18">
        <f>IF(ISNUMBER(J51), $B64 * K51, "")</f>
        <v>3474.9034749034836</v>
      </c>
      <c r="M51" s="31">
        <v>26.8</v>
      </c>
      <c r="N51" s="32">
        <f t="shared" si="21"/>
        <v>3.4749034749034832E-2</v>
      </c>
      <c r="O51" s="18">
        <f>IF(ISNUMBER(M51), $B64 * N51, "")</f>
        <v>5212.3552123552245</v>
      </c>
      <c r="Q51" s="146"/>
      <c r="R51" s="146"/>
      <c r="S51" s="146"/>
    </row>
    <row r="52" spans="1:19" ht="17.25" customHeight="1" thickBot="1">
      <c r="A52" s="109" t="s">
        <v>197</v>
      </c>
      <c r="B52" s="110">
        <v>7.12</v>
      </c>
      <c r="C52" s="70">
        <v>-8.3565459999999994E-3</v>
      </c>
      <c r="D52" s="15">
        <v>7.05</v>
      </c>
      <c r="E52" s="32">
        <f t="shared" si="18"/>
        <v>-9.831460674157343E-3</v>
      </c>
      <c r="F52" s="18">
        <f>IF(ISNUMBER(D52), $B64 * E52, "")</f>
        <v>-1474.7191011236014</v>
      </c>
      <c r="G52" s="31">
        <v>7.09</v>
      </c>
      <c r="H52" s="32">
        <f t="shared" si="19"/>
        <v>-4.2134831460674503E-3</v>
      </c>
      <c r="I52" s="91">
        <f>IF(ISNUMBER(G52), $B64 * H52, "")</f>
        <v>-632.02247191011759</v>
      </c>
      <c r="J52" s="15">
        <v>7.19</v>
      </c>
      <c r="K52" s="32">
        <f t="shared" si="20"/>
        <v>9.831460674157343E-3</v>
      </c>
      <c r="L52" s="18">
        <f>IF(ISNUMBER(J52), $B64 * K52, "")</f>
        <v>1474.7191011236014</v>
      </c>
      <c r="M52" s="31">
        <v>7.19</v>
      </c>
      <c r="N52" s="32">
        <f t="shared" si="21"/>
        <v>9.831460674157343E-3</v>
      </c>
      <c r="O52" s="18">
        <f>IF(ISNUMBER(M52), $B64 * N52, "")</f>
        <v>1474.7191011236014</v>
      </c>
      <c r="Q52" s="33"/>
      <c r="R52" s="33"/>
    </row>
    <row r="53" spans="1:19" ht="17.25" customHeight="1" thickBot="1">
      <c r="A53" s="114" t="s">
        <v>141</v>
      </c>
      <c r="B53" s="115">
        <v>3.56</v>
      </c>
      <c r="C53" s="72">
        <v>-8.3565459999999994E-3</v>
      </c>
      <c r="D53" s="24">
        <v>3.57</v>
      </c>
      <c r="E53" s="25">
        <f t="shared" si="18"/>
        <v>2.8089887640448839E-3</v>
      </c>
      <c r="F53" s="94">
        <f>IF(ISNUMBER(D53), $B64 * E53, "")</f>
        <v>421.34831460673257</v>
      </c>
      <c r="G53" s="92">
        <v>3.61</v>
      </c>
      <c r="H53" s="25">
        <f t="shared" si="19"/>
        <v>1.4044943820224668E-2</v>
      </c>
      <c r="I53" s="93">
        <f>IF(ISNUMBER(G53), $B64 * H53, "")</f>
        <v>2106.7415730337002</v>
      </c>
      <c r="J53" s="24">
        <v>3.67</v>
      </c>
      <c r="K53" s="25">
        <f t="shared" si="20"/>
        <v>3.0898876404494346E-2</v>
      </c>
      <c r="L53" s="94">
        <f>IF(ISNUMBER(J53), $B64 * K53, "")</f>
        <v>4634.8314606741524</v>
      </c>
      <c r="M53" s="92">
        <v>3.67</v>
      </c>
      <c r="N53" s="25">
        <f t="shared" si="21"/>
        <v>3.0898876404494346E-2</v>
      </c>
      <c r="O53" s="94">
        <f>IF(ISNUMBER(M53), $B64 * N53, "")</f>
        <v>4634.8314606741524</v>
      </c>
      <c r="Q53" s="147"/>
      <c r="R53" s="148"/>
      <c r="S53" s="149"/>
    </row>
    <row r="54" spans="1:19" ht="17.25" customHeight="1">
      <c r="A54" s="107" t="s">
        <v>237</v>
      </c>
      <c r="B54" s="108">
        <v>29.5</v>
      </c>
      <c r="C54" s="69">
        <v>-1.6666666699999999E-2</v>
      </c>
      <c r="D54" s="13">
        <v>30</v>
      </c>
      <c r="E54" s="14">
        <f>IF(ISNUMBER(D54), (D54 - $B54) / $B54, "")</f>
        <v>1.6949152542372881E-2</v>
      </c>
      <c r="F54" s="16">
        <f>IF(ISNUMBER(D54), $B64 * E54, "")</f>
        <v>2542.3728813559323</v>
      </c>
      <c r="G54" s="29">
        <v>30</v>
      </c>
      <c r="H54" s="14">
        <f>IF(ISNUMBER(G54), (G54 - $B54) / $B54, "")</f>
        <v>1.6949152542372881E-2</v>
      </c>
      <c r="I54" s="90">
        <f>IF(ISNUMBER(G54), $B64 * H54, "")</f>
        <v>2542.3728813559323</v>
      </c>
      <c r="J54" s="13">
        <v>30.6</v>
      </c>
      <c r="K54" s="14">
        <f>IF(ISNUMBER(J54), (J54 - $B54) / $B54, "")</f>
        <v>3.728813559322039E-2</v>
      </c>
      <c r="L54" s="16">
        <f>IF(ISNUMBER(J54), $B64 * K54, "")</f>
        <v>5593.2203389830584</v>
      </c>
      <c r="M54" s="29">
        <v>30.5</v>
      </c>
      <c r="N54" s="14">
        <f>IF(ISNUMBER(M54), (M54 - $B54) / $B54, "")</f>
        <v>3.3898305084745763E-2</v>
      </c>
      <c r="O54" s="16">
        <f>IF(ISNUMBER(M54), $B64 * N54, "")</f>
        <v>5084.7457627118647</v>
      </c>
      <c r="Q54" s="150"/>
      <c r="R54" s="151"/>
      <c r="S54" s="152"/>
    </row>
    <row r="55" spans="1:19" ht="17.25" customHeight="1" thickBot="1">
      <c r="A55" s="109" t="s">
        <v>64</v>
      </c>
      <c r="B55" s="110">
        <v>11.4</v>
      </c>
      <c r="C55" s="70">
        <v>-1.7241379300000002E-2</v>
      </c>
      <c r="D55" s="15">
        <v>11.5</v>
      </c>
      <c r="E55" s="32">
        <f t="shared" ref="E55:E58" si="22">IF(ISNUMBER(D55), (D55 - $B55) / $B55, "")</f>
        <v>8.7719298245613718E-3</v>
      </c>
      <c r="F55" s="18">
        <f>IF(ISNUMBER(D55), $B64 * E55, "")</f>
        <v>1315.7894736842059</v>
      </c>
      <c r="G55" s="31">
        <v>11.6</v>
      </c>
      <c r="H55" s="32">
        <f t="shared" ref="H55:H58" si="23">IF(ISNUMBER(G55), (G55 - $B55) / $B55, "")</f>
        <v>1.7543859649122744E-2</v>
      </c>
      <c r="I55" s="91">
        <f>IF(ISNUMBER(G55), $B64 * H55, "")</f>
        <v>2631.5789473684117</v>
      </c>
      <c r="J55" s="15">
        <v>11.9</v>
      </c>
      <c r="K55" s="32">
        <f t="shared" ref="K55:K58" si="24">IF(ISNUMBER(J55), (J55 - $B55) / $B55, "")</f>
        <v>4.3859649122807015E-2</v>
      </c>
      <c r="L55" s="18">
        <f>IF(ISNUMBER(J55), $B64 * K55, "")</f>
        <v>6578.9473684210525</v>
      </c>
      <c r="M55" s="31">
        <v>12.2</v>
      </c>
      <c r="N55" s="32">
        <f t="shared" ref="N55:N58" si="25">IF(ISNUMBER(M55), (M55 - $B55) / $B55, "")</f>
        <v>7.0175438596491127E-2</v>
      </c>
      <c r="O55" s="18">
        <f>IF(ISNUMBER(M55), $B64 * N55, "")</f>
        <v>10526.315789473669</v>
      </c>
      <c r="Q55" s="153"/>
      <c r="R55" s="154"/>
      <c r="S55" s="155"/>
    </row>
    <row r="56" spans="1:19" ht="17.25" customHeight="1" thickBot="1">
      <c r="A56" s="109" t="s">
        <v>138</v>
      </c>
      <c r="B56" s="110">
        <v>28.1</v>
      </c>
      <c r="C56" s="70">
        <v>-1.7482517499999999E-2</v>
      </c>
      <c r="D56" s="15">
        <v>28.8</v>
      </c>
      <c r="E56" s="32">
        <f t="shared" si="22"/>
        <v>2.4911032028469723E-2</v>
      </c>
      <c r="F56" s="18">
        <f>IF(ISNUMBER(D56), $B64 * E56, "")</f>
        <v>3736.6548042704585</v>
      </c>
      <c r="G56" s="31">
        <v>28.8</v>
      </c>
      <c r="H56" s="32">
        <f t="shared" si="23"/>
        <v>2.4911032028469723E-2</v>
      </c>
      <c r="I56" s="91">
        <f>IF(ISNUMBER(G56), $B64 * H56, "")</f>
        <v>3736.6548042704585</v>
      </c>
      <c r="J56" s="15">
        <v>29.3</v>
      </c>
      <c r="K56" s="32">
        <f t="shared" si="24"/>
        <v>4.2704626334519546E-2</v>
      </c>
      <c r="L56" s="18">
        <f>IF(ISNUMBER(J56), $B64 * K56, "")</f>
        <v>6405.6939501779316</v>
      </c>
      <c r="M56" s="31">
        <v>29.7</v>
      </c>
      <c r="N56" s="32">
        <f t="shared" si="25"/>
        <v>5.6939501779359351E-2</v>
      </c>
      <c r="O56" s="18">
        <f>IF(ISNUMBER(M56), $B64 * N56, "")</f>
        <v>8540.9252669039033</v>
      </c>
      <c r="Q56" s="146"/>
      <c r="R56" s="146"/>
      <c r="S56" s="146"/>
    </row>
    <row r="57" spans="1:19" ht="17.25" customHeight="1" thickBot="1">
      <c r="A57" s="109" t="s">
        <v>241</v>
      </c>
      <c r="B57" s="110">
        <v>99</v>
      </c>
      <c r="C57" s="70">
        <v>-1.9801980199999999E-2</v>
      </c>
      <c r="D57" s="15">
        <v>100</v>
      </c>
      <c r="E57" s="32">
        <f t="shared" si="22"/>
        <v>1.0101010101010102E-2</v>
      </c>
      <c r="F57" s="18">
        <f>IF(ISNUMBER(D57), $B64 * E57, "")</f>
        <v>1515.1515151515152</v>
      </c>
      <c r="G57" s="31">
        <v>101</v>
      </c>
      <c r="H57" s="32">
        <f t="shared" si="23"/>
        <v>2.0202020202020204E-2</v>
      </c>
      <c r="I57" s="91">
        <f>IF(ISNUMBER(G57), $B64 * H57, "")</f>
        <v>3030.3030303030305</v>
      </c>
      <c r="J57" s="15">
        <v>101</v>
      </c>
      <c r="K57" s="32">
        <f t="shared" si="24"/>
        <v>2.0202020202020204E-2</v>
      </c>
      <c r="L57" s="18">
        <f>IF(ISNUMBER(J57), $B64 * K57, "")</f>
        <v>3030.3030303030305</v>
      </c>
      <c r="M57" s="31">
        <v>102</v>
      </c>
      <c r="N57" s="32">
        <f t="shared" si="25"/>
        <v>3.0303030303030304E-2</v>
      </c>
      <c r="O57" s="18">
        <f>IF(ISNUMBER(M57), $B64 * N57, "")</f>
        <v>4545.454545454546</v>
      </c>
      <c r="Q57" s="156"/>
      <c r="R57" s="156"/>
      <c r="S57" s="156"/>
    </row>
    <row r="58" spans="1:19" ht="17.25" customHeight="1" thickBot="1">
      <c r="A58" s="111" t="s">
        <v>207</v>
      </c>
      <c r="B58" s="112">
        <v>70</v>
      </c>
      <c r="C58" s="71">
        <v>-2.0979021E-2</v>
      </c>
      <c r="D58" s="20">
        <v>70.099999999999994</v>
      </c>
      <c r="E58" s="21">
        <f t="shared" si="22"/>
        <v>1.4285714285713475E-3</v>
      </c>
      <c r="F58" s="22">
        <f>IF(ISNUMBER(D58), $B64 * E58, "")</f>
        <v>214.28571428570211</v>
      </c>
      <c r="G58" s="30">
        <v>71.400000000000006</v>
      </c>
      <c r="H58" s="21">
        <f t="shared" si="23"/>
        <v>2.000000000000008E-2</v>
      </c>
      <c r="I58" s="95">
        <f>IF(ISNUMBER(G58), $B64 * H58, "")</f>
        <v>3000.0000000000118</v>
      </c>
      <c r="J58" s="20">
        <v>74</v>
      </c>
      <c r="K58" s="21">
        <f t="shared" si="24"/>
        <v>5.7142857142857141E-2</v>
      </c>
      <c r="L58" s="22">
        <f>IF(ISNUMBER(J58), $B64 * K58, "")</f>
        <v>8571.4285714285706</v>
      </c>
      <c r="M58" s="30">
        <v>73</v>
      </c>
      <c r="N58" s="21">
        <f t="shared" si="25"/>
        <v>4.2857142857142858E-2</v>
      </c>
      <c r="O58" s="22">
        <f>IF(ISNUMBER(M58), $B64 * N58, "")</f>
        <v>6428.5714285714284</v>
      </c>
      <c r="Q58" s="156"/>
      <c r="R58" s="156"/>
      <c r="S58" s="156"/>
    </row>
    <row r="59" spans="1:19" ht="17.25" customHeight="1" thickBot="1">
      <c r="A59" s="109" t="s">
        <v>185</v>
      </c>
      <c r="B59" s="113">
        <v>30.1</v>
      </c>
      <c r="C59" s="73">
        <v>-2.2727272699999999E-2</v>
      </c>
      <c r="D59" s="96">
        <v>36.9</v>
      </c>
      <c r="E59" s="97">
        <f>IF(ISNUMBER(D59), (D59 - $B59) / $B59, "")</f>
        <v>0.22591362126245837</v>
      </c>
      <c r="F59" s="98">
        <f>IF(ISNUMBER(D59), $B64 * E59, "")</f>
        <v>33887.043189368756</v>
      </c>
      <c r="G59" s="99">
        <v>43.4</v>
      </c>
      <c r="H59" s="97">
        <f>IF(ISNUMBER(G59), (G59 - $B59) / $B59, "")</f>
        <v>0.44186046511627897</v>
      </c>
      <c r="I59" s="100">
        <f>IF(ISNUMBER(G59), $B64 * H59, "")</f>
        <v>66279.069767441848</v>
      </c>
      <c r="J59" s="96">
        <v>47.2</v>
      </c>
      <c r="K59" s="97">
        <f>IF(ISNUMBER(J59), (J59 - $B59) / $B59, "")</f>
        <v>0.56810631229235886</v>
      </c>
      <c r="L59" s="98">
        <f>IF(ISNUMBER(J59), $B64 * K59, "")</f>
        <v>85215.946843853832</v>
      </c>
      <c r="M59" s="99">
        <v>42.9</v>
      </c>
      <c r="N59" s="97">
        <f>IF(ISNUMBER(M59), (M59 - $B59) / $B59, "")</f>
        <v>0.42524916943521585</v>
      </c>
      <c r="O59" s="98">
        <f>IF(ISNUMBER(M59), $B64 * N59, "")</f>
        <v>63787.375415282375</v>
      </c>
      <c r="Q59" s="146"/>
      <c r="R59" s="146"/>
      <c r="S59" s="146"/>
    </row>
    <row r="60" spans="1:19" ht="17.25" customHeight="1" thickBot="1">
      <c r="A60" s="109" t="s">
        <v>225</v>
      </c>
      <c r="B60" s="110">
        <v>59.5</v>
      </c>
      <c r="C60" s="70">
        <v>-2.2988505699999998E-2</v>
      </c>
      <c r="D60" s="15">
        <v>60.6</v>
      </c>
      <c r="E60" s="32">
        <f t="shared" ref="E60:E63" si="26">IF(ISNUMBER(D60), (D60 - $B60) / $B60, "")</f>
        <v>1.8487394957983218E-2</v>
      </c>
      <c r="F60" s="18">
        <f>IF(ISNUMBER(D60), $B64 * E60, "")</f>
        <v>2773.1092436974827</v>
      </c>
      <c r="G60" s="31">
        <v>61.1</v>
      </c>
      <c r="H60" s="32">
        <f t="shared" ref="H60:H63" si="27">IF(ISNUMBER(G60), (G60 - $B60) / $B60, "")</f>
        <v>2.6890756302521031E-2</v>
      </c>
      <c r="I60" s="91">
        <f>IF(ISNUMBER(G60), $B64 * H60, "")</f>
        <v>4033.6134453781547</v>
      </c>
      <c r="J60" s="15">
        <v>62.6</v>
      </c>
      <c r="K60" s="32">
        <f t="shared" ref="K60:K63" si="28">IF(ISNUMBER(J60), (J60 - $B60) / $B60, "")</f>
        <v>5.2100840336134477E-2</v>
      </c>
      <c r="L60" s="18">
        <f>IF(ISNUMBER(J60), $B64 * K60, "")</f>
        <v>7815.1260504201719</v>
      </c>
      <c r="M60" s="31">
        <v>61.6</v>
      </c>
      <c r="N60" s="32">
        <f t="shared" ref="N60:N63" si="29">IF(ISNUMBER(M60), (M60 - $B60) / $B60, "")</f>
        <v>3.5294117647058851E-2</v>
      </c>
      <c r="O60" s="18">
        <f>IF(ISNUMBER(M60), $B64 * N60, "")</f>
        <v>5294.117647058828</v>
      </c>
      <c r="Q60" s="146"/>
      <c r="R60" s="146"/>
      <c r="S60" s="146"/>
    </row>
    <row r="61" spans="1:19" ht="17.25" customHeight="1" thickBot="1">
      <c r="A61" s="109" t="s">
        <v>71</v>
      </c>
      <c r="B61" s="110">
        <v>11.5</v>
      </c>
      <c r="C61" s="70">
        <v>-2.54237288E-2</v>
      </c>
      <c r="D61" s="15">
        <v>11.7</v>
      </c>
      <c r="E61" s="32">
        <f t="shared" si="26"/>
        <v>1.7391304347826025E-2</v>
      </c>
      <c r="F61" s="18">
        <f>IF(ISNUMBER(D61), $B64 * E61, "")</f>
        <v>2608.6956521739039</v>
      </c>
      <c r="G61" s="31">
        <v>11.8</v>
      </c>
      <c r="H61" s="32">
        <f t="shared" si="27"/>
        <v>2.6086956521739191E-2</v>
      </c>
      <c r="I61" s="91">
        <f>IF(ISNUMBER(G61), $B64 * H61, "")</f>
        <v>3913.0434782608786</v>
      </c>
      <c r="J61" s="15">
        <v>12.2</v>
      </c>
      <c r="K61" s="32">
        <f t="shared" si="28"/>
        <v>6.0869565217391244E-2</v>
      </c>
      <c r="L61" s="18">
        <f>IF(ISNUMBER(J61), $B64 * K61, "")</f>
        <v>9130.4347826086869</v>
      </c>
      <c r="M61" s="31">
        <v>12.1</v>
      </c>
      <c r="N61" s="32">
        <f t="shared" si="29"/>
        <v>5.217391304347823E-2</v>
      </c>
      <c r="O61" s="18">
        <f>IF(ISNUMBER(M61), $B64 * N61, "")</f>
        <v>7826.0869565217345</v>
      </c>
      <c r="Q61" s="146"/>
      <c r="R61" s="146"/>
      <c r="S61" s="146"/>
    </row>
    <row r="62" spans="1:19" ht="17.25" customHeight="1">
      <c r="A62" s="109" t="s">
        <v>193</v>
      </c>
      <c r="B62" s="110">
        <v>18.7</v>
      </c>
      <c r="C62" s="70">
        <v>-2.60416667E-2</v>
      </c>
      <c r="D62" s="15">
        <v>19.8</v>
      </c>
      <c r="E62" s="32">
        <f t="shared" si="26"/>
        <v>5.8823529411764781E-2</v>
      </c>
      <c r="F62" s="18">
        <f>IF(ISNUMBER(D62), $B64 * E62, "")</f>
        <v>8823.5294117647172</v>
      </c>
      <c r="G62" s="31">
        <v>21.1</v>
      </c>
      <c r="H62" s="32">
        <f t="shared" si="27"/>
        <v>0.12834224598930494</v>
      </c>
      <c r="I62" s="91">
        <f>IF(ISNUMBER(G62), $B64 * H62, "")</f>
        <v>19251.336898395741</v>
      </c>
      <c r="J62" s="15">
        <v>22.3</v>
      </c>
      <c r="K62" s="32">
        <f t="shared" si="28"/>
        <v>0.19251336898395729</v>
      </c>
      <c r="L62" s="18">
        <f>IF(ISNUMBER(J62), $B64 * K62, "")</f>
        <v>28877.005347593593</v>
      </c>
      <c r="M62" s="31">
        <v>21</v>
      </c>
      <c r="N62" s="32">
        <f t="shared" si="29"/>
        <v>0.12299465240641716</v>
      </c>
      <c r="O62" s="18">
        <f>IF(ISNUMBER(M62), $B64 * N62, "")</f>
        <v>18449.197860962573</v>
      </c>
      <c r="Q62" s="135"/>
      <c r="R62" s="136"/>
      <c r="S62" s="137"/>
    </row>
    <row r="63" spans="1:19" ht="17.25" customHeight="1" thickBot="1">
      <c r="A63" s="114" t="s">
        <v>124</v>
      </c>
      <c r="B63" s="115">
        <v>32.700000000000003</v>
      </c>
      <c r="C63" s="72">
        <v>-2.6785714299999999E-2</v>
      </c>
      <c r="D63" s="24">
        <v>33.200000000000003</v>
      </c>
      <c r="E63" s="25">
        <f t="shared" si="26"/>
        <v>1.5290519877675839E-2</v>
      </c>
      <c r="F63" s="94">
        <f>IF(ISNUMBER(D63), $B64 * E63, "")</f>
        <v>2293.5779816513759</v>
      </c>
      <c r="G63" s="92">
        <v>33.4</v>
      </c>
      <c r="H63" s="25">
        <f t="shared" si="27"/>
        <v>2.1406727828746044E-2</v>
      </c>
      <c r="I63" s="93">
        <f>IF(ISNUMBER(G63), $B64 * H63, "")</f>
        <v>3211.0091743119065</v>
      </c>
      <c r="J63" s="24">
        <v>35</v>
      </c>
      <c r="K63" s="25">
        <f t="shared" si="28"/>
        <v>7.0336391437308771E-2</v>
      </c>
      <c r="L63" s="94">
        <f>IF(ISNUMBER(J63), $B64 * K63, "")</f>
        <v>10550.458715596316</v>
      </c>
      <c r="M63" s="92">
        <v>34.6</v>
      </c>
      <c r="N63" s="25">
        <f t="shared" si="29"/>
        <v>5.8103975535168148E-2</v>
      </c>
      <c r="O63" s="94">
        <f>IF(ISNUMBER(M63), $B64 * N63, "")</f>
        <v>8715.5963302752225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2.3388379217880811E-2</v>
      </c>
      <c r="F64" s="28">
        <f>SUM(F44:F63)</f>
        <v>70165.13765364245</v>
      </c>
      <c r="G64" s="26" t="s">
        <v>258</v>
      </c>
      <c r="H64" s="27">
        <f>IF(COUNT(H44:H63), SUM(H44:H63) / COUNT(H44:H63), 0)</f>
        <v>4.6036407954044581E-2</v>
      </c>
      <c r="I64" s="28">
        <f>SUM(I44:I63)</f>
        <v>138109.22386213375</v>
      </c>
      <c r="J64" s="26" t="s">
        <v>258</v>
      </c>
      <c r="K64" s="27">
        <f>IF(COUNT(K44:K63), SUM(K44:K63) / COUNT(K44:K63), 0)</f>
        <v>7.2296558792496232E-2</v>
      </c>
      <c r="L64" s="28">
        <f>SUM(L44:L63)</f>
        <v>216889.67637748874</v>
      </c>
      <c r="M64" s="26" t="s">
        <v>258</v>
      </c>
      <c r="N64" s="27">
        <f>IF(COUNT(N44:N63), SUM(N44:N63) / COUNT(N44:N63), 0)</f>
        <v>5.5136749024509067E-2</v>
      </c>
      <c r="O64" s="28">
        <f>SUM(O44:O63)</f>
        <v>165410.24707352722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2023-01-17(화) 오전 00:00</v>
      </c>
      <c r="C69" s="198"/>
      <c r="D69" s="170" t="str">
        <f>TEXT($G$1, "[$-ko-KR]yyyy-mm-dd(ddd) ") &amp; "오후 14:00"</f>
        <v>2023-01-17(화) 오후 14:00</v>
      </c>
      <c r="E69" s="171"/>
      <c r="F69" s="172"/>
      <c r="G69" s="170" t="str">
        <f>TEXT($G$1, "[$-ko-KR]yyyy-mm-dd(ddd) ") &amp; "오후 19:00"</f>
        <v>2023-01-17(화) 오후 19:00</v>
      </c>
      <c r="H69" s="171"/>
      <c r="I69" s="172"/>
      <c r="J69" s="170" t="str">
        <f>TEXT($G$1, "[$-ko-KR]yyyy-mm-dd(ddd) ") &amp; "오후 21:00"</f>
        <v>2023-01-17(화) 오후 21:00</v>
      </c>
      <c r="K69" s="171"/>
      <c r="L69" s="172"/>
      <c r="M69" s="170" t="str">
        <f>TEXT($G$1+1, "[$-ko-KR]yyyy-mm-dd(ddd) ") &amp; "오전 00:00"</f>
        <v>2023-01-18(수)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341</v>
      </c>
      <c r="B71" s="108">
        <v>904</v>
      </c>
      <c r="C71" s="69">
        <v>0.15306122450000001</v>
      </c>
      <c r="D71" s="13">
        <v>871</v>
      </c>
      <c r="E71" s="14">
        <f>IF(ISNUMBER(D71), (D71 - $B71) / $B71, "")</f>
        <v>-3.6504424778761063E-2</v>
      </c>
      <c r="F71" s="16">
        <f>IF(ISNUMBER(D71), $B91 * E71, "")</f>
        <v>-5475.6637168141597</v>
      </c>
      <c r="G71" s="29">
        <v>870</v>
      </c>
      <c r="H71" s="14">
        <f>IF(ISNUMBER(G71), (G71 - $B71) / $B71, "")</f>
        <v>-3.7610619469026552E-2</v>
      </c>
      <c r="I71" s="90">
        <f>IF(ISNUMBER(G71), $B91 * H71, "")</f>
        <v>-5641.5929203539827</v>
      </c>
      <c r="J71" s="13">
        <v>870</v>
      </c>
      <c r="K71" s="14">
        <f>IF(ISNUMBER(J71), (J71 - $B71) / $B71, "")</f>
        <v>-3.7610619469026552E-2</v>
      </c>
      <c r="L71" s="16">
        <f>IF(ISNUMBER(J71), $B91 * K71, "")</f>
        <v>-5641.5929203539827</v>
      </c>
      <c r="M71" s="29">
        <v>870</v>
      </c>
      <c r="N71" s="14">
        <f>IF(ISNUMBER(M71), (M71 - $B71) / $B71, "")</f>
        <v>-3.7610619469026552E-2</v>
      </c>
      <c r="O71" s="16">
        <f>IF(ISNUMBER(M71), $B91 * N71, "")</f>
        <v>-5641.5929203539827</v>
      </c>
      <c r="Q71" s="156"/>
      <c r="R71" s="156"/>
      <c r="S71" s="156"/>
    </row>
    <row r="72" spans="1:19" ht="17.25" thickBot="1">
      <c r="A72" s="109" t="s">
        <v>187</v>
      </c>
      <c r="B72" s="110">
        <v>920</v>
      </c>
      <c r="C72" s="70">
        <v>0.103117506</v>
      </c>
      <c r="D72" s="15">
        <v>860</v>
      </c>
      <c r="E72" s="32">
        <f t="shared" ref="E72:E75" si="30">IF(ISNUMBER(D72), (D72 - $B72) / $B72, "")</f>
        <v>-6.5217391304347824E-2</v>
      </c>
      <c r="F72" s="18">
        <f>IF(ISNUMBER(D72), $B91 * E72, "")</f>
        <v>-9782.608695652174</v>
      </c>
      <c r="G72" s="31">
        <v>860</v>
      </c>
      <c r="H72" s="32">
        <f t="shared" ref="H72:H75" si="31">IF(ISNUMBER(G72), (G72 - $B72) / $B72, "")</f>
        <v>-6.5217391304347824E-2</v>
      </c>
      <c r="I72" s="91">
        <f>IF(ISNUMBER(G72), $B91 * H72, "")</f>
        <v>-9782.608695652174</v>
      </c>
      <c r="J72" s="15">
        <v>863</v>
      </c>
      <c r="K72" s="32">
        <f t="shared" ref="K72:K75" si="32">IF(ISNUMBER(J72), (J72 - $B72) / $B72, "")</f>
        <v>-6.1956521739130438E-2</v>
      </c>
      <c r="L72" s="18">
        <f>IF(ISNUMBER(J72), $B91 * K72, "")</f>
        <v>-9293.4782608695659</v>
      </c>
      <c r="M72" s="31">
        <v>863</v>
      </c>
      <c r="N72" s="32">
        <f t="shared" ref="N72:N75" si="33">IF(ISNUMBER(M72), (M72 - $B72) / $B72, "")</f>
        <v>-6.1956521739130438E-2</v>
      </c>
      <c r="O72" s="18">
        <f>IF(ISNUMBER(M72), $B91 * N72, "")</f>
        <v>-9293.4782608695659</v>
      </c>
      <c r="Q72" s="156"/>
      <c r="R72" s="156"/>
      <c r="S72" s="156"/>
    </row>
    <row r="73" spans="1:19" ht="17.25" thickBot="1">
      <c r="A73" s="109" t="s">
        <v>231</v>
      </c>
      <c r="B73" s="110">
        <v>406</v>
      </c>
      <c r="C73" s="70">
        <v>8.2666666700000002E-2</v>
      </c>
      <c r="D73" s="15">
        <v>390</v>
      </c>
      <c r="E73" s="32">
        <f t="shared" si="30"/>
        <v>-3.9408866995073892E-2</v>
      </c>
      <c r="F73" s="18">
        <f>IF(ISNUMBER(D73), $B91 * E73, "")</f>
        <v>-5911.3300492610842</v>
      </c>
      <c r="G73" s="31">
        <v>390</v>
      </c>
      <c r="H73" s="32">
        <f t="shared" si="31"/>
        <v>-3.9408866995073892E-2</v>
      </c>
      <c r="I73" s="91">
        <f>IF(ISNUMBER(G73), $B91 * H73, "")</f>
        <v>-5911.3300492610842</v>
      </c>
      <c r="J73" s="15">
        <v>391</v>
      </c>
      <c r="K73" s="32">
        <f t="shared" si="32"/>
        <v>-3.6945812807881777E-2</v>
      </c>
      <c r="L73" s="18">
        <f>IF(ISNUMBER(J73), $B91 * K73, "")</f>
        <v>-5541.8719211822663</v>
      </c>
      <c r="M73" s="31">
        <v>394</v>
      </c>
      <c r="N73" s="32">
        <f t="shared" si="33"/>
        <v>-2.9556650246305417E-2</v>
      </c>
      <c r="O73" s="18">
        <f>IF(ISNUMBER(M73), $B91 * N73, "")</f>
        <v>-4433.4975369458125</v>
      </c>
      <c r="Q73" s="146"/>
      <c r="R73" s="146"/>
      <c r="S73" s="146"/>
    </row>
    <row r="74" spans="1:19" ht="17.25" thickBot="1">
      <c r="A74" s="109" t="s">
        <v>215</v>
      </c>
      <c r="B74" s="110">
        <v>361</v>
      </c>
      <c r="C74" s="70">
        <v>3.1428571400000001E-2</v>
      </c>
      <c r="D74" s="15">
        <v>357</v>
      </c>
      <c r="E74" s="32">
        <f t="shared" si="30"/>
        <v>-1.1080332409972299E-2</v>
      </c>
      <c r="F74" s="18">
        <f>IF(ISNUMBER(D74), $B91 * E74, "")</f>
        <v>-1662.0498614958449</v>
      </c>
      <c r="G74" s="31">
        <v>357</v>
      </c>
      <c r="H74" s="32">
        <f t="shared" si="31"/>
        <v>-1.1080332409972299E-2</v>
      </c>
      <c r="I74" s="91">
        <f>IF(ISNUMBER(G74), $B91 * H74, "")</f>
        <v>-1662.0498614958449</v>
      </c>
      <c r="J74" s="15">
        <v>364</v>
      </c>
      <c r="K74" s="32">
        <f t="shared" si="32"/>
        <v>8.3102493074792248E-3</v>
      </c>
      <c r="L74" s="18">
        <f>IF(ISNUMBER(J74), $B91 * K74, "")</f>
        <v>1246.5373961218838</v>
      </c>
      <c r="M74" s="31">
        <v>364</v>
      </c>
      <c r="N74" s="32">
        <f t="shared" si="33"/>
        <v>8.3102493074792248E-3</v>
      </c>
      <c r="O74" s="18">
        <f>IF(ISNUMBER(M74), $B91 * N74, "")</f>
        <v>1246.5373961218838</v>
      </c>
      <c r="Q74" s="146"/>
      <c r="R74" s="146"/>
      <c r="S74" s="146"/>
    </row>
    <row r="75" spans="1:19" ht="17.25" thickBot="1">
      <c r="A75" s="111" t="s">
        <v>205</v>
      </c>
      <c r="B75" s="112">
        <v>116</v>
      </c>
      <c r="C75" s="71">
        <v>2.65486726E-2</v>
      </c>
      <c r="D75" s="20">
        <v>118</v>
      </c>
      <c r="E75" s="21">
        <f t="shared" si="30"/>
        <v>1.7241379310344827E-2</v>
      </c>
      <c r="F75" s="22">
        <f>IF(ISNUMBER(D75), $B91 * E75, "")</f>
        <v>2586.2068965517242</v>
      </c>
      <c r="G75" s="30">
        <v>116</v>
      </c>
      <c r="H75" s="21">
        <f t="shared" si="31"/>
        <v>0</v>
      </c>
      <c r="I75" s="95">
        <f>IF(ISNUMBER(G75), $B91 * H75, "")</f>
        <v>0</v>
      </c>
      <c r="J75" s="20">
        <v>120</v>
      </c>
      <c r="K75" s="21">
        <f t="shared" si="32"/>
        <v>3.4482758620689655E-2</v>
      </c>
      <c r="L75" s="22">
        <f>IF(ISNUMBER(J75), $B91 * K75, "")</f>
        <v>5172.4137931034484</v>
      </c>
      <c r="M75" s="30">
        <v>126</v>
      </c>
      <c r="N75" s="21">
        <f t="shared" si="33"/>
        <v>8.6206896551724144E-2</v>
      </c>
      <c r="O75" s="22">
        <f>IF(ISNUMBER(M75), $B91 * N75, "")</f>
        <v>12931.034482758621</v>
      </c>
      <c r="Q75" s="146"/>
      <c r="R75" s="146"/>
      <c r="S75" s="146"/>
    </row>
    <row r="76" spans="1:19" ht="17.25" thickBot="1">
      <c r="A76" s="109" t="s">
        <v>103</v>
      </c>
      <c r="B76" s="113">
        <v>255</v>
      </c>
      <c r="C76" s="73">
        <v>1.19047619E-2</v>
      </c>
      <c r="D76" s="96">
        <v>258</v>
      </c>
      <c r="E76" s="97">
        <f>IF(ISNUMBER(D76), (D76 - $B76) / $B76, "")</f>
        <v>1.1764705882352941E-2</v>
      </c>
      <c r="F76" s="98">
        <f>IF(ISNUMBER(D76), $B91 * E76, "")</f>
        <v>1764.7058823529412</v>
      </c>
      <c r="G76" s="99">
        <v>257</v>
      </c>
      <c r="H76" s="97">
        <f>IF(ISNUMBER(G76), (G76 - $B76) / $B76, "")</f>
        <v>7.8431372549019607E-3</v>
      </c>
      <c r="I76" s="100">
        <f>IF(ISNUMBER(G76), $B91 * H76, "")</f>
        <v>1176.4705882352941</v>
      </c>
      <c r="J76" s="96">
        <v>257</v>
      </c>
      <c r="K76" s="97">
        <f>IF(ISNUMBER(J76), (J76 - $B76) / $B76, "")</f>
        <v>7.8431372549019607E-3</v>
      </c>
      <c r="L76" s="98">
        <f>IF(ISNUMBER(J76), $B91 * K76, "")</f>
        <v>1176.4705882352941</v>
      </c>
      <c r="M76" s="99">
        <v>261</v>
      </c>
      <c r="N76" s="97">
        <f>IF(ISNUMBER(M76), (M76 - $B76) / $B76, "")</f>
        <v>2.3529411764705882E-2</v>
      </c>
      <c r="O76" s="98">
        <f>IF(ISNUMBER(M76), $B91 * N76, "")</f>
        <v>3529.4117647058824</v>
      </c>
      <c r="Q76" s="146"/>
      <c r="R76" s="146"/>
      <c r="S76" s="146"/>
    </row>
    <row r="77" spans="1:19" ht="17.25" thickBot="1">
      <c r="A77" s="109" t="s">
        <v>159</v>
      </c>
      <c r="B77" s="110">
        <v>200</v>
      </c>
      <c r="C77" s="70">
        <v>1.01010101E-2</v>
      </c>
      <c r="D77" s="15">
        <v>201</v>
      </c>
      <c r="E77" s="32">
        <f t="shared" ref="E77:E80" si="34">IF(ISNUMBER(D77), (D77 - $B77) / $B77, "")</f>
        <v>5.0000000000000001E-3</v>
      </c>
      <c r="F77" s="18">
        <f>IF(ISNUMBER(D77), $B91 * E77, "")</f>
        <v>750</v>
      </c>
      <c r="G77" s="31">
        <v>202</v>
      </c>
      <c r="H77" s="32">
        <f t="shared" ref="H77:H80" si="35">IF(ISNUMBER(G77), (G77 - $B77) / $B77, "")</f>
        <v>0.01</v>
      </c>
      <c r="I77" s="91">
        <f>IF(ISNUMBER(G77), $B91 * H77, "")</f>
        <v>1500</v>
      </c>
      <c r="J77" s="15">
        <v>205</v>
      </c>
      <c r="K77" s="32">
        <f t="shared" ref="K77:K80" si="36">IF(ISNUMBER(J77), (J77 - $B77) / $B77, "")</f>
        <v>2.5000000000000001E-2</v>
      </c>
      <c r="L77" s="18">
        <f>IF(ISNUMBER(J77), $B91 * K77, "")</f>
        <v>3750</v>
      </c>
      <c r="M77" s="31">
        <v>207</v>
      </c>
      <c r="N77" s="32">
        <f t="shared" ref="N77:N80" si="37">IF(ISNUMBER(M77), (M77 - $B77) / $B77, "")</f>
        <v>3.5000000000000003E-2</v>
      </c>
      <c r="O77" s="18">
        <f>IF(ISNUMBER(M77), $B91 * N77, "")</f>
        <v>5250.0000000000009</v>
      </c>
      <c r="Q77" s="146"/>
      <c r="R77" s="146"/>
      <c r="S77" s="146"/>
    </row>
    <row r="78" spans="1:19" ht="17.25" thickBot="1">
      <c r="A78" s="109" t="s">
        <v>161</v>
      </c>
      <c r="B78" s="110">
        <v>341</v>
      </c>
      <c r="C78" s="70">
        <v>8.8757395999999999E-3</v>
      </c>
      <c r="D78" s="15">
        <v>336</v>
      </c>
      <c r="E78" s="32">
        <f t="shared" si="34"/>
        <v>-1.466275659824047E-2</v>
      </c>
      <c r="F78" s="18">
        <f>IF(ISNUMBER(D78), $B91 * E78, "")</f>
        <v>-2199.4134897360705</v>
      </c>
      <c r="G78" s="31">
        <v>336</v>
      </c>
      <c r="H78" s="32">
        <f t="shared" si="35"/>
        <v>-1.466275659824047E-2</v>
      </c>
      <c r="I78" s="91">
        <f>IF(ISNUMBER(G78), $B91 * H78, "")</f>
        <v>-2199.4134897360705</v>
      </c>
      <c r="J78" s="15">
        <v>340</v>
      </c>
      <c r="K78" s="32">
        <f t="shared" si="36"/>
        <v>-2.9325513196480938E-3</v>
      </c>
      <c r="L78" s="18">
        <f>IF(ISNUMBER(J78), $B91 * K78, "")</f>
        <v>-439.88269794721407</v>
      </c>
      <c r="M78" s="31">
        <v>340</v>
      </c>
      <c r="N78" s="32">
        <f t="shared" si="37"/>
        <v>-2.9325513196480938E-3</v>
      </c>
      <c r="O78" s="18">
        <f>IF(ISNUMBER(M78), $B91 * N78, "")</f>
        <v>-439.88269794721407</v>
      </c>
      <c r="Q78" s="146"/>
      <c r="R78" s="146"/>
      <c r="S78" s="146"/>
    </row>
    <row r="79" spans="1:19" ht="17.25" thickBot="1">
      <c r="A79" s="109" t="s">
        <v>89</v>
      </c>
      <c r="B79" s="110">
        <v>480</v>
      </c>
      <c r="C79" s="70">
        <v>8.4033613000000004E-3</v>
      </c>
      <c r="D79" s="15">
        <v>478</v>
      </c>
      <c r="E79" s="32">
        <f t="shared" si="34"/>
        <v>-4.1666666666666666E-3</v>
      </c>
      <c r="F79" s="18">
        <f>IF(ISNUMBER(D79), $B91 * E79, "")</f>
        <v>-625</v>
      </c>
      <c r="G79" s="31">
        <v>481</v>
      </c>
      <c r="H79" s="32">
        <f t="shared" si="35"/>
        <v>2.0833333333333333E-3</v>
      </c>
      <c r="I79" s="91">
        <f>IF(ISNUMBER(G79), $B91 * H79, "")</f>
        <v>312.5</v>
      </c>
      <c r="J79" s="15">
        <v>481</v>
      </c>
      <c r="K79" s="32">
        <f t="shared" si="36"/>
        <v>2.0833333333333333E-3</v>
      </c>
      <c r="L79" s="18">
        <f>IF(ISNUMBER(J79), $B91 * K79, "")</f>
        <v>312.5</v>
      </c>
      <c r="M79" s="31">
        <v>483</v>
      </c>
      <c r="N79" s="32">
        <f t="shared" si="37"/>
        <v>6.2500000000000003E-3</v>
      </c>
      <c r="O79" s="18">
        <f>IF(ISNUMBER(M79), $B91 * N79, "")</f>
        <v>937.5</v>
      </c>
      <c r="Q79" s="33"/>
      <c r="R79" s="33"/>
    </row>
    <row r="80" spans="1:19" ht="17.25" thickBot="1">
      <c r="A80" s="114" t="s">
        <v>149</v>
      </c>
      <c r="B80" s="115">
        <v>449</v>
      </c>
      <c r="C80" s="72">
        <v>6.7264574000000001E-3</v>
      </c>
      <c r="D80" s="24">
        <v>458</v>
      </c>
      <c r="E80" s="25">
        <f t="shared" si="34"/>
        <v>2.0044543429844099E-2</v>
      </c>
      <c r="F80" s="94">
        <f>IF(ISNUMBER(D80), $B91 * E80, "")</f>
        <v>3006.6815144766147</v>
      </c>
      <c r="G80" s="92">
        <v>454</v>
      </c>
      <c r="H80" s="25">
        <f t="shared" si="35"/>
        <v>1.1135857461024499E-2</v>
      </c>
      <c r="I80" s="93">
        <f>IF(ISNUMBER(G80), $B91 * H80, "")</f>
        <v>1670.3786191536749</v>
      </c>
      <c r="J80" s="24">
        <v>457</v>
      </c>
      <c r="K80" s="25">
        <f t="shared" si="36"/>
        <v>1.7817371937639197E-2</v>
      </c>
      <c r="L80" s="94">
        <f>IF(ISNUMBER(J80), $B91 * K80, "")</f>
        <v>2672.6057906458796</v>
      </c>
      <c r="M80" s="92">
        <v>457</v>
      </c>
      <c r="N80" s="25">
        <f t="shared" si="37"/>
        <v>1.7817371937639197E-2</v>
      </c>
      <c r="O80" s="94">
        <f>IF(ISNUMBER(M80), $B91 * N80, "")</f>
        <v>2672.6057906458796</v>
      </c>
      <c r="Q80" s="147"/>
      <c r="R80" s="148"/>
      <c r="S80" s="149"/>
    </row>
    <row r="81" spans="1:19">
      <c r="A81" s="107" t="s">
        <v>60</v>
      </c>
      <c r="B81" s="108">
        <v>870</v>
      </c>
      <c r="C81" s="69">
        <v>5.7803467999999998E-3</v>
      </c>
      <c r="D81" s="13">
        <v>916</v>
      </c>
      <c r="E81" s="14">
        <f>IF(ISNUMBER(D81), (D81 - $B81) / $B81, "")</f>
        <v>5.2873563218390804E-2</v>
      </c>
      <c r="F81" s="16">
        <f>IF(ISNUMBER(D81), $B91 * E81, "")</f>
        <v>7931.0344827586205</v>
      </c>
      <c r="G81" s="29">
        <v>895</v>
      </c>
      <c r="H81" s="14">
        <f>IF(ISNUMBER(G81), (G81 - $B81) / $B81, "")</f>
        <v>2.8735632183908046E-2</v>
      </c>
      <c r="I81" s="90">
        <f>IF(ISNUMBER(G81), $B91 * H81, "")</f>
        <v>4310.3448275862065</v>
      </c>
      <c r="J81" s="13">
        <v>894</v>
      </c>
      <c r="K81" s="14">
        <f>IF(ISNUMBER(J81), (J81 - $B81) / $B81, "")</f>
        <v>2.7586206896551724E-2</v>
      </c>
      <c r="L81" s="16">
        <f>IF(ISNUMBER(J81), $B91 * K81, "")</f>
        <v>4137.9310344827582</v>
      </c>
      <c r="M81" s="29">
        <v>892</v>
      </c>
      <c r="N81" s="14">
        <f>IF(ISNUMBER(M81), (M81 - $B81) / $B81, "")</f>
        <v>2.528735632183908E-2</v>
      </c>
      <c r="O81" s="16">
        <f>IF(ISNUMBER(M81), $B91 * N81, "")</f>
        <v>3793.1034482758619</v>
      </c>
      <c r="Q81" s="150"/>
      <c r="R81" s="151"/>
      <c r="S81" s="152"/>
    </row>
    <row r="82" spans="1:19" ht="17.25" thickBot="1">
      <c r="A82" s="109" t="s">
        <v>130</v>
      </c>
      <c r="B82" s="110">
        <v>914</v>
      </c>
      <c r="C82" s="70">
        <v>2.1929825000000002E-3</v>
      </c>
      <c r="D82" s="15">
        <v>923</v>
      </c>
      <c r="E82" s="32">
        <f t="shared" ref="E82:E85" si="38">IF(ISNUMBER(D82), (D82 - $B82) / $B82, "")</f>
        <v>9.8468271334792128E-3</v>
      </c>
      <c r="F82" s="18">
        <f>IF(ISNUMBER(D82), $B91 * E82, "")</f>
        <v>1477.0240700218819</v>
      </c>
      <c r="G82" s="31">
        <v>918</v>
      </c>
      <c r="H82" s="32">
        <f t="shared" ref="H82:H85" si="39">IF(ISNUMBER(G82), (G82 - $B82) / $B82, "")</f>
        <v>4.3763676148796497E-3</v>
      </c>
      <c r="I82" s="91">
        <f>IF(ISNUMBER(G82), $B91 * H82, "")</f>
        <v>656.45514223194743</v>
      </c>
      <c r="J82" s="15">
        <v>927</v>
      </c>
      <c r="K82" s="32">
        <f t="shared" ref="K82:K85" si="40">IF(ISNUMBER(J82), (J82 - $B82) / $B82, "")</f>
        <v>1.4223194748358862E-2</v>
      </c>
      <c r="L82" s="18">
        <f>IF(ISNUMBER(J82), $B91 * K82, "")</f>
        <v>2133.4792122538292</v>
      </c>
      <c r="M82" s="31">
        <v>936</v>
      </c>
      <c r="N82" s="32">
        <f t="shared" ref="N82:N85" si="41">IF(ISNUMBER(M82), (M82 - $B82) / $B82, "")</f>
        <v>2.4070021881838075E-2</v>
      </c>
      <c r="O82" s="18">
        <f>IF(ISNUMBER(M82), $B91 * N82, "")</f>
        <v>3610.5032822757112</v>
      </c>
      <c r="Q82" s="153"/>
      <c r="R82" s="154"/>
      <c r="S82" s="155"/>
    </row>
    <row r="83" spans="1:19" ht="17.25" thickBot="1">
      <c r="A83" s="109" t="s">
        <v>223</v>
      </c>
      <c r="B83" s="110">
        <v>227</v>
      </c>
      <c r="C83" s="70">
        <v>0</v>
      </c>
      <c r="D83" s="15">
        <v>229</v>
      </c>
      <c r="E83" s="32">
        <f t="shared" si="38"/>
        <v>8.8105726872246704E-3</v>
      </c>
      <c r="F83" s="18">
        <f>IF(ISNUMBER(D83), $B91 * E83, "")</f>
        <v>1321.5859030837005</v>
      </c>
      <c r="G83" s="31">
        <v>227</v>
      </c>
      <c r="H83" s="32">
        <f t="shared" si="39"/>
        <v>0</v>
      </c>
      <c r="I83" s="91">
        <f>IF(ISNUMBER(G83), $B91 * H83, "")</f>
        <v>0</v>
      </c>
      <c r="J83" s="15">
        <v>234</v>
      </c>
      <c r="K83" s="32">
        <f t="shared" si="40"/>
        <v>3.0837004405286344E-2</v>
      </c>
      <c r="L83" s="18">
        <f>IF(ISNUMBER(J83), $B91 * K83, "")</f>
        <v>4625.5506607929519</v>
      </c>
      <c r="M83" s="31">
        <v>231</v>
      </c>
      <c r="N83" s="32">
        <f t="shared" si="41"/>
        <v>1.7621145374449341E-2</v>
      </c>
      <c r="O83" s="18">
        <f>IF(ISNUMBER(M83), $B91 * N83, "")</f>
        <v>2643.171806167401</v>
      </c>
      <c r="Q83" s="146"/>
      <c r="R83" s="146"/>
      <c r="S83" s="146"/>
    </row>
    <row r="84" spans="1:19" ht="17.25" thickBot="1">
      <c r="A84" s="109" t="s">
        <v>81</v>
      </c>
      <c r="B84" s="110">
        <v>431</v>
      </c>
      <c r="C84" s="70">
        <v>-6.9124423999999997E-3</v>
      </c>
      <c r="D84" s="15">
        <v>433</v>
      </c>
      <c r="E84" s="32">
        <f t="shared" si="38"/>
        <v>4.6403712296983757E-3</v>
      </c>
      <c r="F84" s="18">
        <f>IF(ISNUMBER(D84), $B91 * E84, "")</f>
        <v>696.05568445475637</v>
      </c>
      <c r="G84" s="31">
        <v>435</v>
      </c>
      <c r="H84" s="32">
        <f t="shared" si="39"/>
        <v>9.2807424593967514E-3</v>
      </c>
      <c r="I84" s="91">
        <f>IF(ISNUMBER(G84), $B91 * H84, "")</f>
        <v>1392.1113689095127</v>
      </c>
      <c r="J84" s="15">
        <v>439</v>
      </c>
      <c r="K84" s="32">
        <f t="shared" si="40"/>
        <v>1.8561484918793503E-2</v>
      </c>
      <c r="L84" s="18">
        <f>IF(ISNUMBER(J84), $B91 * K84, "")</f>
        <v>2784.2227378190255</v>
      </c>
      <c r="M84" s="31">
        <v>440</v>
      </c>
      <c r="N84" s="32">
        <f t="shared" si="41"/>
        <v>2.0881670533642691E-2</v>
      </c>
      <c r="O84" s="18">
        <f>IF(ISNUMBER(M84), $B91 * N84, "")</f>
        <v>3132.2505800464037</v>
      </c>
      <c r="Q84" s="156"/>
      <c r="R84" s="156"/>
      <c r="S84" s="156"/>
    </row>
    <row r="85" spans="1:19" ht="17.25" thickBot="1">
      <c r="A85" s="111" t="s">
        <v>101</v>
      </c>
      <c r="B85" s="112">
        <v>242</v>
      </c>
      <c r="C85" s="71">
        <v>-8.1967212999999994E-3</v>
      </c>
      <c r="D85" s="20">
        <v>243</v>
      </c>
      <c r="E85" s="21">
        <f t="shared" si="38"/>
        <v>4.1322314049586778E-3</v>
      </c>
      <c r="F85" s="22">
        <f>IF(ISNUMBER(D85), $B91 * E85, "")</f>
        <v>619.83471074380168</v>
      </c>
      <c r="G85" s="30">
        <v>245</v>
      </c>
      <c r="H85" s="21">
        <f t="shared" si="39"/>
        <v>1.2396694214876033E-2</v>
      </c>
      <c r="I85" s="95">
        <f>IF(ISNUMBER(G85), $B91 * H85, "")</f>
        <v>1859.504132231405</v>
      </c>
      <c r="J85" s="20">
        <v>247</v>
      </c>
      <c r="K85" s="21">
        <f t="shared" si="40"/>
        <v>2.0661157024793389E-2</v>
      </c>
      <c r="L85" s="22">
        <f>IF(ISNUMBER(J85), $B91 * K85, "")</f>
        <v>3099.1735537190084</v>
      </c>
      <c r="M85" s="30">
        <v>249</v>
      </c>
      <c r="N85" s="21">
        <f t="shared" si="41"/>
        <v>2.8925619834710745E-2</v>
      </c>
      <c r="O85" s="22">
        <f>IF(ISNUMBER(M85), $B91 * N85, "")</f>
        <v>4338.8429752066113</v>
      </c>
      <c r="Q85" s="156"/>
      <c r="R85" s="156"/>
      <c r="S85" s="156"/>
    </row>
    <row r="86" spans="1:19" ht="17.25" thickBot="1">
      <c r="A86" s="109" t="s">
        <v>239</v>
      </c>
      <c r="B86" s="113">
        <v>473</v>
      </c>
      <c r="C86" s="73">
        <v>-8.3857441999999997E-3</v>
      </c>
      <c r="D86" s="96">
        <v>472</v>
      </c>
      <c r="E86" s="97">
        <f>IF(ISNUMBER(D86), (D86 - $B86) / $B86, "")</f>
        <v>-2.1141649048625794E-3</v>
      </c>
      <c r="F86" s="98">
        <f>IF(ISNUMBER(D86), $B91 * E86, "")</f>
        <v>-317.12473572938688</v>
      </c>
      <c r="G86" s="99">
        <v>472</v>
      </c>
      <c r="H86" s="97">
        <f>IF(ISNUMBER(G86), (G86 - $B86) / $B86, "")</f>
        <v>-2.1141649048625794E-3</v>
      </c>
      <c r="I86" s="100">
        <f>IF(ISNUMBER(G86), $B91 * H86, "")</f>
        <v>-317.12473572938688</v>
      </c>
      <c r="J86" s="96">
        <v>475</v>
      </c>
      <c r="K86" s="97">
        <f>IF(ISNUMBER(J86), (J86 - $B86) / $B86, "")</f>
        <v>4.2283298097251587E-3</v>
      </c>
      <c r="L86" s="98">
        <f>IF(ISNUMBER(J86), $B91 * K86, "")</f>
        <v>634.24947145877377</v>
      </c>
      <c r="M86" s="99">
        <v>477</v>
      </c>
      <c r="N86" s="97">
        <f>IF(ISNUMBER(M86), (M86 - $B86) / $B86, "")</f>
        <v>8.4566596194503175E-3</v>
      </c>
      <c r="O86" s="98">
        <f>IF(ISNUMBER(M86), $B91 * N86, "")</f>
        <v>1268.4989429175475</v>
      </c>
      <c r="Q86" s="146"/>
      <c r="R86" s="146"/>
      <c r="S86" s="146"/>
    </row>
    <row r="87" spans="1:19" ht="17.25" thickBot="1">
      <c r="A87" s="109" t="s">
        <v>219</v>
      </c>
      <c r="B87" s="110">
        <v>436</v>
      </c>
      <c r="C87" s="70">
        <v>-9.0909091000000008E-3</v>
      </c>
      <c r="D87" s="15">
        <v>437</v>
      </c>
      <c r="E87" s="32">
        <f t="shared" ref="E87:E90" si="42">IF(ISNUMBER(D87), (D87 - $B87) / $B87, "")</f>
        <v>2.2935779816513763E-3</v>
      </c>
      <c r="F87" s="18">
        <f>IF(ISNUMBER(D87), $B91 * E87, "")</f>
        <v>344.03669724770646</v>
      </c>
      <c r="G87" s="31">
        <v>439</v>
      </c>
      <c r="H87" s="32">
        <f t="shared" ref="H87:H90" si="43">IF(ISNUMBER(G87), (G87 - $B87) / $B87, "")</f>
        <v>6.8807339449541288E-3</v>
      </c>
      <c r="I87" s="91">
        <f>IF(ISNUMBER(G87), $B91 * H87, "")</f>
        <v>1032.1100917431193</v>
      </c>
      <c r="J87" s="15">
        <v>444</v>
      </c>
      <c r="K87" s="32">
        <f t="shared" ref="K87:K90" si="44">IF(ISNUMBER(J87), (J87 - $B87) / $B87, "")</f>
        <v>1.834862385321101E-2</v>
      </c>
      <c r="L87" s="18">
        <f>IF(ISNUMBER(J87), $B91 * K87, "")</f>
        <v>2752.2935779816517</v>
      </c>
      <c r="M87" s="31">
        <v>446</v>
      </c>
      <c r="N87" s="32">
        <f t="shared" ref="N87:N90" si="45">IF(ISNUMBER(M87), (M87 - $B87) / $B87, "")</f>
        <v>2.2935779816513763E-2</v>
      </c>
      <c r="O87" s="18">
        <f>IF(ISNUMBER(M87), $B91 * N87, "")</f>
        <v>3440.3669724770643</v>
      </c>
      <c r="Q87" s="146"/>
      <c r="R87" s="146"/>
      <c r="S87" s="146"/>
    </row>
    <row r="88" spans="1:19" ht="17.25" thickBot="1">
      <c r="A88" s="109" t="s">
        <v>199</v>
      </c>
      <c r="B88" s="110">
        <v>324</v>
      </c>
      <c r="C88" s="70">
        <v>-1.2195121999999999E-2</v>
      </c>
      <c r="D88" s="15">
        <v>326</v>
      </c>
      <c r="E88" s="32">
        <f t="shared" si="42"/>
        <v>6.1728395061728392E-3</v>
      </c>
      <c r="F88" s="18">
        <f>IF(ISNUMBER(D88), $B91 * E88, "")</f>
        <v>925.92592592592587</v>
      </c>
      <c r="G88" s="31">
        <v>329</v>
      </c>
      <c r="H88" s="32">
        <f t="shared" si="43"/>
        <v>1.5432098765432098E-2</v>
      </c>
      <c r="I88" s="91">
        <f>IF(ISNUMBER(G88), $B91 * H88, "")</f>
        <v>2314.8148148148148</v>
      </c>
      <c r="J88" s="15">
        <v>339</v>
      </c>
      <c r="K88" s="32">
        <f t="shared" si="44"/>
        <v>4.6296296296296294E-2</v>
      </c>
      <c r="L88" s="18">
        <f>IF(ISNUMBER(J88), $B91 * K88, "")</f>
        <v>6944.4444444444443</v>
      </c>
      <c r="M88" s="31">
        <v>340</v>
      </c>
      <c r="N88" s="32">
        <f t="shared" si="45"/>
        <v>4.9382716049382713E-2</v>
      </c>
      <c r="O88" s="18">
        <f>IF(ISNUMBER(M88), $B91 * N88, "")</f>
        <v>7407.4074074074069</v>
      </c>
      <c r="Q88" s="146"/>
      <c r="R88" s="146"/>
      <c r="S88" s="146"/>
    </row>
    <row r="89" spans="1:19">
      <c r="A89" s="109" t="s">
        <v>105</v>
      </c>
      <c r="B89" s="110">
        <v>235</v>
      </c>
      <c r="C89" s="70">
        <v>-1.2605042E-2</v>
      </c>
      <c r="D89" s="15">
        <v>238</v>
      </c>
      <c r="E89" s="32">
        <f t="shared" si="42"/>
        <v>1.276595744680851E-2</v>
      </c>
      <c r="F89" s="18">
        <f>IF(ISNUMBER(D89), $B91 * E89, "")</f>
        <v>1914.8936170212764</v>
      </c>
      <c r="G89" s="31">
        <v>237</v>
      </c>
      <c r="H89" s="32">
        <f t="shared" si="43"/>
        <v>8.5106382978723406E-3</v>
      </c>
      <c r="I89" s="91">
        <f>IF(ISNUMBER(G89), $B91 * H89, "")</f>
        <v>1276.5957446808511</v>
      </c>
      <c r="J89" s="15">
        <v>242</v>
      </c>
      <c r="K89" s="32">
        <f t="shared" si="44"/>
        <v>2.9787234042553193E-2</v>
      </c>
      <c r="L89" s="18">
        <f>IF(ISNUMBER(J89), $B91 * K89, "")</f>
        <v>4468.0851063829787</v>
      </c>
      <c r="M89" s="31">
        <v>246</v>
      </c>
      <c r="N89" s="32">
        <f t="shared" si="45"/>
        <v>4.6808510638297871E-2</v>
      </c>
      <c r="O89" s="18">
        <f>IF(ISNUMBER(M89), $B91 * N89, "")</f>
        <v>7021.2765957446809</v>
      </c>
      <c r="Q89" s="135"/>
      <c r="R89" s="136"/>
      <c r="S89" s="137"/>
    </row>
    <row r="90" spans="1:19" ht="17.25" thickBot="1">
      <c r="A90" s="114" t="s">
        <v>66</v>
      </c>
      <c r="B90" s="115">
        <v>729</v>
      </c>
      <c r="C90" s="72">
        <v>-1.35317997E-2</v>
      </c>
      <c r="D90" s="24">
        <v>734</v>
      </c>
      <c r="E90" s="25">
        <f t="shared" si="42"/>
        <v>6.8587105624142658E-3</v>
      </c>
      <c r="F90" s="94">
        <f>IF(ISNUMBER(D90), $B91 * E90, "")</f>
        <v>1028.8065843621398</v>
      </c>
      <c r="G90" s="92">
        <v>743</v>
      </c>
      <c r="H90" s="25">
        <f t="shared" si="43"/>
        <v>1.9204389574759947E-2</v>
      </c>
      <c r="I90" s="93">
        <f>IF(ISNUMBER(G90), $B91 * H90, "")</f>
        <v>2880.658436213992</v>
      </c>
      <c r="J90" s="24">
        <v>746</v>
      </c>
      <c r="K90" s="25">
        <f t="shared" si="44"/>
        <v>2.3319615912208505E-2</v>
      </c>
      <c r="L90" s="94">
        <f>IF(ISNUMBER(J90), $B91 * K90, "")</f>
        <v>3497.9423868312756</v>
      </c>
      <c r="M90" s="92">
        <v>756</v>
      </c>
      <c r="N90" s="25">
        <f t="shared" si="45"/>
        <v>3.7037037037037035E-2</v>
      </c>
      <c r="O90" s="94">
        <f>IF(ISNUMBER(M90), $B91 * N90, "")</f>
        <v>5555.5555555555557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-5.3546619322920983E-4</v>
      </c>
      <c r="F91" s="28">
        <f>SUM(F71:F90)</f>
        <v>-1606.3985796876304</v>
      </c>
      <c r="G91" s="26" t="s">
        <v>258</v>
      </c>
      <c r="H91" s="27">
        <f>IF(COUNT(H71:H90), SUM(H71:H90) / COUNT(H71:H90), 0)</f>
        <v>-1.7107253288092406E-3</v>
      </c>
      <c r="I91" s="28">
        <f>SUM(I71:I90)</f>
        <v>-5132.1759864277274</v>
      </c>
      <c r="J91" s="26" t="s">
        <v>258</v>
      </c>
      <c r="K91" s="27">
        <f>IF(COUNT(K71:K90), SUM(K71:K90) / COUNT(K71:K90), 0)</f>
        <v>9.4970246513067236E-3</v>
      </c>
      <c r="L91" s="28">
        <f>SUM(L71:L90)</f>
        <v>28491.073953920179</v>
      </c>
      <c r="M91" s="26" t="s">
        <v>258</v>
      </c>
      <c r="N91" s="27">
        <f>IF(COUNT(N71:N90), SUM(N71:N90) / COUNT(N71:N90), 0)</f>
        <v>1.6323205194729982E-2</v>
      </c>
      <c r="O91" s="28">
        <f>SUM(O71:O90)</f>
        <v>48969.615584189938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2023-01-17(화) 오전 00:00</v>
      </c>
      <c r="C96" s="198"/>
      <c r="D96" s="170" t="str">
        <f>TEXT($G$1, "[$-ko-KR]yyyy-mm-dd(ddd) ") &amp; "오후 14:00"</f>
        <v>2023-01-17(화) 오후 14:00</v>
      </c>
      <c r="E96" s="171"/>
      <c r="F96" s="172"/>
      <c r="G96" s="170" t="str">
        <f>TEXT($G$1, "[$-ko-KR]yyyy-mm-dd(ddd) ") &amp; "오후 19:00"</f>
        <v>2023-01-17(화) 오후 19:00</v>
      </c>
      <c r="H96" s="171"/>
      <c r="I96" s="172"/>
      <c r="J96" s="170" t="str">
        <f>TEXT($G$1, "[$-ko-KR]yyyy-mm-dd(ddd) ") &amp; "오후 21:00"</f>
        <v>2023-01-17(화) 오후 21:00</v>
      </c>
      <c r="K96" s="171"/>
      <c r="L96" s="172"/>
      <c r="M96" s="170" t="str">
        <f>TEXT($G$1+1, "[$-ko-KR]yyyy-mm-dd(ddd) ") &amp; "오전 00:00"</f>
        <v>2023-01-18(수)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341</v>
      </c>
      <c r="B98" s="108">
        <v>904</v>
      </c>
      <c r="C98" s="69">
        <v>0.15306122450000001</v>
      </c>
      <c r="D98" s="13">
        <v>871</v>
      </c>
      <c r="E98" s="14">
        <f>IF(ISNUMBER(D98), (D98 - $B98) / $B98, "")</f>
        <v>-3.6504424778761063E-2</v>
      </c>
      <c r="F98" s="16">
        <f>IF(ISNUMBER(D98), $B118 * E98, "")</f>
        <v>-5475.6637168141597</v>
      </c>
      <c r="G98" s="29">
        <v>870</v>
      </c>
      <c r="H98" s="14">
        <f>IF(ISNUMBER(G98), (G98 - $B98) / $B98, "")</f>
        <v>-3.7610619469026552E-2</v>
      </c>
      <c r="I98" s="90">
        <f>IF(ISNUMBER(G98), $B118 * H98, "")</f>
        <v>-5641.5929203539827</v>
      </c>
      <c r="J98" s="13">
        <v>870</v>
      </c>
      <c r="K98" s="14">
        <f>IF(ISNUMBER(J98), (J98 - $B98) / $B98, "")</f>
        <v>-3.7610619469026552E-2</v>
      </c>
      <c r="L98" s="16">
        <f>IF(ISNUMBER(J98), $B118 * K98, "")</f>
        <v>-5641.5929203539827</v>
      </c>
      <c r="M98" s="29">
        <v>870</v>
      </c>
      <c r="N98" s="14">
        <f>IF(ISNUMBER(M98), (M98 - $B98) / $B98, "")</f>
        <v>-3.7610619469026552E-2</v>
      </c>
      <c r="O98" s="16">
        <f>IF(ISNUMBER(M98), $B118 * N98, "")</f>
        <v>-5641.5929203539827</v>
      </c>
      <c r="Q98" s="156"/>
      <c r="R98" s="156"/>
      <c r="S98" s="156"/>
    </row>
    <row r="99" spans="1:19" ht="17.25" thickBot="1">
      <c r="A99" s="109" t="s">
        <v>187</v>
      </c>
      <c r="B99" s="110">
        <v>920</v>
      </c>
      <c r="C99" s="70">
        <v>0.103117506</v>
      </c>
      <c r="D99" s="15">
        <v>860</v>
      </c>
      <c r="E99" s="32">
        <f t="shared" ref="E99:E102" si="46">IF(ISNUMBER(D99), (D99 - $B99) / $B99, "")</f>
        <v>-6.5217391304347824E-2</v>
      </c>
      <c r="F99" s="18">
        <f>IF(ISNUMBER(D99), $B118 * E99, "")</f>
        <v>-9782.608695652174</v>
      </c>
      <c r="G99" s="31">
        <v>860</v>
      </c>
      <c r="H99" s="32">
        <f t="shared" ref="H99:H102" si="47">IF(ISNUMBER(G99), (G99 - $B99) / $B99, "")</f>
        <v>-6.5217391304347824E-2</v>
      </c>
      <c r="I99" s="91">
        <f>IF(ISNUMBER(G99), $B118 * H99, "")</f>
        <v>-9782.608695652174</v>
      </c>
      <c r="J99" s="15">
        <v>863</v>
      </c>
      <c r="K99" s="32">
        <f t="shared" ref="K99:K102" si="48">IF(ISNUMBER(J99), (J99 - $B99) / $B99, "")</f>
        <v>-6.1956521739130438E-2</v>
      </c>
      <c r="L99" s="18">
        <f>IF(ISNUMBER(J99), $B118 * K99, "")</f>
        <v>-9293.4782608695659</v>
      </c>
      <c r="M99" s="31">
        <v>863</v>
      </c>
      <c r="N99" s="32">
        <f t="shared" ref="N99:N102" si="49">IF(ISNUMBER(M99), (M99 - $B99) / $B99, "")</f>
        <v>-6.1956521739130438E-2</v>
      </c>
      <c r="O99" s="18">
        <f>IF(ISNUMBER(M99), $B118 * N99, "")</f>
        <v>-9293.4782608695659</v>
      </c>
      <c r="Q99" s="156"/>
      <c r="R99" s="156"/>
      <c r="S99" s="156"/>
    </row>
    <row r="100" spans="1:19" ht="17.25" thickBot="1">
      <c r="A100" s="109" t="s">
        <v>231</v>
      </c>
      <c r="B100" s="110">
        <v>406</v>
      </c>
      <c r="C100" s="70">
        <v>8.2666666700000002E-2</v>
      </c>
      <c r="D100" s="15">
        <v>390</v>
      </c>
      <c r="E100" s="32">
        <f t="shared" si="46"/>
        <v>-3.9408866995073892E-2</v>
      </c>
      <c r="F100" s="18">
        <f>IF(ISNUMBER(D100), $B118 * E100, "")</f>
        <v>-5911.3300492610842</v>
      </c>
      <c r="G100" s="31">
        <v>390</v>
      </c>
      <c r="H100" s="32">
        <f t="shared" si="47"/>
        <v>-3.9408866995073892E-2</v>
      </c>
      <c r="I100" s="91">
        <f>IF(ISNUMBER(G100), $B118 * H100, "")</f>
        <v>-5911.3300492610842</v>
      </c>
      <c r="J100" s="15">
        <v>391</v>
      </c>
      <c r="K100" s="32">
        <f t="shared" si="48"/>
        <v>-3.6945812807881777E-2</v>
      </c>
      <c r="L100" s="18">
        <f>IF(ISNUMBER(J100), $B118 * K100, "")</f>
        <v>-5541.8719211822663</v>
      </c>
      <c r="M100" s="31">
        <v>394</v>
      </c>
      <c r="N100" s="32">
        <f t="shared" si="49"/>
        <v>-2.9556650246305417E-2</v>
      </c>
      <c r="O100" s="18">
        <f>IF(ISNUMBER(M100), $B118 * N100, "")</f>
        <v>-4433.4975369458125</v>
      </c>
      <c r="Q100" s="146"/>
      <c r="R100" s="146"/>
      <c r="S100" s="146"/>
    </row>
    <row r="101" spans="1:19" ht="17.25" thickBot="1">
      <c r="A101" s="109" t="s">
        <v>324</v>
      </c>
      <c r="B101" s="110">
        <v>99.5</v>
      </c>
      <c r="C101" s="70">
        <v>7.9175704999999999E-2</v>
      </c>
      <c r="D101" s="15">
        <v>99.1</v>
      </c>
      <c r="E101" s="32">
        <f t="shared" si="46"/>
        <v>-4.0201005025126196E-3</v>
      </c>
      <c r="F101" s="18">
        <f>IF(ISNUMBER(D101), $B118 * E101, "")</f>
        <v>-603.01507537689292</v>
      </c>
      <c r="G101" s="31">
        <v>97.3</v>
      </c>
      <c r="H101" s="32">
        <f t="shared" si="47"/>
        <v>-2.2110552763819125E-2</v>
      </c>
      <c r="I101" s="91">
        <f>IF(ISNUMBER(G101), $B118 * H101, "")</f>
        <v>-3316.5829145728685</v>
      </c>
      <c r="J101" s="15">
        <v>97.4</v>
      </c>
      <c r="K101" s="32">
        <f t="shared" si="48"/>
        <v>-2.1105527638190898E-2</v>
      </c>
      <c r="L101" s="18">
        <f>IF(ISNUMBER(J101), $B118 * K101, "")</f>
        <v>-3165.8291457286346</v>
      </c>
      <c r="M101" s="31">
        <v>97.9</v>
      </c>
      <c r="N101" s="32">
        <f t="shared" si="49"/>
        <v>-1.6080402010050194E-2</v>
      </c>
      <c r="O101" s="18">
        <f>IF(ISNUMBER(M101), $B118 * N101, "")</f>
        <v>-2412.0603015075289</v>
      </c>
      <c r="Q101" s="146"/>
      <c r="R101" s="146"/>
      <c r="S101" s="146"/>
    </row>
    <row r="102" spans="1:19" ht="17.25" thickBot="1">
      <c r="A102" s="111" t="s">
        <v>126</v>
      </c>
      <c r="B102" s="112">
        <v>34</v>
      </c>
      <c r="C102" s="71">
        <v>5.5900621099999999E-2</v>
      </c>
      <c r="D102" s="20">
        <v>34.1</v>
      </c>
      <c r="E102" s="21">
        <f t="shared" si="46"/>
        <v>2.9411764705882769E-3</v>
      </c>
      <c r="F102" s="22">
        <f>IF(ISNUMBER(D102), $B118 * E102, "")</f>
        <v>441.17647058824156</v>
      </c>
      <c r="G102" s="30">
        <v>34.1</v>
      </c>
      <c r="H102" s="21">
        <f t="shared" si="47"/>
        <v>2.9411764705882769E-3</v>
      </c>
      <c r="I102" s="95">
        <f>IF(ISNUMBER(G102), $B118 * H102, "")</f>
        <v>441.17647058824156</v>
      </c>
      <c r="J102" s="20">
        <v>35.1</v>
      </c>
      <c r="K102" s="21">
        <f t="shared" si="48"/>
        <v>3.2352941176470633E-2</v>
      </c>
      <c r="L102" s="22">
        <f>IF(ISNUMBER(J102), $B118 * K102, "")</f>
        <v>4852.9411764705947</v>
      </c>
      <c r="M102" s="30">
        <v>34.6</v>
      </c>
      <c r="N102" s="21">
        <f t="shared" si="49"/>
        <v>1.7647058823529453E-2</v>
      </c>
      <c r="O102" s="22">
        <f>IF(ISNUMBER(M102), $B118 * N102, "")</f>
        <v>2647.0588235294181</v>
      </c>
      <c r="Q102" s="146"/>
      <c r="R102" s="146"/>
      <c r="S102" s="146"/>
    </row>
    <row r="103" spans="1:19" ht="17.25" thickBot="1">
      <c r="A103" s="109" t="s">
        <v>215</v>
      </c>
      <c r="B103" s="113">
        <v>361</v>
      </c>
      <c r="C103" s="73">
        <v>3.1428571400000001E-2</v>
      </c>
      <c r="D103" s="96">
        <v>357</v>
      </c>
      <c r="E103" s="97">
        <f>IF(ISNUMBER(D103), (D103 - $B103) / $B103, "")</f>
        <v>-1.1080332409972299E-2</v>
      </c>
      <c r="F103" s="98">
        <f>IF(ISNUMBER(D103), $B118 * E103, "")</f>
        <v>-1662.0498614958449</v>
      </c>
      <c r="G103" s="99">
        <v>357</v>
      </c>
      <c r="H103" s="97">
        <f>IF(ISNUMBER(G103), (G103 - $B103) / $B103, "")</f>
        <v>-1.1080332409972299E-2</v>
      </c>
      <c r="I103" s="100">
        <f>IF(ISNUMBER(G103), $B118 * H103, "")</f>
        <v>-1662.0498614958449</v>
      </c>
      <c r="J103" s="96">
        <v>364</v>
      </c>
      <c r="K103" s="97">
        <f>IF(ISNUMBER(J103), (J103 - $B103) / $B103, "")</f>
        <v>8.3102493074792248E-3</v>
      </c>
      <c r="L103" s="98">
        <f>IF(ISNUMBER(J103), $B118 * K103, "")</f>
        <v>1246.5373961218838</v>
      </c>
      <c r="M103" s="99">
        <v>364</v>
      </c>
      <c r="N103" s="97">
        <f>IF(ISNUMBER(M103), (M103 - $B103) / $B103, "")</f>
        <v>8.3102493074792248E-3</v>
      </c>
      <c r="O103" s="98">
        <f>IF(ISNUMBER(M103), $B118 * N103, "")</f>
        <v>1246.5373961218838</v>
      </c>
      <c r="Q103" s="146"/>
      <c r="R103" s="146"/>
      <c r="S103" s="146"/>
    </row>
    <row r="104" spans="1:19" ht="17.25" thickBot="1">
      <c r="A104" s="109" t="s">
        <v>205</v>
      </c>
      <c r="B104" s="110">
        <v>116</v>
      </c>
      <c r="C104" s="70">
        <v>2.65486726E-2</v>
      </c>
      <c r="D104" s="15">
        <v>118</v>
      </c>
      <c r="E104" s="32">
        <f t="shared" ref="E104:E107" si="50">IF(ISNUMBER(D104), (D104 - $B104) / $B104, "")</f>
        <v>1.7241379310344827E-2</v>
      </c>
      <c r="F104" s="18">
        <f>IF(ISNUMBER(D104), $B118 * E104, "")</f>
        <v>2586.2068965517242</v>
      </c>
      <c r="G104" s="31">
        <v>116</v>
      </c>
      <c r="H104" s="32">
        <f t="shared" ref="H104:H107" si="51">IF(ISNUMBER(G104), (G104 - $B104) / $B104, "")</f>
        <v>0</v>
      </c>
      <c r="I104" s="91">
        <f>IF(ISNUMBER(G104), $B118 * H104, "")</f>
        <v>0</v>
      </c>
      <c r="J104" s="15">
        <v>120</v>
      </c>
      <c r="K104" s="32">
        <f t="shared" ref="K104:K107" si="52">IF(ISNUMBER(J104), (J104 - $B104) / $B104, "")</f>
        <v>3.4482758620689655E-2</v>
      </c>
      <c r="L104" s="18">
        <f>IF(ISNUMBER(J104), $B118 * K104, "")</f>
        <v>5172.4137931034484</v>
      </c>
      <c r="M104" s="31">
        <v>126</v>
      </c>
      <c r="N104" s="32">
        <f t="shared" ref="N104:N107" si="53">IF(ISNUMBER(M104), (M104 - $B104) / $B104, "")</f>
        <v>8.6206896551724144E-2</v>
      </c>
      <c r="O104" s="18">
        <f>IF(ISNUMBER(M104), $B118 * N104, "")</f>
        <v>12931.034482758621</v>
      </c>
      <c r="Q104" s="146"/>
      <c r="R104" s="146"/>
      <c r="S104" s="146"/>
    </row>
    <row r="105" spans="1:19" ht="17.25" thickBot="1">
      <c r="A105" s="109" t="s">
        <v>151</v>
      </c>
      <c r="B105" s="110">
        <v>2935</v>
      </c>
      <c r="C105" s="70">
        <v>1.90972222E-2</v>
      </c>
      <c r="D105" s="15">
        <v>2905</v>
      </c>
      <c r="E105" s="32">
        <f t="shared" si="50"/>
        <v>-1.0221465076660987E-2</v>
      </c>
      <c r="F105" s="18">
        <f>IF(ISNUMBER(D105), $B118 * E105, "")</f>
        <v>-1533.219761499148</v>
      </c>
      <c r="G105" s="31">
        <v>2890</v>
      </c>
      <c r="H105" s="32">
        <f t="shared" si="51"/>
        <v>-1.5332197614991482E-2</v>
      </c>
      <c r="I105" s="91">
        <f>IF(ISNUMBER(G105), $B118 * H105, "")</f>
        <v>-2299.8296422487224</v>
      </c>
      <c r="J105" s="15">
        <v>2865</v>
      </c>
      <c r="K105" s="32">
        <f t="shared" si="52"/>
        <v>-2.385008517887564E-2</v>
      </c>
      <c r="L105" s="18">
        <f>IF(ISNUMBER(J105), $B118 * K105, "")</f>
        <v>-3577.5127768313459</v>
      </c>
      <c r="M105" s="31">
        <v>2880</v>
      </c>
      <c r="N105" s="32">
        <f t="shared" si="53"/>
        <v>-1.8739352640545145E-2</v>
      </c>
      <c r="O105" s="18">
        <f>IF(ISNUMBER(M105), $B118 * N105, "")</f>
        <v>-2810.9028960817718</v>
      </c>
      <c r="Q105" s="146"/>
      <c r="R105" s="146"/>
      <c r="S105" s="146"/>
    </row>
    <row r="106" spans="1:19" ht="17.25" thickBot="1">
      <c r="A106" s="109" t="s">
        <v>328</v>
      </c>
      <c r="B106" s="110">
        <v>9965</v>
      </c>
      <c r="C106" s="70">
        <v>1.58002039E-2</v>
      </c>
      <c r="D106" s="15">
        <v>10110</v>
      </c>
      <c r="E106" s="32">
        <f t="shared" si="50"/>
        <v>1.4550928248871048E-2</v>
      </c>
      <c r="F106" s="18">
        <f>IF(ISNUMBER(D106), $B118 * E106, "")</f>
        <v>2182.6392373306571</v>
      </c>
      <c r="G106" s="31">
        <v>10000</v>
      </c>
      <c r="H106" s="32">
        <f t="shared" si="51"/>
        <v>3.5122930255895636E-3</v>
      </c>
      <c r="I106" s="91">
        <f>IF(ISNUMBER(G106), $B118 * H106, "")</f>
        <v>526.84395383843457</v>
      </c>
      <c r="J106" s="15">
        <v>10070</v>
      </c>
      <c r="K106" s="32">
        <f t="shared" si="52"/>
        <v>1.0536879076768691E-2</v>
      </c>
      <c r="L106" s="18">
        <f>IF(ISNUMBER(J106), $B118 * K106, "")</f>
        <v>1580.5318615153037</v>
      </c>
      <c r="M106" s="31">
        <v>10010</v>
      </c>
      <c r="N106" s="32">
        <f t="shared" si="53"/>
        <v>4.5158053186151528E-3</v>
      </c>
      <c r="O106" s="18">
        <f>IF(ISNUMBER(M106), $B118 * N106, "")</f>
        <v>677.37079779227292</v>
      </c>
      <c r="Q106" s="33"/>
      <c r="R106" s="33"/>
    </row>
    <row r="107" spans="1:19" ht="17.25" thickBot="1">
      <c r="A107" s="114" t="s">
        <v>56</v>
      </c>
      <c r="B107" s="115">
        <v>45.2</v>
      </c>
      <c r="C107" s="72">
        <v>1.5730337099999998E-2</v>
      </c>
      <c r="D107" s="24">
        <v>45.6</v>
      </c>
      <c r="E107" s="25">
        <f t="shared" si="50"/>
        <v>8.8495575221238625E-3</v>
      </c>
      <c r="F107" s="94">
        <f>IF(ISNUMBER(D107), $B118 * E107, "")</f>
        <v>1327.4336283185794</v>
      </c>
      <c r="G107" s="92">
        <v>45.8</v>
      </c>
      <c r="H107" s="25">
        <f t="shared" si="51"/>
        <v>1.3274336283185714E-2</v>
      </c>
      <c r="I107" s="93">
        <f>IF(ISNUMBER(G107), $B118 * H107, "")</f>
        <v>1991.150442477857</v>
      </c>
      <c r="J107" s="24">
        <v>46.4</v>
      </c>
      <c r="K107" s="25">
        <f t="shared" si="52"/>
        <v>2.6548672566371584E-2</v>
      </c>
      <c r="L107" s="94">
        <f>IF(ISNUMBER(J107), $B118 * K107, "")</f>
        <v>3982.3008849557377</v>
      </c>
      <c r="M107" s="92">
        <v>46.5</v>
      </c>
      <c r="N107" s="25">
        <f t="shared" si="53"/>
        <v>2.8761061946902589E-2</v>
      </c>
      <c r="O107" s="94">
        <f>IF(ISNUMBER(M107), $B118 * N107, "")</f>
        <v>4314.1592920353887</v>
      </c>
      <c r="Q107" s="147"/>
      <c r="R107" s="148"/>
      <c r="S107" s="149"/>
    </row>
    <row r="108" spans="1:19">
      <c r="A108" s="107" t="s">
        <v>343</v>
      </c>
      <c r="B108" s="108">
        <v>28770</v>
      </c>
      <c r="C108" s="69">
        <v>1.3028168999999999E-2</v>
      </c>
      <c r="D108" s="13">
        <v>29200</v>
      </c>
      <c r="E108" s="14">
        <f>IF(ISNUMBER(D108), (D108 - $B108) / $B108, "")</f>
        <v>1.4946124435175531E-2</v>
      </c>
      <c r="F108" s="16">
        <f>IF(ISNUMBER(D108), $B118 * E108, "")</f>
        <v>2241.9186652763296</v>
      </c>
      <c r="G108" s="29">
        <v>29260</v>
      </c>
      <c r="H108" s="14">
        <f>IF(ISNUMBER(G108), (G108 - $B108) / $B108, "")</f>
        <v>1.7031630170316302E-2</v>
      </c>
      <c r="I108" s="90">
        <f>IF(ISNUMBER(G108), $B118 * H108, "")</f>
        <v>2554.7445255474454</v>
      </c>
      <c r="J108" s="13">
        <v>29450</v>
      </c>
      <c r="K108" s="14">
        <f>IF(ISNUMBER(J108), (J108 - $B108) / $B108, "")</f>
        <v>2.3635731664928744E-2</v>
      </c>
      <c r="L108" s="16">
        <f>IF(ISNUMBER(J108), $B118 * K108, "")</f>
        <v>3545.3597497393116</v>
      </c>
      <c r="M108" s="29">
        <v>29130</v>
      </c>
      <c r="N108" s="14">
        <f>IF(ISNUMBER(M108), (M108 - $B108) / $B108, "")</f>
        <v>1.251303441084463E-2</v>
      </c>
      <c r="O108" s="16">
        <f>IF(ISNUMBER(M108), $B118 * N108, "")</f>
        <v>1876.9551616266945</v>
      </c>
      <c r="Q108" s="150"/>
      <c r="R108" s="151"/>
      <c r="S108" s="152"/>
    </row>
    <row r="109" spans="1:19" ht="17.25" thickBot="1">
      <c r="A109" s="109" t="s">
        <v>339</v>
      </c>
      <c r="B109" s="110">
        <v>1230</v>
      </c>
      <c r="C109" s="70">
        <v>1.2345679E-2</v>
      </c>
      <c r="D109" s="15">
        <v>1260</v>
      </c>
      <c r="E109" s="32">
        <f t="shared" ref="E109:E112" si="54">IF(ISNUMBER(D109), (D109 - $B109) / $B109, "")</f>
        <v>2.4390243902439025E-2</v>
      </c>
      <c r="F109" s="18">
        <f>IF(ISNUMBER(D109), $B118 * E109, "")</f>
        <v>3658.5365853658536</v>
      </c>
      <c r="G109" s="31">
        <v>1250</v>
      </c>
      <c r="H109" s="32">
        <f t="shared" ref="H109:H112" si="55">IF(ISNUMBER(G109), (G109 - $B109) / $B109, "")</f>
        <v>1.6260162601626018E-2</v>
      </c>
      <c r="I109" s="91">
        <f>IF(ISNUMBER(G109), $B118 * H109, "")</f>
        <v>2439.0243902439029</v>
      </c>
      <c r="J109" s="15">
        <v>1260</v>
      </c>
      <c r="K109" s="32">
        <f t="shared" ref="K109:K112" si="56">IF(ISNUMBER(J109), (J109 - $B109) / $B109, "")</f>
        <v>2.4390243902439025E-2</v>
      </c>
      <c r="L109" s="18">
        <f>IF(ISNUMBER(J109), $B118 * K109, "")</f>
        <v>3658.5365853658536</v>
      </c>
      <c r="M109" s="31">
        <v>1265</v>
      </c>
      <c r="N109" s="32">
        <f t="shared" ref="N109:N112" si="57">IF(ISNUMBER(M109), (M109 - $B109) / $B109, "")</f>
        <v>2.8455284552845527E-2</v>
      </c>
      <c r="O109" s="18">
        <f>IF(ISNUMBER(M109), $B118 * N109, "")</f>
        <v>4268.292682926829</v>
      </c>
      <c r="Q109" s="153"/>
      <c r="R109" s="154"/>
      <c r="S109" s="155"/>
    </row>
    <row r="110" spans="1:19" ht="17.25" thickBot="1">
      <c r="A110" s="109" t="s">
        <v>103</v>
      </c>
      <c r="B110" s="110">
        <v>255</v>
      </c>
      <c r="C110" s="70">
        <v>1.19047619E-2</v>
      </c>
      <c r="D110" s="15">
        <v>258</v>
      </c>
      <c r="E110" s="32">
        <f t="shared" si="54"/>
        <v>1.1764705882352941E-2</v>
      </c>
      <c r="F110" s="18">
        <f>IF(ISNUMBER(D110), $B118 * E110, "")</f>
        <v>1764.7058823529412</v>
      </c>
      <c r="G110" s="31">
        <v>257</v>
      </c>
      <c r="H110" s="32">
        <f t="shared" si="55"/>
        <v>7.8431372549019607E-3</v>
      </c>
      <c r="I110" s="91">
        <f>IF(ISNUMBER(G110), $B118 * H110, "")</f>
        <v>1176.4705882352941</v>
      </c>
      <c r="J110" s="15">
        <v>257</v>
      </c>
      <c r="K110" s="32">
        <f t="shared" si="56"/>
        <v>7.8431372549019607E-3</v>
      </c>
      <c r="L110" s="18">
        <f>IF(ISNUMBER(J110), $B118 * K110, "")</f>
        <v>1176.4705882352941</v>
      </c>
      <c r="M110" s="31">
        <v>261</v>
      </c>
      <c r="N110" s="32">
        <f t="shared" si="57"/>
        <v>2.3529411764705882E-2</v>
      </c>
      <c r="O110" s="18">
        <f>IF(ISNUMBER(M110), $B118 * N110, "")</f>
        <v>3529.4117647058824</v>
      </c>
      <c r="Q110" s="146"/>
      <c r="R110" s="146"/>
      <c r="S110" s="146"/>
    </row>
    <row r="111" spans="1:19" ht="17.25" thickBot="1">
      <c r="A111" s="109" t="s">
        <v>159</v>
      </c>
      <c r="B111" s="110">
        <v>200</v>
      </c>
      <c r="C111" s="70">
        <v>1.01010101E-2</v>
      </c>
      <c r="D111" s="15">
        <v>201</v>
      </c>
      <c r="E111" s="32">
        <f t="shared" si="54"/>
        <v>5.0000000000000001E-3</v>
      </c>
      <c r="F111" s="18">
        <f>IF(ISNUMBER(D111), $B118 * E111, "")</f>
        <v>750</v>
      </c>
      <c r="G111" s="31">
        <v>202</v>
      </c>
      <c r="H111" s="32">
        <f t="shared" si="55"/>
        <v>0.01</v>
      </c>
      <c r="I111" s="91">
        <f>IF(ISNUMBER(G111), $B118 * H111, "")</f>
        <v>1500</v>
      </c>
      <c r="J111" s="15">
        <v>205</v>
      </c>
      <c r="K111" s="32">
        <f t="shared" si="56"/>
        <v>2.5000000000000001E-2</v>
      </c>
      <c r="L111" s="18">
        <f>IF(ISNUMBER(J111), $B118 * K111, "")</f>
        <v>3750</v>
      </c>
      <c r="M111" s="31">
        <v>207</v>
      </c>
      <c r="N111" s="32">
        <f t="shared" si="57"/>
        <v>3.5000000000000003E-2</v>
      </c>
      <c r="O111" s="18">
        <f>IF(ISNUMBER(M111), $B118 * N111, "")</f>
        <v>5250.0000000000009</v>
      </c>
      <c r="Q111" s="156"/>
      <c r="R111" s="156"/>
      <c r="S111" s="156"/>
    </row>
    <row r="112" spans="1:19" ht="17.25" thickBot="1">
      <c r="A112" s="111" t="s">
        <v>161</v>
      </c>
      <c r="B112" s="112">
        <v>341</v>
      </c>
      <c r="C112" s="71">
        <v>8.8757395999999999E-3</v>
      </c>
      <c r="D112" s="20">
        <v>336</v>
      </c>
      <c r="E112" s="21">
        <f t="shared" si="54"/>
        <v>-1.466275659824047E-2</v>
      </c>
      <c r="F112" s="22">
        <f>IF(ISNUMBER(D112), $B118 * E112, "")</f>
        <v>-2199.4134897360705</v>
      </c>
      <c r="G112" s="30">
        <v>336</v>
      </c>
      <c r="H112" s="21">
        <f t="shared" si="55"/>
        <v>-1.466275659824047E-2</v>
      </c>
      <c r="I112" s="95">
        <f>IF(ISNUMBER(G112), $B118 * H112, "")</f>
        <v>-2199.4134897360705</v>
      </c>
      <c r="J112" s="20">
        <v>340</v>
      </c>
      <c r="K112" s="21">
        <f t="shared" si="56"/>
        <v>-2.9325513196480938E-3</v>
      </c>
      <c r="L112" s="22">
        <f>IF(ISNUMBER(J112), $B118 * K112, "")</f>
        <v>-439.88269794721407</v>
      </c>
      <c r="M112" s="30">
        <v>340</v>
      </c>
      <c r="N112" s="21">
        <f t="shared" si="57"/>
        <v>-2.9325513196480938E-3</v>
      </c>
      <c r="O112" s="22">
        <f>IF(ISNUMBER(M112), $B118 * N112, "")</f>
        <v>-439.88269794721407</v>
      </c>
      <c r="Q112" s="156"/>
      <c r="R112" s="156"/>
      <c r="S112" s="156"/>
    </row>
    <row r="113" spans="1:19" ht="17.25" thickBot="1">
      <c r="A113" s="109" t="s">
        <v>89</v>
      </c>
      <c r="B113" s="113">
        <v>480</v>
      </c>
      <c r="C113" s="73">
        <v>8.4033613000000004E-3</v>
      </c>
      <c r="D113" s="96">
        <v>478</v>
      </c>
      <c r="E113" s="97">
        <f>IF(ISNUMBER(D113), (D113 - $B113) / $B113, "")</f>
        <v>-4.1666666666666666E-3</v>
      </c>
      <c r="F113" s="98">
        <f>IF(ISNUMBER(D113), $B118 * E113, "")</f>
        <v>-625</v>
      </c>
      <c r="G113" s="99">
        <v>481</v>
      </c>
      <c r="H113" s="97">
        <f>IF(ISNUMBER(G113), (G113 - $B113) / $B113, "")</f>
        <v>2.0833333333333333E-3</v>
      </c>
      <c r="I113" s="100">
        <f>IF(ISNUMBER(G113), $B118 * H113, "")</f>
        <v>312.5</v>
      </c>
      <c r="J113" s="96">
        <v>481</v>
      </c>
      <c r="K113" s="97">
        <f>IF(ISNUMBER(J113), (J113 - $B113) / $B113, "")</f>
        <v>2.0833333333333333E-3</v>
      </c>
      <c r="L113" s="98">
        <f>IF(ISNUMBER(J113), $B118 * K113, "")</f>
        <v>312.5</v>
      </c>
      <c r="M113" s="99">
        <v>483</v>
      </c>
      <c r="N113" s="97">
        <f>IF(ISNUMBER(M113), (M113 - $B113) / $B113, "")</f>
        <v>6.2500000000000003E-3</v>
      </c>
      <c r="O113" s="98">
        <f>IF(ISNUMBER(M113), $B118 * N113, "")</f>
        <v>937.5</v>
      </c>
      <c r="Q113" s="146"/>
      <c r="R113" s="146"/>
      <c r="S113" s="146"/>
    </row>
    <row r="114" spans="1:19" ht="17.25" thickBot="1">
      <c r="A114" s="109" t="s">
        <v>149</v>
      </c>
      <c r="B114" s="110">
        <v>449</v>
      </c>
      <c r="C114" s="70">
        <v>6.7264574000000001E-3</v>
      </c>
      <c r="D114" s="15">
        <v>458</v>
      </c>
      <c r="E114" s="32">
        <f t="shared" ref="E114:E117" si="58">IF(ISNUMBER(D114), (D114 - $B114) / $B114, "")</f>
        <v>2.0044543429844099E-2</v>
      </c>
      <c r="F114" s="18">
        <f>IF(ISNUMBER(D114), $B118 * E114, "")</f>
        <v>3006.6815144766147</v>
      </c>
      <c r="G114" s="31">
        <v>454</v>
      </c>
      <c r="H114" s="32">
        <f t="shared" ref="H114:H117" si="59">IF(ISNUMBER(G114), (G114 - $B114) / $B114, "")</f>
        <v>1.1135857461024499E-2</v>
      </c>
      <c r="I114" s="91">
        <f>IF(ISNUMBER(G114), $B118 * H114, "")</f>
        <v>1670.3786191536749</v>
      </c>
      <c r="J114" s="15">
        <v>457</v>
      </c>
      <c r="K114" s="32">
        <f t="shared" ref="K114:K117" si="60">IF(ISNUMBER(J114), (J114 - $B114) / $B114, "")</f>
        <v>1.7817371937639197E-2</v>
      </c>
      <c r="L114" s="18">
        <f>IF(ISNUMBER(J114), $B118 * K114, "")</f>
        <v>2672.6057906458796</v>
      </c>
      <c r="M114" s="31">
        <v>457</v>
      </c>
      <c r="N114" s="32">
        <f t="shared" ref="N114:N117" si="61">IF(ISNUMBER(M114), (M114 - $B114) / $B114, "")</f>
        <v>1.7817371937639197E-2</v>
      </c>
      <c r="O114" s="18">
        <f>IF(ISNUMBER(M114), $B118 * N114, "")</f>
        <v>2672.6057906458796</v>
      </c>
      <c r="Q114" s="146"/>
      <c r="R114" s="146"/>
      <c r="S114" s="146"/>
    </row>
    <row r="115" spans="1:19" ht="17.25" thickBot="1">
      <c r="A115" s="109" t="s">
        <v>60</v>
      </c>
      <c r="B115" s="110">
        <v>870</v>
      </c>
      <c r="C115" s="70">
        <v>5.7803467999999998E-3</v>
      </c>
      <c r="D115" s="15">
        <v>916</v>
      </c>
      <c r="E115" s="32">
        <f t="shared" si="58"/>
        <v>5.2873563218390804E-2</v>
      </c>
      <c r="F115" s="18">
        <f>IF(ISNUMBER(D115), $B118 * E115, "")</f>
        <v>7931.0344827586205</v>
      </c>
      <c r="G115" s="31">
        <v>895</v>
      </c>
      <c r="H115" s="32">
        <f t="shared" si="59"/>
        <v>2.8735632183908046E-2</v>
      </c>
      <c r="I115" s="91">
        <f>IF(ISNUMBER(G115), $B118 * H115, "")</f>
        <v>4310.3448275862065</v>
      </c>
      <c r="J115" s="15">
        <v>894</v>
      </c>
      <c r="K115" s="32">
        <f t="shared" si="60"/>
        <v>2.7586206896551724E-2</v>
      </c>
      <c r="L115" s="18">
        <f>IF(ISNUMBER(J115), $B118 * K115, "")</f>
        <v>4137.9310344827582</v>
      </c>
      <c r="M115" s="31">
        <v>892</v>
      </c>
      <c r="N115" s="32">
        <f t="shared" si="61"/>
        <v>2.528735632183908E-2</v>
      </c>
      <c r="O115" s="18">
        <f>IF(ISNUMBER(M115), $B118 * N115, "")</f>
        <v>3793.1034482758619</v>
      </c>
      <c r="Q115" s="146"/>
      <c r="R115" s="146"/>
      <c r="S115" s="146"/>
    </row>
    <row r="116" spans="1:19">
      <c r="A116" s="109" t="s">
        <v>49</v>
      </c>
      <c r="B116" s="110">
        <v>25956000</v>
      </c>
      <c r="C116" s="70">
        <v>4.6446817999999997E-3</v>
      </c>
      <c r="D116" s="15">
        <v>26324000</v>
      </c>
      <c r="E116" s="32">
        <f t="shared" si="58"/>
        <v>1.4177839420557867E-2</v>
      </c>
      <c r="F116" s="18">
        <f>IF(ISNUMBER(D116), $B118 * E116, "")</f>
        <v>2126.6759130836799</v>
      </c>
      <c r="G116" s="31">
        <v>26236000</v>
      </c>
      <c r="H116" s="32">
        <f t="shared" si="59"/>
        <v>1.0787486515641856E-2</v>
      </c>
      <c r="I116" s="91">
        <f>IF(ISNUMBER(G116), $B118 * H116, "")</f>
        <v>1618.1229773462785</v>
      </c>
      <c r="J116" s="15">
        <v>26322000</v>
      </c>
      <c r="K116" s="32">
        <f t="shared" si="60"/>
        <v>1.4100785945446139E-2</v>
      </c>
      <c r="L116" s="18">
        <f>IF(ISNUMBER(J116), $B118 * K116, "")</f>
        <v>2115.1178918169207</v>
      </c>
      <c r="M116" s="31">
        <v>26450000</v>
      </c>
      <c r="N116" s="32">
        <f t="shared" si="61"/>
        <v>1.9032208352596704E-2</v>
      </c>
      <c r="O116" s="18">
        <f>IF(ISNUMBER(M116), $B118 * N116, "")</f>
        <v>2854.8312528895058</v>
      </c>
      <c r="Q116" s="135"/>
      <c r="R116" s="136"/>
      <c r="S116" s="137"/>
    </row>
    <row r="117" spans="1:19" ht="17.25" thickBot="1">
      <c r="A117" s="114" t="s">
        <v>130</v>
      </c>
      <c r="B117" s="115">
        <v>914</v>
      </c>
      <c r="C117" s="72">
        <v>2.1929825000000002E-3</v>
      </c>
      <c r="D117" s="24">
        <v>923</v>
      </c>
      <c r="E117" s="25">
        <f t="shared" si="58"/>
        <v>9.8468271334792128E-3</v>
      </c>
      <c r="F117" s="94">
        <f>IF(ISNUMBER(D117), $B118 * E117, "")</f>
        <v>1477.0240700218819</v>
      </c>
      <c r="G117" s="92">
        <v>918</v>
      </c>
      <c r="H117" s="25">
        <f t="shared" si="59"/>
        <v>4.3763676148796497E-3</v>
      </c>
      <c r="I117" s="93">
        <f>IF(ISNUMBER(G117), $B118 * H117, "")</f>
        <v>656.45514223194743</v>
      </c>
      <c r="J117" s="24">
        <v>927</v>
      </c>
      <c r="K117" s="25">
        <f t="shared" si="60"/>
        <v>1.4223194748358862E-2</v>
      </c>
      <c r="L117" s="94">
        <f>IF(ISNUMBER(J117), $B118 * K117, "")</f>
        <v>2133.4792122538292</v>
      </c>
      <c r="M117" s="92">
        <v>936</v>
      </c>
      <c r="N117" s="25">
        <f t="shared" si="61"/>
        <v>2.4070021881838075E-2</v>
      </c>
      <c r="O117" s="94">
        <f>IF(ISNUMBER(M117), $B118 * N117, "")</f>
        <v>3610.5032822757112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5.6724423209658442E-4</v>
      </c>
      <c r="F118" s="28">
        <f>SUM(F98:F117)</f>
        <v>1701.7326962897505</v>
      </c>
      <c r="G118" s="26" t="s">
        <v>258</v>
      </c>
      <c r="H118" s="27">
        <f>IF(COUNT(H98:H117), SUM(H98:H117) / COUNT(H98:H117), 0)</f>
        <v>-3.8720652120238217E-3</v>
      </c>
      <c r="I118" s="28">
        <f>SUM(I98:I117)</f>
        <v>-11616.195636071465</v>
      </c>
      <c r="J118" s="26" t="s">
        <v>258</v>
      </c>
      <c r="K118" s="27">
        <f>IF(COUNT(K98:K117), SUM(K98:K117) / COUNT(K98:K117), 0)</f>
        <v>4.2255194139312682E-3</v>
      </c>
      <c r="L118" s="28">
        <f>SUM(L98:L117)</f>
        <v>12676.558241793804</v>
      </c>
      <c r="M118" s="26" t="s">
        <v>258</v>
      </c>
      <c r="N118" s="27">
        <f>IF(COUNT(N98:N117), SUM(N98:N117) / COUNT(N98:N117), 0)</f>
        <v>8.5259831872926926E-3</v>
      </c>
      <c r="O118" s="28">
        <f>SUM(O98:O117)</f>
        <v>25577.949561878078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2023-01-17(화) 오전 00:00</v>
      </c>
      <c r="C123" s="198"/>
      <c r="D123" s="170" t="str">
        <f>TEXT($G$1, "[$-ko-KR]yyyy-mm-dd(ddd) ") &amp; "오후 14:00"</f>
        <v>2023-01-17(화) 오후 14:00</v>
      </c>
      <c r="E123" s="171"/>
      <c r="F123" s="172"/>
      <c r="G123" s="170" t="str">
        <f>TEXT($G$1, "[$-ko-KR]yyyy-mm-dd(ddd) ") &amp; "오후 19:00"</f>
        <v>2023-01-17(화) 오후 19:00</v>
      </c>
      <c r="H123" s="171"/>
      <c r="I123" s="172"/>
      <c r="J123" s="170" t="str">
        <f>TEXT($G$1, "[$-ko-KR]yyyy-mm-dd(ddd) ") &amp; "오후 21:00"</f>
        <v>2023-01-17(화) 오후 21:00</v>
      </c>
      <c r="K123" s="171"/>
      <c r="L123" s="172"/>
      <c r="M123" s="170" t="str">
        <f>TEXT($G$1+1, "[$-ko-KR]yyyy-mm-dd(ddd) ") &amp; "오전 00:00"</f>
        <v>2023-01-18(수)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225</v>
      </c>
      <c r="B125" s="108">
        <v>59.5</v>
      </c>
      <c r="C125" s="69">
        <v>-2.2988505699999998E-2</v>
      </c>
      <c r="D125" s="13">
        <v>60.6</v>
      </c>
      <c r="E125" s="14">
        <f>IF(ISNUMBER(D125), (D125 - $B125) / $B125, "")</f>
        <v>1.8487394957983218E-2</v>
      </c>
      <c r="F125" s="16">
        <f>IF(ISNUMBER(D125), $B145 * E125, "")</f>
        <v>2773.1092436974827</v>
      </c>
      <c r="G125" s="29">
        <v>61.1</v>
      </c>
      <c r="H125" s="14">
        <f>IF(ISNUMBER(G125), (G125 - $B125) / $B125, "")</f>
        <v>2.6890756302521031E-2</v>
      </c>
      <c r="I125" s="90">
        <f>IF(ISNUMBER(G125), $B145 * H125, "")</f>
        <v>4033.6134453781547</v>
      </c>
      <c r="J125" s="13">
        <v>62.6</v>
      </c>
      <c r="K125" s="14">
        <f>IF(ISNUMBER(J125), (J125 - $B125) / $B125, "")</f>
        <v>5.2100840336134477E-2</v>
      </c>
      <c r="L125" s="16">
        <f>IF(ISNUMBER(J125), $B145 * K125, "")</f>
        <v>7815.1260504201719</v>
      </c>
      <c r="M125" s="29">
        <v>61.6</v>
      </c>
      <c r="N125" s="14">
        <f>IF(ISNUMBER(M125), (M125 - $B125) / $B125, "")</f>
        <v>3.5294117647058851E-2</v>
      </c>
      <c r="O125" s="16">
        <f>IF(ISNUMBER(M125), $B145 * N125, "")</f>
        <v>5294.117647058828</v>
      </c>
      <c r="Q125" s="156"/>
      <c r="R125" s="156"/>
      <c r="S125" s="156"/>
    </row>
    <row r="126" spans="1:19" ht="17.25" thickBot="1">
      <c r="A126" s="109" t="s">
        <v>71</v>
      </c>
      <c r="B126" s="110">
        <v>11.5</v>
      </c>
      <c r="C126" s="70">
        <v>-2.54237288E-2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2608.6956521739039</v>
      </c>
      <c r="G126" s="31">
        <v>11.8</v>
      </c>
      <c r="H126" s="32">
        <f t="shared" ref="H126:H129" si="63">IF(ISNUMBER(G126), (G126 - $B126) / $B126, "")</f>
        <v>2.6086956521739191E-2</v>
      </c>
      <c r="I126" s="91">
        <f>IF(ISNUMBER(G126), $B145 * H126, "")</f>
        <v>3913.0434782608786</v>
      </c>
      <c r="J126" s="15">
        <v>12.2</v>
      </c>
      <c r="K126" s="32">
        <f t="shared" ref="K126:K129" si="64">IF(ISNUMBER(J126), (J126 - $B126) / $B126, "")</f>
        <v>6.0869565217391244E-2</v>
      </c>
      <c r="L126" s="18">
        <f>IF(ISNUMBER(J126), $B145 * K126, "")</f>
        <v>9130.4347826086869</v>
      </c>
      <c r="M126" s="31">
        <v>12.1</v>
      </c>
      <c r="N126" s="32">
        <f t="shared" ref="N126:N129" si="65">IF(ISNUMBER(M126), (M126 - $B126) / $B126, "")</f>
        <v>5.217391304347823E-2</v>
      </c>
      <c r="O126" s="18">
        <f>IF(ISNUMBER(M126), $B145 * N126, "")</f>
        <v>7826.0869565217345</v>
      </c>
      <c r="Q126" s="156"/>
      <c r="R126" s="156"/>
      <c r="S126" s="156"/>
    </row>
    <row r="127" spans="1:19" ht="17.25" thickBot="1">
      <c r="A127" s="109" t="s">
        <v>193</v>
      </c>
      <c r="B127" s="110">
        <v>18.7</v>
      </c>
      <c r="C127" s="70">
        <v>-2.60416667E-2</v>
      </c>
      <c r="D127" s="15">
        <v>19.8</v>
      </c>
      <c r="E127" s="32">
        <f t="shared" si="62"/>
        <v>5.8823529411764781E-2</v>
      </c>
      <c r="F127" s="18">
        <f>IF(ISNUMBER(D127), $B145 * E127, "")</f>
        <v>8823.5294117647172</v>
      </c>
      <c r="G127" s="31">
        <v>21.1</v>
      </c>
      <c r="H127" s="32">
        <f t="shared" si="63"/>
        <v>0.12834224598930494</v>
      </c>
      <c r="I127" s="91">
        <f>IF(ISNUMBER(G127), $B145 * H127, "")</f>
        <v>19251.336898395741</v>
      </c>
      <c r="J127" s="15">
        <v>22.3</v>
      </c>
      <c r="K127" s="32">
        <f t="shared" si="64"/>
        <v>0.19251336898395729</v>
      </c>
      <c r="L127" s="18">
        <f>IF(ISNUMBER(J127), $B145 * K127, "")</f>
        <v>28877.005347593593</v>
      </c>
      <c r="M127" s="31">
        <v>21</v>
      </c>
      <c r="N127" s="32">
        <f t="shared" si="65"/>
        <v>0.12299465240641716</v>
      </c>
      <c r="O127" s="18">
        <f>IF(ISNUMBER(M127), $B145 * N127, "")</f>
        <v>18449.197860962573</v>
      </c>
      <c r="Q127" s="146"/>
      <c r="R127" s="146"/>
      <c r="S127" s="146"/>
    </row>
    <row r="128" spans="1:19" ht="17.25" thickBot="1">
      <c r="A128" s="109" t="s">
        <v>124</v>
      </c>
      <c r="B128" s="110">
        <v>32.700000000000003</v>
      </c>
      <c r="C128" s="70">
        <v>-2.6785714299999999E-2</v>
      </c>
      <c r="D128" s="15">
        <v>33.200000000000003</v>
      </c>
      <c r="E128" s="32">
        <f t="shared" si="62"/>
        <v>1.5290519877675839E-2</v>
      </c>
      <c r="F128" s="18">
        <f>IF(ISNUMBER(D128), $B145 * E128, "")</f>
        <v>2293.5779816513759</v>
      </c>
      <c r="G128" s="31">
        <v>33.4</v>
      </c>
      <c r="H128" s="32">
        <f t="shared" si="63"/>
        <v>2.1406727828746044E-2</v>
      </c>
      <c r="I128" s="91">
        <f>IF(ISNUMBER(G128), $B145 * H128, "")</f>
        <v>3211.0091743119065</v>
      </c>
      <c r="J128" s="15">
        <v>35</v>
      </c>
      <c r="K128" s="32">
        <f t="shared" si="64"/>
        <v>7.0336391437308771E-2</v>
      </c>
      <c r="L128" s="18">
        <f>IF(ISNUMBER(J128), $B145 * K128, "")</f>
        <v>10550.458715596316</v>
      </c>
      <c r="M128" s="31">
        <v>34.6</v>
      </c>
      <c r="N128" s="32">
        <f t="shared" si="65"/>
        <v>5.8103975535168148E-2</v>
      </c>
      <c r="O128" s="18">
        <f>IF(ISNUMBER(M128), $B145 * N128, "")</f>
        <v>8715.5963302752225</v>
      </c>
      <c r="Q128" s="146"/>
      <c r="R128" s="146"/>
      <c r="S128" s="146"/>
    </row>
    <row r="129" spans="1:19" ht="17.25" thickBot="1">
      <c r="A129" s="111" t="s">
        <v>221</v>
      </c>
      <c r="B129" s="112">
        <v>21</v>
      </c>
      <c r="C129" s="71">
        <v>-2.77777778E-2</v>
      </c>
      <c r="D129" s="20">
        <v>21.5</v>
      </c>
      <c r="E129" s="21">
        <f t="shared" si="62"/>
        <v>2.3809523809523808E-2</v>
      </c>
      <c r="F129" s="22">
        <f>IF(ISNUMBER(D129), $B145 * E129, "")</f>
        <v>3571.4285714285711</v>
      </c>
      <c r="G129" s="30">
        <v>22.1</v>
      </c>
      <c r="H129" s="21">
        <f t="shared" si="63"/>
        <v>5.2380952380952452E-2</v>
      </c>
      <c r="I129" s="95">
        <f>IF(ISNUMBER(G129), $B145 * H129, "")</f>
        <v>7857.1428571428678</v>
      </c>
      <c r="J129" s="20">
        <v>22.8</v>
      </c>
      <c r="K129" s="21">
        <f t="shared" si="64"/>
        <v>8.5714285714285743E-2</v>
      </c>
      <c r="L129" s="22">
        <f>IF(ISNUMBER(J129), $B145 * K129, "")</f>
        <v>12857.142857142861</v>
      </c>
      <c r="M129" s="30">
        <v>22.8</v>
      </c>
      <c r="N129" s="21">
        <f t="shared" si="65"/>
        <v>8.5714285714285743E-2</v>
      </c>
      <c r="O129" s="22">
        <f>IF(ISNUMBER(M129), $B145 * N129, "")</f>
        <v>12857.142857142861</v>
      </c>
      <c r="Q129" s="146"/>
      <c r="R129" s="146"/>
      <c r="S129" s="146"/>
    </row>
    <row r="130" spans="1:19" ht="17.25" thickBot="1">
      <c r="A130" s="109" t="s">
        <v>143</v>
      </c>
      <c r="B130" s="113">
        <v>4.01</v>
      </c>
      <c r="C130" s="73">
        <v>-2.90556901E-2</v>
      </c>
      <c r="D130" s="96">
        <v>4.04</v>
      </c>
      <c r="E130" s="97">
        <f>IF(ISNUMBER(D130), (D130 - $B130) / $B130, "")</f>
        <v>7.4812967581048004E-3</v>
      </c>
      <c r="F130" s="98">
        <f>IF(ISNUMBER(D130), $B145 * E130, "")</f>
        <v>1122.1945137157199</v>
      </c>
      <c r="G130" s="99">
        <v>4.07</v>
      </c>
      <c r="H130" s="97">
        <f>IF(ISNUMBER(G130), (G130 - $B130) / $B130, "")</f>
        <v>1.4962593516209601E-2</v>
      </c>
      <c r="I130" s="100">
        <f>IF(ISNUMBER(G130), $B145 * H130, "")</f>
        <v>2244.3890274314399</v>
      </c>
      <c r="J130" s="96">
        <v>4.17</v>
      </c>
      <c r="K130" s="97">
        <f>IF(ISNUMBER(J130), (J130 - $B130) / $B130, "")</f>
        <v>3.9900249376558644E-2</v>
      </c>
      <c r="L130" s="98">
        <f>IF(ISNUMBER(J130), $B145 * K130, "")</f>
        <v>5985.037406483797</v>
      </c>
      <c r="M130" s="99">
        <v>4.16</v>
      </c>
      <c r="N130" s="97">
        <f>IF(ISNUMBER(M130), (M130 - $B130) / $B130, "")</f>
        <v>3.7406483790523783E-2</v>
      </c>
      <c r="O130" s="98">
        <f>IF(ISNUMBER(M130), $B145 * N130, "")</f>
        <v>5610.972568578567</v>
      </c>
      <c r="Q130" s="146"/>
      <c r="R130" s="146"/>
      <c r="S130" s="146"/>
    </row>
    <row r="131" spans="1:19" ht="17.25" thickBot="1">
      <c r="A131" s="109" t="s">
        <v>203</v>
      </c>
      <c r="B131" s="110">
        <v>3.56</v>
      </c>
      <c r="C131" s="70">
        <v>-2.9972751999999998E-2</v>
      </c>
      <c r="D131" s="15">
        <v>3.57</v>
      </c>
      <c r="E131" s="32">
        <f t="shared" ref="E131:E134" si="66">IF(ISNUMBER(D131), (D131 - $B131) / $B131, "")</f>
        <v>2.8089887640448839E-3</v>
      </c>
      <c r="F131" s="18">
        <f>IF(ISNUMBER(D131), $B145 * E131, "")</f>
        <v>421.34831460673257</v>
      </c>
      <c r="G131" s="31">
        <v>3.6</v>
      </c>
      <c r="H131" s="32">
        <f t="shared" ref="H131:H134" si="67">IF(ISNUMBER(G131), (G131 - $B131) / $B131, "")</f>
        <v>1.1235955056179785E-2</v>
      </c>
      <c r="I131" s="91">
        <f>IF(ISNUMBER(G131), $B145 * H131, "")</f>
        <v>1685.3932584269678</v>
      </c>
      <c r="J131" s="15">
        <v>3.71</v>
      </c>
      <c r="K131" s="32">
        <f t="shared" ref="K131:K134" si="68">IF(ISNUMBER(J131), (J131 - $B131) / $B131, "")</f>
        <v>4.2134831460674128E-2</v>
      </c>
      <c r="L131" s="18">
        <f>IF(ISNUMBER(J131), $B145 * K131, "")</f>
        <v>6320.2247191011193</v>
      </c>
      <c r="M131" s="31">
        <v>3.68</v>
      </c>
      <c r="N131" s="32">
        <f t="shared" ref="N131:N134" si="69">IF(ISNUMBER(M131), (M131 - $B131) / $B131, "")</f>
        <v>3.3707865168539353E-2</v>
      </c>
      <c r="O131" s="18">
        <f>IF(ISNUMBER(M131), $B145 * N131, "")</f>
        <v>5056.1797752809025</v>
      </c>
      <c r="Q131" s="146"/>
      <c r="R131" s="146"/>
      <c r="S131" s="146"/>
    </row>
    <row r="132" spans="1:19" ht="17.25" thickBot="1">
      <c r="A132" s="109" t="s">
        <v>333</v>
      </c>
      <c r="B132" s="110">
        <v>4.82</v>
      </c>
      <c r="C132" s="70">
        <v>-3.0181086499999999E-2</v>
      </c>
      <c r="D132" s="15">
        <v>4.8499999999999996</v>
      </c>
      <c r="E132" s="32">
        <f t="shared" si="66"/>
        <v>6.2240663900413606E-3</v>
      </c>
      <c r="F132" s="18">
        <f>IF(ISNUMBER(D132), $B145 * E132, "")</f>
        <v>933.60995850620407</v>
      </c>
      <c r="G132" s="31">
        <v>4.8499999999999996</v>
      </c>
      <c r="H132" s="32">
        <f t="shared" si="67"/>
        <v>6.2240663900413606E-3</v>
      </c>
      <c r="I132" s="91">
        <f>IF(ISNUMBER(G132), $B145 * H132, "")</f>
        <v>933.60995850620407</v>
      </c>
      <c r="J132" s="15">
        <v>5</v>
      </c>
      <c r="K132" s="32">
        <f t="shared" si="68"/>
        <v>3.7344398340248899E-2</v>
      </c>
      <c r="L132" s="18">
        <f>IF(ISNUMBER(J132), $B145 * K132, "")</f>
        <v>5601.6597510373349</v>
      </c>
      <c r="M132" s="31">
        <v>5</v>
      </c>
      <c r="N132" s="32">
        <f t="shared" si="69"/>
        <v>3.7344398340248899E-2</v>
      </c>
      <c r="O132" s="18">
        <f>IF(ISNUMBER(M132), $B145 * N132, "")</f>
        <v>5601.6597510373349</v>
      </c>
      <c r="Q132" s="146"/>
      <c r="R132" s="146"/>
      <c r="S132" s="146"/>
    </row>
    <row r="133" spans="1:19" ht="17.25" thickBot="1">
      <c r="A133" s="109" t="s">
        <v>107</v>
      </c>
      <c r="B133" s="110">
        <v>41.6</v>
      </c>
      <c r="C133" s="70">
        <v>-3.0303030299999999E-2</v>
      </c>
      <c r="D133" s="15">
        <v>42.7</v>
      </c>
      <c r="E133" s="32">
        <f t="shared" si="66"/>
        <v>2.6442307692307727E-2</v>
      </c>
      <c r="F133" s="18">
        <f>IF(ISNUMBER(D133), $B145 * E133, "")</f>
        <v>3966.3461538461588</v>
      </c>
      <c r="G133" s="31">
        <v>43.3</v>
      </c>
      <c r="H133" s="32">
        <f t="shared" si="67"/>
        <v>4.0865384615384512E-2</v>
      </c>
      <c r="I133" s="91">
        <f>IF(ISNUMBER(G133), $B145 * H133, "")</f>
        <v>6129.8076923076769</v>
      </c>
      <c r="J133" s="15">
        <v>45.2</v>
      </c>
      <c r="K133" s="32">
        <f t="shared" si="68"/>
        <v>8.6538461538461564E-2</v>
      </c>
      <c r="L133" s="18">
        <f>IF(ISNUMBER(J133), $B145 * K133, "")</f>
        <v>12980.769230769234</v>
      </c>
      <c r="M133" s="31">
        <v>49.6</v>
      </c>
      <c r="N133" s="32">
        <f t="shared" si="69"/>
        <v>0.19230769230769229</v>
      </c>
      <c r="O133" s="18">
        <f>IF(ISNUMBER(M133), $B145 * N133, "")</f>
        <v>28846.153846153844</v>
      </c>
      <c r="Q133" s="33"/>
      <c r="R133" s="33"/>
    </row>
    <row r="134" spans="1:19" ht="17.25" thickBot="1">
      <c r="A134" s="114" t="s">
        <v>227</v>
      </c>
      <c r="B134" s="115">
        <v>41.6</v>
      </c>
      <c r="C134" s="72">
        <v>-3.0303030299999999E-2</v>
      </c>
      <c r="D134" s="24">
        <v>43.2</v>
      </c>
      <c r="E134" s="25">
        <f t="shared" si="66"/>
        <v>3.8461538461538491E-2</v>
      </c>
      <c r="F134" s="94">
        <f>IF(ISNUMBER(D134), $B145 * E134, "")</f>
        <v>5769.2307692307741</v>
      </c>
      <c r="G134" s="92">
        <v>43.8</v>
      </c>
      <c r="H134" s="25">
        <f t="shared" si="67"/>
        <v>5.288461538461528E-2</v>
      </c>
      <c r="I134" s="93">
        <f>IF(ISNUMBER(G134), $B145 * H134, "")</f>
        <v>7932.6923076922922</v>
      </c>
      <c r="J134" s="24">
        <v>46.6</v>
      </c>
      <c r="K134" s="25">
        <f t="shared" si="68"/>
        <v>0.12019230769230768</v>
      </c>
      <c r="L134" s="94">
        <f>IF(ISNUMBER(J134), $B145 * K134, "")</f>
        <v>18028.846153846152</v>
      </c>
      <c r="M134" s="92">
        <v>45.1</v>
      </c>
      <c r="N134" s="25">
        <f t="shared" si="69"/>
        <v>8.4134615384615377E-2</v>
      </c>
      <c r="O134" s="94">
        <f>IF(ISNUMBER(M134), $B145 * N134, "")</f>
        <v>12620.192307692307</v>
      </c>
      <c r="Q134" s="147"/>
      <c r="R134" s="148"/>
      <c r="S134" s="149"/>
    </row>
    <row r="135" spans="1:19">
      <c r="A135" s="107" t="s">
        <v>209</v>
      </c>
      <c r="B135" s="108">
        <v>86</v>
      </c>
      <c r="C135" s="69">
        <v>-3.0439684299999999E-2</v>
      </c>
      <c r="D135" s="13">
        <v>87.8</v>
      </c>
      <c r="E135" s="14">
        <f>IF(ISNUMBER(D135), (D135 - $B135) / $B135, "")</f>
        <v>2.0930232558139503E-2</v>
      </c>
      <c r="F135" s="16">
        <f>IF(ISNUMBER(D135), $B145 * E135, "")</f>
        <v>3139.5348837209253</v>
      </c>
      <c r="G135" s="29">
        <v>87.9</v>
      </c>
      <c r="H135" s="14">
        <f>IF(ISNUMBER(G135), (G135 - $B135) / $B135, "")</f>
        <v>2.2093023255814019E-2</v>
      </c>
      <c r="I135" s="90">
        <f>IF(ISNUMBER(G135), $B145 * H135, "")</f>
        <v>3313.953488372103</v>
      </c>
      <c r="J135" s="13">
        <v>89.8</v>
      </c>
      <c r="K135" s="14">
        <f>IF(ISNUMBER(J135), (J135 - $B135) / $B135, "")</f>
        <v>4.4186046511627872E-2</v>
      </c>
      <c r="L135" s="16">
        <f>IF(ISNUMBER(J135), $B145 * K135, "")</f>
        <v>6627.9069767441806</v>
      </c>
      <c r="M135" s="29">
        <v>90.1</v>
      </c>
      <c r="N135" s="14">
        <f>IF(ISNUMBER(M135), (M135 - $B135) / $B135, "")</f>
        <v>4.7674418604651096E-2</v>
      </c>
      <c r="O135" s="16">
        <f>IF(ISNUMBER(M135), $B145 * N135, "")</f>
        <v>7151.1627906976646</v>
      </c>
      <c r="Q135" s="150"/>
      <c r="R135" s="151"/>
      <c r="S135" s="152"/>
    </row>
    <row r="136" spans="1:19" ht="17.25" thickBot="1">
      <c r="A136" s="109" t="s">
        <v>195</v>
      </c>
      <c r="B136" s="110">
        <v>6.48</v>
      </c>
      <c r="C136" s="70">
        <v>-3.13901345E-2</v>
      </c>
      <c r="D136" s="15">
        <v>6.51</v>
      </c>
      <c r="E136" s="32">
        <f t="shared" ref="E136:E139" si="70">IF(ISNUMBER(D136), (D136 - $B136) / $B136, "")</f>
        <v>4.6296296296295305E-3</v>
      </c>
      <c r="F136" s="18">
        <f>IF(ISNUMBER(D136), $B145 * E136, "")</f>
        <v>694.44444444442956</v>
      </c>
      <c r="G136" s="31">
        <v>6.57</v>
      </c>
      <c r="H136" s="32">
        <f t="shared" ref="H136:H139" si="71">IF(ISNUMBER(G136), (G136 - $B136) / $B136, "")</f>
        <v>1.3888888888888866E-2</v>
      </c>
      <c r="I136" s="91">
        <f>IF(ISNUMBER(G136), $B145 * H136, "")</f>
        <v>2083.3333333333298</v>
      </c>
      <c r="J136" s="15">
        <v>6.68</v>
      </c>
      <c r="K136" s="32">
        <f t="shared" ref="K136:K139" si="72">IF(ISNUMBER(J136), (J136 - $B136) / $B136, "")</f>
        <v>3.0864197530864085E-2</v>
      </c>
      <c r="L136" s="18">
        <f>IF(ISNUMBER(J136), $B145 * K136, "")</f>
        <v>4629.6296296296123</v>
      </c>
      <c r="M136" s="31">
        <v>6.71</v>
      </c>
      <c r="N136" s="32">
        <f t="shared" ref="N136:N139" si="73">IF(ISNUMBER(M136), (M136 - $B136) / $B136, "")</f>
        <v>3.5493827160493756E-2</v>
      </c>
      <c r="O136" s="18">
        <f>IF(ISNUMBER(M136), $B145 * N136, "")</f>
        <v>5324.074074074063</v>
      </c>
      <c r="Q136" s="153"/>
      <c r="R136" s="154"/>
      <c r="S136" s="155"/>
    </row>
    <row r="137" spans="1:19" ht="17.25" thickBot="1">
      <c r="A137" s="109" t="s">
        <v>191</v>
      </c>
      <c r="B137" s="110">
        <v>57.8</v>
      </c>
      <c r="C137" s="70">
        <v>-3.1825795599999998E-2</v>
      </c>
      <c r="D137" s="15">
        <v>61.1</v>
      </c>
      <c r="E137" s="32">
        <f t="shared" si="70"/>
        <v>5.7093425605536409E-2</v>
      </c>
      <c r="F137" s="18">
        <f>IF(ISNUMBER(D137), $B145 * E137, "")</f>
        <v>8564.013840830461</v>
      </c>
      <c r="G137" s="31">
        <v>61.5</v>
      </c>
      <c r="H137" s="32">
        <f t="shared" si="71"/>
        <v>6.4013840830449878E-2</v>
      </c>
      <c r="I137" s="91">
        <f>IF(ISNUMBER(G137), $B145 * H137, "")</f>
        <v>9602.0761245674821</v>
      </c>
      <c r="J137" s="15">
        <v>63</v>
      </c>
      <c r="K137" s="32">
        <f t="shared" si="72"/>
        <v>8.9965397923875493E-2</v>
      </c>
      <c r="L137" s="18">
        <f>IF(ISNUMBER(J137), $B145 * K137, "")</f>
        <v>13494.809688581325</v>
      </c>
      <c r="M137" s="31">
        <v>61.7</v>
      </c>
      <c r="N137" s="32">
        <f t="shared" si="73"/>
        <v>6.7474048442906678E-2</v>
      </c>
      <c r="O137" s="18">
        <f>IF(ISNUMBER(M137), $B145 * N137, "")</f>
        <v>10121.107266436002</v>
      </c>
      <c r="Q137" s="146"/>
      <c r="R137" s="146"/>
      <c r="S137" s="146"/>
    </row>
    <row r="138" spans="1:19" ht="17.25" thickBot="1">
      <c r="A138" s="109" t="s">
        <v>323</v>
      </c>
      <c r="B138" s="110">
        <v>3.6299999999999999E-2</v>
      </c>
      <c r="C138" s="70">
        <v>-3.2000000000000001E-2</v>
      </c>
      <c r="D138" s="15">
        <v>3.6900000000000002E-2</v>
      </c>
      <c r="E138" s="32">
        <f t="shared" si="70"/>
        <v>1.6528925619834801E-2</v>
      </c>
      <c r="F138" s="18">
        <f>IF(ISNUMBER(D138), $B145 * E138, "")</f>
        <v>2479.3388429752204</v>
      </c>
      <c r="G138" s="31">
        <v>3.6999999999999998E-2</v>
      </c>
      <c r="H138" s="32">
        <f t="shared" si="71"/>
        <v>1.9283746556473809E-2</v>
      </c>
      <c r="I138" s="91">
        <f>IF(ISNUMBER(G138), $B145 * H138, "")</f>
        <v>2892.5619834710715</v>
      </c>
      <c r="J138" s="15">
        <v>3.7499999999999999E-2</v>
      </c>
      <c r="K138" s="32">
        <f t="shared" si="72"/>
        <v>3.3057851239669415E-2</v>
      </c>
      <c r="L138" s="18">
        <f>IF(ISNUMBER(J138), $B145 * K138, "")</f>
        <v>4958.6776859504125</v>
      </c>
      <c r="M138" s="31">
        <v>3.7699999999999997E-2</v>
      </c>
      <c r="N138" s="32">
        <f t="shared" si="73"/>
        <v>3.8567493112947618E-2</v>
      </c>
      <c r="O138" s="18">
        <f>IF(ISNUMBER(M138), $B145 * N138, "")</f>
        <v>5785.1239669421429</v>
      </c>
      <c r="Q138" s="156"/>
      <c r="R138" s="156"/>
      <c r="S138" s="156"/>
    </row>
    <row r="139" spans="1:19" ht="17.25" thickBot="1">
      <c r="A139" s="111" t="s">
        <v>132</v>
      </c>
      <c r="B139" s="112">
        <v>52.1</v>
      </c>
      <c r="C139" s="71">
        <v>-3.3395176300000003E-2</v>
      </c>
      <c r="D139" s="20">
        <v>54.2</v>
      </c>
      <c r="E139" s="21">
        <f t="shared" si="70"/>
        <v>4.0307101727447246E-2</v>
      </c>
      <c r="F139" s="22">
        <f>IF(ISNUMBER(D139), $B145 * E139, "")</f>
        <v>6046.0652591170865</v>
      </c>
      <c r="G139" s="30">
        <v>55.3</v>
      </c>
      <c r="H139" s="21">
        <f t="shared" si="71"/>
        <v>6.1420345489443293E-2</v>
      </c>
      <c r="I139" s="95">
        <f>IF(ISNUMBER(G139), $B145 * H139, "")</f>
        <v>9213.0518234164938</v>
      </c>
      <c r="J139" s="20">
        <v>58.2</v>
      </c>
      <c r="K139" s="21">
        <f t="shared" si="72"/>
        <v>0.11708253358925147</v>
      </c>
      <c r="L139" s="22">
        <f>IF(ISNUMBER(J139), $B145 * K139, "")</f>
        <v>17562.380038387721</v>
      </c>
      <c r="M139" s="30">
        <v>58.7</v>
      </c>
      <c r="N139" s="21">
        <f t="shared" si="73"/>
        <v>0.12667946257197699</v>
      </c>
      <c r="O139" s="22">
        <f>IF(ISNUMBER(M139), $B145 * N139, "")</f>
        <v>19001.919385796547</v>
      </c>
      <c r="Q139" s="156"/>
      <c r="R139" s="156"/>
      <c r="S139" s="156"/>
    </row>
    <row r="140" spans="1:19" ht="17.25" thickBot="1">
      <c r="A140" s="109" t="s">
        <v>349</v>
      </c>
      <c r="B140" s="113">
        <v>27</v>
      </c>
      <c r="C140" s="73">
        <v>-3.5714285700000001E-2</v>
      </c>
      <c r="D140" s="96">
        <v>28.8</v>
      </c>
      <c r="E140" s="97">
        <f>IF(ISNUMBER(D140), (D140 - $B140) / $B140, "")</f>
        <v>6.6666666666666693E-2</v>
      </c>
      <c r="F140" s="98">
        <f>IF(ISNUMBER(D140), $B145 * E140, "")</f>
        <v>10000.000000000004</v>
      </c>
      <c r="G140" s="99">
        <v>29.3</v>
      </c>
      <c r="H140" s="97">
        <f>IF(ISNUMBER(G140), (G140 - $B140) / $B140, "")</f>
        <v>8.5185185185185211E-2</v>
      </c>
      <c r="I140" s="100">
        <f>IF(ISNUMBER(G140), $B145 * H140, "")</f>
        <v>12777.777777777781</v>
      </c>
      <c r="J140" s="96">
        <v>30.3</v>
      </c>
      <c r="K140" s="97">
        <f>IF(ISNUMBER(J140), (J140 - $B140) / $B140, "")</f>
        <v>0.12222222222222225</v>
      </c>
      <c r="L140" s="98">
        <f>IF(ISNUMBER(J140), $B145 * K140, "")</f>
        <v>18333.333333333336</v>
      </c>
      <c r="M140" s="99">
        <v>28.7</v>
      </c>
      <c r="N140" s="97">
        <f>IF(ISNUMBER(M140), (M140 - $B140) / $B140, "")</f>
        <v>6.2962962962962943E-2</v>
      </c>
      <c r="O140" s="98">
        <f>IF(ISNUMBER(M140), $B145 * N140, "")</f>
        <v>9444.4444444444416</v>
      </c>
      <c r="Q140" s="146"/>
      <c r="R140" s="146"/>
      <c r="S140" s="146"/>
    </row>
    <row r="141" spans="1:19" ht="17.25" thickBot="1">
      <c r="A141" s="109" t="s">
        <v>217</v>
      </c>
      <c r="B141" s="110">
        <v>73</v>
      </c>
      <c r="C141" s="70">
        <v>-3.8208168600000002E-2</v>
      </c>
      <c r="D141" s="15">
        <v>73.7</v>
      </c>
      <c r="E141" s="32">
        <f t="shared" ref="E141:E144" si="74">IF(ISNUMBER(D141), (D141 - $B141) / $B141, "")</f>
        <v>9.5890410958904496E-3</v>
      </c>
      <c r="F141" s="18">
        <f>IF(ISNUMBER(D141), $B145 * E141, "")</f>
        <v>1438.3561643835674</v>
      </c>
      <c r="G141" s="31">
        <v>73.8</v>
      </c>
      <c r="H141" s="32">
        <f t="shared" ref="H141:H144" si="75">IF(ISNUMBER(G141), (G141 - $B141) / $B141, "")</f>
        <v>1.0958904109589003E-2</v>
      </c>
      <c r="I141" s="91">
        <f>IF(ISNUMBER(G141), $B145 * H141, "")</f>
        <v>1643.8356164383504</v>
      </c>
      <c r="J141" s="15">
        <v>75</v>
      </c>
      <c r="K141" s="32">
        <f t="shared" ref="K141:K144" si="76">IF(ISNUMBER(J141), (J141 - $B141) / $B141, "")</f>
        <v>2.7397260273972601E-2</v>
      </c>
      <c r="L141" s="18">
        <f>IF(ISNUMBER(J141), $B145 * K141, "")</f>
        <v>4109.58904109589</v>
      </c>
      <c r="M141" s="31">
        <v>75.099999999999994</v>
      </c>
      <c r="N141" s="32">
        <f t="shared" ref="N141:N144" si="77">IF(ISNUMBER(M141), (M141 - $B141) / $B141, "")</f>
        <v>2.8767123287671156E-2</v>
      </c>
      <c r="O141" s="18">
        <f>IF(ISNUMBER(M141), $B145 * N141, "")</f>
        <v>4315.068493150673</v>
      </c>
      <c r="Q141" s="146"/>
      <c r="R141" s="146"/>
      <c r="S141" s="146"/>
    </row>
    <row r="142" spans="1:19" ht="17.25" thickBot="1">
      <c r="A142" s="109" t="s">
        <v>181</v>
      </c>
      <c r="B142" s="110">
        <v>4.4800000000000004</v>
      </c>
      <c r="C142" s="70">
        <v>-3.8626609399999998E-2</v>
      </c>
      <c r="D142" s="15">
        <v>4.53</v>
      </c>
      <c r="E142" s="32">
        <f t="shared" si="74"/>
        <v>1.1160714285714244E-2</v>
      </c>
      <c r="F142" s="18">
        <f>IF(ISNUMBER(D142), $B145 * E142, "")</f>
        <v>1674.1071428571368</v>
      </c>
      <c r="G142" s="31">
        <v>4.58</v>
      </c>
      <c r="H142" s="32">
        <f t="shared" si="75"/>
        <v>2.2321428571428489E-2</v>
      </c>
      <c r="I142" s="91">
        <f>IF(ISNUMBER(G142), $B145 * H142, "")</f>
        <v>3348.2142857142735</v>
      </c>
      <c r="J142" s="15">
        <v>4.6900000000000004</v>
      </c>
      <c r="K142" s="32">
        <f t="shared" si="76"/>
        <v>4.6874999999999986E-2</v>
      </c>
      <c r="L142" s="18">
        <f>IF(ISNUMBER(J142), $B145 * K142, "")</f>
        <v>7031.2499999999982</v>
      </c>
      <c r="M142" s="31">
        <v>4.67</v>
      </c>
      <c r="N142" s="32">
        <f t="shared" si="77"/>
        <v>4.241071428571417E-2</v>
      </c>
      <c r="O142" s="18">
        <f>IF(ISNUMBER(M142), $B145 * N142, "")</f>
        <v>6361.6071428571258</v>
      </c>
      <c r="Q142" s="146"/>
      <c r="R142" s="146"/>
      <c r="S142" s="146"/>
    </row>
    <row r="143" spans="1:19">
      <c r="A143" s="109" t="s">
        <v>118</v>
      </c>
      <c r="B143" s="110">
        <v>6.26</v>
      </c>
      <c r="C143" s="70">
        <v>-5.4380664699999998E-2</v>
      </c>
      <c r="D143" s="15">
        <v>6.4</v>
      </c>
      <c r="E143" s="32">
        <f t="shared" si="74"/>
        <v>2.2364217252396259E-2</v>
      </c>
      <c r="F143" s="18">
        <f>IF(ISNUMBER(D143), $B145 * E143, "")</f>
        <v>3354.6325878594389</v>
      </c>
      <c r="G143" s="31">
        <v>6.39</v>
      </c>
      <c r="H143" s="32">
        <f t="shared" si="75"/>
        <v>2.0766773162939282E-2</v>
      </c>
      <c r="I143" s="91">
        <f>IF(ISNUMBER(G143), $B145 * H143, "")</f>
        <v>3115.0159744408925</v>
      </c>
      <c r="J143" s="15">
        <v>6.49</v>
      </c>
      <c r="K143" s="32">
        <f t="shared" si="76"/>
        <v>3.6741214057508055E-2</v>
      </c>
      <c r="L143" s="18">
        <f>IF(ISNUMBER(J143), $B145 * K143, "")</f>
        <v>5511.182108626208</v>
      </c>
      <c r="M143" s="31">
        <v>6.49</v>
      </c>
      <c r="N143" s="32">
        <f t="shared" si="77"/>
        <v>3.6741214057508055E-2</v>
      </c>
      <c r="O143" s="18">
        <f>IF(ISNUMBER(M143), $B145 * N143, "")</f>
        <v>5511.182108626208</v>
      </c>
      <c r="Q143" s="135"/>
      <c r="R143" s="136"/>
      <c r="S143" s="137"/>
    </row>
    <row r="144" spans="1:19" ht="17.25" thickBot="1">
      <c r="A144" s="114" t="s">
        <v>350</v>
      </c>
      <c r="B144" s="115">
        <v>7.75</v>
      </c>
      <c r="C144" s="72">
        <v>-6.1743341399999999E-2</v>
      </c>
      <c r="D144" s="24">
        <v>7.54</v>
      </c>
      <c r="E144" s="25">
        <f t="shared" si="74"/>
        <v>-2.7096774193548383E-2</v>
      </c>
      <c r="F144" s="94">
        <f>IF(ISNUMBER(D144), $B145 * E144, "")</f>
        <v>-4064.5161290322576</v>
      </c>
      <c r="G144" s="92">
        <v>7.55</v>
      </c>
      <c r="H144" s="25">
        <f t="shared" si="75"/>
        <v>-2.580645161290325E-2</v>
      </c>
      <c r="I144" s="93">
        <f>IF(ISNUMBER(G144), $B145 * H144, "")</f>
        <v>-3870.9677419354875</v>
      </c>
      <c r="J144" s="24">
        <v>7.52</v>
      </c>
      <c r="K144" s="25">
        <f t="shared" si="76"/>
        <v>-2.9677419354838766E-2</v>
      </c>
      <c r="L144" s="94">
        <f>IF(ISNUMBER(J144), $B145 * K144, "")</f>
        <v>-4451.612903225815</v>
      </c>
      <c r="M144" s="92">
        <v>7.55</v>
      </c>
      <c r="N144" s="25">
        <f t="shared" si="77"/>
        <v>-2.580645161290325E-2</v>
      </c>
      <c r="O144" s="94">
        <f>IF(ISNUMBER(M144), $B145 * N144, "")</f>
        <v>-3870.9677419354875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2.1869682535925881E-2</v>
      </c>
      <c r="F145" s="28">
        <f>SUM(F125:F144)</f>
        <v>65609.047607777655</v>
      </c>
      <c r="G145" s="26" t="s">
        <v>258</v>
      </c>
      <c r="H145" s="27">
        <f>IF(COUNT(H125:H144), SUM(H125:H144) / COUNT(H125:H144), 0)</f>
        <v>3.3770296921150141E-2</v>
      </c>
      <c r="I145" s="28">
        <f>SUM(I125:I144)</f>
        <v>101310.89076345041</v>
      </c>
      <c r="J145" s="26" t="s">
        <v>258</v>
      </c>
      <c r="K145" s="27">
        <f>IF(COUNT(K125:K144), SUM(K125:K144) / COUNT(K125:K144), 0)</f>
        <v>6.5317950204574038E-2</v>
      </c>
      <c r="L145" s="28">
        <f>SUM(L125:L144)</f>
        <v>195953.85061372214</v>
      </c>
      <c r="M145" s="26" t="s">
        <v>258</v>
      </c>
      <c r="N145" s="27">
        <f>IF(COUNT(N125:N144), SUM(N125:N144) / COUNT(N125:N144), 0)</f>
        <v>6.0007340610597849E-2</v>
      </c>
      <c r="O145" s="28">
        <f>SUM(O125:O144)</f>
        <v>180022.02183179357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2023-01-17(화) 오전 00:00</v>
      </c>
      <c r="C150" s="198"/>
      <c r="D150" s="170" t="str">
        <f>TEXT($G$1, "[$-ko-KR]yyyy-mm-dd(ddd) ") &amp; "오후 14:00"</f>
        <v>2023-01-17(화) 오후 14:00</v>
      </c>
      <c r="E150" s="171"/>
      <c r="F150" s="172"/>
      <c r="G150" s="170" t="str">
        <f>TEXT($G$1, "[$-ko-KR]yyyy-mm-dd(ddd) ") &amp; "오후 19:00"</f>
        <v>2023-01-17(화) 오후 19:00</v>
      </c>
      <c r="H150" s="171"/>
      <c r="I150" s="172"/>
      <c r="J150" s="170" t="str">
        <f>TEXT($G$1, "[$-ko-KR]yyyy-mm-dd(ddd) ") &amp; "오후 21:00"</f>
        <v>2023-01-17(화) 오후 21:00</v>
      </c>
      <c r="K150" s="171"/>
      <c r="L150" s="172"/>
      <c r="M150" s="170" t="str">
        <f>TEXT($G$1+1, "[$-ko-KR]yyyy-mm-dd(ddd) ") &amp; "오전 00:00"</f>
        <v>2023-01-18(수)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253</v>
      </c>
      <c r="B152" s="108">
        <v>104</v>
      </c>
      <c r="C152" s="69">
        <v>-1.8867924500000001E-2</v>
      </c>
      <c r="D152" s="13">
        <v>104</v>
      </c>
      <c r="E152" s="14">
        <f>IF(ISNUMBER(D152), (D152 - $B152) / $B152, "")</f>
        <v>0</v>
      </c>
      <c r="F152" s="16">
        <f>IF(ISNUMBER(D152), $B172 * E152, "")</f>
        <v>0</v>
      </c>
      <c r="G152" s="29">
        <v>104</v>
      </c>
      <c r="H152" s="14">
        <f>IF(ISNUMBER(G152), (G152 - $B152) / $B152, "")</f>
        <v>0</v>
      </c>
      <c r="I152" s="90">
        <f>IF(ISNUMBER(G152), $B172 * H152, "")</f>
        <v>0</v>
      </c>
      <c r="J152" s="13">
        <v>105</v>
      </c>
      <c r="K152" s="14">
        <f>IF(ISNUMBER(J152), (J152 - $B152) / $B152, "")</f>
        <v>9.6153846153846159E-3</v>
      </c>
      <c r="L152" s="16">
        <f>IF(ISNUMBER(J152), $B172 * K152, "")</f>
        <v>1442.3076923076924</v>
      </c>
      <c r="M152" s="29">
        <v>105</v>
      </c>
      <c r="N152" s="14">
        <f>IF(ISNUMBER(M152), (M152 - $B152) / $B152, "")</f>
        <v>9.6153846153846159E-3</v>
      </c>
      <c r="O152" s="16">
        <f>IF(ISNUMBER(M152), $B172 * N152, "")</f>
        <v>1442.3076923076924</v>
      </c>
      <c r="Q152" s="156"/>
      <c r="R152" s="156"/>
      <c r="S152" s="156"/>
    </row>
    <row r="153" spans="1:19" ht="17.25" thickBot="1">
      <c r="A153" s="109" t="s">
        <v>167</v>
      </c>
      <c r="B153" s="110">
        <v>195</v>
      </c>
      <c r="C153" s="70">
        <v>-2.0100502499999999E-2</v>
      </c>
      <c r="D153" s="15">
        <v>199</v>
      </c>
      <c r="E153" s="32">
        <f t="shared" ref="E153:E156" si="78">IF(ISNUMBER(D153), (D153 - $B153) / $B153, "")</f>
        <v>2.0512820512820513E-2</v>
      </c>
      <c r="F153" s="18">
        <f>IF(ISNUMBER(D153), $B172 * E153, "")</f>
        <v>3076.9230769230771</v>
      </c>
      <c r="G153" s="31">
        <v>200</v>
      </c>
      <c r="H153" s="32">
        <f t="shared" ref="H153:H156" si="79">IF(ISNUMBER(G153), (G153 - $B153) / $B153, "")</f>
        <v>2.564102564102564E-2</v>
      </c>
      <c r="I153" s="91">
        <f>IF(ISNUMBER(G153), $B172 * H153, "")</f>
        <v>3846.1538461538462</v>
      </c>
      <c r="J153" s="15">
        <v>202</v>
      </c>
      <c r="K153" s="32">
        <f t="shared" ref="K153:K156" si="80">IF(ISNUMBER(J153), (J153 - $B153) / $B153, "")</f>
        <v>3.5897435897435895E-2</v>
      </c>
      <c r="L153" s="18">
        <f>IF(ISNUMBER(J153), $B172 * K153, "")</f>
        <v>5384.6153846153838</v>
      </c>
      <c r="M153" s="31">
        <v>202</v>
      </c>
      <c r="N153" s="32">
        <f t="shared" ref="N153:N156" si="81">IF(ISNUMBER(M153), (M153 - $B153) / $B153, "")</f>
        <v>3.5897435897435895E-2</v>
      </c>
      <c r="O153" s="18">
        <f>IF(ISNUMBER(M153), $B172 * N153, "")</f>
        <v>5384.6153846153838</v>
      </c>
      <c r="Q153" s="156"/>
      <c r="R153" s="156"/>
      <c r="S153" s="156"/>
    </row>
    <row r="154" spans="1:19" ht="17.25" thickBot="1">
      <c r="A154" s="109" t="s">
        <v>330</v>
      </c>
      <c r="B154" s="110">
        <v>321</v>
      </c>
      <c r="C154" s="70">
        <v>-2.13414634E-2</v>
      </c>
      <c r="D154" s="15">
        <v>322</v>
      </c>
      <c r="E154" s="32">
        <f t="shared" si="78"/>
        <v>3.1152647975077881E-3</v>
      </c>
      <c r="F154" s="18">
        <f>IF(ISNUMBER(D154), $B172 * E154, "")</f>
        <v>467.28971962616822</v>
      </c>
      <c r="G154" s="31">
        <v>322</v>
      </c>
      <c r="H154" s="32">
        <f t="shared" si="79"/>
        <v>3.1152647975077881E-3</v>
      </c>
      <c r="I154" s="91">
        <f>IF(ISNUMBER(G154), $B172 * H154, "")</f>
        <v>467.28971962616822</v>
      </c>
      <c r="J154" s="15">
        <v>326</v>
      </c>
      <c r="K154" s="32">
        <f t="shared" si="80"/>
        <v>1.5576323987538941E-2</v>
      </c>
      <c r="L154" s="18">
        <f>IF(ISNUMBER(J154), $B172 * K154, "")</f>
        <v>2336.4485981308412</v>
      </c>
      <c r="M154" s="31">
        <v>328</v>
      </c>
      <c r="N154" s="32">
        <f t="shared" si="81"/>
        <v>2.1806853582554516E-2</v>
      </c>
      <c r="O154" s="18">
        <f>IF(ISNUMBER(M154), $B172 * N154, "")</f>
        <v>3271.0280373831774</v>
      </c>
      <c r="Q154" s="146"/>
      <c r="R154" s="146"/>
      <c r="S154" s="146"/>
    </row>
    <row r="155" spans="1:19" ht="17.25" thickBot="1">
      <c r="A155" s="109" t="s">
        <v>183</v>
      </c>
      <c r="B155" s="110">
        <v>137</v>
      </c>
      <c r="C155" s="70">
        <v>-2.1428571399999999E-2</v>
      </c>
      <c r="D155" s="15">
        <v>139</v>
      </c>
      <c r="E155" s="32">
        <f t="shared" si="78"/>
        <v>1.4598540145985401E-2</v>
      </c>
      <c r="F155" s="18">
        <f>IF(ISNUMBER(D155), $B172 * E155, "")</f>
        <v>2189.7810218978102</v>
      </c>
      <c r="G155" s="31">
        <v>138</v>
      </c>
      <c r="H155" s="32">
        <f t="shared" si="79"/>
        <v>7.2992700729927005E-3</v>
      </c>
      <c r="I155" s="91">
        <f>IF(ISNUMBER(G155), $B172 * H155, "")</f>
        <v>1094.8905109489051</v>
      </c>
      <c r="J155" s="15">
        <v>143</v>
      </c>
      <c r="K155" s="32">
        <f t="shared" si="80"/>
        <v>4.3795620437956206E-2</v>
      </c>
      <c r="L155" s="18">
        <f>IF(ISNUMBER(J155), $B172 * K155, "")</f>
        <v>6569.3430656934306</v>
      </c>
      <c r="M155" s="31">
        <v>142</v>
      </c>
      <c r="N155" s="32">
        <f t="shared" si="81"/>
        <v>3.6496350364963501E-2</v>
      </c>
      <c r="O155" s="18">
        <f>IF(ISNUMBER(M155), $B172 * N155, "")</f>
        <v>5474.4525547445255</v>
      </c>
      <c r="Q155" s="146"/>
      <c r="R155" s="146"/>
      <c r="S155" s="146"/>
    </row>
    <row r="156" spans="1:19" ht="17.25" thickBot="1">
      <c r="A156" s="111" t="s">
        <v>229</v>
      </c>
      <c r="B156" s="112">
        <v>274</v>
      </c>
      <c r="C156" s="71">
        <v>-2.1428571399999999E-2</v>
      </c>
      <c r="D156" s="20">
        <v>279</v>
      </c>
      <c r="E156" s="21">
        <f t="shared" si="78"/>
        <v>1.824817518248175E-2</v>
      </c>
      <c r="F156" s="22">
        <f>IF(ISNUMBER(D156), $B172 * E156, "")</f>
        <v>2737.2262773722628</v>
      </c>
      <c r="G156" s="30">
        <v>279</v>
      </c>
      <c r="H156" s="21">
        <f t="shared" si="79"/>
        <v>1.824817518248175E-2</v>
      </c>
      <c r="I156" s="95">
        <f>IF(ISNUMBER(G156), $B172 * H156, "")</f>
        <v>2737.2262773722628</v>
      </c>
      <c r="J156" s="20">
        <v>281</v>
      </c>
      <c r="K156" s="21">
        <f t="shared" si="80"/>
        <v>2.5547445255474453E-2</v>
      </c>
      <c r="L156" s="22">
        <f>IF(ISNUMBER(J156), $B172 * K156, "")</f>
        <v>3832.1167883211679</v>
      </c>
      <c r="M156" s="30">
        <v>281</v>
      </c>
      <c r="N156" s="21">
        <f t="shared" si="81"/>
        <v>2.5547445255474453E-2</v>
      </c>
      <c r="O156" s="22">
        <f>IF(ISNUMBER(M156), $B172 * N156, "")</f>
        <v>3832.1167883211679</v>
      </c>
      <c r="Q156" s="146"/>
      <c r="R156" s="146"/>
      <c r="S156" s="146"/>
    </row>
    <row r="157" spans="1:19" ht="17.25" thickBot="1">
      <c r="A157" s="109" t="s">
        <v>157</v>
      </c>
      <c r="B157" s="113">
        <v>225</v>
      </c>
      <c r="C157" s="73">
        <v>-2.1739130400000001E-2</v>
      </c>
      <c r="D157" s="96">
        <v>224</v>
      </c>
      <c r="E157" s="97">
        <f>IF(ISNUMBER(D157), (D157 - $B157) / $B157, "")</f>
        <v>-4.4444444444444444E-3</v>
      </c>
      <c r="F157" s="98">
        <f>IF(ISNUMBER(D157), $B172 * E157, "")</f>
        <v>-666.66666666666663</v>
      </c>
      <c r="G157" s="99">
        <v>223</v>
      </c>
      <c r="H157" s="97">
        <f>IF(ISNUMBER(G157), (G157 - $B157) / $B157, "")</f>
        <v>-8.8888888888888889E-3</v>
      </c>
      <c r="I157" s="100">
        <f>IF(ISNUMBER(G157), $B172 * H157, "")</f>
        <v>-1333.3333333333333</v>
      </c>
      <c r="J157" s="96">
        <v>225</v>
      </c>
      <c r="K157" s="97">
        <f>IF(ISNUMBER(J157), (J157 - $B157) / $B157, "")</f>
        <v>0</v>
      </c>
      <c r="L157" s="98">
        <f>IF(ISNUMBER(J157), $B172 * K157, "")</f>
        <v>0</v>
      </c>
      <c r="M157" s="99">
        <v>224</v>
      </c>
      <c r="N157" s="97">
        <f>IF(ISNUMBER(M157), (M157 - $B157) / $B157, "")</f>
        <v>-4.4444444444444444E-3</v>
      </c>
      <c r="O157" s="98">
        <f>IF(ISNUMBER(M157), $B172 * N157, "")</f>
        <v>-666.66666666666663</v>
      </c>
      <c r="Q157" s="146"/>
      <c r="R157" s="146"/>
      <c r="S157" s="146"/>
    </row>
    <row r="158" spans="1:19" ht="17.25" thickBot="1">
      <c r="A158" s="109" t="s">
        <v>169</v>
      </c>
      <c r="B158" s="110">
        <v>260</v>
      </c>
      <c r="C158" s="70">
        <v>-2.2556390999999999E-2</v>
      </c>
      <c r="D158" s="15">
        <v>263</v>
      </c>
      <c r="E158" s="32">
        <f t="shared" ref="E158:E161" si="82">IF(ISNUMBER(D158), (D158 - $B158) / $B158, "")</f>
        <v>1.1538461538461539E-2</v>
      </c>
      <c r="F158" s="18">
        <f>IF(ISNUMBER(D158), $B172 * E158, "")</f>
        <v>1730.7692307692309</v>
      </c>
      <c r="G158" s="31">
        <v>264</v>
      </c>
      <c r="H158" s="32">
        <f t="shared" ref="H158:H161" si="83">IF(ISNUMBER(G158), (G158 - $B158) / $B158, "")</f>
        <v>1.5384615384615385E-2</v>
      </c>
      <c r="I158" s="91">
        <f>IF(ISNUMBER(G158), $B172 * H158, "")</f>
        <v>2307.6923076923076</v>
      </c>
      <c r="J158" s="15">
        <v>268</v>
      </c>
      <c r="K158" s="32">
        <f t="shared" ref="K158:K161" si="84">IF(ISNUMBER(J158), (J158 - $B158) / $B158, "")</f>
        <v>3.0769230769230771E-2</v>
      </c>
      <c r="L158" s="18">
        <f>IF(ISNUMBER(J158), $B172 * K158, "")</f>
        <v>4615.3846153846152</v>
      </c>
      <c r="M158" s="31">
        <v>271</v>
      </c>
      <c r="N158" s="32">
        <f t="shared" ref="N158:N161" si="85">IF(ISNUMBER(M158), (M158 - $B158) / $B158, "")</f>
        <v>4.230769230769231E-2</v>
      </c>
      <c r="O158" s="18">
        <f>IF(ISNUMBER(M158), $B172 * N158, "")</f>
        <v>6346.1538461538466</v>
      </c>
      <c r="Q158" s="146"/>
      <c r="R158" s="146"/>
      <c r="S158" s="146"/>
    </row>
    <row r="159" spans="1:19" ht="17.25" thickBot="1">
      <c r="A159" s="109" t="s">
        <v>321</v>
      </c>
      <c r="B159" s="110">
        <v>208</v>
      </c>
      <c r="C159" s="70">
        <v>-2.34741784E-2</v>
      </c>
      <c r="D159" s="15">
        <v>209</v>
      </c>
      <c r="E159" s="32">
        <f t="shared" si="82"/>
        <v>4.807692307692308E-3</v>
      </c>
      <c r="F159" s="18">
        <f>IF(ISNUMBER(D159), $B172 * E159, "")</f>
        <v>721.15384615384619</v>
      </c>
      <c r="G159" s="31">
        <v>212</v>
      </c>
      <c r="H159" s="32">
        <f t="shared" si="83"/>
        <v>1.9230769230769232E-2</v>
      </c>
      <c r="I159" s="91">
        <f>IF(ISNUMBER(G159), $B172 * H159, "")</f>
        <v>2884.6153846153848</v>
      </c>
      <c r="J159" s="15">
        <v>213</v>
      </c>
      <c r="K159" s="32">
        <f t="shared" si="84"/>
        <v>2.403846153846154E-2</v>
      </c>
      <c r="L159" s="18">
        <f>IF(ISNUMBER(J159), $B172 * K159, "")</f>
        <v>3605.7692307692309</v>
      </c>
      <c r="M159" s="31">
        <v>216</v>
      </c>
      <c r="N159" s="32">
        <f t="shared" si="85"/>
        <v>3.8461538461538464E-2</v>
      </c>
      <c r="O159" s="18">
        <f>IF(ISNUMBER(M159), $B172 * N159, "")</f>
        <v>5769.2307692307695</v>
      </c>
      <c r="Q159" s="146"/>
      <c r="R159" s="146"/>
      <c r="S159" s="146"/>
    </row>
    <row r="160" spans="1:19" ht="17.25" thickBot="1">
      <c r="A160" s="109" t="s">
        <v>79</v>
      </c>
      <c r="B160" s="110">
        <v>281</v>
      </c>
      <c r="C160" s="70">
        <v>-2.7681660899999998E-2</v>
      </c>
      <c r="D160" s="15">
        <v>286</v>
      </c>
      <c r="E160" s="32">
        <f t="shared" si="82"/>
        <v>1.7793594306049824E-2</v>
      </c>
      <c r="F160" s="18">
        <f>IF(ISNUMBER(D160), $B172 * E160, "")</f>
        <v>2669.0391459074735</v>
      </c>
      <c r="G160" s="31">
        <v>286</v>
      </c>
      <c r="H160" s="32">
        <f t="shared" si="83"/>
        <v>1.7793594306049824E-2</v>
      </c>
      <c r="I160" s="91">
        <f>IF(ISNUMBER(G160), $B172 * H160, "")</f>
        <v>2669.0391459074735</v>
      </c>
      <c r="J160" s="15">
        <v>287</v>
      </c>
      <c r="K160" s="32">
        <f t="shared" si="84"/>
        <v>2.1352313167259787E-2</v>
      </c>
      <c r="L160" s="18">
        <f>IF(ISNUMBER(J160), $B172 * K160, "")</f>
        <v>3202.8469750889681</v>
      </c>
      <c r="M160" s="31">
        <v>289</v>
      </c>
      <c r="N160" s="32">
        <f t="shared" si="85"/>
        <v>2.8469750889679714E-2</v>
      </c>
      <c r="O160" s="18">
        <f>IF(ISNUMBER(M160), $B172 * N160, "")</f>
        <v>4270.4626334519571</v>
      </c>
      <c r="Q160" s="33"/>
      <c r="R160" s="33"/>
    </row>
    <row r="161" spans="1:19" ht="17.25" thickBot="1">
      <c r="A161" s="114" t="s">
        <v>111</v>
      </c>
      <c r="B161" s="115">
        <v>866</v>
      </c>
      <c r="C161" s="72">
        <v>-3.0235162400000001E-2</v>
      </c>
      <c r="D161" s="24">
        <v>917</v>
      </c>
      <c r="E161" s="25">
        <f t="shared" si="82"/>
        <v>5.889145496535797E-2</v>
      </c>
      <c r="F161" s="94">
        <f>IF(ISNUMBER(D161), $B172 * E161, "")</f>
        <v>8833.7182448036947</v>
      </c>
      <c r="G161" s="92">
        <v>908</v>
      </c>
      <c r="H161" s="25">
        <f t="shared" si="83"/>
        <v>4.8498845265588918E-2</v>
      </c>
      <c r="I161" s="93">
        <f>IF(ISNUMBER(G161), $B172 * H161, "")</f>
        <v>7274.8267898383374</v>
      </c>
      <c r="J161" s="24">
        <v>913</v>
      </c>
      <c r="K161" s="25">
        <f t="shared" si="84"/>
        <v>5.4272517321016164E-2</v>
      </c>
      <c r="L161" s="94">
        <f>IF(ISNUMBER(J161), $B172 * K161, "")</f>
        <v>8140.877598152425</v>
      </c>
      <c r="M161" s="92">
        <v>903</v>
      </c>
      <c r="N161" s="25">
        <f t="shared" si="85"/>
        <v>4.2725173210161664E-2</v>
      </c>
      <c r="O161" s="94">
        <f>IF(ISNUMBER(M161), $B172 * N161, "")</f>
        <v>6408.7759815242498</v>
      </c>
      <c r="Q161" s="147"/>
      <c r="R161" s="148"/>
      <c r="S161" s="149"/>
    </row>
    <row r="162" spans="1:19">
      <c r="A162" s="107" t="s">
        <v>153</v>
      </c>
      <c r="B162" s="108">
        <v>416</v>
      </c>
      <c r="C162" s="69">
        <v>-3.0303030299999999E-2</v>
      </c>
      <c r="D162" s="13">
        <v>419</v>
      </c>
      <c r="E162" s="14">
        <f>IF(ISNUMBER(D162), (D162 - $B162) / $B162, "")</f>
        <v>7.2115384615384619E-3</v>
      </c>
      <c r="F162" s="16">
        <f>IF(ISNUMBER(D162), $B172 * E162, "")</f>
        <v>1081.7307692307693</v>
      </c>
      <c r="G162" s="29">
        <v>416</v>
      </c>
      <c r="H162" s="14">
        <f>IF(ISNUMBER(G162), (G162 - $B162) / $B162, "")</f>
        <v>0</v>
      </c>
      <c r="I162" s="90">
        <f>IF(ISNUMBER(G162), $B172 * H162, "")</f>
        <v>0</v>
      </c>
      <c r="J162" s="13">
        <v>421</v>
      </c>
      <c r="K162" s="14">
        <f>IF(ISNUMBER(J162), (J162 - $B162) / $B162, "")</f>
        <v>1.201923076923077E-2</v>
      </c>
      <c r="L162" s="16">
        <f>IF(ISNUMBER(J162), $B172 * K162, "")</f>
        <v>1802.8846153846155</v>
      </c>
      <c r="M162" s="29">
        <v>427</v>
      </c>
      <c r="N162" s="14">
        <f>IF(ISNUMBER(M162), (M162 - $B162) / $B162, "")</f>
        <v>2.6442307692307692E-2</v>
      </c>
      <c r="O162" s="16">
        <f>IF(ISNUMBER(M162), $B172 * N162, "")</f>
        <v>3966.3461538461538</v>
      </c>
      <c r="Q162" s="150"/>
      <c r="R162" s="151"/>
      <c r="S162" s="152"/>
    </row>
    <row r="163" spans="1:19" ht="17.25" thickBot="1">
      <c r="A163" s="109" t="s">
        <v>201</v>
      </c>
      <c r="B163" s="110">
        <v>259</v>
      </c>
      <c r="C163" s="70">
        <v>-3.3582089599999997E-2</v>
      </c>
      <c r="D163" s="15">
        <v>267</v>
      </c>
      <c r="E163" s="32">
        <f t="shared" ref="E163:E166" si="86">IF(ISNUMBER(D163), (D163 - $B163) / $B163, "")</f>
        <v>3.0888030888030889E-2</v>
      </c>
      <c r="F163" s="18">
        <f>IF(ISNUMBER(D163), $B172 * E163, "")</f>
        <v>4633.204633204633</v>
      </c>
      <c r="G163" s="31">
        <v>267</v>
      </c>
      <c r="H163" s="32">
        <f t="shared" ref="H163:H166" si="87">IF(ISNUMBER(G163), (G163 - $B163) / $B163, "")</f>
        <v>3.0888030888030889E-2</v>
      </c>
      <c r="I163" s="91">
        <f>IF(ISNUMBER(G163), $B172 * H163, "")</f>
        <v>4633.204633204633</v>
      </c>
      <c r="J163" s="15">
        <v>267</v>
      </c>
      <c r="K163" s="32">
        <f t="shared" ref="K163:K166" si="88">IF(ISNUMBER(J163), (J163 - $B163) / $B163, "")</f>
        <v>3.0888030888030889E-2</v>
      </c>
      <c r="L163" s="18">
        <f>IF(ISNUMBER(J163), $B172 * K163, "")</f>
        <v>4633.204633204633</v>
      </c>
      <c r="M163" s="31">
        <v>269</v>
      </c>
      <c r="N163" s="32">
        <f t="shared" ref="N163:N166" si="89">IF(ISNUMBER(M163), (M163 - $B163) / $B163, "")</f>
        <v>3.8610038610038609E-2</v>
      </c>
      <c r="O163" s="18">
        <f>IF(ISNUMBER(M163), $B172 * N163, "")</f>
        <v>5791.5057915057914</v>
      </c>
      <c r="Q163" s="153"/>
      <c r="R163" s="154"/>
      <c r="S163" s="155"/>
    </row>
    <row r="164" spans="1:19" ht="17.25" thickBot="1">
      <c r="A164" s="109" t="s">
        <v>85</v>
      </c>
      <c r="B164" s="110">
        <v>168</v>
      </c>
      <c r="C164" s="70">
        <v>-3.4482758600000003E-2</v>
      </c>
      <c r="D164" s="15">
        <v>168</v>
      </c>
      <c r="E164" s="32">
        <f t="shared" si="86"/>
        <v>0</v>
      </c>
      <c r="F164" s="18">
        <f>IF(ISNUMBER(D164), $B172 * E164, "")</f>
        <v>0</v>
      </c>
      <c r="G164" s="31">
        <v>170</v>
      </c>
      <c r="H164" s="32">
        <f t="shared" si="87"/>
        <v>1.1904761904761904E-2</v>
      </c>
      <c r="I164" s="91">
        <f>IF(ISNUMBER(G164), $B172 * H164, "")</f>
        <v>1785.7142857142856</v>
      </c>
      <c r="J164" s="15">
        <v>171</v>
      </c>
      <c r="K164" s="32">
        <f t="shared" si="88"/>
        <v>1.7857142857142856E-2</v>
      </c>
      <c r="L164" s="18">
        <f>IF(ISNUMBER(J164), $B172 * K164, "")</f>
        <v>2678.5714285714284</v>
      </c>
      <c r="M164" s="31">
        <v>170</v>
      </c>
      <c r="N164" s="32">
        <f t="shared" si="89"/>
        <v>1.1904761904761904E-2</v>
      </c>
      <c r="O164" s="18">
        <f>IF(ISNUMBER(M164), $B172 * N164, "")</f>
        <v>1785.7142857142856</v>
      </c>
      <c r="Q164" s="146"/>
      <c r="R164" s="146"/>
      <c r="S164" s="146"/>
    </row>
    <row r="165" spans="1:19" ht="17.25" thickBot="1">
      <c r="A165" s="109" t="s">
        <v>332</v>
      </c>
      <c r="B165" s="110">
        <v>599</v>
      </c>
      <c r="C165" s="70">
        <v>-3.5426731099999997E-2</v>
      </c>
      <c r="D165" s="15">
        <v>600</v>
      </c>
      <c r="E165" s="32">
        <f t="shared" si="86"/>
        <v>1.6694490818030051E-3</v>
      </c>
      <c r="F165" s="18">
        <f>IF(ISNUMBER(D165), $B172 * E165, "")</f>
        <v>250.41736227045075</v>
      </c>
      <c r="G165" s="31">
        <v>600</v>
      </c>
      <c r="H165" s="32">
        <f t="shared" si="87"/>
        <v>1.6694490818030051E-3</v>
      </c>
      <c r="I165" s="91">
        <f>IF(ISNUMBER(G165), $B172 * H165, "")</f>
        <v>250.41736227045075</v>
      </c>
      <c r="J165" s="15">
        <v>609</v>
      </c>
      <c r="K165" s="32">
        <f t="shared" si="88"/>
        <v>1.6694490818030049E-2</v>
      </c>
      <c r="L165" s="18">
        <f>IF(ISNUMBER(J165), $B172 * K165, "")</f>
        <v>2504.1736227045076</v>
      </c>
      <c r="M165" s="31">
        <v>611</v>
      </c>
      <c r="N165" s="32">
        <f t="shared" si="89"/>
        <v>2.003338898163606E-2</v>
      </c>
      <c r="O165" s="18">
        <f>IF(ISNUMBER(M165), $B172 * N165, "")</f>
        <v>3005.0083472454089</v>
      </c>
      <c r="Q165" s="156"/>
      <c r="R165" s="156"/>
      <c r="S165" s="156"/>
    </row>
    <row r="166" spans="1:19" ht="17.25" thickBot="1">
      <c r="A166" s="111" t="s">
        <v>317</v>
      </c>
      <c r="B166" s="112">
        <v>635</v>
      </c>
      <c r="C166" s="71">
        <v>-3.6418816399999998E-2</v>
      </c>
      <c r="D166" s="20">
        <v>635</v>
      </c>
      <c r="E166" s="21">
        <f t="shared" si="86"/>
        <v>0</v>
      </c>
      <c r="F166" s="22">
        <f>IF(ISNUMBER(D166), $B172 * E166, "")</f>
        <v>0</v>
      </c>
      <c r="G166" s="30">
        <v>632</v>
      </c>
      <c r="H166" s="21">
        <f t="shared" si="87"/>
        <v>-4.7244094488188976E-3</v>
      </c>
      <c r="I166" s="95">
        <f>IF(ISNUMBER(G166), $B172 * H166, "")</f>
        <v>-708.66141732283461</v>
      </c>
      <c r="J166" s="20">
        <v>637</v>
      </c>
      <c r="K166" s="21">
        <f t="shared" si="88"/>
        <v>3.1496062992125984E-3</v>
      </c>
      <c r="L166" s="22">
        <f>IF(ISNUMBER(J166), $B172 * K166, "")</f>
        <v>472.44094488188978</v>
      </c>
      <c r="M166" s="30">
        <v>637</v>
      </c>
      <c r="N166" s="21">
        <f t="shared" si="89"/>
        <v>3.1496062992125984E-3</v>
      </c>
      <c r="O166" s="22">
        <f>IF(ISNUMBER(M166), $B172 * N166, "")</f>
        <v>472.44094488188978</v>
      </c>
      <c r="Q166" s="156"/>
      <c r="R166" s="156"/>
      <c r="S166" s="156"/>
    </row>
    <row r="167" spans="1:19" ht="17.25" thickBot="1">
      <c r="A167" s="109" t="s">
        <v>319</v>
      </c>
      <c r="B167" s="113">
        <v>610</v>
      </c>
      <c r="C167" s="73">
        <v>-3.7854889599999997E-2</v>
      </c>
      <c r="D167" s="96">
        <v>615</v>
      </c>
      <c r="E167" s="97">
        <f>IF(ISNUMBER(D167), (D167 - $B167) / $B167, "")</f>
        <v>8.1967213114754103E-3</v>
      </c>
      <c r="F167" s="98">
        <f>IF(ISNUMBER(D167), $B172 * E167, "")</f>
        <v>1229.5081967213116</v>
      </c>
      <c r="G167" s="99">
        <v>620</v>
      </c>
      <c r="H167" s="97">
        <f>IF(ISNUMBER(G167), (G167 - $B167) / $B167, "")</f>
        <v>1.6393442622950821E-2</v>
      </c>
      <c r="I167" s="100">
        <f>IF(ISNUMBER(G167), $B172 * H167, "")</f>
        <v>2459.0163934426232</v>
      </c>
      <c r="J167" s="96">
        <v>617</v>
      </c>
      <c r="K167" s="97">
        <f>IF(ISNUMBER(J167), (J167 - $B167) / $B167, "")</f>
        <v>1.1475409836065573E-2</v>
      </c>
      <c r="L167" s="98">
        <f>IF(ISNUMBER(J167), $B172 * K167, "")</f>
        <v>1721.311475409836</v>
      </c>
      <c r="M167" s="99">
        <v>606</v>
      </c>
      <c r="N167" s="97">
        <f>IF(ISNUMBER(M167), (M167 - $B167) / $B167, "")</f>
        <v>-6.5573770491803279E-3</v>
      </c>
      <c r="O167" s="98">
        <f>IF(ISNUMBER(M167), $B172 * N167, "")</f>
        <v>-983.60655737704917</v>
      </c>
      <c r="Q167" s="146"/>
      <c r="R167" s="146"/>
      <c r="S167" s="146"/>
    </row>
    <row r="168" spans="1:19" ht="17.25" thickBot="1">
      <c r="A168" s="109" t="s">
        <v>326</v>
      </c>
      <c r="B168" s="110">
        <v>286</v>
      </c>
      <c r="C168" s="70">
        <v>-4.3478260900000003E-2</v>
      </c>
      <c r="D168" s="15">
        <v>288</v>
      </c>
      <c r="E168" s="32">
        <f t="shared" ref="E168:E171" si="90">IF(ISNUMBER(D168), (D168 - $B168) / $B168, "")</f>
        <v>6.993006993006993E-3</v>
      </c>
      <c r="F168" s="18">
        <f>IF(ISNUMBER(D168), $B172 * E168, "")</f>
        <v>1048.951048951049</v>
      </c>
      <c r="G168" s="31">
        <v>289</v>
      </c>
      <c r="H168" s="32">
        <f t="shared" ref="H168:H171" si="91">IF(ISNUMBER(G168), (G168 - $B168) / $B168, "")</f>
        <v>1.048951048951049E-2</v>
      </c>
      <c r="I168" s="91">
        <f>IF(ISNUMBER(G168), $B172 * H168, "")</f>
        <v>1573.4265734265734</v>
      </c>
      <c r="J168" s="15">
        <v>287</v>
      </c>
      <c r="K168" s="32">
        <f t="shared" ref="K168:K171" si="92">IF(ISNUMBER(J168), (J168 - $B168) / $B168, "")</f>
        <v>3.4965034965034965E-3</v>
      </c>
      <c r="L168" s="18">
        <f>IF(ISNUMBER(J168), $B172 * K168, "")</f>
        <v>524.47552447552448</v>
      </c>
      <c r="M168" s="31">
        <v>290</v>
      </c>
      <c r="N168" s="32">
        <f t="shared" ref="N168:N171" si="93">IF(ISNUMBER(M168), (M168 - $B168) / $B168, "")</f>
        <v>1.3986013986013986E-2</v>
      </c>
      <c r="O168" s="18">
        <f>IF(ISNUMBER(M168), $B172 * N168, "")</f>
        <v>2097.9020979020979</v>
      </c>
      <c r="Q168" s="146"/>
      <c r="R168" s="146"/>
      <c r="S168" s="146"/>
    </row>
    <row r="169" spans="1:19" ht="17.25" thickBot="1">
      <c r="A169" s="109" t="s">
        <v>120</v>
      </c>
      <c r="B169" s="110">
        <v>126</v>
      </c>
      <c r="C169" s="70">
        <v>-4.5454545499999999E-2</v>
      </c>
      <c r="D169" s="15">
        <v>131</v>
      </c>
      <c r="E169" s="32">
        <f t="shared" si="90"/>
        <v>3.968253968253968E-2</v>
      </c>
      <c r="F169" s="18">
        <f>IF(ISNUMBER(D169), $B172 * E169, "")</f>
        <v>5952.3809523809523</v>
      </c>
      <c r="G169" s="31">
        <v>129</v>
      </c>
      <c r="H169" s="32">
        <f t="shared" si="91"/>
        <v>2.3809523809523808E-2</v>
      </c>
      <c r="I169" s="91">
        <f>IF(ISNUMBER(G169), $B172 * H169, "")</f>
        <v>3571.4285714285711</v>
      </c>
      <c r="J169" s="15">
        <v>131</v>
      </c>
      <c r="K169" s="32">
        <f t="shared" si="92"/>
        <v>3.968253968253968E-2</v>
      </c>
      <c r="L169" s="18">
        <f>IF(ISNUMBER(J169), $B172 * K169, "")</f>
        <v>5952.3809523809523</v>
      </c>
      <c r="M169" s="31">
        <v>132</v>
      </c>
      <c r="N169" s="32">
        <f t="shared" si="93"/>
        <v>4.7619047619047616E-2</v>
      </c>
      <c r="O169" s="18">
        <f>IF(ISNUMBER(M169), $B172 * N169, "")</f>
        <v>7142.8571428571422</v>
      </c>
      <c r="Q169" s="146"/>
      <c r="R169" s="146"/>
      <c r="S169" s="146"/>
    </row>
    <row r="170" spans="1:19">
      <c r="A170" s="109" t="s">
        <v>68</v>
      </c>
      <c r="B170" s="110">
        <v>681</v>
      </c>
      <c r="C170" s="70">
        <v>-5.1532033400000003E-2</v>
      </c>
      <c r="D170" s="15">
        <v>665</v>
      </c>
      <c r="E170" s="32">
        <f t="shared" si="90"/>
        <v>-2.3494860499265784E-2</v>
      </c>
      <c r="F170" s="18">
        <f>IF(ISNUMBER(D170), $B172 * E170, "")</f>
        <v>-3524.2290748898677</v>
      </c>
      <c r="G170" s="31">
        <v>662</v>
      </c>
      <c r="H170" s="32">
        <f t="shared" si="91"/>
        <v>-2.7900146842878122E-2</v>
      </c>
      <c r="I170" s="91">
        <f>IF(ISNUMBER(G170), $B172 * H170, "")</f>
        <v>-4185.0220264317186</v>
      </c>
      <c r="J170" s="15">
        <v>650</v>
      </c>
      <c r="K170" s="32">
        <f t="shared" si="92"/>
        <v>-4.552129221732746E-2</v>
      </c>
      <c r="L170" s="18">
        <f>IF(ISNUMBER(J170), $B172 * K170, "")</f>
        <v>-6828.1938325991187</v>
      </c>
      <c r="M170" s="31">
        <v>644</v>
      </c>
      <c r="N170" s="32">
        <f t="shared" si="93"/>
        <v>-5.4331864904552128E-2</v>
      </c>
      <c r="O170" s="18">
        <f>IF(ISNUMBER(M170), $B172 * N170, "")</f>
        <v>-8149.7797356828196</v>
      </c>
      <c r="Q170" s="135"/>
      <c r="R170" s="136"/>
      <c r="S170" s="137"/>
    </row>
    <row r="171" spans="1:19" ht="17.25" thickBot="1">
      <c r="A171" s="114" t="s">
        <v>345</v>
      </c>
      <c r="B171" s="115">
        <v>188</v>
      </c>
      <c r="C171" s="72">
        <v>-0.1047619048</v>
      </c>
      <c r="D171" s="24">
        <v>179</v>
      </c>
      <c r="E171" s="25">
        <f t="shared" si="90"/>
        <v>-4.7872340425531915E-2</v>
      </c>
      <c r="F171" s="94">
        <f>IF(ISNUMBER(D171), $B172 * E171, "")</f>
        <v>-7180.8510638297876</v>
      </c>
      <c r="G171" s="92">
        <v>175</v>
      </c>
      <c r="H171" s="25">
        <f t="shared" si="91"/>
        <v>-6.9148936170212769E-2</v>
      </c>
      <c r="I171" s="93">
        <f>IF(ISNUMBER(G171), $B172 * H171, "")</f>
        <v>-10372.340425531915</v>
      </c>
      <c r="J171" s="24">
        <v>175</v>
      </c>
      <c r="K171" s="25">
        <f t="shared" si="92"/>
        <v>-6.9148936170212769E-2</v>
      </c>
      <c r="L171" s="94">
        <f>IF(ISNUMBER(J171), $B172 * K171, "")</f>
        <v>-10372.340425531915</v>
      </c>
      <c r="M171" s="92">
        <v>173</v>
      </c>
      <c r="N171" s="25">
        <f t="shared" si="93"/>
        <v>-7.9787234042553196E-2</v>
      </c>
      <c r="O171" s="94">
        <f>IF(ISNUMBER(M171), $B172 * N171, "")</f>
        <v>-11968.08510638298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8.416782240275469E-3</v>
      </c>
      <c r="F172" s="28">
        <f>SUM(F152:F171)</f>
        <v>25250.346720826412</v>
      </c>
      <c r="G172" s="26" t="s">
        <v>258</v>
      </c>
      <c r="H172" s="27">
        <f>IF(COUNT(H152:H171), SUM(H152:H171) / COUNT(H152:H171), 0)</f>
        <v>6.9851948663406747E-3</v>
      </c>
      <c r="I172" s="28">
        <f>SUM(I152:I171)</f>
        <v>20955.584599022022</v>
      </c>
      <c r="J172" s="26" t="s">
        <v>258</v>
      </c>
      <c r="K172" s="27">
        <f>IF(COUNT(K152:K171), SUM(K152:K171) / COUNT(K152:K171), 0)</f>
        <v>1.4072872962448701E-2</v>
      </c>
      <c r="L172" s="28">
        <f>SUM(L152:L171)</f>
        <v>42218.618887346107</v>
      </c>
      <c r="M172" s="26" t="s">
        <v>258</v>
      </c>
      <c r="N172" s="27">
        <f>IF(COUNT(N152:N171), SUM(N152:N171) / COUNT(N152:N171), 0)</f>
        <v>1.4897593461858677E-2</v>
      </c>
      <c r="O172" s="28">
        <f>SUM(O152:O171)</f>
        <v>44692.780385576043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2023-01-17(화) 오전 00:00</v>
      </c>
      <c r="C177" s="198"/>
      <c r="D177" s="170" t="str">
        <f>TEXT($G$1, "[$-ko-KR]yyyy-mm-dd(ddd) ") &amp; "오후 14:00"</f>
        <v>2023-01-17(화) 오후 14:00</v>
      </c>
      <c r="E177" s="171"/>
      <c r="F177" s="172"/>
      <c r="G177" s="170" t="str">
        <f>TEXT($G$1, "[$-ko-KR]yyyy-mm-dd(ddd) ") &amp; "오후 19:00"</f>
        <v>2023-01-17(화) 오후 19:00</v>
      </c>
      <c r="H177" s="171"/>
      <c r="I177" s="172"/>
      <c r="J177" s="170" t="str">
        <f>TEXT($G$1, "[$-ko-KR]yyyy-mm-dd(ddd) ") &amp; "오후 21:00"</f>
        <v>2023-01-17(화) 오후 21:00</v>
      </c>
      <c r="K177" s="171"/>
      <c r="L177" s="172"/>
      <c r="M177" s="170" t="str">
        <f>TEXT($G$1+1, "[$-ko-KR]yyyy-mm-dd(ddd) ") &amp; "오전 00:00"</f>
        <v>2023-01-18(수)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191</v>
      </c>
      <c r="B179" s="108">
        <v>57.8</v>
      </c>
      <c r="C179" s="69">
        <v>-3.1825795599999998E-2</v>
      </c>
      <c r="D179" s="13">
        <v>61.1</v>
      </c>
      <c r="E179" s="14">
        <f>IF(ISNUMBER(D179), (D179 - $B179) / $B179, "")</f>
        <v>5.7093425605536409E-2</v>
      </c>
      <c r="F179" s="16">
        <f>IF(ISNUMBER(D179), $B199 * E179, "")</f>
        <v>8564.013840830461</v>
      </c>
      <c r="G179" s="29">
        <v>61.5</v>
      </c>
      <c r="H179" s="14">
        <f>IF(ISNUMBER(G179), (G179 - $B179) / $B179, "")</f>
        <v>6.4013840830449878E-2</v>
      </c>
      <c r="I179" s="90">
        <f>IF(ISNUMBER(G179), $B199 * H179, "")</f>
        <v>9602.0761245674821</v>
      </c>
      <c r="J179" s="13">
        <v>63</v>
      </c>
      <c r="K179" s="14">
        <f>IF(ISNUMBER(J179), (J179 - $B179) / $B179, "")</f>
        <v>8.9965397923875493E-2</v>
      </c>
      <c r="L179" s="16">
        <f>IF(ISNUMBER(J179), $B199 * K179, "")</f>
        <v>13494.809688581325</v>
      </c>
      <c r="M179" s="29">
        <v>61.7</v>
      </c>
      <c r="N179" s="14">
        <f>IF(ISNUMBER(M179), (M179 - $B179) / $B179, "")</f>
        <v>6.7474048442906678E-2</v>
      </c>
      <c r="O179" s="16">
        <f>IF(ISNUMBER(M179), $B199 * N179, "")</f>
        <v>10121.107266436002</v>
      </c>
      <c r="Q179" s="156"/>
      <c r="R179" s="156"/>
      <c r="S179" s="156"/>
    </row>
    <row r="180" spans="1:19" ht="17.25" thickBot="1">
      <c r="A180" s="109" t="s">
        <v>323</v>
      </c>
      <c r="B180" s="110">
        <v>3.6299999999999999E-2</v>
      </c>
      <c r="C180" s="70">
        <v>-3.2000000000000001E-2</v>
      </c>
      <c r="D180" s="15">
        <v>3.6900000000000002E-2</v>
      </c>
      <c r="E180" s="32">
        <f t="shared" ref="E180:E183" si="94">IF(ISNUMBER(D180), (D180 - $B180) / $B180, "")</f>
        <v>1.6528925619834801E-2</v>
      </c>
      <c r="F180" s="18">
        <f>IF(ISNUMBER(D180), $B199 * E180, "")</f>
        <v>2479.3388429752204</v>
      </c>
      <c r="G180" s="31">
        <v>3.6999999999999998E-2</v>
      </c>
      <c r="H180" s="32">
        <f t="shared" ref="H180:H183" si="95">IF(ISNUMBER(G180), (G180 - $B180) / $B180, "")</f>
        <v>1.9283746556473809E-2</v>
      </c>
      <c r="I180" s="91">
        <f>IF(ISNUMBER(G180), $B199 * H180, "")</f>
        <v>2892.5619834710715</v>
      </c>
      <c r="J180" s="15">
        <v>3.7499999999999999E-2</v>
      </c>
      <c r="K180" s="32">
        <f t="shared" ref="K180:K183" si="96">IF(ISNUMBER(J180), (J180 - $B180) / $B180, "")</f>
        <v>3.3057851239669415E-2</v>
      </c>
      <c r="L180" s="18">
        <f>IF(ISNUMBER(J180), $B199 * K180, "")</f>
        <v>4958.6776859504125</v>
      </c>
      <c r="M180" s="31">
        <v>3.7699999999999997E-2</v>
      </c>
      <c r="N180" s="32">
        <f t="shared" ref="N180:N183" si="97">IF(ISNUMBER(M180), (M180 - $B180) / $B180, "")</f>
        <v>3.8567493112947618E-2</v>
      </c>
      <c r="O180" s="18">
        <f>IF(ISNUMBER(M180), $B199 * N180, "")</f>
        <v>5785.1239669421429</v>
      </c>
      <c r="Q180" s="156"/>
      <c r="R180" s="156"/>
      <c r="S180" s="156"/>
    </row>
    <row r="181" spans="1:19" ht="17.25" thickBot="1">
      <c r="A181" s="109" t="s">
        <v>132</v>
      </c>
      <c r="B181" s="110">
        <v>52.1</v>
      </c>
      <c r="C181" s="70">
        <v>-3.3395176300000003E-2</v>
      </c>
      <c r="D181" s="15">
        <v>54.2</v>
      </c>
      <c r="E181" s="32">
        <f t="shared" si="94"/>
        <v>4.0307101727447246E-2</v>
      </c>
      <c r="F181" s="18">
        <f>IF(ISNUMBER(D181), $B199 * E181, "")</f>
        <v>6046.0652591170865</v>
      </c>
      <c r="G181" s="31">
        <v>55.3</v>
      </c>
      <c r="H181" s="32">
        <f t="shared" si="95"/>
        <v>6.1420345489443293E-2</v>
      </c>
      <c r="I181" s="91">
        <f>IF(ISNUMBER(G181), $B199 * H181, "")</f>
        <v>9213.0518234164938</v>
      </c>
      <c r="J181" s="15">
        <v>58.2</v>
      </c>
      <c r="K181" s="32">
        <f t="shared" si="96"/>
        <v>0.11708253358925147</v>
      </c>
      <c r="L181" s="18">
        <f>IF(ISNUMBER(J181), $B199 * K181, "")</f>
        <v>17562.380038387721</v>
      </c>
      <c r="M181" s="31">
        <v>58.7</v>
      </c>
      <c r="N181" s="32">
        <f t="shared" si="97"/>
        <v>0.12667946257197699</v>
      </c>
      <c r="O181" s="18">
        <f>IF(ISNUMBER(M181), $B199 * N181, "")</f>
        <v>19001.919385796547</v>
      </c>
      <c r="Q181" s="146"/>
      <c r="R181" s="146"/>
      <c r="S181" s="146"/>
    </row>
    <row r="182" spans="1:19" ht="17.25" thickBot="1">
      <c r="A182" s="109" t="s">
        <v>201</v>
      </c>
      <c r="B182" s="110">
        <v>259</v>
      </c>
      <c r="C182" s="70">
        <v>-3.3582089599999997E-2</v>
      </c>
      <c r="D182" s="15">
        <v>267</v>
      </c>
      <c r="E182" s="32">
        <f t="shared" si="94"/>
        <v>3.0888030888030889E-2</v>
      </c>
      <c r="F182" s="18">
        <f>IF(ISNUMBER(D182), $B199 * E182, "")</f>
        <v>4633.204633204633</v>
      </c>
      <c r="G182" s="31">
        <v>267</v>
      </c>
      <c r="H182" s="32">
        <f t="shared" si="95"/>
        <v>3.0888030888030889E-2</v>
      </c>
      <c r="I182" s="91">
        <f>IF(ISNUMBER(G182), $B199 * H182, "")</f>
        <v>4633.204633204633</v>
      </c>
      <c r="J182" s="15">
        <v>267</v>
      </c>
      <c r="K182" s="32">
        <f t="shared" si="96"/>
        <v>3.0888030888030889E-2</v>
      </c>
      <c r="L182" s="18">
        <f>IF(ISNUMBER(J182), $B199 * K182, "")</f>
        <v>4633.204633204633</v>
      </c>
      <c r="M182" s="31">
        <v>269</v>
      </c>
      <c r="N182" s="32">
        <f t="shared" si="97"/>
        <v>3.8610038610038609E-2</v>
      </c>
      <c r="O182" s="18">
        <f>IF(ISNUMBER(M182), $B199 * N182, "")</f>
        <v>5791.5057915057914</v>
      </c>
      <c r="Q182" s="146"/>
      <c r="R182" s="146"/>
      <c r="S182" s="146"/>
    </row>
    <row r="183" spans="1:19" ht="17.25" thickBot="1">
      <c r="A183" s="111" t="s">
        <v>85</v>
      </c>
      <c r="B183" s="112">
        <v>168</v>
      </c>
      <c r="C183" s="71">
        <v>-3.4482758600000003E-2</v>
      </c>
      <c r="D183" s="20">
        <v>168</v>
      </c>
      <c r="E183" s="21">
        <f t="shared" si="94"/>
        <v>0</v>
      </c>
      <c r="F183" s="22">
        <f>IF(ISNUMBER(D183), $B199 * E183, "")</f>
        <v>0</v>
      </c>
      <c r="G183" s="30">
        <v>170</v>
      </c>
      <c r="H183" s="21">
        <f t="shared" si="95"/>
        <v>1.1904761904761904E-2</v>
      </c>
      <c r="I183" s="95">
        <f>IF(ISNUMBER(G183), $B199 * H183, "")</f>
        <v>1785.7142857142856</v>
      </c>
      <c r="J183" s="20">
        <v>171</v>
      </c>
      <c r="K183" s="21">
        <f t="shared" si="96"/>
        <v>1.7857142857142856E-2</v>
      </c>
      <c r="L183" s="22">
        <f>IF(ISNUMBER(J183), $B199 * K183, "")</f>
        <v>2678.5714285714284</v>
      </c>
      <c r="M183" s="30">
        <v>170</v>
      </c>
      <c r="N183" s="21">
        <f t="shared" si="97"/>
        <v>1.1904761904761904E-2</v>
      </c>
      <c r="O183" s="22">
        <f>IF(ISNUMBER(M183), $B199 * N183, "")</f>
        <v>1785.7142857142856</v>
      </c>
      <c r="Q183" s="146"/>
      <c r="R183" s="146"/>
      <c r="S183" s="146"/>
    </row>
    <row r="184" spans="1:19" ht="17.25" thickBot="1">
      <c r="A184" s="109" t="s">
        <v>332</v>
      </c>
      <c r="B184" s="113">
        <v>599</v>
      </c>
      <c r="C184" s="73">
        <v>-3.5426731099999997E-2</v>
      </c>
      <c r="D184" s="96">
        <v>600</v>
      </c>
      <c r="E184" s="97">
        <f>IF(ISNUMBER(D184), (D184 - $B184) / $B184, "")</f>
        <v>1.6694490818030051E-3</v>
      </c>
      <c r="F184" s="98">
        <f>IF(ISNUMBER(D184), $B199 * E184, "")</f>
        <v>250.41736227045075</v>
      </c>
      <c r="G184" s="99">
        <v>600</v>
      </c>
      <c r="H184" s="97">
        <f>IF(ISNUMBER(G184), (G184 - $B184) / $B184, "")</f>
        <v>1.6694490818030051E-3</v>
      </c>
      <c r="I184" s="100">
        <f>IF(ISNUMBER(G184), $B199 * H184, "")</f>
        <v>250.41736227045075</v>
      </c>
      <c r="J184" s="96">
        <v>609</v>
      </c>
      <c r="K184" s="97">
        <f>IF(ISNUMBER(J184), (J184 - $B184) / $B184, "")</f>
        <v>1.6694490818030049E-2</v>
      </c>
      <c r="L184" s="98">
        <f>IF(ISNUMBER(J184), $B199 * K184, "")</f>
        <v>2504.1736227045076</v>
      </c>
      <c r="M184" s="99">
        <v>611</v>
      </c>
      <c r="N184" s="97">
        <f>IF(ISNUMBER(M184), (M184 - $B184) / $B184, "")</f>
        <v>2.003338898163606E-2</v>
      </c>
      <c r="O184" s="98">
        <f>IF(ISNUMBER(M184), $B199 * N184, "")</f>
        <v>3005.0083472454089</v>
      </c>
      <c r="Q184" s="146"/>
      <c r="R184" s="146"/>
      <c r="S184" s="146"/>
    </row>
    <row r="185" spans="1:19" ht="17.25" thickBot="1">
      <c r="A185" s="109" t="s">
        <v>349</v>
      </c>
      <c r="B185" s="110">
        <v>27</v>
      </c>
      <c r="C185" s="70">
        <v>-3.5714285700000001E-2</v>
      </c>
      <c r="D185" s="15">
        <v>28.8</v>
      </c>
      <c r="E185" s="32">
        <f t="shared" ref="E185:E188" si="98">IF(ISNUMBER(D185), (D185 - $B185) / $B185, "")</f>
        <v>6.6666666666666693E-2</v>
      </c>
      <c r="F185" s="18">
        <f>IF(ISNUMBER(D185), $B199 * E185, "")</f>
        <v>10000.000000000004</v>
      </c>
      <c r="G185" s="31">
        <v>29.3</v>
      </c>
      <c r="H185" s="32">
        <f t="shared" ref="H185:H188" si="99">IF(ISNUMBER(G185), (G185 - $B185) / $B185, "")</f>
        <v>8.5185185185185211E-2</v>
      </c>
      <c r="I185" s="91">
        <f>IF(ISNUMBER(G185), $B199 * H185, "")</f>
        <v>12777.777777777781</v>
      </c>
      <c r="J185" s="15">
        <v>30.3</v>
      </c>
      <c r="K185" s="32">
        <f t="shared" ref="K185:K188" si="100">IF(ISNUMBER(J185), (J185 - $B185) / $B185, "")</f>
        <v>0.12222222222222225</v>
      </c>
      <c r="L185" s="18">
        <f>IF(ISNUMBER(J185), $B199 * K185, "")</f>
        <v>18333.333333333336</v>
      </c>
      <c r="M185" s="31">
        <v>28.7</v>
      </c>
      <c r="N185" s="32">
        <f t="shared" ref="N185:N188" si="101">IF(ISNUMBER(M185), (M185 - $B185) / $B185, "")</f>
        <v>6.2962962962962943E-2</v>
      </c>
      <c r="O185" s="18">
        <f>IF(ISNUMBER(M185), $B199 * N185, "")</f>
        <v>9444.4444444444416</v>
      </c>
      <c r="Q185" s="146"/>
      <c r="R185" s="146"/>
      <c r="S185" s="146"/>
    </row>
    <row r="186" spans="1:19" ht="17.25" thickBot="1">
      <c r="A186" s="109" t="s">
        <v>335</v>
      </c>
      <c r="B186" s="110">
        <v>2670</v>
      </c>
      <c r="C186" s="70">
        <v>-3.6101082999999999E-2</v>
      </c>
      <c r="D186" s="15">
        <v>2755</v>
      </c>
      <c r="E186" s="32">
        <f t="shared" si="98"/>
        <v>3.1835205992509365E-2</v>
      </c>
      <c r="F186" s="18">
        <f>IF(ISNUMBER(D186), $B199 * E186, "")</f>
        <v>4775.2808988764045</v>
      </c>
      <c r="G186" s="31">
        <v>2760</v>
      </c>
      <c r="H186" s="32">
        <f t="shared" si="99"/>
        <v>3.3707865168539325E-2</v>
      </c>
      <c r="I186" s="91">
        <f>IF(ISNUMBER(G186), $B199 * H186, "")</f>
        <v>5056.1797752808989</v>
      </c>
      <c r="J186" s="15">
        <v>2765</v>
      </c>
      <c r="K186" s="32">
        <f t="shared" si="100"/>
        <v>3.5580524344569285E-2</v>
      </c>
      <c r="L186" s="18">
        <f>IF(ISNUMBER(J186), $B199 * K186, "")</f>
        <v>5337.0786516853932</v>
      </c>
      <c r="M186" s="31">
        <v>2795</v>
      </c>
      <c r="N186" s="32">
        <f t="shared" si="101"/>
        <v>4.6816479400749067E-2</v>
      </c>
      <c r="O186" s="18">
        <f>IF(ISNUMBER(M186), $B199 * N186, "")</f>
        <v>7022.4719101123601</v>
      </c>
      <c r="Q186" s="146"/>
      <c r="R186" s="146"/>
      <c r="S186" s="146"/>
    </row>
    <row r="187" spans="1:19" ht="17.25" thickBot="1">
      <c r="A187" s="109" t="s">
        <v>317</v>
      </c>
      <c r="B187" s="110">
        <v>635</v>
      </c>
      <c r="C187" s="70">
        <v>-3.6418816399999998E-2</v>
      </c>
      <c r="D187" s="15">
        <v>635</v>
      </c>
      <c r="E187" s="32">
        <f t="shared" si="98"/>
        <v>0</v>
      </c>
      <c r="F187" s="18">
        <f>IF(ISNUMBER(D187), $B199 * E187, "")</f>
        <v>0</v>
      </c>
      <c r="G187" s="31">
        <v>632</v>
      </c>
      <c r="H187" s="32">
        <f t="shared" si="99"/>
        <v>-4.7244094488188976E-3</v>
      </c>
      <c r="I187" s="91">
        <f>IF(ISNUMBER(G187), $B199 * H187, "")</f>
        <v>-708.66141732283461</v>
      </c>
      <c r="J187" s="15">
        <v>637</v>
      </c>
      <c r="K187" s="32">
        <f t="shared" si="100"/>
        <v>3.1496062992125984E-3</v>
      </c>
      <c r="L187" s="18">
        <f>IF(ISNUMBER(J187), $B199 * K187, "")</f>
        <v>472.44094488188978</v>
      </c>
      <c r="M187" s="31">
        <v>637</v>
      </c>
      <c r="N187" s="32">
        <f t="shared" si="101"/>
        <v>3.1496062992125984E-3</v>
      </c>
      <c r="O187" s="18">
        <f>IF(ISNUMBER(M187), $B199 * N187, "")</f>
        <v>472.44094488188978</v>
      </c>
      <c r="Q187" s="33"/>
      <c r="R187" s="33"/>
    </row>
    <row r="188" spans="1:19" ht="17.25" thickBot="1">
      <c r="A188" s="114" t="s">
        <v>319</v>
      </c>
      <c r="B188" s="115">
        <v>610</v>
      </c>
      <c r="C188" s="72">
        <v>-3.7854889599999997E-2</v>
      </c>
      <c r="D188" s="24">
        <v>615</v>
      </c>
      <c r="E188" s="25">
        <f t="shared" si="98"/>
        <v>8.1967213114754103E-3</v>
      </c>
      <c r="F188" s="94">
        <f>IF(ISNUMBER(D188), $B199 * E188, "")</f>
        <v>1229.5081967213116</v>
      </c>
      <c r="G188" s="92">
        <v>620</v>
      </c>
      <c r="H188" s="25">
        <f t="shared" si="99"/>
        <v>1.6393442622950821E-2</v>
      </c>
      <c r="I188" s="93">
        <f>IF(ISNUMBER(G188), $B199 * H188, "")</f>
        <v>2459.0163934426232</v>
      </c>
      <c r="J188" s="24">
        <v>617</v>
      </c>
      <c r="K188" s="25">
        <f t="shared" si="100"/>
        <v>1.1475409836065573E-2</v>
      </c>
      <c r="L188" s="94">
        <f>IF(ISNUMBER(J188), $B199 * K188, "")</f>
        <v>1721.311475409836</v>
      </c>
      <c r="M188" s="92">
        <v>606</v>
      </c>
      <c r="N188" s="25">
        <f t="shared" si="101"/>
        <v>-6.5573770491803279E-3</v>
      </c>
      <c r="O188" s="94">
        <f>IF(ISNUMBER(M188), $B199 * N188, "")</f>
        <v>-983.60655737704917</v>
      </c>
      <c r="Q188" s="147"/>
      <c r="R188" s="148"/>
      <c r="S188" s="149"/>
    </row>
    <row r="189" spans="1:19">
      <c r="A189" s="107" t="s">
        <v>217</v>
      </c>
      <c r="B189" s="108">
        <v>73</v>
      </c>
      <c r="C189" s="69">
        <v>-3.8208168600000002E-2</v>
      </c>
      <c r="D189" s="13">
        <v>73.7</v>
      </c>
      <c r="E189" s="14">
        <f>IF(ISNUMBER(D189), (D189 - $B189) / $B189, "")</f>
        <v>9.5890410958904496E-3</v>
      </c>
      <c r="F189" s="16">
        <f>IF(ISNUMBER(D189), $B199 * E189, "")</f>
        <v>1438.3561643835674</v>
      </c>
      <c r="G189" s="29">
        <v>73.8</v>
      </c>
      <c r="H189" s="14">
        <f>IF(ISNUMBER(G189), (G189 - $B189) / $B189, "")</f>
        <v>1.0958904109589003E-2</v>
      </c>
      <c r="I189" s="90">
        <f>IF(ISNUMBER(G189), $B199 * H189, "")</f>
        <v>1643.8356164383504</v>
      </c>
      <c r="J189" s="13">
        <v>75</v>
      </c>
      <c r="K189" s="14">
        <f>IF(ISNUMBER(J189), (J189 - $B189) / $B189, "")</f>
        <v>2.7397260273972601E-2</v>
      </c>
      <c r="L189" s="16">
        <f>IF(ISNUMBER(J189), $B199 * K189, "")</f>
        <v>4109.58904109589</v>
      </c>
      <c r="M189" s="29">
        <v>75.099999999999994</v>
      </c>
      <c r="N189" s="14">
        <f>IF(ISNUMBER(M189), (M189 - $B189) / $B189, "")</f>
        <v>2.8767123287671156E-2</v>
      </c>
      <c r="O189" s="16">
        <f>IF(ISNUMBER(M189), $B199 * N189, "")</f>
        <v>4315.068493150673</v>
      </c>
      <c r="Q189" s="150"/>
      <c r="R189" s="151"/>
      <c r="S189" s="152"/>
    </row>
    <row r="190" spans="1:19" ht="17.25" thickBot="1">
      <c r="A190" s="109" t="s">
        <v>181</v>
      </c>
      <c r="B190" s="110">
        <v>4.4800000000000004</v>
      </c>
      <c r="C190" s="70">
        <v>-3.8626609399999998E-2</v>
      </c>
      <c r="D190" s="15">
        <v>4.53</v>
      </c>
      <c r="E190" s="32">
        <f t="shared" ref="E190:E193" si="102">IF(ISNUMBER(D190), (D190 - $B190) / $B190, "")</f>
        <v>1.1160714285714244E-2</v>
      </c>
      <c r="F190" s="18">
        <f>IF(ISNUMBER(D190), $B199 * E190, "")</f>
        <v>1674.1071428571368</v>
      </c>
      <c r="G190" s="31">
        <v>4.58</v>
      </c>
      <c r="H190" s="32">
        <f t="shared" ref="H190:H193" si="103">IF(ISNUMBER(G190), (G190 - $B190) / $B190, "")</f>
        <v>2.2321428571428489E-2</v>
      </c>
      <c r="I190" s="91">
        <f>IF(ISNUMBER(G190), $B199 * H190, "")</f>
        <v>3348.2142857142735</v>
      </c>
      <c r="J190" s="15">
        <v>4.6900000000000004</v>
      </c>
      <c r="K190" s="32">
        <f t="shared" ref="K190:K193" si="104">IF(ISNUMBER(J190), (J190 - $B190) / $B190, "")</f>
        <v>4.6874999999999986E-2</v>
      </c>
      <c r="L190" s="18">
        <f>IF(ISNUMBER(J190), $B199 * K190, "")</f>
        <v>7031.2499999999982</v>
      </c>
      <c r="M190" s="31">
        <v>4.67</v>
      </c>
      <c r="N190" s="32">
        <f t="shared" ref="N190:N193" si="105">IF(ISNUMBER(M190), (M190 - $B190) / $B190, "")</f>
        <v>4.241071428571417E-2</v>
      </c>
      <c r="O190" s="18">
        <f>IF(ISNUMBER(M190), $B199 * N190, "")</f>
        <v>6361.6071428571258</v>
      </c>
      <c r="Q190" s="153"/>
      <c r="R190" s="154"/>
      <c r="S190" s="155"/>
    </row>
    <row r="191" spans="1:19" ht="17.25" thickBot="1">
      <c r="A191" s="109" t="s">
        <v>174</v>
      </c>
      <c r="B191" s="110">
        <v>15110</v>
      </c>
      <c r="C191" s="70">
        <v>-3.9415130299999997E-2</v>
      </c>
      <c r="D191" s="15">
        <v>15160</v>
      </c>
      <c r="E191" s="32">
        <f t="shared" si="102"/>
        <v>3.3090668431502318E-3</v>
      </c>
      <c r="F191" s="18">
        <f>IF(ISNUMBER(D191), $B199 * E191, "")</f>
        <v>496.36002647253474</v>
      </c>
      <c r="G191" s="31">
        <v>15140</v>
      </c>
      <c r="H191" s="32">
        <f t="shared" si="103"/>
        <v>1.9854401058901389E-3</v>
      </c>
      <c r="I191" s="91">
        <f>IF(ISNUMBER(G191), $B199 * H191, "")</f>
        <v>297.81601588352083</v>
      </c>
      <c r="J191" s="15">
        <v>15180</v>
      </c>
      <c r="K191" s="32">
        <f t="shared" si="104"/>
        <v>4.6326935804103242E-3</v>
      </c>
      <c r="L191" s="18">
        <f>IF(ISNUMBER(J191), $B199 * K191, "")</f>
        <v>694.90403706154859</v>
      </c>
      <c r="M191" s="31">
        <v>15310</v>
      </c>
      <c r="N191" s="32">
        <f t="shared" si="105"/>
        <v>1.3236267372600927E-2</v>
      </c>
      <c r="O191" s="18">
        <f>IF(ISNUMBER(M191), $B199 * N191, "")</f>
        <v>1985.440105890139</v>
      </c>
      <c r="Q191" s="146"/>
      <c r="R191" s="146"/>
      <c r="S191" s="146"/>
    </row>
    <row r="192" spans="1:19" ht="17.25" thickBot="1">
      <c r="A192" s="109" t="s">
        <v>147</v>
      </c>
      <c r="B192" s="110">
        <v>11020</v>
      </c>
      <c r="C192" s="70">
        <v>-4.25716768E-2</v>
      </c>
      <c r="D192" s="15">
        <v>11200</v>
      </c>
      <c r="E192" s="32">
        <f t="shared" si="102"/>
        <v>1.6333938294010888E-2</v>
      </c>
      <c r="F192" s="18">
        <f>IF(ISNUMBER(D192), $B199 * E192, "")</f>
        <v>2450.0907441016334</v>
      </c>
      <c r="G192" s="31">
        <v>11350</v>
      </c>
      <c r="H192" s="32">
        <f t="shared" si="103"/>
        <v>2.9945553539019964E-2</v>
      </c>
      <c r="I192" s="91">
        <f>IF(ISNUMBER(G192), $B199 * H192, "")</f>
        <v>4491.8330308529949</v>
      </c>
      <c r="J192" s="15">
        <v>11250</v>
      </c>
      <c r="K192" s="32">
        <f t="shared" si="104"/>
        <v>2.0871143375680582E-2</v>
      </c>
      <c r="L192" s="18">
        <f>IF(ISNUMBER(J192), $B199 * K192, "")</f>
        <v>3130.6715063520874</v>
      </c>
      <c r="M192" s="31">
        <v>11150</v>
      </c>
      <c r="N192" s="32">
        <f t="shared" si="105"/>
        <v>1.1796733212341199E-2</v>
      </c>
      <c r="O192" s="18">
        <f>IF(ISNUMBER(M192), $B199 * N192, "")</f>
        <v>1769.5099818511799</v>
      </c>
      <c r="Q192" s="156"/>
      <c r="R192" s="156"/>
      <c r="S192" s="156"/>
    </row>
    <row r="193" spans="1:19" ht="17.25" thickBot="1">
      <c r="A193" s="111" t="s">
        <v>326</v>
      </c>
      <c r="B193" s="112">
        <v>286</v>
      </c>
      <c r="C193" s="71">
        <v>-4.3478260900000003E-2</v>
      </c>
      <c r="D193" s="20">
        <v>288</v>
      </c>
      <c r="E193" s="21">
        <f t="shared" si="102"/>
        <v>6.993006993006993E-3</v>
      </c>
      <c r="F193" s="22">
        <f>IF(ISNUMBER(D193), $B199 * E193, "")</f>
        <v>1048.951048951049</v>
      </c>
      <c r="G193" s="30">
        <v>289</v>
      </c>
      <c r="H193" s="21">
        <f t="shared" si="103"/>
        <v>1.048951048951049E-2</v>
      </c>
      <c r="I193" s="95">
        <f>IF(ISNUMBER(G193), $B199 * H193, "")</f>
        <v>1573.4265734265734</v>
      </c>
      <c r="J193" s="20">
        <v>287</v>
      </c>
      <c r="K193" s="21">
        <f t="shared" si="104"/>
        <v>3.4965034965034965E-3</v>
      </c>
      <c r="L193" s="22">
        <f>IF(ISNUMBER(J193), $B199 * K193, "")</f>
        <v>524.47552447552448</v>
      </c>
      <c r="M193" s="30">
        <v>290</v>
      </c>
      <c r="N193" s="21">
        <f t="shared" si="105"/>
        <v>1.3986013986013986E-2</v>
      </c>
      <c r="O193" s="22">
        <f>IF(ISNUMBER(M193), $B199 * N193, "")</f>
        <v>2097.9020979020979</v>
      </c>
      <c r="Q193" s="156"/>
      <c r="R193" s="156"/>
      <c r="S193" s="156"/>
    </row>
    <row r="194" spans="1:19" ht="17.25" thickBot="1">
      <c r="A194" s="109" t="s">
        <v>120</v>
      </c>
      <c r="B194" s="113">
        <v>126</v>
      </c>
      <c r="C194" s="73">
        <v>-4.5454545499999999E-2</v>
      </c>
      <c r="D194" s="96">
        <v>131</v>
      </c>
      <c r="E194" s="97">
        <f>IF(ISNUMBER(D194), (D194 - $B194) / $B194, "")</f>
        <v>3.968253968253968E-2</v>
      </c>
      <c r="F194" s="98">
        <f>IF(ISNUMBER(D194), $B199 * E194, "")</f>
        <v>5952.3809523809523</v>
      </c>
      <c r="G194" s="99">
        <v>129</v>
      </c>
      <c r="H194" s="97">
        <f>IF(ISNUMBER(G194), (G194 - $B194) / $B194, "")</f>
        <v>2.3809523809523808E-2</v>
      </c>
      <c r="I194" s="100">
        <f>IF(ISNUMBER(G194), $B199 * H194, "")</f>
        <v>3571.4285714285711</v>
      </c>
      <c r="J194" s="96">
        <v>131</v>
      </c>
      <c r="K194" s="97">
        <f>IF(ISNUMBER(J194), (J194 - $B194) / $B194, "")</f>
        <v>3.968253968253968E-2</v>
      </c>
      <c r="L194" s="98">
        <f>IF(ISNUMBER(J194), $B199 * K194, "")</f>
        <v>5952.3809523809523</v>
      </c>
      <c r="M194" s="99">
        <v>132</v>
      </c>
      <c r="N194" s="97">
        <f>IF(ISNUMBER(M194), (M194 - $B194) / $B194, "")</f>
        <v>4.7619047619047616E-2</v>
      </c>
      <c r="O194" s="98">
        <f>IF(ISNUMBER(M194), $B199 * N194, "")</f>
        <v>7142.8571428571422</v>
      </c>
      <c r="Q194" s="146"/>
      <c r="R194" s="146"/>
      <c r="S194" s="146"/>
    </row>
    <row r="195" spans="1:19" ht="17.25" thickBot="1">
      <c r="A195" s="109" t="s">
        <v>68</v>
      </c>
      <c r="B195" s="110">
        <v>681</v>
      </c>
      <c r="C195" s="70">
        <v>-5.1532033400000003E-2</v>
      </c>
      <c r="D195" s="15">
        <v>665</v>
      </c>
      <c r="E195" s="32">
        <f t="shared" ref="E195:E198" si="106">IF(ISNUMBER(D195), (D195 - $B195) / $B195, "")</f>
        <v>-2.3494860499265784E-2</v>
      </c>
      <c r="F195" s="18">
        <f>IF(ISNUMBER(D195), $B199 * E195, "")</f>
        <v>-3524.2290748898677</v>
      </c>
      <c r="G195" s="31">
        <v>662</v>
      </c>
      <c r="H195" s="32">
        <f t="shared" ref="H195:H198" si="107">IF(ISNUMBER(G195), (G195 - $B195) / $B195, "")</f>
        <v>-2.7900146842878122E-2</v>
      </c>
      <c r="I195" s="91">
        <f>IF(ISNUMBER(G195), $B199 * H195, "")</f>
        <v>-4185.0220264317186</v>
      </c>
      <c r="J195" s="15">
        <v>650</v>
      </c>
      <c r="K195" s="32">
        <f t="shared" ref="K195:K198" si="108">IF(ISNUMBER(J195), (J195 - $B195) / $B195, "")</f>
        <v>-4.552129221732746E-2</v>
      </c>
      <c r="L195" s="18">
        <f>IF(ISNUMBER(J195), $B199 * K195, "")</f>
        <v>-6828.1938325991187</v>
      </c>
      <c r="M195" s="31">
        <v>644</v>
      </c>
      <c r="N195" s="32">
        <f t="shared" ref="N195:N198" si="109">IF(ISNUMBER(M195), (M195 - $B195) / $B195, "")</f>
        <v>-5.4331864904552128E-2</v>
      </c>
      <c r="O195" s="18">
        <f>IF(ISNUMBER(M195), $B199 * N195, "")</f>
        <v>-8149.7797356828196</v>
      </c>
      <c r="Q195" s="146"/>
      <c r="R195" s="146"/>
      <c r="S195" s="146"/>
    </row>
    <row r="196" spans="1:19" ht="17.25" thickBot="1">
      <c r="A196" s="109" t="s">
        <v>118</v>
      </c>
      <c r="B196" s="110">
        <v>6.26</v>
      </c>
      <c r="C196" s="70">
        <v>-5.4380664699999998E-2</v>
      </c>
      <c r="D196" s="15">
        <v>6.4</v>
      </c>
      <c r="E196" s="32">
        <f t="shared" si="106"/>
        <v>2.2364217252396259E-2</v>
      </c>
      <c r="F196" s="18">
        <f>IF(ISNUMBER(D196), $B199 * E196, "")</f>
        <v>3354.6325878594389</v>
      </c>
      <c r="G196" s="31">
        <v>6.39</v>
      </c>
      <c r="H196" s="32">
        <f t="shared" si="107"/>
        <v>2.0766773162939282E-2</v>
      </c>
      <c r="I196" s="91">
        <f>IF(ISNUMBER(G196), $B199 * H196, "")</f>
        <v>3115.0159744408925</v>
      </c>
      <c r="J196" s="15">
        <v>6.49</v>
      </c>
      <c r="K196" s="32">
        <f t="shared" si="108"/>
        <v>3.6741214057508055E-2</v>
      </c>
      <c r="L196" s="18">
        <f>IF(ISNUMBER(J196), $B199 * K196, "")</f>
        <v>5511.182108626208</v>
      </c>
      <c r="M196" s="31">
        <v>6.49</v>
      </c>
      <c r="N196" s="32">
        <f t="shared" si="109"/>
        <v>3.6741214057508055E-2</v>
      </c>
      <c r="O196" s="18">
        <f>IF(ISNUMBER(M196), $B199 * N196, "")</f>
        <v>5511.182108626208</v>
      </c>
      <c r="Q196" s="146"/>
      <c r="R196" s="146"/>
      <c r="S196" s="146"/>
    </row>
    <row r="197" spans="1:19">
      <c r="A197" s="109" t="s">
        <v>350</v>
      </c>
      <c r="B197" s="110">
        <v>7.75</v>
      </c>
      <c r="C197" s="70">
        <v>-6.1743341399999999E-2</v>
      </c>
      <c r="D197" s="15">
        <v>7.54</v>
      </c>
      <c r="E197" s="32">
        <f t="shared" si="106"/>
        <v>-2.7096774193548383E-2</v>
      </c>
      <c r="F197" s="18">
        <f>IF(ISNUMBER(D197), $B199 * E197, "")</f>
        <v>-4064.5161290322576</v>
      </c>
      <c r="G197" s="31">
        <v>7.55</v>
      </c>
      <c r="H197" s="32">
        <f t="shared" si="107"/>
        <v>-2.580645161290325E-2</v>
      </c>
      <c r="I197" s="91">
        <f>IF(ISNUMBER(G197), $B199 * H197, "")</f>
        <v>-3870.9677419354875</v>
      </c>
      <c r="J197" s="15">
        <v>7.52</v>
      </c>
      <c r="K197" s="32">
        <f t="shared" si="108"/>
        <v>-2.9677419354838766E-2</v>
      </c>
      <c r="L197" s="18">
        <f>IF(ISNUMBER(J197), $B199 * K197, "")</f>
        <v>-4451.612903225815</v>
      </c>
      <c r="M197" s="31">
        <v>7.55</v>
      </c>
      <c r="N197" s="32">
        <f t="shared" si="109"/>
        <v>-2.580645161290325E-2</v>
      </c>
      <c r="O197" s="18">
        <f>IF(ISNUMBER(M197), $B199 * N197, "")</f>
        <v>-3870.9677419354875</v>
      </c>
      <c r="Q197" s="135"/>
      <c r="R197" s="136"/>
      <c r="S197" s="137"/>
    </row>
    <row r="198" spans="1:19" ht="17.25" thickBot="1">
      <c r="A198" s="114" t="s">
        <v>345</v>
      </c>
      <c r="B198" s="115">
        <v>188</v>
      </c>
      <c r="C198" s="72">
        <v>-0.1047619048</v>
      </c>
      <c r="D198" s="24">
        <v>179</v>
      </c>
      <c r="E198" s="25">
        <f t="shared" si="106"/>
        <v>-4.7872340425531915E-2</v>
      </c>
      <c r="F198" s="94">
        <f>IF(ISNUMBER(D198), $B199 * E198, "")</f>
        <v>-7180.8510638297876</v>
      </c>
      <c r="G198" s="92">
        <v>175</v>
      </c>
      <c r="H198" s="25">
        <f t="shared" si="107"/>
        <v>-6.9148936170212769E-2</v>
      </c>
      <c r="I198" s="93">
        <f>IF(ISNUMBER(G198), $B199 * H198, "")</f>
        <v>-10372.340425531915</v>
      </c>
      <c r="J198" s="24">
        <v>175</v>
      </c>
      <c r="K198" s="25">
        <f t="shared" si="108"/>
        <v>-6.9148936170212769E-2</v>
      </c>
      <c r="L198" s="94">
        <f>IF(ISNUMBER(J198), $B199 * K198, "")</f>
        <v>-10372.340425531915</v>
      </c>
      <c r="M198" s="92">
        <v>173</v>
      </c>
      <c r="N198" s="25">
        <f t="shared" si="109"/>
        <v>-7.9787234042553196E-2</v>
      </c>
      <c r="O198" s="94">
        <f>IF(ISNUMBER(M198), $B199 * N198, "")</f>
        <v>-11968.08510638298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1.3207703811083318E-2</v>
      </c>
      <c r="F199" s="28">
        <f>SUM(F179:F198)</f>
        <v>39623.111433249971</v>
      </c>
      <c r="G199" s="26" t="s">
        <v>258</v>
      </c>
      <c r="H199" s="27">
        <f>IF(COUNT(H179:H198), SUM(H179:H198) / COUNT(H179:H198), 0)</f>
        <v>1.5858192872036311E-2</v>
      </c>
      <c r="I199" s="28">
        <f>SUM(I179:I198)</f>
        <v>47574.578616108949</v>
      </c>
      <c r="J199" s="26" t="s">
        <v>258</v>
      </c>
      <c r="K199" s="27">
        <f>IF(COUNT(K179:K198), SUM(K179:K198) / COUNT(K179:K198), 0)</f>
        <v>2.5666095837115283E-2</v>
      </c>
      <c r="L199" s="28">
        <f>SUM(L179:L198)</f>
        <v>76998.287511345829</v>
      </c>
      <c r="M199" s="26" t="s">
        <v>258</v>
      </c>
      <c r="N199" s="27">
        <f>IF(COUNT(N179:N198), SUM(N179:N198) / COUNT(N179:N198), 0)</f>
        <v>2.221362142494504E-2</v>
      </c>
      <c r="O199" s="28">
        <f>SUM(O179:O198)</f>
        <v>66640.864274835112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98B9A-12FB-46D5-A3EF-69BB635C7EBA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44944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-104,427 KRW (-3.48%)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-85,194 KRW (-2.84%)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24,618 KRW (0.82%)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-56,103 KRW (-1.87%)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2023-01-18(수) 오전 00:00</v>
      </c>
      <c r="C15" s="196"/>
      <c r="D15" s="170" t="str">
        <f>TEXT($G$1, "[$-ko-KR]yyyy-mm-dd(ddd) ") &amp; "오후 14:00"</f>
        <v>2023-01-18(수) 오후 14:00</v>
      </c>
      <c r="E15" s="171"/>
      <c r="F15" s="172"/>
      <c r="G15" s="170" t="str">
        <f>TEXT($G$1, "[$-ko-KR]yyyy-mm-dd(ddd) ") &amp; "오후 19:00"</f>
        <v>2023-01-18(수) 오후 19:00</v>
      </c>
      <c r="H15" s="171"/>
      <c r="I15" s="172"/>
      <c r="J15" s="170" t="str">
        <f>TEXT($G$1, "[$-ko-KR]yyyy-mm-dd(ddd) ") &amp; "오후 21:00"</f>
        <v>2023-01-18(수) 오후 21:00</v>
      </c>
      <c r="K15" s="171"/>
      <c r="L15" s="172"/>
      <c r="M15" s="170" t="str">
        <f>TEXT($G$1+1, "[$-ko-KR]yyyy-mm-dd(ddd) ") &amp; "오전 00:00"</f>
        <v>2023-01-19(목)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2023-01-18(수) 오전 00:00</v>
      </c>
      <c r="C42" s="198"/>
      <c r="D42" s="170" t="str">
        <f>TEXT($G$1, "[$-ko-KR]yyyy-mm-dd(ddd) ") &amp; "오후 14:00"</f>
        <v>2023-01-18(수) 오후 14:00</v>
      </c>
      <c r="E42" s="171"/>
      <c r="F42" s="172"/>
      <c r="G42" s="170" t="str">
        <f>TEXT($G$1, "[$-ko-KR]yyyy-mm-dd(ddd) ") &amp; "오후 19:00"</f>
        <v>2023-01-18(수) 오후 19:00</v>
      </c>
      <c r="H42" s="171"/>
      <c r="I42" s="172"/>
      <c r="J42" s="170" t="str">
        <f>TEXT($G$1, "[$-ko-KR]yyyy-mm-dd(ddd) ") &amp; "오후 21:00"</f>
        <v>2023-01-18(수) 오후 21:00</v>
      </c>
      <c r="K42" s="171"/>
      <c r="L42" s="172"/>
      <c r="M42" s="170" t="str">
        <f>TEXT($G$1+1, "[$-ko-KR]yyyy-mm-dd(ddd) ") &amp; "오전 00:00"</f>
        <v>2023-01-19(목)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185</v>
      </c>
      <c r="B44" s="108">
        <v>42.9</v>
      </c>
      <c r="C44" s="69">
        <v>0.39739413680000002</v>
      </c>
      <c r="D44" s="13">
        <v>39.9</v>
      </c>
      <c r="E44" s="14">
        <f>IF(ISNUMBER(D44), (D44 - $B44) / $B44, "")</f>
        <v>-6.9930069930069935E-2</v>
      </c>
      <c r="F44" s="16">
        <f>IF(ISNUMBER(D44), $B64 * E44, "")</f>
        <v>-10489.510489510491</v>
      </c>
      <c r="G44" s="29">
        <v>37.9</v>
      </c>
      <c r="H44" s="14">
        <f>IF(ISNUMBER(G44), (G44 - $B44) / $B44, "")</f>
        <v>-0.11655011655011656</v>
      </c>
      <c r="I44" s="90">
        <f>IF(ISNUMBER(G44), $B64 * H44, "")</f>
        <v>-17482.517482517484</v>
      </c>
      <c r="J44" s="13">
        <v>38.200000000000003</v>
      </c>
      <c r="K44" s="14">
        <f>IF(ISNUMBER(J44), (J44 - $B44) / $B44, "")</f>
        <v>-0.10955710955710946</v>
      </c>
      <c r="L44" s="16">
        <f>IF(ISNUMBER(J44), $B64 * K44, "")</f>
        <v>-16433.566433566419</v>
      </c>
      <c r="M44" s="29">
        <v>38.6</v>
      </c>
      <c r="N44" s="14">
        <f>IF(ISNUMBER(M44), (M44 - $B44) / $B44, "")</f>
        <v>-0.10023310023310017</v>
      </c>
      <c r="O44" s="16">
        <f>IF(ISNUMBER(M44), $B64 * N44, "")</f>
        <v>-15034.965034965026</v>
      </c>
      <c r="Q44" s="156"/>
      <c r="R44" s="156"/>
      <c r="S44" s="156"/>
    </row>
    <row r="45" spans="1:19" ht="17.25" customHeight="1" thickBot="1">
      <c r="A45" s="109" t="s">
        <v>107</v>
      </c>
      <c r="B45" s="110">
        <v>49.6</v>
      </c>
      <c r="C45" s="70">
        <v>0.17535545020000001</v>
      </c>
      <c r="D45" s="15">
        <v>45</v>
      </c>
      <c r="E45" s="32">
        <f t="shared" ref="E45:E48" si="14">IF(ISNUMBER(D45), (D45 - $B45) / $B45, "")</f>
        <v>-9.2741935483870996E-2</v>
      </c>
      <c r="F45" s="18">
        <f>IF(ISNUMBER(D45), $B64 * E45, "")</f>
        <v>-13911.290322580649</v>
      </c>
      <c r="G45" s="31">
        <v>43.6</v>
      </c>
      <c r="H45" s="32">
        <f t="shared" ref="H45:H48" si="15">IF(ISNUMBER(G45), (G45 - $B45) / $B45, "")</f>
        <v>-0.12096774193548386</v>
      </c>
      <c r="I45" s="91">
        <f>IF(ISNUMBER(G45), $B64 * H45, "")</f>
        <v>-18145.16129032258</v>
      </c>
      <c r="J45" s="15">
        <v>44.3</v>
      </c>
      <c r="K45" s="32">
        <f t="shared" ref="K45:K48" si="16">IF(ISNUMBER(J45), (J45 - $B45) / $B45, "")</f>
        <v>-0.1068548387096775</v>
      </c>
      <c r="L45" s="18">
        <f>IF(ISNUMBER(J45), $B64 * K45, "")</f>
        <v>-16028.225806451626</v>
      </c>
      <c r="M45" s="31">
        <v>44.2</v>
      </c>
      <c r="N45" s="32">
        <f t="shared" ref="N45:N48" si="17">IF(ISNUMBER(M45), (M45 - $B45) / $B45, "")</f>
        <v>-0.10887096774193546</v>
      </c>
      <c r="O45" s="18">
        <f>IF(ISNUMBER(M45), $B64 * N45, "")</f>
        <v>-16330.645161290318</v>
      </c>
      <c r="Q45" s="156"/>
      <c r="R45" s="156"/>
      <c r="S45" s="156"/>
    </row>
    <row r="46" spans="1:19" ht="17.25" customHeight="1" thickBot="1">
      <c r="A46" s="109" t="s">
        <v>132</v>
      </c>
      <c r="B46" s="110">
        <v>58.7</v>
      </c>
      <c r="C46" s="70">
        <v>0.10754716979999999</v>
      </c>
      <c r="D46" s="15">
        <v>54.7</v>
      </c>
      <c r="E46" s="32">
        <f t="shared" si="14"/>
        <v>-6.8143100511073251E-2</v>
      </c>
      <c r="F46" s="18">
        <f>IF(ISNUMBER(D46), $B64 * E46, "")</f>
        <v>-10221.465076660988</v>
      </c>
      <c r="G46" s="31">
        <v>54</v>
      </c>
      <c r="H46" s="32">
        <f t="shared" si="15"/>
        <v>-8.0068143100511122E-2</v>
      </c>
      <c r="I46" s="91">
        <f>IF(ISNUMBER(G46), $B64 * H46, "")</f>
        <v>-12010.221465076669</v>
      </c>
      <c r="J46" s="15">
        <v>54.6</v>
      </c>
      <c r="K46" s="32">
        <f t="shared" si="16"/>
        <v>-6.9846678023850112E-2</v>
      </c>
      <c r="L46" s="18">
        <f>IF(ISNUMBER(J46), $B64 * K46, "")</f>
        <v>-10477.001703577516</v>
      </c>
      <c r="M46" s="31">
        <v>54.8</v>
      </c>
      <c r="N46" s="32">
        <f t="shared" si="17"/>
        <v>-6.6439522998296516E-2</v>
      </c>
      <c r="O46" s="18">
        <f>IF(ISNUMBER(M46), $B64 * N46, "")</f>
        <v>-9965.9284497444769</v>
      </c>
      <c r="Q46" s="146"/>
      <c r="R46" s="146"/>
      <c r="S46" s="146"/>
    </row>
    <row r="47" spans="1:19" ht="17.25" customHeight="1" thickBot="1">
      <c r="A47" s="109" t="s">
        <v>193</v>
      </c>
      <c r="B47" s="110">
        <v>21</v>
      </c>
      <c r="C47" s="70">
        <v>9.375E-2</v>
      </c>
      <c r="D47" s="15">
        <v>19.7</v>
      </c>
      <c r="E47" s="32">
        <f t="shared" si="14"/>
        <v>-6.1904761904761942E-2</v>
      </c>
      <c r="F47" s="18">
        <f>IF(ISNUMBER(D47), $B64 * E47, "")</f>
        <v>-9285.7142857142917</v>
      </c>
      <c r="G47" s="31">
        <v>19.2</v>
      </c>
      <c r="H47" s="32">
        <f t="shared" si="15"/>
        <v>-8.5714285714285743E-2</v>
      </c>
      <c r="I47" s="91">
        <f>IF(ISNUMBER(G47), $B64 * H47, "")</f>
        <v>-12857.142857142861</v>
      </c>
      <c r="J47" s="15">
        <v>19.5</v>
      </c>
      <c r="K47" s="32">
        <f t="shared" si="16"/>
        <v>-7.1428571428571425E-2</v>
      </c>
      <c r="L47" s="18">
        <f>IF(ISNUMBER(J47), $B64 * K47, "")</f>
        <v>-10714.285714285714</v>
      </c>
      <c r="M47" s="31">
        <v>19.7</v>
      </c>
      <c r="N47" s="32">
        <f t="shared" si="17"/>
        <v>-6.1904761904761942E-2</v>
      </c>
      <c r="O47" s="18">
        <f>IF(ISNUMBER(M47), $B64 * N47, "")</f>
        <v>-9285.7142857142917</v>
      </c>
      <c r="Q47" s="146"/>
      <c r="R47" s="146"/>
      <c r="S47" s="146"/>
    </row>
    <row r="48" spans="1:19" ht="17.25" customHeight="1" thickBot="1">
      <c r="A48" s="111" t="s">
        <v>221</v>
      </c>
      <c r="B48" s="112">
        <v>22.8</v>
      </c>
      <c r="C48" s="71">
        <v>6.5420560700000005E-2</v>
      </c>
      <c r="D48" s="20">
        <v>22.4</v>
      </c>
      <c r="E48" s="21">
        <f t="shared" si="14"/>
        <v>-1.75438596491229E-2</v>
      </c>
      <c r="F48" s="22">
        <f>IF(ISNUMBER(D48), $B64 * E48, "")</f>
        <v>-2631.5789473684349</v>
      </c>
      <c r="G48" s="30">
        <v>22</v>
      </c>
      <c r="H48" s="21">
        <f t="shared" si="15"/>
        <v>-3.5087719298245647E-2</v>
      </c>
      <c r="I48" s="95">
        <f>IF(ISNUMBER(G48), $B64 * H48, "")</f>
        <v>-5263.1578947368471</v>
      </c>
      <c r="J48" s="20">
        <v>22.2</v>
      </c>
      <c r="K48" s="21">
        <f t="shared" si="16"/>
        <v>-2.6315789473684272E-2</v>
      </c>
      <c r="L48" s="22">
        <f>IF(ISNUMBER(J48), $B64 * K48, "")</f>
        <v>-3947.3684210526408</v>
      </c>
      <c r="M48" s="30">
        <v>22.5</v>
      </c>
      <c r="N48" s="21">
        <f t="shared" si="17"/>
        <v>-1.3157894736842136E-2</v>
      </c>
      <c r="O48" s="22">
        <f>IF(ISNUMBER(M48), $B64 * N48, "")</f>
        <v>-1973.6842105263204</v>
      </c>
      <c r="Q48" s="146"/>
      <c r="R48" s="146"/>
      <c r="S48" s="146"/>
    </row>
    <row r="49" spans="1:19" ht="17.25" customHeight="1" thickBot="1">
      <c r="A49" s="109" t="s">
        <v>349</v>
      </c>
      <c r="B49" s="113">
        <v>28.7</v>
      </c>
      <c r="C49" s="73">
        <v>5.9040590400000002E-2</v>
      </c>
      <c r="D49" s="96">
        <v>27.3</v>
      </c>
      <c r="E49" s="97">
        <f>IF(ISNUMBER(D49), (D49 - $B49) / $B49, "")</f>
        <v>-4.8780487804878002E-2</v>
      </c>
      <c r="F49" s="98">
        <f>IF(ISNUMBER(D49), $B64 * E49, "")</f>
        <v>-7317.0731707317</v>
      </c>
      <c r="G49" s="99">
        <v>27.1</v>
      </c>
      <c r="H49" s="97">
        <f>IF(ISNUMBER(G49), (G49 - $B49) / $B49, "")</f>
        <v>-5.5749128919860558E-2</v>
      </c>
      <c r="I49" s="100">
        <f>IF(ISNUMBER(G49), $B64 * H49, "")</f>
        <v>-8362.3693379790839</v>
      </c>
      <c r="J49" s="96">
        <v>27.3</v>
      </c>
      <c r="K49" s="97">
        <f>IF(ISNUMBER(J49), (J49 - $B49) / $B49, "")</f>
        <v>-4.8780487804878002E-2</v>
      </c>
      <c r="L49" s="98">
        <f>IF(ISNUMBER(J49), $B64 * K49, "")</f>
        <v>-7317.0731707317</v>
      </c>
      <c r="M49" s="99">
        <v>27.5</v>
      </c>
      <c r="N49" s="97">
        <f>IF(ISNUMBER(M49), (M49 - $B49) / $B49, "")</f>
        <v>-4.1811846689895446E-2</v>
      </c>
      <c r="O49" s="98">
        <f>IF(ISNUMBER(M49), $B64 * N49, "")</f>
        <v>-6271.777003484317</v>
      </c>
      <c r="Q49" s="146"/>
      <c r="R49" s="146"/>
      <c r="S49" s="146"/>
    </row>
    <row r="50" spans="1:19" ht="17.25" customHeight="1" thickBot="1">
      <c r="A50" s="109" t="s">
        <v>227</v>
      </c>
      <c r="B50" s="110">
        <v>45.1</v>
      </c>
      <c r="C50" s="70">
        <v>5.8685446000000002E-2</v>
      </c>
      <c r="D50" s="15">
        <v>43.6</v>
      </c>
      <c r="E50" s="32">
        <f t="shared" ref="E50:E53" si="18">IF(ISNUMBER(D50), (D50 - $B50) / $B50, "")</f>
        <v>-3.325942350332594E-2</v>
      </c>
      <c r="F50" s="18">
        <f>IF(ISNUMBER(D50), $B64 * E50, "")</f>
        <v>-4988.9135254988905</v>
      </c>
      <c r="G50" s="31">
        <v>42.5</v>
      </c>
      <c r="H50" s="32">
        <f t="shared" ref="H50:H53" si="19">IF(ISNUMBER(G50), (G50 - $B50) / $B50, "")</f>
        <v>-5.7649667405765E-2</v>
      </c>
      <c r="I50" s="91">
        <f>IF(ISNUMBER(G50), $B64 * H50, "")</f>
        <v>-8647.4501108647491</v>
      </c>
      <c r="J50" s="15">
        <v>43</v>
      </c>
      <c r="K50" s="32">
        <f t="shared" ref="K50:K53" si="20">IF(ISNUMBER(J50), (J50 - $B50) / $B50, "")</f>
        <v>-4.6563192904656346E-2</v>
      </c>
      <c r="L50" s="18">
        <f>IF(ISNUMBER(J50), $B64 * K50, "")</f>
        <v>-6984.478935698452</v>
      </c>
      <c r="M50" s="31">
        <v>43.4</v>
      </c>
      <c r="N50" s="32">
        <f t="shared" ref="N50:N53" si="21">IF(ISNUMBER(M50), (M50 - $B50) / $B50, "")</f>
        <v>-3.7694013303769466E-2</v>
      </c>
      <c r="O50" s="18">
        <f>IF(ISNUMBER(M50), $B64 * N50, "")</f>
        <v>-5654.1019955654201</v>
      </c>
      <c r="Q50" s="146"/>
      <c r="R50" s="146"/>
      <c r="S50" s="146"/>
    </row>
    <row r="51" spans="1:19" ht="17.25" customHeight="1" thickBot="1">
      <c r="A51" s="109" t="s">
        <v>64</v>
      </c>
      <c r="B51" s="110">
        <v>12.2</v>
      </c>
      <c r="C51" s="70">
        <v>5.1724137900000001E-2</v>
      </c>
      <c r="D51" s="15">
        <v>11.8</v>
      </c>
      <c r="E51" s="32">
        <f t="shared" si="18"/>
        <v>-3.2786885245901523E-2</v>
      </c>
      <c r="F51" s="18">
        <f>IF(ISNUMBER(D51), $B64 * E51, "")</f>
        <v>-4918.0327868852282</v>
      </c>
      <c r="G51" s="31">
        <v>11.7</v>
      </c>
      <c r="H51" s="32">
        <f t="shared" si="19"/>
        <v>-4.0983606557377053E-2</v>
      </c>
      <c r="I51" s="91">
        <f>IF(ISNUMBER(G51), $B64 * H51, "")</f>
        <v>-6147.5409836065583</v>
      </c>
      <c r="J51" s="15">
        <v>11.6</v>
      </c>
      <c r="K51" s="32">
        <f t="shared" si="20"/>
        <v>-4.918032786885243E-2</v>
      </c>
      <c r="L51" s="18">
        <f>IF(ISNUMBER(J51), $B64 * K51, "")</f>
        <v>-7377.0491803278646</v>
      </c>
      <c r="M51" s="31">
        <v>11.9</v>
      </c>
      <c r="N51" s="32">
        <f t="shared" si="21"/>
        <v>-2.4590163934426142E-2</v>
      </c>
      <c r="O51" s="18">
        <f>IF(ISNUMBER(M51), $B64 * N51, "")</f>
        <v>-3688.5245901639214</v>
      </c>
      <c r="Q51" s="146"/>
      <c r="R51" s="146"/>
      <c r="S51" s="146"/>
    </row>
    <row r="52" spans="1:19" ht="17.25" customHeight="1" thickBot="1">
      <c r="A52" s="109" t="s">
        <v>138</v>
      </c>
      <c r="B52" s="110">
        <v>29.7</v>
      </c>
      <c r="C52" s="70">
        <v>4.9469964700000001E-2</v>
      </c>
      <c r="D52" s="15">
        <v>30.3</v>
      </c>
      <c r="E52" s="32">
        <f t="shared" si="18"/>
        <v>2.0202020202020249E-2</v>
      </c>
      <c r="F52" s="18">
        <f>IF(ISNUMBER(D52), $B64 * E52, "")</f>
        <v>3030.3030303030373</v>
      </c>
      <c r="G52" s="31">
        <v>31.2</v>
      </c>
      <c r="H52" s="32">
        <f t="shared" si="19"/>
        <v>5.0505050505050504E-2</v>
      </c>
      <c r="I52" s="91">
        <f>IF(ISNUMBER(G52), $B64 * H52, "")</f>
        <v>7575.757575757576</v>
      </c>
      <c r="J52" s="15">
        <v>29.5</v>
      </c>
      <c r="K52" s="32">
        <f t="shared" si="20"/>
        <v>-6.7340067340067103E-3</v>
      </c>
      <c r="L52" s="18">
        <f>IF(ISNUMBER(J52), $B64 * K52, "")</f>
        <v>-1010.1010101010065</v>
      </c>
      <c r="M52" s="31">
        <v>29.6</v>
      </c>
      <c r="N52" s="32">
        <f t="shared" si="21"/>
        <v>-3.3670033670032953E-3</v>
      </c>
      <c r="O52" s="18">
        <f>IF(ISNUMBER(M52), $B64 * N52, "")</f>
        <v>-505.05050505049428</v>
      </c>
      <c r="Q52" s="33"/>
      <c r="R52" s="33"/>
    </row>
    <row r="53" spans="1:19" ht="17.25" customHeight="1" thickBot="1">
      <c r="A53" s="114" t="s">
        <v>124</v>
      </c>
      <c r="B53" s="115">
        <v>34.6</v>
      </c>
      <c r="C53" s="72">
        <v>4.5317220499999998E-2</v>
      </c>
      <c r="D53" s="24">
        <v>33.9</v>
      </c>
      <c r="E53" s="25">
        <f t="shared" si="18"/>
        <v>-2.023121387283245E-2</v>
      </c>
      <c r="F53" s="94">
        <f>IF(ISNUMBER(D53), $B64 * E53, "")</f>
        <v>-3034.6820809248675</v>
      </c>
      <c r="G53" s="92">
        <v>33.299999999999997</v>
      </c>
      <c r="H53" s="25">
        <f t="shared" si="19"/>
        <v>-3.7572254335260236E-2</v>
      </c>
      <c r="I53" s="93">
        <f>IF(ISNUMBER(G53), $B64 * H53, "")</f>
        <v>-5635.8381502890352</v>
      </c>
      <c r="J53" s="24">
        <v>33.799999999999997</v>
      </c>
      <c r="K53" s="25">
        <f t="shared" si="20"/>
        <v>-2.3121387283237118E-2</v>
      </c>
      <c r="L53" s="94">
        <f>IF(ISNUMBER(J53), $B64 * K53, "")</f>
        <v>-3468.2080924855677</v>
      </c>
      <c r="M53" s="92">
        <v>33.9</v>
      </c>
      <c r="N53" s="25">
        <f t="shared" si="21"/>
        <v>-2.023121387283245E-2</v>
      </c>
      <c r="O53" s="94">
        <f>IF(ISNUMBER(M53), $B64 * N53, "")</f>
        <v>-3034.6820809248675</v>
      </c>
      <c r="Q53" s="147"/>
      <c r="R53" s="148"/>
      <c r="S53" s="149"/>
    </row>
    <row r="54" spans="1:19" ht="17.25" customHeight="1">
      <c r="A54" s="107" t="s">
        <v>191</v>
      </c>
      <c r="B54" s="108">
        <v>61.7</v>
      </c>
      <c r="C54" s="69">
        <v>4.2229729700000003E-2</v>
      </c>
      <c r="D54" s="13">
        <v>58.7</v>
      </c>
      <c r="E54" s="14">
        <f>IF(ISNUMBER(D54), (D54 - $B54) / $B54, "")</f>
        <v>-4.8622366288492702E-2</v>
      </c>
      <c r="F54" s="16">
        <f>IF(ISNUMBER(D54), $B64 * E54, "")</f>
        <v>-7293.3549432739055</v>
      </c>
      <c r="G54" s="29">
        <v>58</v>
      </c>
      <c r="H54" s="14">
        <f>IF(ISNUMBER(G54), (G54 - $B54) / $B54, "")</f>
        <v>-5.9967585089141046E-2</v>
      </c>
      <c r="I54" s="90">
        <f>IF(ISNUMBER(G54), $B64 * H54, "")</f>
        <v>-8995.1377633711563</v>
      </c>
      <c r="J54" s="13">
        <v>58.2</v>
      </c>
      <c r="K54" s="14">
        <f>IF(ISNUMBER(J54), (J54 - $B54) / $B54, "")</f>
        <v>-5.6726094003241488E-2</v>
      </c>
      <c r="L54" s="16">
        <f>IF(ISNUMBER(J54), $B64 * K54, "")</f>
        <v>-8508.9141004862231</v>
      </c>
      <c r="M54" s="29">
        <v>59</v>
      </c>
      <c r="N54" s="14">
        <f>IF(ISNUMBER(M54), (M54 - $B54) / $B54, "")</f>
        <v>-4.3760129659643481E-2</v>
      </c>
      <c r="O54" s="16">
        <f>IF(ISNUMBER(M54), $B64 * N54, "")</f>
        <v>-6564.0194489465221</v>
      </c>
      <c r="Q54" s="150"/>
      <c r="R54" s="151"/>
      <c r="S54" s="152"/>
    </row>
    <row r="55" spans="1:19" ht="17.25" customHeight="1" thickBot="1">
      <c r="A55" s="109" t="s">
        <v>207</v>
      </c>
      <c r="B55" s="110">
        <v>73</v>
      </c>
      <c r="C55" s="70">
        <v>3.6931818200000001E-2</v>
      </c>
      <c r="D55" s="15">
        <v>72</v>
      </c>
      <c r="E55" s="32">
        <f t="shared" ref="E55:E58" si="22">IF(ISNUMBER(D55), (D55 - $B55) / $B55, "")</f>
        <v>-1.3698630136986301E-2</v>
      </c>
      <c r="F55" s="18">
        <f>IF(ISNUMBER(D55), $B64 * E55, "")</f>
        <v>-2054.794520547945</v>
      </c>
      <c r="G55" s="31">
        <v>70.8</v>
      </c>
      <c r="H55" s="32">
        <f t="shared" ref="H55:H58" si="23">IF(ISNUMBER(G55), (G55 - $B55) / $B55, "")</f>
        <v>-3.0136986301369902E-2</v>
      </c>
      <c r="I55" s="91">
        <f>IF(ISNUMBER(G55), $B64 * H55, "")</f>
        <v>-4520.5479452054851</v>
      </c>
      <c r="J55" s="15">
        <v>71.099999999999994</v>
      </c>
      <c r="K55" s="32">
        <f t="shared" ref="K55:K58" si="24">IF(ISNUMBER(J55), (J55 - $B55) / $B55, "")</f>
        <v>-2.602739726027405E-2</v>
      </c>
      <c r="L55" s="18">
        <f>IF(ISNUMBER(J55), $B64 * K55, "")</f>
        <v>-3904.1095890411075</v>
      </c>
      <c r="M55" s="31">
        <v>71.900000000000006</v>
      </c>
      <c r="N55" s="32">
        <f t="shared" ref="N55:N58" si="25">IF(ISNUMBER(M55), (M55 - $B55) / $B55, "")</f>
        <v>-1.5068493150684854E-2</v>
      </c>
      <c r="O55" s="18">
        <f>IF(ISNUMBER(M55), $B64 * N55, "")</f>
        <v>-2260.273972602728</v>
      </c>
      <c r="Q55" s="153"/>
      <c r="R55" s="154"/>
      <c r="S55" s="155"/>
    </row>
    <row r="56" spans="1:19" ht="17.25" customHeight="1" thickBot="1">
      <c r="A56" s="109" t="s">
        <v>181</v>
      </c>
      <c r="B56" s="110">
        <v>4.67</v>
      </c>
      <c r="C56" s="70">
        <v>3.09050773E-2</v>
      </c>
      <c r="D56" s="15">
        <v>4.66</v>
      </c>
      <c r="E56" s="32">
        <f t="shared" si="22"/>
        <v>-2.1413276231262929E-3</v>
      </c>
      <c r="F56" s="18">
        <f>IF(ISNUMBER(D56), $B64 * E56, "")</f>
        <v>-321.19914346894393</v>
      </c>
      <c r="G56" s="31">
        <v>4.55</v>
      </c>
      <c r="H56" s="32">
        <f t="shared" si="23"/>
        <v>-2.5695931477516084E-2</v>
      </c>
      <c r="I56" s="91">
        <f>IF(ISNUMBER(G56), $B64 * H56, "")</f>
        <v>-3854.3897216274127</v>
      </c>
      <c r="J56" s="15">
        <v>4.59</v>
      </c>
      <c r="K56" s="32">
        <f t="shared" si="24"/>
        <v>-1.7130620985010721E-2</v>
      </c>
      <c r="L56" s="18">
        <f>IF(ISNUMBER(J56), $B64 * K56, "")</f>
        <v>-2569.5931477516083</v>
      </c>
      <c r="M56" s="31">
        <v>4.6399999999999997</v>
      </c>
      <c r="N56" s="32">
        <f t="shared" si="25"/>
        <v>-6.4239828693790687E-3</v>
      </c>
      <c r="O56" s="18">
        <f>IF(ISNUMBER(M56), $B64 * N56, "")</f>
        <v>-963.59743040686033</v>
      </c>
      <c r="Q56" s="146"/>
      <c r="R56" s="146"/>
      <c r="S56" s="146"/>
    </row>
    <row r="57" spans="1:19" ht="17.25" customHeight="1" thickBot="1">
      <c r="A57" s="109" t="s">
        <v>209</v>
      </c>
      <c r="B57" s="110">
        <v>90.1</v>
      </c>
      <c r="C57" s="70">
        <v>2.7366020500000001E-2</v>
      </c>
      <c r="D57" s="15">
        <v>90.8</v>
      </c>
      <c r="E57" s="32">
        <f t="shared" si="22"/>
        <v>7.7691453940066917E-3</v>
      </c>
      <c r="F57" s="18">
        <f>IF(ISNUMBER(D57), $B64 * E57, "")</f>
        <v>1165.3718091010037</v>
      </c>
      <c r="G57" s="31">
        <v>89.4</v>
      </c>
      <c r="H57" s="32">
        <f t="shared" si="23"/>
        <v>-7.7691453940065339E-3</v>
      </c>
      <c r="I57" s="91">
        <f>IF(ISNUMBER(G57), $B64 * H57, "")</f>
        <v>-1165.37180910098</v>
      </c>
      <c r="J57" s="15">
        <v>89.5</v>
      </c>
      <c r="K57" s="32">
        <f t="shared" si="24"/>
        <v>-6.6592674805770738E-3</v>
      </c>
      <c r="L57" s="18">
        <f>IF(ISNUMBER(J57), $B64 * K57, "")</f>
        <v>-998.89012208656106</v>
      </c>
      <c r="M57" s="31">
        <v>90.6</v>
      </c>
      <c r="N57" s="32">
        <f t="shared" si="25"/>
        <v>5.5493895671476145E-3</v>
      </c>
      <c r="O57" s="18">
        <f>IF(ISNUMBER(M57), $B64 * N57, "")</f>
        <v>832.4084350721422</v>
      </c>
      <c r="Q57" s="156"/>
      <c r="R57" s="156"/>
      <c r="S57" s="156"/>
    </row>
    <row r="58" spans="1:19" ht="17.25" customHeight="1" thickBot="1">
      <c r="A58" s="111" t="s">
        <v>143</v>
      </c>
      <c r="B58" s="112">
        <v>4.16</v>
      </c>
      <c r="C58" s="71">
        <v>2.7160493800000001E-2</v>
      </c>
      <c r="D58" s="20">
        <v>4.1399999999999997</v>
      </c>
      <c r="E58" s="21">
        <f t="shared" si="22"/>
        <v>-4.807692307692419E-3</v>
      </c>
      <c r="F58" s="22">
        <f>IF(ISNUMBER(D58), $B64 * E58, "")</f>
        <v>-721.1538461538629</v>
      </c>
      <c r="G58" s="30">
        <v>4.03</v>
      </c>
      <c r="H58" s="21">
        <f t="shared" si="23"/>
        <v>-3.1249999999999972E-2</v>
      </c>
      <c r="I58" s="95">
        <f>IF(ISNUMBER(G58), $B64 * H58, "")</f>
        <v>-4687.4999999999955</v>
      </c>
      <c r="J58" s="20">
        <v>4.0599999999999996</v>
      </c>
      <c r="K58" s="21">
        <f t="shared" si="24"/>
        <v>-2.4038461538461665E-2</v>
      </c>
      <c r="L58" s="22">
        <f>IF(ISNUMBER(J58), $B64 * K58, "")</f>
        <v>-3605.7692307692496</v>
      </c>
      <c r="M58" s="30">
        <v>4.13</v>
      </c>
      <c r="N58" s="21">
        <f t="shared" si="25"/>
        <v>-7.2115384615385209E-3</v>
      </c>
      <c r="O58" s="22">
        <f>IF(ISNUMBER(M58), $B64 * N58, "")</f>
        <v>-1081.7307692307782</v>
      </c>
      <c r="Q58" s="156"/>
      <c r="R58" s="156"/>
      <c r="S58" s="156"/>
    </row>
    <row r="59" spans="1:19" ht="17.25" customHeight="1" thickBot="1">
      <c r="A59" s="109" t="s">
        <v>333</v>
      </c>
      <c r="B59" s="113">
        <v>5</v>
      </c>
      <c r="C59" s="73">
        <v>2.6694045199999999E-2</v>
      </c>
      <c r="D59" s="96">
        <v>4.96</v>
      </c>
      <c r="E59" s="97">
        <f>IF(ISNUMBER(D59), (D59 - $B59) / $B59, "")</f>
        <v>-8.0000000000000071E-3</v>
      </c>
      <c r="F59" s="98">
        <f>IF(ISNUMBER(D59), $B64 * E59, "")</f>
        <v>-1200.0000000000011</v>
      </c>
      <c r="G59" s="99">
        <v>4.9000000000000004</v>
      </c>
      <c r="H59" s="97">
        <f>IF(ISNUMBER(G59), (G59 - $B59) / $B59, "")</f>
        <v>-1.9999999999999928E-2</v>
      </c>
      <c r="I59" s="100">
        <f>IF(ISNUMBER(G59), $B64 * H59, "")</f>
        <v>-2999.9999999999891</v>
      </c>
      <c r="J59" s="96">
        <v>4.91</v>
      </c>
      <c r="K59" s="97">
        <f>IF(ISNUMBER(J59), (J59 - $B59) / $B59, "")</f>
        <v>-1.7999999999999971E-2</v>
      </c>
      <c r="L59" s="98">
        <f>IF(ISNUMBER(J59), $B64 * K59, "")</f>
        <v>-2699.9999999999955</v>
      </c>
      <c r="M59" s="99">
        <v>4.9800000000000004</v>
      </c>
      <c r="N59" s="97">
        <f>IF(ISNUMBER(M59), (M59 - $B59) / $B59, "")</f>
        <v>-3.9999999999999151E-3</v>
      </c>
      <c r="O59" s="98">
        <f>IF(ISNUMBER(M59), $B64 * N59, "")</f>
        <v>-599.99999999998727</v>
      </c>
      <c r="Q59" s="146"/>
      <c r="R59" s="146"/>
      <c r="S59" s="146"/>
    </row>
    <row r="60" spans="1:19" ht="17.25" customHeight="1" thickBot="1">
      <c r="A60" s="109" t="s">
        <v>237</v>
      </c>
      <c r="B60" s="110">
        <v>30.5</v>
      </c>
      <c r="C60" s="70">
        <v>2.34899329E-2</v>
      </c>
      <c r="D60" s="15">
        <v>30.3</v>
      </c>
      <c r="E60" s="32">
        <f t="shared" ref="E60:E63" si="26">IF(ISNUMBER(D60), (D60 - $B60) / $B60, "")</f>
        <v>-6.5573770491803044E-3</v>
      </c>
      <c r="F60" s="18">
        <f>IF(ISNUMBER(D60), $B64 * E60, "")</f>
        <v>-983.60655737704565</v>
      </c>
      <c r="G60" s="31">
        <v>29.8</v>
      </c>
      <c r="H60" s="32">
        <f t="shared" ref="H60:H63" si="27">IF(ISNUMBER(G60), (G60 - $B60) / $B60, "")</f>
        <v>-2.2950819672131126E-2</v>
      </c>
      <c r="I60" s="91">
        <f>IF(ISNUMBER(G60), $B64 * H60, "")</f>
        <v>-3442.6229508196689</v>
      </c>
      <c r="J60" s="15">
        <v>29.9</v>
      </c>
      <c r="K60" s="32">
        <f t="shared" ref="K60:K63" si="28">IF(ISNUMBER(J60), (J60 - $B60) / $B60, "")</f>
        <v>-1.967213114754103E-2</v>
      </c>
      <c r="L60" s="18">
        <f>IF(ISNUMBER(J60), $B64 * K60, "")</f>
        <v>-2950.8196721311547</v>
      </c>
      <c r="M60" s="31">
        <v>30.1</v>
      </c>
      <c r="N60" s="32">
        <f t="shared" ref="N60:N63" si="29">IF(ISNUMBER(M60), (M60 - $B60) / $B60, "")</f>
        <v>-1.3114754098360609E-2</v>
      </c>
      <c r="O60" s="18">
        <f>IF(ISNUMBER(M60), $B64 * N60, "")</f>
        <v>-1967.2131147540913</v>
      </c>
      <c r="Q60" s="146"/>
      <c r="R60" s="146"/>
      <c r="S60" s="146"/>
    </row>
    <row r="61" spans="1:19" ht="17.25" customHeight="1" thickBot="1">
      <c r="A61" s="109" t="s">
        <v>203</v>
      </c>
      <c r="B61" s="110">
        <v>3.68</v>
      </c>
      <c r="C61" s="70">
        <v>2.2222222199999999E-2</v>
      </c>
      <c r="D61" s="15">
        <v>3.69</v>
      </c>
      <c r="E61" s="32">
        <f t="shared" si="26"/>
        <v>2.7173913043477679E-3</v>
      </c>
      <c r="F61" s="18">
        <f>IF(ISNUMBER(D61), $B64 * E61, "")</f>
        <v>407.60869565216518</v>
      </c>
      <c r="G61" s="31">
        <v>3.57</v>
      </c>
      <c r="H61" s="32">
        <f t="shared" si="27"/>
        <v>-2.9891304347826171E-2</v>
      </c>
      <c r="I61" s="91">
        <f>IF(ISNUMBER(G61), $B64 * H61, "")</f>
        <v>-4483.6956521739257</v>
      </c>
      <c r="J61" s="15">
        <v>3.61</v>
      </c>
      <c r="K61" s="32">
        <f t="shared" si="28"/>
        <v>-1.902173913043486E-2</v>
      </c>
      <c r="L61" s="18">
        <f>IF(ISNUMBER(J61), $B64 * K61, "")</f>
        <v>-2853.2608695652289</v>
      </c>
      <c r="M61" s="31">
        <v>3.64</v>
      </c>
      <c r="N61" s="32">
        <f t="shared" si="29"/>
        <v>-1.0869565217391313E-2</v>
      </c>
      <c r="O61" s="18">
        <f>IF(ISNUMBER(M61), $B64 * N61, "")</f>
        <v>-1630.4347826086969</v>
      </c>
      <c r="Q61" s="146"/>
      <c r="R61" s="146"/>
      <c r="S61" s="146"/>
    </row>
    <row r="62" spans="1:19" ht="17.25" customHeight="1">
      <c r="A62" s="109" t="s">
        <v>155</v>
      </c>
      <c r="B62" s="110">
        <v>30.9</v>
      </c>
      <c r="C62" s="70">
        <v>1.9801980199999999E-2</v>
      </c>
      <c r="D62" s="15">
        <v>31.1</v>
      </c>
      <c r="E62" s="32">
        <f t="shared" si="26"/>
        <v>6.4724919093852055E-3</v>
      </c>
      <c r="F62" s="18">
        <f>IF(ISNUMBER(D62), $B64 * E62, "")</f>
        <v>970.87378640778081</v>
      </c>
      <c r="G62" s="31">
        <v>30.8</v>
      </c>
      <c r="H62" s="32">
        <f t="shared" si="27"/>
        <v>-3.2362459546924878E-3</v>
      </c>
      <c r="I62" s="91">
        <f>IF(ISNUMBER(G62), $B64 * H62, "")</f>
        <v>-485.43689320387318</v>
      </c>
      <c r="J62" s="15">
        <v>31.1</v>
      </c>
      <c r="K62" s="32">
        <f t="shared" si="28"/>
        <v>6.4724919093852055E-3</v>
      </c>
      <c r="L62" s="18">
        <f>IF(ISNUMBER(J62), $B64 * K62, "")</f>
        <v>970.87378640778081</v>
      </c>
      <c r="M62" s="31">
        <v>31.2</v>
      </c>
      <c r="N62" s="32">
        <f t="shared" si="29"/>
        <v>9.7087378640776933E-3</v>
      </c>
      <c r="O62" s="18">
        <f>IF(ISNUMBER(M62), $B64 * N62, "")</f>
        <v>1456.310679611654</v>
      </c>
      <c r="Q62" s="135"/>
      <c r="R62" s="136"/>
      <c r="S62" s="137"/>
    </row>
    <row r="63" spans="1:19" ht="17.25" customHeight="1" thickBot="1">
      <c r="A63" s="114" t="s">
        <v>195</v>
      </c>
      <c r="B63" s="115">
        <v>6.71</v>
      </c>
      <c r="C63" s="72">
        <v>1.97568389E-2</v>
      </c>
      <c r="D63" s="24">
        <v>6.71</v>
      </c>
      <c r="E63" s="25">
        <f t="shared" si="26"/>
        <v>0</v>
      </c>
      <c r="F63" s="94">
        <f>IF(ISNUMBER(D63), $B64 * E63, "")</f>
        <v>0</v>
      </c>
      <c r="G63" s="92">
        <v>6.54</v>
      </c>
      <c r="H63" s="25">
        <f t="shared" si="27"/>
        <v>-2.5335320417287619E-2</v>
      </c>
      <c r="I63" s="93">
        <f>IF(ISNUMBER(G63), $B64 * H63, "")</f>
        <v>-3800.2980625931427</v>
      </c>
      <c r="J63" s="24">
        <v>6.56</v>
      </c>
      <c r="K63" s="25">
        <f t="shared" si="28"/>
        <v>-2.235469448584208E-2</v>
      </c>
      <c r="L63" s="94">
        <f>IF(ISNUMBER(J63), $B64 * K63, "")</f>
        <v>-3353.204172876312</v>
      </c>
      <c r="M63" s="92">
        <v>6.68</v>
      </c>
      <c r="N63" s="25">
        <f t="shared" si="29"/>
        <v>-4.4709388971684427E-3</v>
      </c>
      <c r="O63" s="94">
        <f>IF(ISNUMBER(M63), $B64 * N63, "")</f>
        <v>-670.64083457526635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-2.4599404125077752E-2</v>
      </c>
      <c r="F64" s="28">
        <f>SUM(F44:F63)</f>
        <v>-73798.212375233241</v>
      </c>
      <c r="G64" s="26" t="s">
        <v>258</v>
      </c>
      <c r="H64" s="27">
        <f>IF(COUNT(H44:H63), SUM(H44:H63) / COUNT(H44:H63), 0)</f>
        <v>-4.1803547598291302E-2</v>
      </c>
      <c r="I64" s="28">
        <f>SUM(I44:I63)</f>
        <v>-125410.64279487393</v>
      </c>
      <c r="J64" s="26" t="s">
        <v>258</v>
      </c>
      <c r="K64" s="27">
        <f>IF(COUNT(K44:K63), SUM(K44:K63) / COUNT(K44:K63), 0)</f>
        <v>-3.8077015195526046E-2</v>
      </c>
      <c r="L64" s="28">
        <f>SUM(L44:L63)</f>
        <v>-114231.04558657818</v>
      </c>
      <c r="M64" s="26" t="s">
        <v>258</v>
      </c>
      <c r="N64" s="27">
        <f>IF(COUNT(N44:N63), SUM(N44:N63) / COUNT(N44:N63), 0)</f>
        <v>-2.8398088185290198E-2</v>
      </c>
      <c r="O64" s="28">
        <f>SUM(O44:O63)</f>
        <v>-85194.264555870614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2023-01-18(수) 오전 00:00</v>
      </c>
      <c r="C69" s="198"/>
      <c r="D69" s="170" t="str">
        <f>TEXT($G$1, "[$-ko-KR]yyyy-mm-dd(ddd) ") &amp; "오후 14:00"</f>
        <v>2023-01-18(수) 오후 14:00</v>
      </c>
      <c r="E69" s="171"/>
      <c r="F69" s="172"/>
      <c r="G69" s="170" t="str">
        <f>TEXT($G$1, "[$-ko-KR]yyyy-mm-dd(ddd) ") &amp; "오후 19:00"</f>
        <v>2023-01-18(수) 오후 19:00</v>
      </c>
      <c r="H69" s="171"/>
      <c r="I69" s="172"/>
      <c r="J69" s="170" t="str">
        <f>TEXT($G$1, "[$-ko-KR]yyyy-mm-dd(ddd) ") &amp; "오후 21:00"</f>
        <v>2023-01-18(수) 오후 21:00</v>
      </c>
      <c r="K69" s="171"/>
      <c r="L69" s="172"/>
      <c r="M69" s="170" t="str">
        <f>TEXT($G$1+1, "[$-ko-KR]yyyy-mm-dd(ddd) ") &amp; "오전 00:00"</f>
        <v>2023-01-19(목)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205</v>
      </c>
      <c r="B71" s="108">
        <v>126</v>
      </c>
      <c r="C71" s="69">
        <v>9.5652173899999998E-2</v>
      </c>
      <c r="D71" s="13">
        <v>118</v>
      </c>
      <c r="E71" s="14">
        <f>IF(ISNUMBER(D71), (D71 - $B71) / $B71, "")</f>
        <v>-6.3492063492063489E-2</v>
      </c>
      <c r="F71" s="16">
        <f>IF(ISNUMBER(D71), $B91 * E71, "")</f>
        <v>-9523.8095238095229</v>
      </c>
      <c r="G71" s="29">
        <v>117</v>
      </c>
      <c r="H71" s="14">
        <f>IF(ISNUMBER(G71), (G71 - $B71) / $B71, "")</f>
        <v>-7.1428571428571425E-2</v>
      </c>
      <c r="I71" s="90">
        <f>IF(ISNUMBER(G71), $B91 * H71, "")</f>
        <v>-10714.285714285714</v>
      </c>
      <c r="J71" s="13">
        <v>117</v>
      </c>
      <c r="K71" s="14">
        <f>IF(ISNUMBER(J71), (J71 - $B71) / $B71, "")</f>
        <v>-7.1428571428571425E-2</v>
      </c>
      <c r="L71" s="16">
        <f>IF(ISNUMBER(J71), $B91 * K71, "")</f>
        <v>-10714.285714285714</v>
      </c>
      <c r="M71" s="29">
        <v>118</v>
      </c>
      <c r="N71" s="14">
        <f>IF(ISNUMBER(M71), (M71 - $B71) / $B71, "")</f>
        <v>-6.3492063492063489E-2</v>
      </c>
      <c r="O71" s="16">
        <f>IF(ISNUMBER(M71), $B91 * N71, "")</f>
        <v>-9523.8095238095229</v>
      </c>
      <c r="Q71" s="156"/>
      <c r="R71" s="156"/>
      <c r="S71" s="156"/>
    </row>
    <row r="72" spans="1:19" ht="17.25" thickBot="1">
      <c r="A72" s="109" t="s">
        <v>105</v>
      </c>
      <c r="B72" s="110">
        <v>246</v>
      </c>
      <c r="C72" s="70">
        <v>4.23728814E-2</v>
      </c>
      <c r="D72" s="15">
        <v>242</v>
      </c>
      <c r="E72" s="32">
        <f t="shared" ref="E72:E75" si="30">IF(ISNUMBER(D72), (D72 - $B72) / $B72, "")</f>
        <v>-1.6260162601626018E-2</v>
      </c>
      <c r="F72" s="18">
        <f>IF(ISNUMBER(D72), $B91 * E72, "")</f>
        <v>-2439.0243902439029</v>
      </c>
      <c r="G72" s="31">
        <v>235</v>
      </c>
      <c r="H72" s="32">
        <f t="shared" ref="H72:H75" si="31">IF(ISNUMBER(G72), (G72 - $B72) / $B72, "")</f>
        <v>-4.4715447154471545E-2</v>
      </c>
      <c r="I72" s="91">
        <f>IF(ISNUMBER(G72), $B91 * H72, "")</f>
        <v>-6707.3170731707314</v>
      </c>
      <c r="J72" s="15">
        <v>235</v>
      </c>
      <c r="K72" s="32">
        <f t="shared" ref="K72:K75" si="32">IF(ISNUMBER(J72), (J72 - $B72) / $B72, "")</f>
        <v>-4.4715447154471545E-2</v>
      </c>
      <c r="L72" s="18">
        <f>IF(ISNUMBER(J72), $B91 * K72, "")</f>
        <v>-6707.3170731707314</v>
      </c>
      <c r="M72" s="31">
        <v>241</v>
      </c>
      <c r="N72" s="32">
        <f t="shared" ref="N72:N75" si="33">IF(ISNUMBER(M72), (M72 - $B72) / $B72, "")</f>
        <v>-2.032520325203252E-2</v>
      </c>
      <c r="O72" s="18">
        <f>IF(ISNUMBER(M72), $B91 * N72, "")</f>
        <v>-3048.7804878048778</v>
      </c>
      <c r="Q72" s="156"/>
      <c r="R72" s="156"/>
      <c r="S72" s="156"/>
    </row>
    <row r="73" spans="1:19" ht="17.25" thickBot="1">
      <c r="A73" s="109" t="s">
        <v>111</v>
      </c>
      <c r="B73" s="110">
        <v>903</v>
      </c>
      <c r="C73" s="70">
        <v>3.5550458700000002E-2</v>
      </c>
      <c r="D73" s="15">
        <v>900</v>
      </c>
      <c r="E73" s="32">
        <f t="shared" si="30"/>
        <v>-3.3222591362126247E-3</v>
      </c>
      <c r="F73" s="18">
        <f>IF(ISNUMBER(D73), $B91 * E73, "")</f>
        <v>-498.33887043189372</v>
      </c>
      <c r="G73" s="31">
        <v>888</v>
      </c>
      <c r="H73" s="32">
        <f t="shared" si="31"/>
        <v>-1.6611295681063124E-2</v>
      </c>
      <c r="I73" s="91">
        <f>IF(ISNUMBER(G73), $B91 * H73, "")</f>
        <v>-2491.6943521594685</v>
      </c>
      <c r="J73" s="15">
        <v>915</v>
      </c>
      <c r="K73" s="32">
        <f t="shared" si="32"/>
        <v>1.3289036544850499E-2</v>
      </c>
      <c r="L73" s="18">
        <f>IF(ISNUMBER(J73), $B91 * K73, "")</f>
        <v>1993.3554817275749</v>
      </c>
      <c r="M73" s="31">
        <v>911</v>
      </c>
      <c r="N73" s="32">
        <f t="shared" si="33"/>
        <v>8.8593576965669985E-3</v>
      </c>
      <c r="O73" s="18">
        <f>IF(ISNUMBER(M73), $B91 * N73, "")</f>
        <v>1328.9036544850499</v>
      </c>
      <c r="Q73" s="146"/>
      <c r="R73" s="146"/>
      <c r="S73" s="146"/>
    </row>
    <row r="74" spans="1:19" ht="17.25" thickBot="1">
      <c r="A74" s="109" t="s">
        <v>120</v>
      </c>
      <c r="B74" s="110">
        <v>132</v>
      </c>
      <c r="C74" s="70">
        <v>3.125E-2</v>
      </c>
      <c r="D74" s="15">
        <v>133</v>
      </c>
      <c r="E74" s="32">
        <f t="shared" si="30"/>
        <v>7.575757575757576E-3</v>
      </c>
      <c r="F74" s="18">
        <f>IF(ISNUMBER(D74), $B91 * E74, "")</f>
        <v>1136.3636363636365</v>
      </c>
      <c r="G74" s="31">
        <v>130</v>
      </c>
      <c r="H74" s="32">
        <f t="shared" si="31"/>
        <v>-1.5151515151515152E-2</v>
      </c>
      <c r="I74" s="91">
        <f>IF(ISNUMBER(G74), $B91 * H74, "")</f>
        <v>-2272.727272727273</v>
      </c>
      <c r="J74" s="15">
        <v>133</v>
      </c>
      <c r="K74" s="32">
        <f t="shared" si="32"/>
        <v>7.575757575757576E-3</v>
      </c>
      <c r="L74" s="18">
        <f>IF(ISNUMBER(J74), $B91 * K74, "")</f>
        <v>1136.3636363636365</v>
      </c>
      <c r="M74" s="31">
        <v>134</v>
      </c>
      <c r="N74" s="32">
        <f t="shared" si="33"/>
        <v>1.5151515151515152E-2</v>
      </c>
      <c r="O74" s="18">
        <f>IF(ISNUMBER(M74), $B91 * N74, "")</f>
        <v>2272.727272727273</v>
      </c>
      <c r="Q74" s="146"/>
      <c r="R74" s="146"/>
      <c r="S74" s="146"/>
    </row>
    <row r="75" spans="1:19" ht="17.25" thickBot="1">
      <c r="A75" s="111" t="s">
        <v>60</v>
      </c>
      <c r="B75" s="112">
        <v>892</v>
      </c>
      <c r="C75" s="71">
        <v>2.5287356300000001E-2</v>
      </c>
      <c r="D75" s="20">
        <v>861</v>
      </c>
      <c r="E75" s="21">
        <f t="shared" si="30"/>
        <v>-3.4753363228699555E-2</v>
      </c>
      <c r="F75" s="22">
        <f>IF(ISNUMBER(D75), $B91 * E75, "")</f>
        <v>-5213.0044843049336</v>
      </c>
      <c r="G75" s="30">
        <v>837</v>
      </c>
      <c r="H75" s="21">
        <f t="shared" si="31"/>
        <v>-6.1659192825112105E-2</v>
      </c>
      <c r="I75" s="95">
        <f>IF(ISNUMBER(G75), $B91 * H75, "")</f>
        <v>-9248.8789237668152</v>
      </c>
      <c r="J75" s="20">
        <v>852</v>
      </c>
      <c r="K75" s="21">
        <f t="shared" si="32"/>
        <v>-4.4843049327354258E-2</v>
      </c>
      <c r="L75" s="22">
        <f>IF(ISNUMBER(J75), $B91 * K75, "")</f>
        <v>-6726.4573991031384</v>
      </c>
      <c r="M75" s="30">
        <v>856</v>
      </c>
      <c r="N75" s="21">
        <f t="shared" si="33"/>
        <v>-4.0358744394618833E-2</v>
      </c>
      <c r="O75" s="22">
        <f>IF(ISNUMBER(M75), $B91 * N75, "")</f>
        <v>-6053.8116591928247</v>
      </c>
      <c r="Q75" s="146"/>
      <c r="R75" s="146"/>
      <c r="S75" s="146"/>
    </row>
    <row r="76" spans="1:19" ht="17.25" thickBot="1">
      <c r="A76" s="109" t="s">
        <v>130</v>
      </c>
      <c r="B76" s="113">
        <v>936</v>
      </c>
      <c r="C76" s="73">
        <v>2.4070021899999999E-2</v>
      </c>
      <c r="D76" s="96">
        <v>940</v>
      </c>
      <c r="E76" s="97">
        <f>IF(ISNUMBER(D76), (D76 - $B76) / $B76, "")</f>
        <v>4.2735042735042739E-3</v>
      </c>
      <c r="F76" s="98">
        <f>IF(ISNUMBER(D76), $B91 * E76, "")</f>
        <v>641.02564102564111</v>
      </c>
      <c r="G76" s="99">
        <v>914</v>
      </c>
      <c r="H76" s="97">
        <f>IF(ISNUMBER(G76), (G76 - $B76) / $B76, "")</f>
        <v>-2.3504273504273504E-2</v>
      </c>
      <c r="I76" s="100">
        <f>IF(ISNUMBER(G76), $B91 * H76, "")</f>
        <v>-3525.6410256410254</v>
      </c>
      <c r="J76" s="96">
        <v>917</v>
      </c>
      <c r="K76" s="97">
        <f>IF(ISNUMBER(J76), (J76 - $B76) / $B76, "")</f>
        <v>-2.02991452991453E-2</v>
      </c>
      <c r="L76" s="98">
        <f>IF(ISNUMBER(J76), $B91 * K76, "")</f>
        <v>-3044.8717948717949</v>
      </c>
      <c r="M76" s="99">
        <v>926</v>
      </c>
      <c r="N76" s="97">
        <f>IF(ISNUMBER(M76), (M76 - $B76) / $B76, "")</f>
        <v>-1.0683760683760684E-2</v>
      </c>
      <c r="O76" s="98">
        <f>IF(ISNUMBER(M76), $B91 * N76, "")</f>
        <v>-1602.5641025641025</v>
      </c>
      <c r="Q76" s="146"/>
      <c r="R76" s="146"/>
      <c r="S76" s="146"/>
    </row>
    <row r="77" spans="1:19" ht="17.25" thickBot="1">
      <c r="A77" s="109" t="s">
        <v>169</v>
      </c>
      <c r="B77" s="110">
        <v>271</v>
      </c>
      <c r="C77" s="70">
        <v>2.2641509399999999E-2</v>
      </c>
      <c r="D77" s="15">
        <v>272</v>
      </c>
      <c r="E77" s="32">
        <f t="shared" ref="E77:E80" si="34">IF(ISNUMBER(D77), (D77 - $B77) / $B77, "")</f>
        <v>3.6900369003690036E-3</v>
      </c>
      <c r="F77" s="18">
        <f>IF(ISNUMBER(D77), $B91 * E77, "")</f>
        <v>553.50553505535049</v>
      </c>
      <c r="G77" s="31">
        <v>265</v>
      </c>
      <c r="H77" s="32">
        <f t="shared" ref="H77:H80" si="35">IF(ISNUMBER(G77), (G77 - $B77) / $B77, "")</f>
        <v>-2.2140221402214021E-2</v>
      </c>
      <c r="I77" s="91">
        <f>IF(ISNUMBER(G77), $B91 * H77, "")</f>
        <v>-3321.033210332103</v>
      </c>
      <c r="J77" s="15">
        <v>265</v>
      </c>
      <c r="K77" s="32">
        <f t="shared" ref="K77:K80" si="36">IF(ISNUMBER(J77), (J77 - $B77) / $B77, "")</f>
        <v>-2.2140221402214021E-2</v>
      </c>
      <c r="L77" s="18">
        <f>IF(ISNUMBER(J77), $B91 * K77, "")</f>
        <v>-3321.033210332103</v>
      </c>
      <c r="M77" s="31">
        <v>270</v>
      </c>
      <c r="N77" s="32">
        <f t="shared" ref="N77:N80" si="37">IF(ISNUMBER(M77), (M77 - $B77) / $B77, "")</f>
        <v>-3.6900369003690036E-3</v>
      </c>
      <c r="O77" s="18">
        <f>IF(ISNUMBER(M77), $B91 * N77, "")</f>
        <v>-553.50553505535049</v>
      </c>
      <c r="Q77" s="146"/>
      <c r="R77" s="146"/>
      <c r="S77" s="146"/>
    </row>
    <row r="78" spans="1:19" ht="17.25" thickBot="1">
      <c r="A78" s="109" t="s">
        <v>183</v>
      </c>
      <c r="B78" s="110">
        <v>142</v>
      </c>
      <c r="C78" s="70">
        <v>2.15827338E-2</v>
      </c>
      <c r="D78" s="15">
        <v>144</v>
      </c>
      <c r="E78" s="32">
        <f t="shared" si="34"/>
        <v>1.4084507042253521E-2</v>
      </c>
      <c r="F78" s="18">
        <f>IF(ISNUMBER(D78), $B91 * E78, "")</f>
        <v>2112.676056338028</v>
      </c>
      <c r="G78" s="31">
        <v>142</v>
      </c>
      <c r="H78" s="32">
        <f t="shared" si="35"/>
        <v>0</v>
      </c>
      <c r="I78" s="91">
        <f>IF(ISNUMBER(G78), $B91 * H78, "")</f>
        <v>0</v>
      </c>
      <c r="J78" s="15">
        <v>143</v>
      </c>
      <c r="K78" s="32">
        <f t="shared" si="36"/>
        <v>7.0422535211267607E-3</v>
      </c>
      <c r="L78" s="18">
        <f>IF(ISNUMBER(J78), $B91 * K78, "")</f>
        <v>1056.338028169014</v>
      </c>
      <c r="M78" s="31">
        <v>144</v>
      </c>
      <c r="N78" s="32">
        <f t="shared" si="37"/>
        <v>1.4084507042253521E-2</v>
      </c>
      <c r="O78" s="18">
        <f>IF(ISNUMBER(M78), $B91 * N78, "")</f>
        <v>2112.676056338028</v>
      </c>
      <c r="Q78" s="146"/>
      <c r="R78" s="146"/>
      <c r="S78" s="146"/>
    </row>
    <row r="79" spans="1:19" ht="17.25" thickBot="1">
      <c r="A79" s="109" t="s">
        <v>199</v>
      </c>
      <c r="B79" s="110">
        <v>340</v>
      </c>
      <c r="C79" s="70">
        <v>2.1021021000000001E-2</v>
      </c>
      <c r="D79" s="15">
        <v>341</v>
      </c>
      <c r="E79" s="32">
        <f t="shared" si="34"/>
        <v>2.9411764705882353E-3</v>
      </c>
      <c r="F79" s="18">
        <f>IF(ISNUMBER(D79), $B91 * E79, "")</f>
        <v>441.1764705882353</v>
      </c>
      <c r="G79" s="31">
        <v>333</v>
      </c>
      <c r="H79" s="32">
        <f t="shared" si="35"/>
        <v>-2.0588235294117647E-2</v>
      </c>
      <c r="I79" s="91">
        <f>IF(ISNUMBER(G79), $B91 * H79, "")</f>
        <v>-3088.2352941176468</v>
      </c>
      <c r="J79" s="15">
        <v>334</v>
      </c>
      <c r="K79" s="32">
        <f t="shared" si="36"/>
        <v>-1.7647058823529412E-2</v>
      </c>
      <c r="L79" s="18">
        <f>IF(ISNUMBER(J79), $B91 * K79, "")</f>
        <v>-2647.0588235294117</v>
      </c>
      <c r="M79" s="31">
        <v>339</v>
      </c>
      <c r="N79" s="32">
        <f t="shared" si="37"/>
        <v>-2.9411764705882353E-3</v>
      </c>
      <c r="O79" s="18">
        <f>IF(ISNUMBER(M79), $B91 * N79, "")</f>
        <v>-441.1764705882353</v>
      </c>
      <c r="Q79" s="33"/>
      <c r="R79" s="33"/>
    </row>
    <row r="80" spans="1:19" ht="17.25" thickBot="1">
      <c r="A80" s="114" t="s">
        <v>101</v>
      </c>
      <c r="B80" s="115">
        <v>249</v>
      </c>
      <c r="C80" s="72">
        <v>2.04918033E-2</v>
      </c>
      <c r="D80" s="24">
        <v>251</v>
      </c>
      <c r="E80" s="25">
        <f t="shared" si="34"/>
        <v>8.0321285140562242E-3</v>
      </c>
      <c r="F80" s="94">
        <f>IF(ISNUMBER(D80), $B91 * E80, "")</f>
        <v>1204.8192771084337</v>
      </c>
      <c r="G80" s="92">
        <v>246</v>
      </c>
      <c r="H80" s="25">
        <f t="shared" si="35"/>
        <v>-1.2048192771084338E-2</v>
      </c>
      <c r="I80" s="93">
        <f>IF(ISNUMBER(G80), $B91 * H80, "")</f>
        <v>-1807.2289156626507</v>
      </c>
      <c r="J80" s="24">
        <v>247</v>
      </c>
      <c r="K80" s="25">
        <f t="shared" si="36"/>
        <v>-8.0321285140562242E-3</v>
      </c>
      <c r="L80" s="94">
        <f>IF(ISNUMBER(J80), $B91 * K80, "")</f>
        <v>-1204.8192771084337</v>
      </c>
      <c r="M80" s="92">
        <v>251</v>
      </c>
      <c r="N80" s="25">
        <f t="shared" si="37"/>
        <v>8.0321285140562242E-3</v>
      </c>
      <c r="O80" s="94">
        <f>IF(ISNUMBER(M80), $B91 * N80, "")</f>
        <v>1204.8192771084337</v>
      </c>
      <c r="Q80" s="147"/>
      <c r="R80" s="148"/>
      <c r="S80" s="149"/>
    </row>
    <row r="81" spans="1:19">
      <c r="A81" s="107" t="s">
        <v>167</v>
      </c>
      <c r="B81" s="108">
        <v>202</v>
      </c>
      <c r="C81" s="69">
        <v>2.02020202E-2</v>
      </c>
      <c r="D81" s="13">
        <v>214</v>
      </c>
      <c r="E81" s="14">
        <f>IF(ISNUMBER(D81), (D81 - $B81) / $B81, "")</f>
        <v>5.9405940594059403E-2</v>
      </c>
      <c r="F81" s="16">
        <f>IF(ISNUMBER(D81), $B91 * E81, "")</f>
        <v>8910.8910891089108</v>
      </c>
      <c r="G81" s="29">
        <v>206</v>
      </c>
      <c r="H81" s="14">
        <f>IF(ISNUMBER(G81), (G81 - $B81) / $B81, "")</f>
        <v>1.9801980198019802E-2</v>
      </c>
      <c r="I81" s="90">
        <f>IF(ISNUMBER(G81), $B91 * H81, "")</f>
        <v>2970.2970297029701</v>
      </c>
      <c r="J81" s="13">
        <v>205</v>
      </c>
      <c r="K81" s="14">
        <f>IF(ISNUMBER(J81), (J81 - $B81) / $B81, "")</f>
        <v>1.4851485148514851E-2</v>
      </c>
      <c r="L81" s="16">
        <f>IF(ISNUMBER(J81), $B91 * K81, "")</f>
        <v>2227.7227722772277</v>
      </c>
      <c r="M81" s="29">
        <v>207</v>
      </c>
      <c r="N81" s="14">
        <f>IF(ISNUMBER(M81), (M81 - $B81) / $B81, "")</f>
        <v>2.4752475247524754E-2</v>
      </c>
      <c r="O81" s="16">
        <f>IF(ISNUMBER(M81), $B91 * N81, "")</f>
        <v>3712.871287128713</v>
      </c>
      <c r="Q81" s="150"/>
      <c r="R81" s="151"/>
      <c r="S81" s="152"/>
    </row>
    <row r="82" spans="1:19" ht="17.25" thickBot="1">
      <c r="A82" s="109" t="s">
        <v>149</v>
      </c>
      <c r="B82" s="110">
        <v>457</v>
      </c>
      <c r="C82" s="70">
        <v>2.0089285700000001E-2</v>
      </c>
      <c r="D82" s="15">
        <v>461</v>
      </c>
      <c r="E82" s="32">
        <f t="shared" ref="E82:E85" si="38">IF(ISNUMBER(D82), (D82 - $B82) / $B82, "")</f>
        <v>8.7527352297592995E-3</v>
      </c>
      <c r="F82" s="18">
        <f>IF(ISNUMBER(D82), $B91 * E82, "")</f>
        <v>1312.9102844638949</v>
      </c>
      <c r="G82" s="31">
        <v>461</v>
      </c>
      <c r="H82" s="32">
        <f t="shared" ref="H82:H85" si="39">IF(ISNUMBER(G82), (G82 - $B82) / $B82, "")</f>
        <v>8.7527352297592995E-3</v>
      </c>
      <c r="I82" s="91">
        <f>IF(ISNUMBER(G82), $B91 * H82, "")</f>
        <v>1312.9102844638949</v>
      </c>
      <c r="J82" s="15">
        <v>481</v>
      </c>
      <c r="K82" s="32">
        <f t="shared" ref="K82:K85" si="40">IF(ISNUMBER(J82), (J82 - $B82) / $B82, "")</f>
        <v>5.2516411378555797E-2</v>
      </c>
      <c r="L82" s="18">
        <f>IF(ISNUMBER(J82), $B91 * K82, "")</f>
        <v>7877.4617067833697</v>
      </c>
      <c r="M82" s="31">
        <v>502</v>
      </c>
      <c r="N82" s="32">
        <f t="shared" ref="N82:N85" si="41">IF(ISNUMBER(M82), (M82 - $B82) / $B82, "")</f>
        <v>9.8468271334792121E-2</v>
      </c>
      <c r="O82" s="18">
        <f>IF(ISNUMBER(M82), $B91 * N82, "")</f>
        <v>14770.240700218817</v>
      </c>
      <c r="Q82" s="153"/>
      <c r="R82" s="154"/>
      <c r="S82" s="155"/>
    </row>
    <row r="83" spans="1:19" ht="17.25" thickBot="1">
      <c r="A83" s="109" t="s">
        <v>321</v>
      </c>
      <c r="B83" s="110">
        <v>216</v>
      </c>
      <c r="C83" s="70">
        <v>1.8867924500000001E-2</v>
      </c>
      <c r="D83" s="15">
        <v>215</v>
      </c>
      <c r="E83" s="32">
        <f t="shared" si="38"/>
        <v>-4.6296296296296294E-3</v>
      </c>
      <c r="F83" s="18">
        <f>IF(ISNUMBER(D83), $B91 * E83, "")</f>
        <v>-694.44444444444446</v>
      </c>
      <c r="G83" s="31">
        <v>210</v>
      </c>
      <c r="H83" s="32">
        <f t="shared" si="39"/>
        <v>-2.7777777777777776E-2</v>
      </c>
      <c r="I83" s="91">
        <f>IF(ISNUMBER(G83), $B91 * H83, "")</f>
        <v>-4166.6666666666661</v>
      </c>
      <c r="J83" s="15">
        <v>211</v>
      </c>
      <c r="K83" s="32">
        <f t="shared" si="40"/>
        <v>-2.3148148148148147E-2</v>
      </c>
      <c r="L83" s="18">
        <f>IF(ISNUMBER(J83), $B91 * K83, "")</f>
        <v>-3472.2222222222222</v>
      </c>
      <c r="M83" s="31">
        <v>214</v>
      </c>
      <c r="N83" s="32">
        <f t="shared" si="41"/>
        <v>-9.2592592592592587E-3</v>
      </c>
      <c r="O83" s="18">
        <f>IF(ISNUMBER(M83), $B91 * N83, "")</f>
        <v>-1388.8888888888889</v>
      </c>
      <c r="Q83" s="146"/>
      <c r="R83" s="146"/>
      <c r="S83" s="146"/>
    </row>
    <row r="84" spans="1:19" ht="17.25" thickBot="1">
      <c r="A84" s="109" t="s">
        <v>201</v>
      </c>
      <c r="B84" s="110">
        <v>269</v>
      </c>
      <c r="C84" s="70">
        <v>1.5094339599999999E-2</v>
      </c>
      <c r="D84" s="15">
        <v>271</v>
      </c>
      <c r="E84" s="32">
        <f t="shared" si="38"/>
        <v>7.4349442379182153E-3</v>
      </c>
      <c r="F84" s="18">
        <f>IF(ISNUMBER(D84), $B91 * E84, "")</f>
        <v>1115.2416356877322</v>
      </c>
      <c r="G84" s="31">
        <v>257</v>
      </c>
      <c r="H84" s="32">
        <f t="shared" si="39"/>
        <v>-4.4609665427509292E-2</v>
      </c>
      <c r="I84" s="91">
        <f>IF(ISNUMBER(G84), $B91 * H84, "")</f>
        <v>-6691.4498141263939</v>
      </c>
      <c r="J84" s="15">
        <v>263</v>
      </c>
      <c r="K84" s="32">
        <f t="shared" si="40"/>
        <v>-2.2304832713754646E-2</v>
      </c>
      <c r="L84" s="18">
        <f>IF(ISNUMBER(J84), $B91 * K84, "")</f>
        <v>-3345.724907063197</v>
      </c>
      <c r="M84" s="31">
        <v>271</v>
      </c>
      <c r="N84" s="32">
        <f t="shared" si="41"/>
        <v>7.4349442379182153E-3</v>
      </c>
      <c r="O84" s="18">
        <f>IF(ISNUMBER(M84), $B91 * N84, "")</f>
        <v>1115.2416356877322</v>
      </c>
      <c r="Q84" s="156"/>
      <c r="R84" s="156"/>
      <c r="S84" s="156"/>
    </row>
    <row r="85" spans="1:19" ht="17.25" thickBot="1">
      <c r="A85" s="111" t="s">
        <v>241</v>
      </c>
      <c r="B85" s="112">
        <v>102</v>
      </c>
      <c r="C85" s="71">
        <v>9.9009900999999997E-3</v>
      </c>
      <c r="D85" s="20">
        <v>102</v>
      </c>
      <c r="E85" s="21">
        <f t="shared" si="38"/>
        <v>0</v>
      </c>
      <c r="F85" s="22">
        <f>IF(ISNUMBER(D85), $B91 * E85, "")</f>
        <v>0</v>
      </c>
      <c r="G85" s="30">
        <v>100</v>
      </c>
      <c r="H85" s="21">
        <f t="shared" si="39"/>
        <v>-1.9607843137254902E-2</v>
      </c>
      <c r="I85" s="95">
        <f>IF(ISNUMBER(G85), $B91 * H85, "")</f>
        <v>-2941.1764705882351</v>
      </c>
      <c r="J85" s="20">
        <v>100</v>
      </c>
      <c r="K85" s="21">
        <f t="shared" si="40"/>
        <v>-1.9607843137254902E-2</v>
      </c>
      <c r="L85" s="22">
        <f>IF(ISNUMBER(J85), $B91 * K85, "")</f>
        <v>-2941.1764705882351</v>
      </c>
      <c r="M85" s="30">
        <v>102</v>
      </c>
      <c r="N85" s="21">
        <f t="shared" si="41"/>
        <v>0</v>
      </c>
      <c r="O85" s="22">
        <f>IF(ISNUMBER(M85), $B91 * N85, "")</f>
        <v>0</v>
      </c>
      <c r="Q85" s="156"/>
      <c r="R85" s="156"/>
      <c r="S85" s="156"/>
    </row>
    <row r="86" spans="1:19" ht="17.25" thickBot="1">
      <c r="A86" s="109" t="s">
        <v>253</v>
      </c>
      <c r="B86" s="113">
        <v>105</v>
      </c>
      <c r="C86" s="73">
        <v>9.6153846000000005E-3</v>
      </c>
      <c r="D86" s="96">
        <v>107</v>
      </c>
      <c r="E86" s="97">
        <f>IF(ISNUMBER(D86), (D86 - $B86) / $B86, "")</f>
        <v>1.9047619047619049E-2</v>
      </c>
      <c r="F86" s="98">
        <f>IF(ISNUMBER(D86), $B91 * E86, "")</f>
        <v>2857.1428571428573</v>
      </c>
      <c r="G86" s="99">
        <v>106</v>
      </c>
      <c r="H86" s="97">
        <f>IF(ISNUMBER(G86), (G86 - $B86) / $B86, "")</f>
        <v>9.5238095238095247E-3</v>
      </c>
      <c r="I86" s="100">
        <f>IF(ISNUMBER(G86), $B91 * H86, "")</f>
        <v>1428.5714285714287</v>
      </c>
      <c r="J86" s="96">
        <v>108</v>
      </c>
      <c r="K86" s="97">
        <f>IF(ISNUMBER(J86), (J86 - $B86) / $B86, "")</f>
        <v>2.8571428571428571E-2</v>
      </c>
      <c r="L86" s="98">
        <f>IF(ISNUMBER(J86), $B91 * K86, "")</f>
        <v>4285.7142857142853</v>
      </c>
      <c r="M86" s="99">
        <v>109</v>
      </c>
      <c r="N86" s="97">
        <f>IF(ISNUMBER(M86), (M86 - $B86) / $B86, "")</f>
        <v>3.8095238095238099E-2</v>
      </c>
      <c r="O86" s="98">
        <f>IF(ISNUMBER(M86), $B91 * N86, "")</f>
        <v>5714.2857142857147</v>
      </c>
      <c r="Q86" s="146"/>
      <c r="R86" s="146"/>
      <c r="S86" s="146"/>
    </row>
    <row r="87" spans="1:19" ht="17.25" thickBot="1">
      <c r="A87" s="109" t="s">
        <v>79</v>
      </c>
      <c r="B87" s="110">
        <v>289</v>
      </c>
      <c r="C87" s="70">
        <v>6.9686410999999998E-3</v>
      </c>
      <c r="D87" s="15">
        <v>293</v>
      </c>
      <c r="E87" s="32">
        <f t="shared" ref="E87:E90" si="42">IF(ISNUMBER(D87), (D87 - $B87) / $B87, "")</f>
        <v>1.384083044982699E-2</v>
      </c>
      <c r="F87" s="18">
        <f>IF(ISNUMBER(D87), $B91 * E87, "")</f>
        <v>2076.1245674740485</v>
      </c>
      <c r="G87" s="31">
        <v>285</v>
      </c>
      <c r="H87" s="32">
        <f t="shared" ref="H87:H90" si="43">IF(ISNUMBER(G87), (G87 - $B87) / $B87, "")</f>
        <v>-1.384083044982699E-2</v>
      </c>
      <c r="I87" s="91">
        <f>IF(ISNUMBER(G87), $B91 * H87, "")</f>
        <v>-2076.1245674740485</v>
      </c>
      <c r="J87" s="15">
        <v>288</v>
      </c>
      <c r="K87" s="32">
        <f t="shared" ref="K87:K90" si="44">IF(ISNUMBER(J87), (J87 - $B87) / $B87, "")</f>
        <v>-3.4602076124567475E-3</v>
      </c>
      <c r="L87" s="18">
        <f>IF(ISNUMBER(J87), $B91 * K87, "")</f>
        <v>-519.03114186851212</v>
      </c>
      <c r="M87" s="31">
        <v>303</v>
      </c>
      <c r="N87" s="32">
        <f t="shared" ref="N87:N90" si="45">IF(ISNUMBER(M87), (M87 - $B87) / $B87, "")</f>
        <v>4.8442906574394463E-2</v>
      </c>
      <c r="O87" s="18">
        <f>IF(ISNUMBER(M87), $B91 * N87, "")</f>
        <v>7266.4359861591693</v>
      </c>
      <c r="Q87" s="146"/>
      <c r="R87" s="146"/>
      <c r="S87" s="146"/>
    </row>
    <row r="88" spans="1:19" ht="17.25" thickBot="1">
      <c r="A88" s="109" t="s">
        <v>81</v>
      </c>
      <c r="B88" s="110">
        <v>440</v>
      </c>
      <c r="C88" s="70">
        <v>6.8649886E-3</v>
      </c>
      <c r="D88" s="15">
        <v>435</v>
      </c>
      <c r="E88" s="32">
        <f t="shared" si="42"/>
        <v>-1.1363636363636364E-2</v>
      </c>
      <c r="F88" s="18">
        <f>IF(ISNUMBER(D88), $B91 * E88, "")</f>
        <v>-1704.5454545454545</v>
      </c>
      <c r="G88" s="31">
        <v>430</v>
      </c>
      <c r="H88" s="32">
        <f t="shared" si="43"/>
        <v>-2.2727272727272728E-2</v>
      </c>
      <c r="I88" s="91">
        <f>IF(ISNUMBER(G88), $B91 * H88, "")</f>
        <v>-3409.090909090909</v>
      </c>
      <c r="J88" s="15">
        <v>432</v>
      </c>
      <c r="K88" s="32">
        <f t="shared" si="44"/>
        <v>-1.8181818181818181E-2</v>
      </c>
      <c r="L88" s="18">
        <f>IF(ISNUMBER(J88), $B91 * K88, "")</f>
        <v>-2727.272727272727</v>
      </c>
      <c r="M88" s="31">
        <v>437</v>
      </c>
      <c r="N88" s="32">
        <f t="shared" si="45"/>
        <v>-6.8181818181818179E-3</v>
      </c>
      <c r="O88" s="18">
        <f>IF(ISNUMBER(M88), $B91 * N88, "")</f>
        <v>-1022.7272727272726</v>
      </c>
      <c r="Q88" s="146"/>
      <c r="R88" s="146"/>
      <c r="S88" s="146"/>
    </row>
    <row r="89" spans="1:19">
      <c r="A89" s="109" t="s">
        <v>330</v>
      </c>
      <c r="B89" s="110">
        <v>328</v>
      </c>
      <c r="C89" s="70">
        <v>6.1349693000000002E-3</v>
      </c>
      <c r="D89" s="15">
        <v>332</v>
      </c>
      <c r="E89" s="32">
        <f t="shared" si="42"/>
        <v>1.2195121951219513E-2</v>
      </c>
      <c r="F89" s="18">
        <f>IF(ISNUMBER(D89), $B91 * E89, "")</f>
        <v>1829.2682926829268</v>
      </c>
      <c r="G89" s="31">
        <v>330</v>
      </c>
      <c r="H89" s="32">
        <f t="shared" si="43"/>
        <v>6.0975609756097563E-3</v>
      </c>
      <c r="I89" s="91">
        <f>IF(ISNUMBER(G89), $B91 * H89, "")</f>
        <v>914.63414634146341</v>
      </c>
      <c r="J89" s="15">
        <v>336</v>
      </c>
      <c r="K89" s="32">
        <f t="shared" si="44"/>
        <v>2.4390243902439025E-2</v>
      </c>
      <c r="L89" s="18">
        <f>IF(ISNUMBER(J89), $B91 * K89, "")</f>
        <v>3658.5365853658536</v>
      </c>
      <c r="M89" s="31">
        <v>342</v>
      </c>
      <c r="N89" s="32">
        <f t="shared" si="45"/>
        <v>4.2682926829268296E-2</v>
      </c>
      <c r="O89" s="18">
        <f>IF(ISNUMBER(M89), $B91 * N89, "")</f>
        <v>6402.4390243902444</v>
      </c>
      <c r="Q89" s="135"/>
      <c r="R89" s="136"/>
      <c r="S89" s="137"/>
    </row>
    <row r="90" spans="1:19" ht="17.25" thickBot="1">
      <c r="A90" s="114" t="s">
        <v>213</v>
      </c>
      <c r="B90" s="115">
        <v>510</v>
      </c>
      <c r="C90" s="72">
        <v>5.9171598000000002E-3</v>
      </c>
      <c r="D90" s="24">
        <v>518</v>
      </c>
      <c r="E90" s="25">
        <f t="shared" si="42"/>
        <v>1.5686274509803921E-2</v>
      </c>
      <c r="F90" s="94">
        <f>IF(ISNUMBER(D90), $B91 * E90, "")</f>
        <v>2352.9411764705883</v>
      </c>
      <c r="G90" s="92">
        <v>508</v>
      </c>
      <c r="H90" s="25">
        <f t="shared" si="43"/>
        <v>-3.9215686274509803E-3</v>
      </c>
      <c r="I90" s="93">
        <f>IF(ISNUMBER(G90), $B91 * H90, "")</f>
        <v>-588.23529411764707</v>
      </c>
      <c r="J90" s="24">
        <v>512</v>
      </c>
      <c r="K90" s="25">
        <f t="shared" si="44"/>
        <v>3.9215686274509803E-3</v>
      </c>
      <c r="L90" s="94">
        <f>IF(ISNUMBER(J90), $B91 * K90, "")</f>
        <v>588.23529411764707</v>
      </c>
      <c r="M90" s="92">
        <v>518</v>
      </c>
      <c r="N90" s="25">
        <f t="shared" si="45"/>
        <v>1.5686274509803921E-2</v>
      </c>
      <c r="O90" s="94">
        <f>IF(ISNUMBER(M90), $B91 * N90, "")</f>
        <v>2352.9411764705883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2.1569731172433773E-3</v>
      </c>
      <c r="F91" s="28">
        <f>SUM(F71:F90)</f>
        <v>6470.9193517301337</v>
      </c>
      <c r="G91" s="26" t="s">
        <v>258</v>
      </c>
      <c r="H91" s="27">
        <f>IF(COUNT(H71:H90), SUM(H71:H90) / COUNT(H71:H90), 0)</f>
        <v>-1.880779087161585E-2</v>
      </c>
      <c r="I91" s="28">
        <f>SUM(I71:I90)</f>
        <v>-56423.372614847583</v>
      </c>
      <c r="J91" s="26" t="s">
        <v>258</v>
      </c>
      <c r="K91" s="27">
        <f>IF(COUNT(K71:K90), SUM(K71:K90) / COUNT(K71:K90), 0)</f>
        <v>-8.1825143236325358E-3</v>
      </c>
      <c r="L91" s="28">
        <f>SUM(L71:L90)</f>
        <v>-24547.542970897612</v>
      </c>
      <c r="M91" s="26" t="s">
        <v>258</v>
      </c>
      <c r="N91" s="27">
        <f>IF(COUNT(N71:N90), SUM(N71:N90) / COUNT(N71:N90), 0)</f>
        <v>8.2061059481228944E-3</v>
      </c>
      <c r="O91" s="28">
        <f>SUM(O71:O90)</f>
        <v>24618.317844368685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2023-01-18(수) 오전 00:00</v>
      </c>
      <c r="C96" s="198"/>
      <c r="D96" s="170" t="str">
        <f>TEXT($G$1, "[$-ko-KR]yyyy-mm-dd(ddd) ") &amp; "오후 14:00"</f>
        <v>2023-01-18(수) 오후 14:00</v>
      </c>
      <c r="E96" s="171"/>
      <c r="F96" s="172"/>
      <c r="G96" s="170" t="str">
        <f>TEXT($G$1, "[$-ko-KR]yyyy-mm-dd(ddd) ") &amp; "오후 19:00"</f>
        <v>2023-01-18(수) 오후 19:00</v>
      </c>
      <c r="H96" s="171"/>
      <c r="I96" s="172"/>
      <c r="J96" s="170" t="str">
        <f>TEXT($G$1, "[$-ko-KR]yyyy-mm-dd(ddd) ") &amp; "오후 21:00"</f>
        <v>2023-01-18(수) 오후 21:00</v>
      </c>
      <c r="K96" s="171"/>
      <c r="L96" s="172"/>
      <c r="M96" s="170" t="str">
        <f>TEXT($G$1+1, "[$-ko-KR]yyyy-mm-dd(ddd) ") &amp; "오전 00:00"</f>
        <v>2023-01-19(목)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185</v>
      </c>
      <c r="B98" s="108">
        <v>42.9</v>
      </c>
      <c r="C98" s="69">
        <v>0.39739413680000002</v>
      </c>
      <c r="D98" s="13">
        <v>39.9</v>
      </c>
      <c r="E98" s="14">
        <f>IF(ISNUMBER(D98), (D98 - $B98) / $B98, "")</f>
        <v>-6.9930069930069935E-2</v>
      </c>
      <c r="F98" s="16">
        <f>IF(ISNUMBER(D98), $B118 * E98, "")</f>
        <v>-10489.510489510491</v>
      </c>
      <c r="G98" s="29">
        <v>37.9</v>
      </c>
      <c r="H98" s="14">
        <f>IF(ISNUMBER(G98), (G98 - $B98) / $B98, "")</f>
        <v>-0.11655011655011656</v>
      </c>
      <c r="I98" s="90">
        <f>IF(ISNUMBER(G98), $B118 * H98, "")</f>
        <v>-17482.517482517484</v>
      </c>
      <c r="J98" s="13">
        <v>38.200000000000003</v>
      </c>
      <c r="K98" s="14">
        <f>IF(ISNUMBER(J98), (J98 - $B98) / $B98, "")</f>
        <v>-0.10955710955710946</v>
      </c>
      <c r="L98" s="16">
        <f>IF(ISNUMBER(J98), $B118 * K98, "")</f>
        <v>-16433.566433566419</v>
      </c>
      <c r="M98" s="29">
        <v>38.6</v>
      </c>
      <c r="N98" s="14">
        <f>IF(ISNUMBER(M98), (M98 - $B98) / $B98, "")</f>
        <v>-0.10023310023310017</v>
      </c>
      <c r="O98" s="16">
        <f>IF(ISNUMBER(M98), $B118 * N98, "")</f>
        <v>-15034.965034965026</v>
      </c>
      <c r="Q98" s="156"/>
      <c r="R98" s="156"/>
      <c r="S98" s="156"/>
    </row>
    <row r="99" spans="1:19" ht="17.25" thickBot="1">
      <c r="A99" s="109" t="s">
        <v>107</v>
      </c>
      <c r="B99" s="110">
        <v>49.6</v>
      </c>
      <c r="C99" s="70">
        <v>0.17535545020000001</v>
      </c>
      <c r="D99" s="15">
        <v>45</v>
      </c>
      <c r="E99" s="32">
        <f t="shared" ref="E99:E102" si="46">IF(ISNUMBER(D99), (D99 - $B99) / $B99, "")</f>
        <v>-9.2741935483870996E-2</v>
      </c>
      <c r="F99" s="18">
        <f>IF(ISNUMBER(D99), $B118 * E99, "")</f>
        <v>-13911.290322580649</v>
      </c>
      <c r="G99" s="31">
        <v>43.6</v>
      </c>
      <c r="H99" s="32">
        <f t="shared" ref="H99:H102" si="47">IF(ISNUMBER(G99), (G99 - $B99) / $B99, "")</f>
        <v>-0.12096774193548386</v>
      </c>
      <c r="I99" s="91">
        <f>IF(ISNUMBER(G99), $B118 * H99, "")</f>
        <v>-18145.16129032258</v>
      </c>
      <c r="J99" s="15">
        <v>44.3</v>
      </c>
      <c r="K99" s="32">
        <f t="shared" ref="K99:K102" si="48">IF(ISNUMBER(J99), (J99 - $B99) / $B99, "")</f>
        <v>-0.1068548387096775</v>
      </c>
      <c r="L99" s="18">
        <f>IF(ISNUMBER(J99), $B118 * K99, "")</f>
        <v>-16028.225806451626</v>
      </c>
      <c r="M99" s="31">
        <v>44.2</v>
      </c>
      <c r="N99" s="32">
        <f t="shared" ref="N99:N102" si="49">IF(ISNUMBER(M99), (M99 - $B99) / $B99, "")</f>
        <v>-0.10887096774193546</v>
      </c>
      <c r="O99" s="18">
        <f>IF(ISNUMBER(M99), $B118 * N99, "")</f>
        <v>-16330.645161290318</v>
      </c>
      <c r="Q99" s="156"/>
      <c r="R99" s="156"/>
      <c r="S99" s="156"/>
    </row>
    <row r="100" spans="1:19" ht="17.25" thickBot="1">
      <c r="A100" s="109" t="s">
        <v>337</v>
      </c>
      <c r="B100" s="110">
        <v>111700</v>
      </c>
      <c r="C100" s="70">
        <v>0.11532700949999999</v>
      </c>
      <c r="D100" s="15">
        <v>105800</v>
      </c>
      <c r="E100" s="32">
        <f t="shared" si="46"/>
        <v>-5.2820053715308866E-2</v>
      </c>
      <c r="F100" s="18">
        <f>IF(ISNUMBER(D100), $B118 * E100, "")</f>
        <v>-7923.0080572963298</v>
      </c>
      <c r="G100" s="31">
        <v>104650</v>
      </c>
      <c r="H100" s="32">
        <f t="shared" si="47"/>
        <v>-6.311548791405551E-2</v>
      </c>
      <c r="I100" s="91">
        <f>IF(ISNUMBER(G100), $B118 * H100, "")</f>
        <v>-9467.3231871083262</v>
      </c>
      <c r="J100" s="15">
        <v>104150</v>
      </c>
      <c r="K100" s="32">
        <f t="shared" si="48"/>
        <v>-6.7591763652640996E-2</v>
      </c>
      <c r="L100" s="18">
        <f>IF(ISNUMBER(J100), $B118 * K100, "")</f>
        <v>-10138.764547896149</v>
      </c>
      <c r="M100" s="31">
        <v>108600</v>
      </c>
      <c r="N100" s="32">
        <f t="shared" si="49"/>
        <v>-2.775290957923008E-2</v>
      </c>
      <c r="O100" s="18">
        <f>IF(ISNUMBER(M100), $B118 * N100, "")</f>
        <v>-4162.9364368845117</v>
      </c>
      <c r="Q100" s="146"/>
      <c r="R100" s="146"/>
      <c r="S100" s="146"/>
    </row>
    <row r="101" spans="1:19" ht="17.25" thickBot="1">
      <c r="A101" s="109" t="s">
        <v>132</v>
      </c>
      <c r="B101" s="110">
        <v>58.7</v>
      </c>
      <c r="C101" s="70">
        <v>0.10754716979999999</v>
      </c>
      <c r="D101" s="15">
        <v>54.7</v>
      </c>
      <c r="E101" s="32">
        <f t="shared" si="46"/>
        <v>-6.8143100511073251E-2</v>
      </c>
      <c r="F101" s="18">
        <f>IF(ISNUMBER(D101), $B118 * E101, "")</f>
        <v>-10221.465076660988</v>
      </c>
      <c r="G101" s="31">
        <v>54</v>
      </c>
      <c r="H101" s="32">
        <f t="shared" si="47"/>
        <v>-8.0068143100511122E-2</v>
      </c>
      <c r="I101" s="91">
        <f>IF(ISNUMBER(G101), $B118 * H101, "")</f>
        <v>-12010.221465076669</v>
      </c>
      <c r="J101" s="15">
        <v>54.6</v>
      </c>
      <c r="K101" s="32">
        <f t="shared" si="48"/>
        <v>-6.9846678023850112E-2</v>
      </c>
      <c r="L101" s="18">
        <f>IF(ISNUMBER(J101), $B118 * K101, "")</f>
        <v>-10477.001703577516</v>
      </c>
      <c r="M101" s="31">
        <v>54.8</v>
      </c>
      <c r="N101" s="32">
        <f t="shared" si="49"/>
        <v>-6.6439522998296516E-2</v>
      </c>
      <c r="O101" s="18">
        <f>IF(ISNUMBER(M101), $B118 * N101, "")</f>
        <v>-9965.9284497444769</v>
      </c>
      <c r="Q101" s="146"/>
      <c r="R101" s="146"/>
      <c r="S101" s="146"/>
    </row>
    <row r="102" spans="1:19" ht="17.25" thickBot="1">
      <c r="A102" s="111" t="s">
        <v>205</v>
      </c>
      <c r="B102" s="112">
        <v>126</v>
      </c>
      <c r="C102" s="71">
        <v>9.5652173899999998E-2</v>
      </c>
      <c r="D102" s="20">
        <v>118</v>
      </c>
      <c r="E102" s="21">
        <f t="shared" si="46"/>
        <v>-6.3492063492063489E-2</v>
      </c>
      <c r="F102" s="22">
        <f>IF(ISNUMBER(D102), $B118 * E102, "")</f>
        <v>-9523.8095238095229</v>
      </c>
      <c r="G102" s="30">
        <v>117</v>
      </c>
      <c r="H102" s="21">
        <f t="shared" si="47"/>
        <v>-7.1428571428571425E-2</v>
      </c>
      <c r="I102" s="95">
        <f>IF(ISNUMBER(G102), $B118 * H102, "")</f>
        <v>-10714.285714285714</v>
      </c>
      <c r="J102" s="20">
        <v>117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118</v>
      </c>
      <c r="N102" s="21">
        <f t="shared" si="49"/>
        <v>-6.3492063492063489E-2</v>
      </c>
      <c r="O102" s="22">
        <f>IF(ISNUMBER(M102), $B118 * N102, "")</f>
        <v>-9523.8095238095229</v>
      </c>
      <c r="Q102" s="146"/>
      <c r="R102" s="146"/>
      <c r="S102" s="146"/>
    </row>
    <row r="103" spans="1:19" ht="17.25" thickBot="1">
      <c r="A103" s="109" t="s">
        <v>193</v>
      </c>
      <c r="B103" s="113">
        <v>21</v>
      </c>
      <c r="C103" s="73">
        <v>9.375E-2</v>
      </c>
      <c r="D103" s="96">
        <v>19.7</v>
      </c>
      <c r="E103" s="97">
        <f>IF(ISNUMBER(D103), (D103 - $B103) / $B103, "")</f>
        <v>-6.1904761904761942E-2</v>
      </c>
      <c r="F103" s="98">
        <f>IF(ISNUMBER(D103), $B118 * E103, "")</f>
        <v>-9285.7142857142917</v>
      </c>
      <c r="G103" s="99">
        <v>19.2</v>
      </c>
      <c r="H103" s="97">
        <f>IF(ISNUMBER(G103), (G103 - $B103) / $B103, "")</f>
        <v>-8.5714285714285743E-2</v>
      </c>
      <c r="I103" s="100">
        <f>IF(ISNUMBER(G103), $B118 * H103, "")</f>
        <v>-12857.142857142861</v>
      </c>
      <c r="J103" s="96">
        <v>19.5</v>
      </c>
      <c r="K103" s="97">
        <f>IF(ISNUMBER(J103), (J103 - $B103) / $B103, "")</f>
        <v>-7.1428571428571425E-2</v>
      </c>
      <c r="L103" s="98">
        <f>IF(ISNUMBER(J103), $B118 * K103, "")</f>
        <v>-10714.285714285714</v>
      </c>
      <c r="M103" s="99">
        <v>19.7</v>
      </c>
      <c r="N103" s="97">
        <f>IF(ISNUMBER(M103), (M103 - $B103) / $B103, "")</f>
        <v>-6.1904761904761942E-2</v>
      </c>
      <c r="O103" s="98">
        <f>IF(ISNUMBER(M103), $B118 * N103, "")</f>
        <v>-9285.7142857142917</v>
      </c>
      <c r="Q103" s="146"/>
      <c r="R103" s="146"/>
      <c r="S103" s="146"/>
    </row>
    <row r="104" spans="1:19" ht="17.25" thickBot="1">
      <c r="A104" s="109" t="s">
        <v>109</v>
      </c>
      <c r="B104" s="110">
        <v>1215</v>
      </c>
      <c r="C104" s="70">
        <v>6.5789473700000003E-2</v>
      </c>
      <c r="D104" s="15">
        <v>1190</v>
      </c>
      <c r="E104" s="32">
        <f t="shared" ref="E104:E107" si="50">IF(ISNUMBER(D104), (D104 - $B104) / $B104, "")</f>
        <v>-2.0576131687242798E-2</v>
      </c>
      <c r="F104" s="18">
        <f>IF(ISNUMBER(D104), $B118 * E104, "")</f>
        <v>-3086.4197530864199</v>
      </c>
      <c r="G104" s="31">
        <v>1155</v>
      </c>
      <c r="H104" s="32">
        <f t="shared" ref="H104:H107" si="51">IF(ISNUMBER(G104), (G104 - $B104) / $B104, "")</f>
        <v>-4.9382716049382713E-2</v>
      </c>
      <c r="I104" s="91">
        <f>IF(ISNUMBER(G104), $B118 * H104, "")</f>
        <v>-7407.4074074074069</v>
      </c>
      <c r="J104" s="15">
        <v>1160</v>
      </c>
      <c r="K104" s="32">
        <f t="shared" ref="K104:K107" si="52">IF(ISNUMBER(J104), (J104 - $B104) / $B104, "")</f>
        <v>-4.5267489711934158E-2</v>
      </c>
      <c r="L104" s="18">
        <f>IF(ISNUMBER(J104), $B118 * K104, "")</f>
        <v>-6790.1234567901238</v>
      </c>
      <c r="M104" s="31">
        <v>1185</v>
      </c>
      <c r="N104" s="32">
        <f t="shared" ref="N104:N107" si="53">IF(ISNUMBER(M104), (M104 - $B104) / $B104, "")</f>
        <v>-2.4691358024691357E-2</v>
      </c>
      <c r="O104" s="18">
        <f>IF(ISNUMBER(M104), $B118 * N104, "")</f>
        <v>-3703.7037037037035</v>
      </c>
      <c r="Q104" s="146"/>
      <c r="R104" s="146"/>
      <c r="S104" s="146"/>
    </row>
    <row r="105" spans="1:19" ht="17.25" thickBot="1">
      <c r="A105" s="109" t="s">
        <v>221</v>
      </c>
      <c r="B105" s="110">
        <v>22.8</v>
      </c>
      <c r="C105" s="70">
        <v>6.5420560700000005E-2</v>
      </c>
      <c r="D105" s="15">
        <v>22.4</v>
      </c>
      <c r="E105" s="32">
        <f t="shared" si="50"/>
        <v>-1.75438596491229E-2</v>
      </c>
      <c r="F105" s="18">
        <f>IF(ISNUMBER(D105), $B118 * E105, "")</f>
        <v>-2631.5789473684349</v>
      </c>
      <c r="G105" s="31">
        <v>22</v>
      </c>
      <c r="H105" s="32">
        <f t="shared" si="51"/>
        <v>-3.5087719298245647E-2</v>
      </c>
      <c r="I105" s="91">
        <f>IF(ISNUMBER(G105), $B118 * H105, "")</f>
        <v>-5263.1578947368471</v>
      </c>
      <c r="J105" s="15">
        <v>22.2</v>
      </c>
      <c r="K105" s="32">
        <f t="shared" si="52"/>
        <v>-2.6315789473684272E-2</v>
      </c>
      <c r="L105" s="18">
        <f>IF(ISNUMBER(J105), $B118 * K105, "")</f>
        <v>-3947.3684210526408</v>
      </c>
      <c r="M105" s="31">
        <v>22.5</v>
      </c>
      <c r="N105" s="32">
        <f t="shared" si="53"/>
        <v>-1.3157894736842136E-2</v>
      </c>
      <c r="O105" s="18">
        <f>IF(ISNUMBER(M105), $B118 * N105, "")</f>
        <v>-1973.6842105263204</v>
      </c>
      <c r="Q105" s="146"/>
      <c r="R105" s="146"/>
      <c r="S105" s="146"/>
    </row>
    <row r="106" spans="1:19" ht="17.25" thickBot="1">
      <c r="A106" s="109" t="s">
        <v>349</v>
      </c>
      <c r="B106" s="110">
        <v>28.7</v>
      </c>
      <c r="C106" s="70">
        <v>5.9040590400000002E-2</v>
      </c>
      <c r="D106" s="15">
        <v>27.3</v>
      </c>
      <c r="E106" s="32">
        <f t="shared" si="50"/>
        <v>-4.8780487804878002E-2</v>
      </c>
      <c r="F106" s="18">
        <f>IF(ISNUMBER(D106), $B118 * E106, "")</f>
        <v>-7317.0731707317</v>
      </c>
      <c r="G106" s="31">
        <v>27.1</v>
      </c>
      <c r="H106" s="32">
        <f t="shared" si="51"/>
        <v>-5.5749128919860558E-2</v>
      </c>
      <c r="I106" s="91">
        <f>IF(ISNUMBER(G106), $B118 * H106, "")</f>
        <v>-8362.3693379790839</v>
      </c>
      <c r="J106" s="15">
        <v>27.3</v>
      </c>
      <c r="K106" s="32">
        <f t="shared" si="52"/>
        <v>-4.8780487804878002E-2</v>
      </c>
      <c r="L106" s="18">
        <f>IF(ISNUMBER(J106), $B118 * K106, "")</f>
        <v>-7317.0731707317</v>
      </c>
      <c r="M106" s="31">
        <v>27.5</v>
      </c>
      <c r="N106" s="32">
        <f t="shared" si="53"/>
        <v>-4.1811846689895446E-2</v>
      </c>
      <c r="O106" s="18">
        <f>IF(ISNUMBER(M106), $B118 * N106, "")</f>
        <v>-6271.777003484317</v>
      </c>
      <c r="Q106" s="33"/>
      <c r="R106" s="33"/>
    </row>
    <row r="107" spans="1:19" ht="17.25" thickBot="1">
      <c r="A107" s="114" t="s">
        <v>227</v>
      </c>
      <c r="B107" s="115">
        <v>45.1</v>
      </c>
      <c r="C107" s="72">
        <v>5.8685446000000002E-2</v>
      </c>
      <c r="D107" s="24">
        <v>43.6</v>
      </c>
      <c r="E107" s="25">
        <f t="shared" si="50"/>
        <v>-3.325942350332594E-2</v>
      </c>
      <c r="F107" s="94">
        <f>IF(ISNUMBER(D107), $B118 * E107, "")</f>
        <v>-4988.9135254988905</v>
      </c>
      <c r="G107" s="92">
        <v>42.5</v>
      </c>
      <c r="H107" s="25">
        <f t="shared" si="51"/>
        <v>-5.7649667405765E-2</v>
      </c>
      <c r="I107" s="93">
        <f>IF(ISNUMBER(G107), $B118 * H107, "")</f>
        <v>-8647.4501108647491</v>
      </c>
      <c r="J107" s="24">
        <v>43</v>
      </c>
      <c r="K107" s="25">
        <f t="shared" si="52"/>
        <v>-4.6563192904656346E-2</v>
      </c>
      <c r="L107" s="94">
        <f>IF(ISNUMBER(J107), $B118 * K107, "")</f>
        <v>-6984.478935698452</v>
      </c>
      <c r="M107" s="92">
        <v>43.4</v>
      </c>
      <c r="N107" s="25">
        <f t="shared" si="53"/>
        <v>-3.7694013303769466E-2</v>
      </c>
      <c r="O107" s="94">
        <f>IF(ISNUMBER(M107), $B118 * N107, "")</f>
        <v>-5654.1019955654201</v>
      </c>
      <c r="Q107" s="147"/>
      <c r="R107" s="148"/>
      <c r="S107" s="149"/>
    </row>
    <row r="108" spans="1:19">
      <c r="A108" s="107" t="s">
        <v>95</v>
      </c>
      <c r="B108" s="108">
        <v>1325</v>
      </c>
      <c r="C108" s="69">
        <v>5.57768924E-2</v>
      </c>
      <c r="D108" s="13">
        <v>1275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1245</v>
      </c>
      <c r="H108" s="14">
        <f>IF(ISNUMBER(G108), (G108 - $B108) / $B108, "")</f>
        <v>-6.0377358490566038E-2</v>
      </c>
      <c r="I108" s="90">
        <f>IF(ISNUMBER(G108), $B118 * H108, "")</f>
        <v>-9056.6037735849059</v>
      </c>
      <c r="J108" s="13">
        <v>1245</v>
      </c>
      <c r="K108" s="14">
        <f>IF(ISNUMBER(J108), (J108 - $B108) / $B108, "")</f>
        <v>-6.0377358490566038E-2</v>
      </c>
      <c r="L108" s="16">
        <f>IF(ISNUMBER(J108), $B118 * K108, "")</f>
        <v>-9056.6037735849059</v>
      </c>
      <c r="M108" s="29">
        <v>1280</v>
      </c>
      <c r="N108" s="14">
        <f>IF(ISNUMBER(M108), (M108 - $B108) / $B108, "")</f>
        <v>-3.3962264150943396E-2</v>
      </c>
      <c r="O108" s="16">
        <f>IF(ISNUMBER(M108), $B118 * N108, "")</f>
        <v>-5094.3396226415098</v>
      </c>
      <c r="Q108" s="150"/>
      <c r="R108" s="151"/>
      <c r="S108" s="152"/>
    </row>
    <row r="109" spans="1:19" ht="17.25" thickBot="1">
      <c r="A109" s="109" t="s">
        <v>64</v>
      </c>
      <c r="B109" s="110">
        <v>12.2</v>
      </c>
      <c r="C109" s="70">
        <v>5.1724137900000001E-2</v>
      </c>
      <c r="D109" s="15">
        <v>11.8</v>
      </c>
      <c r="E109" s="32">
        <f t="shared" ref="E109:E112" si="54">IF(ISNUMBER(D109), (D109 - $B109) / $B109, "")</f>
        <v>-3.2786885245901523E-2</v>
      </c>
      <c r="F109" s="18">
        <f>IF(ISNUMBER(D109), $B118 * E109, "")</f>
        <v>-4918.0327868852282</v>
      </c>
      <c r="G109" s="31">
        <v>11.7</v>
      </c>
      <c r="H109" s="32">
        <f t="shared" ref="H109:H112" si="55">IF(ISNUMBER(G109), (G109 - $B109) / $B109, "")</f>
        <v>-4.0983606557377053E-2</v>
      </c>
      <c r="I109" s="91">
        <f>IF(ISNUMBER(G109), $B118 * H109, "")</f>
        <v>-6147.5409836065583</v>
      </c>
      <c r="J109" s="15">
        <v>11.6</v>
      </c>
      <c r="K109" s="32">
        <f t="shared" ref="K109:K112" si="56">IF(ISNUMBER(J109), (J109 - $B109) / $B109, "")</f>
        <v>-4.918032786885243E-2</v>
      </c>
      <c r="L109" s="18">
        <f>IF(ISNUMBER(J109), $B118 * K109, "")</f>
        <v>-7377.0491803278646</v>
      </c>
      <c r="M109" s="31">
        <v>11.9</v>
      </c>
      <c r="N109" s="32">
        <f t="shared" ref="N109:N112" si="57">IF(ISNUMBER(M109), (M109 - $B109) / $B109, "")</f>
        <v>-2.4590163934426142E-2</v>
      </c>
      <c r="O109" s="18">
        <f>IF(ISNUMBER(M109), $B118 * N109, "")</f>
        <v>-3688.5245901639214</v>
      </c>
      <c r="Q109" s="153"/>
      <c r="R109" s="154"/>
      <c r="S109" s="155"/>
    </row>
    <row r="110" spans="1:19" ht="17.25" thickBot="1">
      <c r="A110" s="109" t="s">
        <v>138</v>
      </c>
      <c r="B110" s="110">
        <v>29.7</v>
      </c>
      <c r="C110" s="70">
        <v>4.9469964700000001E-2</v>
      </c>
      <c r="D110" s="15">
        <v>30.3</v>
      </c>
      <c r="E110" s="32">
        <f t="shared" si="54"/>
        <v>2.0202020202020249E-2</v>
      </c>
      <c r="F110" s="18">
        <f>IF(ISNUMBER(D110), $B118 * E110, "")</f>
        <v>3030.3030303030373</v>
      </c>
      <c r="G110" s="31">
        <v>31.2</v>
      </c>
      <c r="H110" s="32">
        <f t="shared" si="55"/>
        <v>5.0505050505050504E-2</v>
      </c>
      <c r="I110" s="91">
        <f>IF(ISNUMBER(G110), $B118 * H110, "")</f>
        <v>7575.757575757576</v>
      </c>
      <c r="J110" s="15">
        <v>29.5</v>
      </c>
      <c r="K110" s="32">
        <f t="shared" si="56"/>
        <v>-6.7340067340067103E-3</v>
      </c>
      <c r="L110" s="18">
        <f>IF(ISNUMBER(J110), $B118 * K110, "")</f>
        <v>-1010.1010101010065</v>
      </c>
      <c r="M110" s="31">
        <v>29.6</v>
      </c>
      <c r="N110" s="32">
        <f t="shared" si="57"/>
        <v>-3.3670033670032953E-3</v>
      </c>
      <c r="O110" s="18">
        <f>IF(ISNUMBER(M110), $B118 * N110, "")</f>
        <v>-505.05050505049428</v>
      </c>
      <c r="Q110" s="146"/>
      <c r="R110" s="146"/>
      <c r="S110" s="146"/>
    </row>
    <row r="111" spans="1:19" ht="17.25" thickBot="1">
      <c r="A111" s="109" t="s">
        <v>124</v>
      </c>
      <c r="B111" s="110">
        <v>34.6</v>
      </c>
      <c r="C111" s="70">
        <v>4.5317220499999998E-2</v>
      </c>
      <c r="D111" s="15">
        <v>33.9</v>
      </c>
      <c r="E111" s="32">
        <f t="shared" si="54"/>
        <v>-2.023121387283245E-2</v>
      </c>
      <c r="F111" s="18">
        <f>IF(ISNUMBER(D111), $B118 * E111, "")</f>
        <v>-3034.6820809248675</v>
      </c>
      <c r="G111" s="31">
        <v>33.299999999999997</v>
      </c>
      <c r="H111" s="32">
        <f t="shared" si="55"/>
        <v>-3.7572254335260236E-2</v>
      </c>
      <c r="I111" s="91">
        <f>IF(ISNUMBER(G111), $B118 * H111, "")</f>
        <v>-5635.8381502890352</v>
      </c>
      <c r="J111" s="15">
        <v>33.799999999999997</v>
      </c>
      <c r="K111" s="32">
        <f t="shared" si="56"/>
        <v>-2.3121387283237118E-2</v>
      </c>
      <c r="L111" s="18">
        <f>IF(ISNUMBER(J111), $B118 * K111, "")</f>
        <v>-3468.2080924855677</v>
      </c>
      <c r="M111" s="31">
        <v>33.9</v>
      </c>
      <c r="N111" s="32">
        <f t="shared" si="57"/>
        <v>-2.023121387283245E-2</v>
      </c>
      <c r="O111" s="18">
        <f>IF(ISNUMBER(M111), $B118 * N111, "")</f>
        <v>-3034.6820809248675</v>
      </c>
      <c r="Q111" s="156"/>
      <c r="R111" s="156"/>
      <c r="S111" s="156"/>
    </row>
    <row r="112" spans="1:19" ht="17.25" thickBot="1">
      <c r="A112" s="111" t="s">
        <v>347</v>
      </c>
      <c r="B112" s="112">
        <v>21790</v>
      </c>
      <c r="C112" s="71">
        <v>4.5083932899999998E-2</v>
      </c>
      <c r="D112" s="20">
        <v>21620</v>
      </c>
      <c r="E112" s="21">
        <f t="shared" si="54"/>
        <v>-7.8017439192290044E-3</v>
      </c>
      <c r="F112" s="22">
        <f>IF(ISNUMBER(D112), $B118 * E112, "")</f>
        <v>-1170.2615878843508</v>
      </c>
      <c r="G112" s="30">
        <v>21140</v>
      </c>
      <c r="H112" s="21">
        <f t="shared" si="55"/>
        <v>-2.9830197338228545E-2</v>
      </c>
      <c r="I112" s="95">
        <f>IF(ISNUMBER(G112), $B118 * H112, "")</f>
        <v>-4474.5296007342822</v>
      </c>
      <c r="J112" s="20">
        <v>20990</v>
      </c>
      <c r="K112" s="21">
        <f t="shared" si="56"/>
        <v>-3.6714089031665904E-2</v>
      </c>
      <c r="L112" s="22">
        <f>IF(ISNUMBER(J112), $B118 * K112, "")</f>
        <v>-5507.1133547498857</v>
      </c>
      <c r="M112" s="30">
        <v>21300</v>
      </c>
      <c r="N112" s="21">
        <f t="shared" si="57"/>
        <v>-2.2487379531895366E-2</v>
      </c>
      <c r="O112" s="22">
        <f>IF(ISNUMBER(M112), $B118 * N112, "")</f>
        <v>-3373.1069297843051</v>
      </c>
      <c r="Q112" s="156"/>
      <c r="R112" s="156"/>
      <c r="S112" s="156"/>
    </row>
    <row r="113" spans="1:19" ht="17.25" thickBot="1">
      <c r="A113" s="109" t="s">
        <v>105</v>
      </c>
      <c r="B113" s="113">
        <v>246</v>
      </c>
      <c r="C113" s="73">
        <v>4.23728814E-2</v>
      </c>
      <c r="D113" s="96">
        <v>242</v>
      </c>
      <c r="E113" s="97">
        <f>IF(ISNUMBER(D113), (D113 - $B113) / $B113, "")</f>
        <v>-1.6260162601626018E-2</v>
      </c>
      <c r="F113" s="98">
        <f>IF(ISNUMBER(D113), $B118 * E113, "")</f>
        <v>-2439.0243902439029</v>
      </c>
      <c r="G113" s="99">
        <v>235</v>
      </c>
      <c r="H113" s="97">
        <f>IF(ISNUMBER(G113), (G113 - $B113) / $B113, "")</f>
        <v>-4.4715447154471545E-2</v>
      </c>
      <c r="I113" s="100">
        <f>IF(ISNUMBER(G113), $B118 * H113, "")</f>
        <v>-6707.3170731707314</v>
      </c>
      <c r="J113" s="96">
        <v>235</v>
      </c>
      <c r="K113" s="97">
        <f>IF(ISNUMBER(J113), (J113 - $B113) / $B113, "")</f>
        <v>-4.4715447154471545E-2</v>
      </c>
      <c r="L113" s="98">
        <f>IF(ISNUMBER(J113), $B118 * K113, "")</f>
        <v>-6707.3170731707314</v>
      </c>
      <c r="M113" s="99">
        <v>241</v>
      </c>
      <c r="N113" s="97">
        <f>IF(ISNUMBER(M113), (M113 - $B113) / $B113, "")</f>
        <v>-2.032520325203252E-2</v>
      </c>
      <c r="O113" s="98">
        <f>IF(ISNUMBER(M113), $B118 * N113, "")</f>
        <v>-3048.7804878048778</v>
      </c>
      <c r="Q113" s="146"/>
      <c r="R113" s="146"/>
      <c r="S113" s="146"/>
    </row>
    <row r="114" spans="1:19" ht="17.25" thickBot="1">
      <c r="A114" s="109" t="s">
        <v>191</v>
      </c>
      <c r="B114" s="110">
        <v>61.7</v>
      </c>
      <c r="C114" s="70">
        <v>4.2229729700000003E-2</v>
      </c>
      <c r="D114" s="15">
        <v>58.7</v>
      </c>
      <c r="E114" s="32">
        <f t="shared" ref="E114:E117" si="58">IF(ISNUMBER(D114), (D114 - $B114) / $B114, "")</f>
        <v>-4.8622366288492702E-2</v>
      </c>
      <c r="F114" s="18">
        <f>IF(ISNUMBER(D114), $B118 * E114, "")</f>
        <v>-7293.3549432739055</v>
      </c>
      <c r="G114" s="31">
        <v>58</v>
      </c>
      <c r="H114" s="32">
        <f t="shared" ref="H114:H117" si="59">IF(ISNUMBER(G114), (G114 - $B114) / $B114, "")</f>
        <v>-5.9967585089141046E-2</v>
      </c>
      <c r="I114" s="91">
        <f>IF(ISNUMBER(G114), $B118 * H114, "")</f>
        <v>-8995.1377633711563</v>
      </c>
      <c r="J114" s="15">
        <v>58.2</v>
      </c>
      <c r="K114" s="32">
        <f t="shared" ref="K114:K117" si="60">IF(ISNUMBER(J114), (J114 - $B114) / $B114, "")</f>
        <v>-5.6726094003241488E-2</v>
      </c>
      <c r="L114" s="18">
        <f>IF(ISNUMBER(J114), $B118 * K114, "")</f>
        <v>-8508.9141004862231</v>
      </c>
      <c r="M114" s="31">
        <v>59</v>
      </c>
      <c r="N114" s="32">
        <f t="shared" ref="N114:N117" si="61">IF(ISNUMBER(M114), (M114 - $B114) / $B114, "")</f>
        <v>-4.3760129659643481E-2</v>
      </c>
      <c r="O114" s="18">
        <f>IF(ISNUMBER(M114), $B118 * N114, "")</f>
        <v>-6564.0194489465221</v>
      </c>
      <c r="Q114" s="146"/>
      <c r="R114" s="146"/>
      <c r="S114" s="146"/>
    </row>
    <row r="115" spans="1:19" ht="17.25" thickBot="1">
      <c r="A115" s="109" t="s">
        <v>207</v>
      </c>
      <c r="B115" s="110">
        <v>73</v>
      </c>
      <c r="C115" s="70">
        <v>3.6931818200000001E-2</v>
      </c>
      <c r="D115" s="15">
        <v>72</v>
      </c>
      <c r="E115" s="32">
        <f t="shared" si="58"/>
        <v>-1.3698630136986301E-2</v>
      </c>
      <c r="F115" s="18">
        <f>IF(ISNUMBER(D115), $B118 * E115, "")</f>
        <v>-2054.794520547945</v>
      </c>
      <c r="G115" s="31">
        <v>70.8</v>
      </c>
      <c r="H115" s="32">
        <f t="shared" si="59"/>
        <v>-3.0136986301369902E-2</v>
      </c>
      <c r="I115" s="91">
        <f>IF(ISNUMBER(G115), $B118 * H115, "")</f>
        <v>-4520.5479452054851</v>
      </c>
      <c r="J115" s="15">
        <v>71.099999999999994</v>
      </c>
      <c r="K115" s="32">
        <f t="shared" si="60"/>
        <v>-2.602739726027405E-2</v>
      </c>
      <c r="L115" s="18">
        <f>IF(ISNUMBER(J115), $B118 * K115, "")</f>
        <v>-3904.1095890411075</v>
      </c>
      <c r="M115" s="31">
        <v>71.900000000000006</v>
      </c>
      <c r="N115" s="32">
        <f t="shared" si="61"/>
        <v>-1.5068493150684854E-2</v>
      </c>
      <c r="O115" s="18">
        <f>IF(ISNUMBER(M115), $B118 * N115, "")</f>
        <v>-2260.273972602728</v>
      </c>
      <c r="Q115" s="146"/>
      <c r="R115" s="146"/>
      <c r="S115" s="146"/>
    </row>
    <row r="116" spans="1:19">
      <c r="A116" s="109" t="s">
        <v>111</v>
      </c>
      <c r="B116" s="110">
        <v>903</v>
      </c>
      <c r="C116" s="70">
        <v>3.5550458700000002E-2</v>
      </c>
      <c r="D116" s="15">
        <v>900</v>
      </c>
      <c r="E116" s="32">
        <f t="shared" si="58"/>
        <v>-3.3222591362126247E-3</v>
      </c>
      <c r="F116" s="18">
        <f>IF(ISNUMBER(D116), $B118 * E116, "")</f>
        <v>-498.33887043189372</v>
      </c>
      <c r="G116" s="31">
        <v>888</v>
      </c>
      <c r="H116" s="32">
        <f t="shared" si="59"/>
        <v>-1.6611295681063124E-2</v>
      </c>
      <c r="I116" s="91">
        <f>IF(ISNUMBER(G116), $B118 * H116, "")</f>
        <v>-2491.6943521594685</v>
      </c>
      <c r="J116" s="15">
        <v>915</v>
      </c>
      <c r="K116" s="32">
        <f t="shared" si="60"/>
        <v>1.3289036544850499E-2</v>
      </c>
      <c r="L116" s="18">
        <f>IF(ISNUMBER(J116), $B118 * K116, "")</f>
        <v>1993.3554817275749</v>
      </c>
      <c r="M116" s="31">
        <v>911</v>
      </c>
      <c r="N116" s="32">
        <f t="shared" si="61"/>
        <v>8.8593576965669985E-3</v>
      </c>
      <c r="O116" s="18">
        <f>IF(ISNUMBER(M116), $B118 * N116, "")</f>
        <v>1328.9036544850499</v>
      </c>
      <c r="Q116" s="135"/>
      <c r="R116" s="136"/>
      <c r="S116" s="137"/>
    </row>
    <row r="117" spans="1:19" ht="17.25" thickBot="1">
      <c r="A117" s="114" t="s">
        <v>128</v>
      </c>
      <c r="B117" s="115">
        <v>7460</v>
      </c>
      <c r="C117" s="72">
        <v>3.1811894899999998E-2</v>
      </c>
      <c r="D117" s="24">
        <v>7515</v>
      </c>
      <c r="E117" s="25">
        <f t="shared" si="58"/>
        <v>7.3726541554959783E-3</v>
      </c>
      <c r="F117" s="94">
        <f>IF(ISNUMBER(D117), $B118 * E117, "")</f>
        <v>1105.8981233243967</v>
      </c>
      <c r="G117" s="92">
        <v>7365</v>
      </c>
      <c r="H117" s="25">
        <f t="shared" si="59"/>
        <v>-1.2734584450402145E-2</v>
      </c>
      <c r="I117" s="93">
        <f>IF(ISNUMBER(G117), $B118 * H117, "")</f>
        <v>-1910.1876675603216</v>
      </c>
      <c r="J117" s="24">
        <v>7350</v>
      </c>
      <c r="K117" s="25">
        <f t="shared" si="60"/>
        <v>-1.4745308310991957E-2</v>
      </c>
      <c r="L117" s="94">
        <f>IF(ISNUMBER(J117), $B118 * K117, "")</f>
        <v>-2211.7962466487934</v>
      </c>
      <c r="M117" s="92">
        <v>7645</v>
      </c>
      <c r="N117" s="25">
        <f t="shared" si="61"/>
        <v>2.4798927613941018E-2</v>
      </c>
      <c r="O117" s="94">
        <f>IF(ISNUMBER(M117), $B118 * N117, "")</f>
        <v>3719.8391420911526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-3.4103816179104324E-2</v>
      </c>
      <c r="F118" s="28">
        <f>SUM(F98:F117)</f>
        <v>-102311.44853731297</v>
      </c>
      <c r="G118" s="26" t="s">
        <v>258</v>
      </c>
      <c r="H118" s="27">
        <f>IF(COUNT(H98:H117), SUM(H98:H117) / COUNT(H98:H117), 0)</f>
        <v>-5.0906892160455366E-2</v>
      </c>
      <c r="I118" s="28">
        <f>SUM(I98:I117)</f>
        <v>-152720.6764813661</v>
      </c>
      <c r="J118" s="26" t="s">
        <v>258</v>
      </c>
      <c r="K118" s="27">
        <f>IF(COUNT(K98:K117), SUM(K98:K117) / COUNT(K98:K117), 0)</f>
        <v>-4.843434361440152E-2</v>
      </c>
      <c r="L118" s="28">
        <f>SUM(L98:L117)</f>
        <v>-145303.03084320459</v>
      </c>
      <c r="M118" s="26" t="s">
        <v>258</v>
      </c>
      <c r="N118" s="27">
        <f>IF(COUNT(N98:N117), SUM(N98:N117) / COUNT(N98:N117), 0)</f>
        <v>-3.4809100215676972E-2</v>
      </c>
      <c r="O118" s="28">
        <f>SUM(O98:O117)</f>
        <v>-104427.3006470309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2023-01-18(수) 오전 00:00</v>
      </c>
      <c r="C123" s="198"/>
      <c r="D123" s="170" t="str">
        <f>TEXT($G$1, "[$-ko-KR]yyyy-mm-dd(ddd) ") &amp; "오후 14:00"</f>
        <v>2023-01-18(수) 오후 14:00</v>
      </c>
      <c r="E123" s="171"/>
      <c r="F123" s="172"/>
      <c r="G123" s="170" t="str">
        <f>TEXT($G$1, "[$-ko-KR]yyyy-mm-dd(ddd) ") &amp; "오후 19:00"</f>
        <v>2023-01-18(수) 오후 19:00</v>
      </c>
      <c r="H123" s="171"/>
      <c r="I123" s="172"/>
      <c r="J123" s="170" t="str">
        <f>TEXT($G$1, "[$-ko-KR]yyyy-mm-dd(ddd) ") &amp; "오후 21:00"</f>
        <v>2023-01-18(수) 오후 21:00</v>
      </c>
      <c r="K123" s="171"/>
      <c r="L123" s="172"/>
      <c r="M123" s="170" t="str">
        <f>TEXT($G$1+1, "[$-ko-KR]yyyy-mm-dd(ddd) ") &amp; "오전 00:00"</f>
        <v>2023-01-19(목)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333</v>
      </c>
      <c r="B125" s="108">
        <v>5</v>
      </c>
      <c r="C125" s="69">
        <v>2.6694045199999999E-2</v>
      </c>
      <c r="D125" s="13">
        <v>4.96</v>
      </c>
      <c r="E125" s="14">
        <f>IF(ISNUMBER(D125), (D125 - $B125) / $B125, "")</f>
        <v>-8.0000000000000071E-3</v>
      </c>
      <c r="F125" s="16">
        <f>IF(ISNUMBER(D125), $B145 * E125, "")</f>
        <v>-1200.0000000000011</v>
      </c>
      <c r="G125" s="29">
        <v>4.9000000000000004</v>
      </c>
      <c r="H125" s="14">
        <f>IF(ISNUMBER(G125), (G125 - $B125) / $B125, "")</f>
        <v>-1.9999999999999928E-2</v>
      </c>
      <c r="I125" s="90">
        <f>IF(ISNUMBER(G125), $B145 * H125, "")</f>
        <v>-2999.9999999999891</v>
      </c>
      <c r="J125" s="13">
        <v>4.91</v>
      </c>
      <c r="K125" s="14">
        <f>IF(ISNUMBER(J125), (J125 - $B125) / $B125, "")</f>
        <v>-1.7999999999999971E-2</v>
      </c>
      <c r="L125" s="16">
        <f>IF(ISNUMBER(J125), $B145 * K125, "")</f>
        <v>-2699.9999999999955</v>
      </c>
      <c r="M125" s="29">
        <v>4.9800000000000004</v>
      </c>
      <c r="N125" s="14">
        <f>IF(ISNUMBER(M125), (M125 - $B125) / $B125, "")</f>
        <v>-3.9999999999999151E-3</v>
      </c>
      <c r="O125" s="16">
        <f>IF(ISNUMBER(M125), $B145 * N125, "")</f>
        <v>-599.99999999998727</v>
      </c>
      <c r="Q125" s="156"/>
      <c r="R125" s="156"/>
      <c r="S125" s="156"/>
    </row>
    <row r="126" spans="1:19" ht="17.25" thickBot="1">
      <c r="A126" s="109" t="s">
        <v>237</v>
      </c>
      <c r="B126" s="110">
        <v>30.5</v>
      </c>
      <c r="C126" s="70">
        <v>2.34899329E-2</v>
      </c>
      <c r="D126" s="15">
        <v>30.3</v>
      </c>
      <c r="E126" s="32">
        <f t="shared" ref="E126:E129" si="62">IF(ISNUMBER(D126), (D126 - $B126) / $B126, "")</f>
        <v>-6.5573770491803044E-3</v>
      </c>
      <c r="F126" s="18">
        <f>IF(ISNUMBER(D126), $B145 * E126, "")</f>
        <v>-983.60655737704565</v>
      </c>
      <c r="G126" s="31">
        <v>29.8</v>
      </c>
      <c r="H126" s="32">
        <f t="shared" ref="H126:H129" si="63">IF(ISNUMBER(G126), (G126 - $B126) / $B126, "")</f>
        <v>-2.2950819672131126E-2</v>
      </c>
      <c r="I126" s="91">
        <f>IF(ISNUMBER(G126), $B145 * H126, "")</f>
        <v>-3442.6229508196689</v>
      </c>
      <c r="J126" s="15">
        <v>29.9</v>
      </c>
      <c r="K126" s="32">
        <f t="shared" ref="K126:K129" si="64">IF(ISNUMBER(J126), (J126 - $B126) / $B126, "")</f>
        <v>-1.967213114754103E-2</v>
      </c>
      <c r="L126" s="18">
        <f>IF(ISNUMBER(J126), $B145 * K126, "")</f>
        <v>-2950.8196721311547</v>
      </c>
      <c r="M126" s="31">
        <v>30.1</v>
      </c>
      <c r="N126" s="32">
        <f t="shared" ref="N126:N129" si="65">IF(ISNUMBER(M126), (M126 - $B126) / $B126, "")</f>
        <v>-1.3114754098360609E-2</v>
      </c>
      <c r="O126" s="18">
        <f>IF(ISNUMBER(M126), $B145 * N126, "")</f>
        <v>-1967.2131147540913</v>
      </c>
      <c r="Q126" s="156"/>
      <c r="R126" s="156"/>
      <c r="S126" s="156"/>
    </row>
    <row r="127" spans="1:19" ht="17.25" thickBot="1">
      <c r="A127" s="109" t="s">
        <v>203</v>
      </c>
      <c r="B127" s="110">
        <v>3.68</v>
      </c>
      <c r="C127" s="70">
        <v>2.2222222199999999E-2</v>
      </c>
      <c r="D127" s="15">
        <v>3.69</v>
      </c>
      <c r="E127" s="32">
        <f t="shared" si="62"/>
        <v>2.7173913043477679E-3</v>
      </c>
      <c r="F127" s="18">
        <f>IF(ISNUMBER(D127), $B145 * E127, "")</f>
        <v>407.60869565216518</v>
      </c>
      <c r="G127" s="31">
        <v>3.57</v>
      </c>
      <c r="H127" s="32">
        <f t="shared" si="63"/>
        <v>-2.9891304347826171E-2</v>
      </c>
      <c r="I127" s="91">
        <f>IF(ISNUMBER(G127), $B145 * H127, "")</f>
        <v>-4483.6956521739257</v>
      </c>
      <c r="J127" s="15">
        <v>3.61</v>
      </c>
      <c r="K127" s="32">
        <f t="shared" si="64"/>
        <v>-1.902173913043486E-2</v>
      </c>
      <c r="L127" s="18">
        <f>IF(ISNUMBER(J127), $B145 * K127, "")</f>
        <v>-2853.2608695652289</v>
      </c>
      <c r="M127" s="31">
        <v>3.64</v>
      </c>
      <c r="N127" s="32">
        <f t="shared" si="65"/>
        <v>-1.0869565217391313E-2</v>
      </c>
      <c r="O127" s="18">
        <f>IF(ISNUMBER(M127), $B145 * N127, "")</f>
        <v>-1630.4347826086969</v>
      </c>
      <c r="Q127" s="146"/>
      <c r="R127" s="146"/>
      <c r="S127" s="146"/>
    </row>
    <row r="128" spans="1:19" ht="17.25" thickBot="1">
      <c r="A128" s="109" t="s">
        <v>155</v>
      </c>
      <c r="B128" s="110">
        <v>30.9</v>
      </c>
      <c r="C128" s="70">
        <v>1.9801980199999999E-2</v>
      </c>
      <c r="D128" s="15">
        <v>31.1</v>
      </c>
      <c r="E128" s="32">
        <f t="shared" si="62"/>
        <v>6.4724919093852055E-3</v>
      </c>
      <c r="F128" s="18">
        <f>IF(ISNUMBER(D128), $B145 * E128, "")</f>
        <v>970.87378640778081</v>
      </c>
      <c r="G128" s="31">
        <v>30.8</v>
      </c>
      <c r="H128" s="32">
        <f t="shared" si="63"/>
        <v>-3.2362459546924878E-3</v>
      </c>
      <c r="I128" s="91">
        <f>IF(ISNUMBER(G128), $B145 * H128, "")</f>
        <v>-485.43689320387318</v>
      </c>
      <c r="J128" s="15">
        <v>31.1</v>
      </c>
      <c r="K128" s="32">
        <f t="shared" si="64"/>
        <v>6.4724919093852055E-3</v>
      </c>
      <c r="L128" s="18">
        <f>IF(ISNUMBER(J128), $B145 * K128, "")</f>
        <v>970.87378640778081</v>
      </c>
      <c r="M128" s="31">
        <v>31.2</v>
      </c>
      <c r="N128" s="32">
        <f t="shared" si="65"/>
        <v>9.7087378640776933E-3</v>
      </c>
      <c r="O128" s="18">
        <f>IF(ISNUMBER(M128), $B145 * N128, "")</f>
        <v>1456.310679611654</v>
      </c>
      <c r="Q128" s="146"/>
      <c r="R128" s="146"/>
      <c r="S128" s="146"/>
    </row>
    <row r="129" spans="1:19" ht="17.25" thickBot="1">
      <c r="A129" s="111" t="s">
        <v>195</v>
      </c>
      <c r="B129" s="112">
        <v>6.71</v>
      </c>
      <c r="C129" s="71">
        <v>1.97568389E-2</v>
      </c>
      <c r="D129" s="20">
        <v>6.71</v>
      </c>
      <c r="E129" s="21">
        <f t="shared" si="62"/>
        <v>0</v>
      </c>
      <c r="F129" s="22">
        <f>IF(ISNUMBER(D129), $B145 * E129, "")</f>
        <v>0</v>
      </c>
      <c r="G129" s="30">
        <v>6.54</v>
      </c>
      <c r="H129" s="21">
        <f t="shared" si="63"/>
        <v>-2.5335320417287619E-2</v>
      </c>
      <c r="I129" s="95">
        <f>IF(ISNUMBER(G129), $B145 * H129, "")</f>
        <v>-3800.2980625931427</v>
      </c>
      <c r="J129" s="20">
        <v>6.56</v>
      </c>
      <c r="K129" s="21">
        <f t="shared" si="64"/>
        <v>-2.235469448584208E-2</v>
      </c>
      <c r="L129" s="22">
        <f>IF(ISNUMBER(J129), $B145 * K129, "")</f>
        <v>-3353.204172876312</v>
      </c>
      <c r="M129" s="30">
        <v>6.68</v>
      </c>
      <c r="N129" s="21">
        <f t="shared" si="65"/>
        <v>-4.4709388971684427E-3</v>
      </c>
      <c r="O129" s="22">
        <f>IF(ISNUMBER(M129), $B145 * N129, "")</f>
        <v>-670.64083457526635</v>
      </c>
      <c r="Q129" s="146"/>
      <c r="R129" s="146"/>
      <c r="S129" s="146"/>
    </row>
    <row r="130" spans="1:19" ht="17.25" thickBot="1">
      <c r="A130" s="109" t="s">
        <v>56</v>
      </c>
      <c r="B130" s="113">
        <v>46.5</v>
      </c>
      <c r="C130" s="73">
        <v>1.9736842099999999E-2</v>
      </c>
      <c r="D130" s="96">
        <v>46.1</v>
      </c>
      <c r="E130" s="97">
        <f>IF(ISNUMBER(D130), (D130 - $B130) / $B130, "")</f>
        <v>-8.6021505376343774E-3</v>
      </c>
      <c r="F130" s="98">
        <f>IF(ISNUMBER(D130), $B145 * E130, "")</f>
        <v>-1290.3225806451567</v>
      </c>
      <c r="G130" s="99">
        <v>44.6</v>
      </c>
      <c r="H130" s="97">
        <f>IF(ISNUMBER(G130), (G130 - $B130) / $B130, "")</f>
        <v>-4.0860215053763409E-2</v>
      </c>
      <c r="I130" s="100">
        <f>IF(ISNUMBER(G130), $B145 * H130, "")</f>
        <v>-6129.0322580645116</v>
      </c>
      <c r="J130" s="96">
        <v>44.8</v>
      </c>
      <c r="K130" s="97">
        <f>IF(ISNUMBER(J130), (J130 - $B130) / $B130, "")</f>
        <v>-3.65591397849463E-2</v>
      </c>
      <c r="L130" s="98">
        <f>IF(ISNUMBER(J130), $B145 * K130, "")</f>
        <v>-5483.8709677419447</v>
      </c>
      <c r="M130" s="99">
        <v>45.6</v>
      </c>
      <c r="N130" s="97">
        <f>IF(ISNUMBER(M130), (M130 - $B130) / $B130, "")</f>
        <v>-1.9354838709677389E-2</v>
      </c>
      <c r="O130" s="98">
        <f>IF(ISNUMBER(M130), $B145 * N130, "")</f>
        <v>-2903.2258064516082</v>
      </c>
      <c r="Q130" s="146"/>
      <c r="R130" s="146"/>
      <c r="S130" s="146"/>
    </row>
    <row r="131" spans="1:19" ht="17.25" thickBot="1">
      <c r="A131" s="109" t="s">
        <v>141</v>
      </c>
      <c r="B131" s="110">
        <v>3.67</v>
      </c>
      <c r="C131" s="70">
        <v>1.94444444E-2</v>
      </c>
      <c r="D131" s="15">
        <v>3.71</v>
      </c>
      <c r="E131" s="32">
        <f t="shared" ref="E131:E134" si="66">IF(ISNUMBER(D131), (D131 - $B131) / $B131, "")</f>
        <v>1.0899182561307912E-2</v>
      </c>
      <c r="F131" s="18">
        <f>IF(ISNUMBER(D131), $B145 * E131, "")</f>
        <v>1634.8773841961868</v>
      </c>
      <c r="G131" s="31">
        <v>3.6</v>
      </c>
      <c r="H131" s="32">
        <f t="shared" ref="H131:H134" si="67">IF(ISNUMBER(G131), (G131 - $B131) / $B131, "")</f>
        <v>-1.9073569482288784E-2</v>
      </c>
      <c r="I131" s="91">
        <f>IF(ISNUMBER(G131), $B145 * H131, "")</f>
        <v>-2861.0354223433178</v>
      </c>
      <c r="J131" s="15">
        <v>3.62</v>
      </c>
      <c r="K131" s="32">
        <f t="shared" ref="K131:K134" si="68">IF(ISNUMBER(J131), (J131 - $B131) / $B131, "")</f>
        <v>-1.3623978201634829E-2</v>
      </c>
      <c r="L131" s="18">
        <f>IF(ISNUMBER(J131), $B145 * K131, "")</f>
        <v>-2043.5967302452243</v>
      </c>
      <c r="M131" s="31">
        <v>3.66</v>
      </c>
      <c r="N131" s="32">
        <f t="shared" ref="N131:N134" si="69">IF(ISNUMBER(M131), (M131 - $B131) / $B131, "")</f>
        <v>-2.7247956403269173E-3</v>
      </c>
      <c r="O131" s="18">
        <f>IF(ISNUMBER(M131), $B145 * N131, "")</f>
        <v>-408.7193460490376</v>
      </c>
      <c r="Q131" s="146"/>
      <c r="R131" s="146"/>
      <c r="S131" s="146"/>
    </row>
    <row r="132" spans="1:19" ht="17.25" thickBot="1">
      <c r="A132" s="109" t="s">
        <v>126</v>
      </c>
      <c r="B132" s="110">
        <v>34.6</v>
      </c>
      <c r="C132" s="70">
        <v>1.76470588E-2</v>
      </c>
      <c r="D132" s="15">
        <v>34.1</v>
      </c>
      <c r="E132" s="32">
        <f t="shared" si="66"/>
        <v>-1.4450867052023121E-2</v>
      </c>
      <c r="F132" s="18">
        <f>IF(ISNUMBER(D132), $B145 * E132, "")</f>
        <v>-2167.6300578034684</v>
      </c>
      <c r="G132" s="31">
        <v>32.700000000000003</v>
      </c>
      <c r="H132" s="32">
        <f t="shared" si="67"/>
        <v>-5.491329479768782E-2</v>
      </c>
      <c r="I132" s="91">
        <f>IF(ISNUMBER(G132), $B145 * H132, "")</f>
        <v>-8236.9942196531738</v>
      </c>
      <c r="J132" s="15">
        <v>32.5</v>
      </c>
      <c r="K132" s="32">
        <f t="shared" si="68"/>
        <v>-6.0693641618497149E-2</v>
      </c>
      <c r="L132" s="18">
        <f>IF(ISNUMBER(J132), $B145 * K132, "")</f>
        <v>-9104.0462427745715</v>
      </c>
      <c r="M132" s="31">
        <v>33.1</v>
      </c>
      <c r="N132" s="32">
        <f t="shared" si="69"/>
        <v>-4.3352601156069363E-2</v>
      </c>
      <c r="O132" s="18">
        <f>IF(ISNUMBER(M132), $B145 * N132, "")</f>
        <v>-6502.8901734104047</v>
      </c>
      <c r="Q132" s="146"/>
      <c r="R132" s="146"/>
      <c r="S132" s="146"/>
    </row>
    <row r="133" spans="1:19" ht="17.25" thickBot="1">
      <c r="A133" s="109" t="s">
        <v>71</v>
      </c>
      <c r="B133" s="110">
        <v>12.1</v>
      </c>
      <c r="C133" s="70">
        <v>1.6806722699999999E-2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12</v>
      </c>
      <c r="H133" s="32">
        <f t="shared" si="67"/>
        <v>-8.2644628099173261E-3</v>
      </c>
      <c r="I133" s="91">
        <f>IF(ISNUMBER(G133), $B145 * H133, "")</f>
        <v>-1239.6694214875988</v>
      </c>
      <c r="J133" s="15">
        <v>12.1</v>
      </c>
      <c r="K133" s="32">
        <f t="shared" si="68"/>
        <v>0</v>
      </c>
      <c r="L133" s="18">
        <f>IF(ISNUMBER(J133), $B145 * K133, "")</f>
        <v>0</v>
      </c>
      <c r="M133" s="31">
        <v>12.2</v>
      </c>
      <c r="N133" s="32">
        <f t="shared" si="69"/>
        <v>8.2644628099173261E-3</v>
      </c>
      <c r="O133" s="18">
        <f>IF(ISNUMBER(M133), $B145 * N133, "")</f>
        <v>1239.6694214875988</v>
      </c>
      <c r="Q133" s="33"/>
      <c r="R133" s="33"/>
    </row>
    <row r="134" spans="1:19" ht="17.25" thickBot="1">
      <c r="A134" s="114" t="s">
        <v>225</v>
      </c>
      <c r="B134" s="115">
        <v>61.6</v>
      </c>
      <c r="C134" s="72">
        <v>1.6501650199999999E-2</v>
      </c>
      <c r="D134" s="24">
        <v>62</v>
      </c>
      <c r="E134" s="25">
        <f t="shared" si="66"/>
        <v>6.4935064935064705E-3</v>
      </c>
      <c r="F134" s="94">
        <f>IF(ISNUMBER(D134), $B145 * E134, "")</f>
        <v>974.02597402597053</v>
      </c>
      <c r="G134" s="92">
        <v>61.6</v>
      </c>
      <c r="H134" s="25">
        <f t="shared" si="67"/>
        <v>0</v>
      </c>
      <c r="I134" s="93">
        <f>IF(ISNUMBER(G134), $B145 * H134, "")</f>
        <v>0</v>
      </c>
      <c r="J134" s="24">
        <v>61.4</v>
      </c>
      <c r="K134" s="25">
        <f t="shared" si="68"/>
        <v>-3.2467532467532929E-3</v>
      </c>
      <c r="L134" s="94">
        <f>IF(ISNUMBER(J134), $B145 * K134, "")</f>
        <v>-487.01298701299396</v>
      </c>
      <c r="M134" s="92">
        <v>61.8</v>
      </c>
      <c r="N134" s="25">
        <f t="shared" si="69"/>
        <v>3.2467532467531776E-3</v>
      </c>
      <c r="O134" s="94">
        <f>IF(ISNUMBER(M134), $B145 * N134, "")</f>
        <v>487.01298701297662</v>
      </c>
      <c r="Q134" s="147"/>
      <c r="R134" s="148"/>
      <c r="S134" s="149"/>
    </row>
    <row r="135" spans="1:19">
      <c r="A135" s="107" t="s">
        <v>118</v>
      </c>
      <c r="B135" s="108">
        <v>6.49</v>
      </c>
      <c r="C135" s="69">
        <v>1.40625E-2</v>
      </c>
      <c r="D135" s="13">
        <v>6.6</v>
      </c>
      <c r="E135" s="14">
        <f>IF(ISNUMBER(D135), (D135 - $B135) / $B135, "")</f>
        <v>1.6949152542372795E-2</v>
      </c>
      <c r="F135" s="16">
        <f>IF(ISNUMBER(D135), $B145 * E135, "")</f>
        <v>2542.3728813559192</v>
      </c>
      <c r="G135" s="29">
        <v>6.46</v>
      </c>
      <c r="H135" s="14">
        <f>IF(ISNUMBER(G135), (G135 - $B135) / $B135, "")</f>
        <v>-4.6224961479199153E-3</v>
      </c>
      <c r="I135" s="90">
        <f>IF(ISNUMBER(G135), $B145 * H135, "")</f>
        <v>-693.37442218798731</v>
      </c>
      <c r="J135" s="13">
        <v>6.48</v>
      </c>
      <c r="K135" s="14">
        <f>IF(ISNUMBER(J135), (J135 - $B135) / $B135, "")</f>
        <v>-1.5408320493065927E-3</v>
      </c>
      <c r="L135" s="16">
        <f>IF(ISNUMBER(J135), $B145 * K135, "")</f>
        <v>-231.12480739598891</v>
      </c>
      <c r="M135" s="29">
        <v>6.56</v>
      </c>
      <c r="N135" s="14">
        <f>IF(ISNUMBER(M135), (M135 - $B135) / $B135, "")</f>
        <v>1.0785824345146286E-2</v>
      </c>
      <c r="O135" s="16">
        <f>IF(ISNUMBER(M135), $B145 * N135, "")</f>
        <v>1617.8736517719428</v>
      </c>
      <c r="Q135" s="150"/>
      <c r="R135" s="151"/>
      <c r="S135" s="152"/>
    </row>
    <row r="136" spans="1:19" ht="17.25" thickBot="1">
      <c r="A136" s="109" t="s">
        <v>122</v>
      </c>
      <c r="B136" s="110">
        <v>26.8</v>
      </c>
      <c r="C136" s="70">
        <v>1.13207547E-2</v>
      </c>
      <c r="D136" s="15">
        <v>26.7</v>
      </c>
      <c r="E136" s="32">
        <f t="shared" ref="E136:E139" si="70">IF(ISNUMBER(D136), (D136 - $B136) / $B136, "")</f>
        <v>-3.7313432835821424E-3</v>
      </c>
      <c r="F136" s="18">
        <f>IF(ISNUMBER(D136), $B145 * E136, "")</f>
        <v>-559.70149253732131</v>
      </c>
      <c r="G136" s="31">
        <v>26.1</v>
      </c>
      <c r="H136" s="32">
        <f t="shared" ref="H136:H139" si="71">IF(ISNUMBER(G136), (G136 - $B136) / $B136, "")</f>
        <v>-2.6119402985074598E-2</v>
      </c>
      <c r="I136" s="91">
        <f>IF(ISNUMBER(G136), $B145 * H136, "")</f>
        <v>-3917.9104477611895</v>
      </c>
      <c r="J136" s="15">
        <v>26.2</v>
      </c>
      <c r="K136" s="32">
        <f t="shared" ref="K136:K139" si="72">IF(ISNUMBER(J136), (J136 - $B136) / $B136, "")</f>
        <v>-2.2388059701492588E-2</v>
      </c>
      <c r="L136" s="18">
        <f>IF(ISNUMBER(J136), $B145 * K136, "")</f>
        <v>-3358.2089552238881</v>
      </c>
      <c r="M136" s="31">
        <v>26.4</v>
      </c>
      <c r="N136" s="32">
        <f t="shared" ref="N136:N139" si="73">IF(ISNUMBER(M136), (M136 - $B136) / $B136, "")</f>
        <v>-1.4925373134328438E-2</v>
      </c>
      <c r="O136" s="18">
        <f>IF(ISNUMBER(M136), $B145 * N136, "")</f>
        <v>-2238.8059701492657</v>
      </c>
      <c r="Q136" s="153"/>
      <c r="R136" s="154"/>
      <c r="S136" s="155"/>
    </row>
    <row r="137" spans="1:19" ht="17.25" thickBot="1">
      <c r="A137" s="109" t="s">
        <v>217</v>
      </c>
      <c r="B137" s="110">
        <v>75.099999999999994</v>
      </c>
      <c r="C137" s="70">
        <v>9.4086021999999995E-3</v>
      </c>
      <c r="D137" s="15">
        <v>76.2</v>
      </c>
      <c r="E137" s="32">
        <f t="shared" si="70"/>
        <v>1.464713715046616E-2</v>
      </c>
      <c r="F137" s="18">
        <f>IF(ISNUMBER(D137), $B145 * E137, "")</f>
        <v>2197.070572569924</v>
      </c>
      <c r="G137" s="31">
        <v>73.7</v>
      </c>
      <c r="H137" s="32">
        <f t="shared" si="71"/>
        <v>-1.8641810918774853E-2</v>
      </c>
      <c r="I137" s="91">
        <f>IF(ISNUMBER(G137), $B145 * H137, "")</f>
        <v>-2796.2716378162281</v>
      </c>
      <c r="J137" s="15">
        <v>74.400000000000006</v>
      </c>
      <c r="K137" s="32">
        <f t="shared" si="72"/>
        <v>-9.3209054593873329E-3</v>
      </c>
      <c r="L137" s="18">
        <f>IF(ISNUMBER(J137), $B145 * K137, "")</f>
        <v>-1398.1358189081</v>
      </c>
      <c r="M137" s="31">
        <v>77</v>
      </c>
      <c r="N137" s="32">
        <f t="shared" si="73"/>
        <v>2.5299600532623246E-2</v>
      </c>
      <c r="O137" s="18">
        <f>IF(ISNUMBER(M137), $B145 * N137, "")</f>
        <v>3794.9400798934871</v>
      </c>
      <c r="Q137" s="146"/>
      <c r="R137" s="146"/>
      <c r="S137" s="146"/>
    </row>
    <row r="138" spans="1:19" ht="17.25" thickBot="1">
      <c r="A138" s="109" t="s">
        <v>323</v>
      </c>
      <c r="B138" s="110">
        <v>3.7699999999999997E-2</v>
      </c>
      <c r="C138" s="70">
        <v>8.0213903999999999E-3</v>
      </c>
      <c r="D138" s="15">
        <v>3.78E-2</v>
      </c>
      <c r="E138" s="32">
        <f t="shared" si="70"/>
        <v>2.6525198938992804E-3</v>
      </c>
      <c r="F138" s="18">
        <f>IF(ISNUMBER(D138), $B145 * E138, "")</f>
        <v>397.87798408489209</v>
      </c>
      <c r="G138" s="31">
        <v>3.7400000000000003E-2</v>
      </c>
      <c r="H138" s="32">
        <f t="shared" si="71"/>
        <v>-7.9575596816974722E-3</v>
      </c>
      <c r="I138" s="91">
        <f>IF(ISNUMBER(G138), $B145 * H138, "")</f>
        <v>-1193.6339522546209</v>
      </c>
      <c r="J138" s="15">
        <v>3.8100000000000002E-2</v>
      </c>
      <c r="K138" s="32">
        <f t="shared" si="72"/>
        <v>1.0610079575596938E-2</v>
      </c>
      <c r="L138" s="18">
        <f>IF(ISNUMBER(J138), $B145 * K138, "")</f>
        <v>1591.5119363395406</v>
      </c>
      <c r="M138" s="31">
        <v>3.8600000000000002E-2</v>
      </c>
      <c r="N138" s="32">
        <f t="shared" si="73"/>
        <v>2.3872679045092972E-2</v>
      </c>
      <c r="O138" s="18">
        <f>IF(ISNUMBER(M138), $B145 * N138, "")</f>
        <v>3580.9018567639459</v>
      </c>
      <c r="Q138" s="156"/>
      <c r="R138" s="156"/>
      <c r="S138" s="156"/>
    </row>
    <row r="139" spans="1:19" ht="17.25" thickBot="1">
      <c r="A139" s="111" t="s">
        <v>329</v>
      </c>
      <c r="B139" s="112">
        <v>67.099999999999994</v>
      </c>
      <c r="C139" s="71">
        <v>4.4910180000000003E-3</v>
      </c>
      <c r="D139" s="20">
        <v>68.099999999999994</v>
      </c>
      <c r="E139" s="21">
        <f t="shared" si="70"/>
        <v>1.490312965722802E-2</v>
      </c>
      <c r="F139" s="22">
        <f>IF(ISNUMBER(D139), $B145 * E139, "")</f>
        <v>2235.4694485842028</v>
      </c>
      <c r="G139" s="30">
        <v>67.3</v>
      </c>
      <c r="H139" s="21">
        <f t="shared" si="71"/>
        <v>2.9806259314456461E-3</v>
      </c>
      <c r="I139" s="95">
        <f>IF(ISNUMBER(G139), $B145 * H139, "")</f>
        <v>447.09388971684689</v>
      </c>
      <c r="J139" s="20">
        <v>68.2</v>
      </c>
      <c r="K139" s="21">
        <f t="shared" si="72"/>
        <v>1.6393442622950949E-2</v>
      </c>
      <c r="L139" s="22">
        <f>IF(ISNUMBER(J139), $B145 * K139, "")</f>
        <v>2459.0163934426423</v>
      </c>
      <c r="M139" s="30">
        <v>72.400000000000006</v>
      </c>
      <c r="N139" s="21">
        <f t="shared" si="73"/>
        <v>7.8986587183308671E-2</v>
      </c>
      <c r="O139" s="22">
        <f>IF(ISNUMBER(M139), $B145 * N139, "")</f>
        <v>11847.9880774963</v>
      </c>
      <c r="Q139" s="156"/>
      <c r="R139" s="156"/>
      <c r="S139" s="156"/>
    </row>
    <row r="140" spans="1:19" ht="17.25" thickBot="1">
      <c r="A140" s="109" t="s">
        <v>197</v>
      </c>
      <c r="B140" s="113">
        <v>7.19</v>
      </c>
      <c r="C140" s="73">
        <v>1.3927576999999999E-3</v>
      </c>
      <c r="D140" s="96">
        <v>7.09</v>
      </c>
      <c r="E140" s="97">
        <f>IF(ISNUMBER(D140), (D140 - $B140) / $B140, "")</f>
        <v>-1.3908205841446527E-2</v>
      </c>
      <c r="F140" s="98">
        <f>IF(ISNUMBER(D140), $B145 * E140, "")</f>
        <v>-2086.2308762169791</v>
      </c>
      <c r="G140" s="99">
        <v>6.99</v>
      </c>
      <c r="H140" s="97">
        <f>IF(ISNUMBER(G140), (G140 - $B140) / $B140, "")</f>
        <v>-2.7816411682892929E-2</v>
      </c>
      <c r="I140" s="100">
        <f>IF(ISNUMBER(G140), $B145 * H140, "")</f>
        <v>-4172.4617524339392</v>
      </c>
      <c r="J140" s="96">
        <v>7.06</v>
      </c>
      <c r="K140" s="97">
        <f>IF(ISNUMBER(J140), (J140 - $B140) / $B140, "")</f>
        <v>-1.8080667593880499E-2</v>
      </c>
      <c r="L140" s="98">
        <f>IF(ISNUMBER(J140), $B145 * K140, "")</f>
        <v>-2712.1001390820747</v>
      </c>
      <c r="M140" s="99">
        <v>7.1</v>
      </c>
      <c r="N140" s="97">
        <f>IF(ISNUMBER(M140), (M140 - $B140) / $B140, "")</f>
        <v>-1.2517385257301911E-2</v>
      </c>
      <c r="O140" s="98">
        <f>IF(ISNUMBER(M140), $B145 * N140, "")</f>
        <v>-1877.6077885952866</v>
      </c>
      <c r="Q140" s="146"/>
      <c r="R140" s="146"/>
      <c r="S140" s="146"/>
    </row>
    <row r="141" spans="1:19" ht="17.25" thickBot="1">
      <c r="A141" s="109" t="s">
        <v>145</v>
      </c>
      <c r="B141" s="110">
        <v>77.2</v>
      </c>
      <c r="C141" s="70">
        <v>-6.4350064000000002E-3</v>
      </c>
      <c r="D141" s="15">
        <v>77.400000000000006</v>
      </c>
      <c r="E141" s="32">
        <f t="shared" ref="E141:E144" si="74">IF(ISNUMBER(D141), (D141 - $B141) / $B141, "")</f>
        <v>2.5906735751295702E-3</v>
      </c>
      <c r="F141" s="18">
        <f>IF(ISNUMBER(D141), $B145 * E141, "")</f>
        <v>388.60103626943555</v>
      </c>
      <c r="G141" s="31">
        <v>76.900000000000006</v>
      </c>
      <c r="H141" s="32">
        <f t="shared" ref="H141:H144" si="75">IF(ISNUMBER(G141), (G141 - $B141) / $B141, "")</f>
        <v>-3.8860103626942636E-3</v>
      </c>
      <c r="I141" s="91">
        <f>IF(ISNUMBER(G141), $B145 * H141, "")</f>
        <v>-582.90155440413957</v>
      </c>
      <c r="J141" s="15">
        <v>77.099999999999994</v>
      </c>
      <c r="K141" s="32">
        <f t="shared" ref="K141:K144" si="76">IF(ISNUMBER(J141), (J141 - $B141) / $B141, "")</f>
        <v>-1.2953367875648773E-3</v>
      </c>
      <c r="L141" s="18">
        <f>IF(ISNUMBER(J141), $B145 * K141, "")</f>
        <v>-194.30051813473159</v>
      </c>
      <c r="M141" s="31">
        <v>76.400000000000006</v>
      </c>
      <c r="N141" s="32">
        <f t="shared" ref="N141:N144" si="77">IF(ISNUMBER(M141), (M141 - $B141) / $B141, "")</f>
        <v>-1.0362694300518097E-2</v>
      </c>
      <c r="O141" s="18">
        <f>IF(ISNUMBER(M141), $B145 * N141, "")</f>
        <v>-1554.4041450777145</v>
      </c>
      <c r="Q141" s="146"/>
      <c r="R141" s="146"/>
      <c r="S141" s="146"/>
    </row>
    <row r="142" spans="1:19" ht="17.25" thickBot="1">
      <c r="A142" s="109" t="s">
        <v>324</v>
      </c>
      <c r="B142" s="110">
        <v>97.9</v>
      </c>
      <c r="C142" s="70">
        <v>-2.1000000000000001E-2</v>
      </c>
      <c r="D142" s="15">
        <v>97.1</v>
      </c>
      <c r="E142" s="32">
        <f t="shared" si="74"/>
        <v>-8.1716036772217712E-3</v>
      </c>
      <c r="F142" s="18">
        <f>IF(ISNUMBER(D142), $B145 * E142, "")</f>
        <v>-1225.7405515832656</v>
      </c>
      <c r="G142" s="31">
        <v>95</v>
      </c>
      <c r="H142" s="32">
        <f t="shared" si="75"/>
        <v>-2.9622063329928554E-2</v>
      </c>
      <c r="I142" s="91">
        <f>IF(ISNUMBER(G142), $B145 * H142, "")</f>
        <v>-4443.3094994892826</v>
      </c>
      <c r="J142" s="15">
        <v>94.7</v>
      </c>
      <c r="K142" s="32">
        <f t="shared" si="76"/>
        <v>-3.2686414708886648E-2</v>
      </c>
      <c r="L142" s="18">
        <f>IF(ISNUMBER(J142), $B145 * K142, "")</f>
        <v>-4902.9622063329971</v>
      </c>
      <c r="M142" s="31">
        <v>95.8</v>
      </c>
      <c r="N142" s="32">
        <f t="shared" si="77"/>
        <v>-2.1450459652706928E-2</v>
      </c>
      <c r="O142" s="18">
        <f>IF(ISNUMBER(M142), $B145 * N142, "")</f>
        <v>-3217.5689479060393</v>
      </c>
      <c r="Q142" s="146"/>
      <c r="R142" s="146"/>
      <c r="S142" s="146"/>
    </row>
    <row r="143" spans="1:19">
      <c r="A143" s="109" t="s">
        <v>350</v>
      </c>
      <c r="B143" s="110">
        <v>7.55</v>
      </c>
      <c r="C143" s="70">
        <v>-4.4303797499999999E-2</v>
      </c>
      <c r="D143" s="15">
        <v>7.41</v>
      </c>
      <c r="E143" s="32">
        <f t="shared" si="74"/>
        <v>-1.8543046357615851E-2</v>
      </c>
      <c r="F143" s="18">
        <f>IF(ISNUMBER(D143), $B145 * E143, "")</f>
        <v>-2781.4569536423778</v>
      </c>
      <c r="G143" s="31">
        <v>7.3</v>
      </c>
      <c r="H143" s="32">
        <f t="shared" si="75"/>
        <v>-3.3112582781456956E-2</v>
      </c>
      <c r="I143" s="91">
        <f>IF(ISNUMBER(G143), $B145 * H143, "")</f>
        <v>-4966.8874172185433</v>
      </c>
      <c r="J143" s="15">
        <v>7.32</v>
      </c>
      <c r="K143" s="32">
        <f t="shared" si="76"/>
        <v>-3.0463576158940336E-2</v>
      </c>
      <c r="L143" s="18">
        <f>IF(ISNUMBER(J143), $B145 * K143, "")</f>
        <v>-4569.5364238410502</v>
      </c>
      <c r="M143" s="31">
        <v>7.38</v>
      </c>
      <c r="N143" s="32">
        <f t="shared" si="77"/>
        <v>-2.2516556291390721E-2</v>
      </c>
      <c r="O143" s="18">
        <f>IF(ISNUMBER(M143), $B145 * N143, "")</f>
        <v>-3377.4834437086083</v>
      </c>
      <c r="Q143" s="135"/>
      <c r="R143" s="136"/>
      <c r="S143" s="137"/>
    </row>
    <row r="144" spans="1:19" ht="17.25" thickBot="1">
      <c r="A144" s="114" t="s">
        <v>97</v>
      </c>
      <c r="B144" s="115">
        <v>8.9999999999999998E-4</v>
      </c>
      <c r="C144" s="72">
        <v>-0.1</v>
      </c>
      <c r="D144" s="24">
        <v>8.9999999999999998E-4</v>
      </c>
      <c r="E144" s="25">
        <f t="shared" si="74"/>
        <v>0</v>
      </c>
      <c r="F144" s="94">
        <f>IF(ISNUMBER(D144), $B145 * E144, "")</f>
        <v>0</v>
      </c>
      <c r="G144" s="92">
        <v>8.9999999999999998E-4</v>
      </c>
      <c r="H144" s="25">
        <f t="shared" si="75"/>
        <v>0</v>
      </c>
      <c r="I144" s="93">
        <f>IF(ISNUMBER(G144), $B145 * H144, "")</f>
        <v>0</v>
      </c>
      <c r="J144" s="24">
        <v>1E-3</v>
      </c>
      <c r="K144" s="25">
        <f t="shared" si="76"/>
        <v>0.11111111111111116</v>
      </c>
      <c r="L144" s="94">
        <f>IF(ISNUMBER(J144), $B145 * K144, "")</f>
        <v>16666.666666666675</v>
      </c>
      <c r="M144" s="92">
        <v>8.9999999999999998E-4</v>
      </c>
      <c r="N144" s="25">
        <f t="shared" si="77"/>
        <v>0</v>
      </c>
      <c r="O144" s="94">
        <f>IF(ISNUMBER(M144), $B145 * N144, "")</f>
        <v>0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-1.819704355530461E-4</v>
      </c>
      <c r="F145" s="28">
        <f>SUM(F125:F144)</f>
        <v>-545.91130665913943</v>
      </c>
      <c r="G145" s="26" t="s">
        <v>258</v>
      </c>
      <c r="H145" s="27">
        <f>IF(COUNT(H125:H144), SUM(H125:H144) / COUNT(H125:H144), 0)</f>
        <v>-1.866614722472943E-2</v>
      </c>
      <c r="I145" s="28">
        <f>SUM(I125:I144)</f>
        <v>-55998.441674188289</v>
      </c>
      <c r="J145" s="26" t="s">
        <v>258</v>
      </c>
      <c r="K145" s="27">
        <f>IF(COUNT(K125:K144), SUM(K125:K144) / COUNT(K125:K144), 0)</f>
        <v>-8.2180372428032056E-3</v>
      </c>
      <c r="L145" s="28">
        <f>SUM(L125:L144)</f>
        <v>-24654.111728409614</v>
      </c>
      <c r="M145" s="26" t="s">
        <v>258</v>
      </c>
      <c r="N145" s="27">
        <f>IF(COUNT(N125:N144), SUM(N125:N144) / COUNT(N125:N144), 0)</f>
        <v>-9.7476586641603359E-4</v>
      </c>
      <c r="O145" s="28">
        <f>SUM(O125:O144)</f>
        <v>-2924.2975992481011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2023-01-18(수) 오전 00:00</v>
      </c>
      <c r="C150" s="198"/>
      <c r="D150" s="170" t="str">
        <f>TEXT($G$1, "[$-ko-KR]yyyy-mm-dd(ddd) ") &amp; "오후 14:00"</f>
        <v>2023-01-18(수) 오후 14:00</v>
      </c>
      <c r="E150" s="171"/>
      <c r="F150" s="172"/>
      <c r="G150" s="170" t="str">
        <f>TEXT($G$1, "[$-ko-KR]yyyy-mm-dd(ddd) ") &amp; "오후 19:00"</f>
        <v>2023-01-18(수) 오후 19:00</v>
      </c>
      <c r="H150" s="171"/>
      <c r="I150" s="172"/>
      <c r="J150" s="170" t="str">
        <f>TEXT($G$1, "[$-ko-KR]yyyy-mm-dd(ddd) ") &amp; "오후 21:00"</f>
        <v>2023-01-18(수) 오후 21:00</v>
      </c>
      <c r="K150" s="171"/>
      <c r="L150" s="172"/>
      <c r="M150" s="170" t="str">
        <f>TEXT($G$1+1, "[$-ko-KR]yyyy-mm-dd(ddd) ") &amp; "오전 00:00"</f>
        <v>2023-01-19(목)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159</v>
      </c>
      <c r="B152" s="108">
        <v>207</v>
      </c>
      <c r="C152" s="69">
        <v>0</v>
      </c>
      <c r="D152" s="13">
        <v>205</v>
      </c>
      <c r="E152" s="14">
        <f>IF(ISNUMBER(D152), (D152 - $B152) / $B152, "")</f>
        <v>-9.6618357487922701E-3</v>
      </c>
      <c r="F152" s="16">
        <f>IF(ISNUMBER(D152), $B172 * E152, "")</f>
        <v>-1449.2753623188405</v>
      </c>
      <c r="G152" s="29">
        <v>201</v>
      </c>
      <c r="H152" s="14">
        <f>IF(ISNUMBER(G152), (G152 - $B152) / $B152, "")</f>
        <v>-2.8985507246376812E-2</v>
      </c>
      <c r="I152" s="90">
        <f>IF(ISNUMBER(G152), $B172 * H152, "")</f>
        <v>-4347.826086956522</v>
      </c>
      <c r="J152" s="13">
        <v>203</v>
      </c>
      <c r="K152" s="14">
        <f>IF(ISNUMBER(J152), (J152 - $B152) / $B152, "")</f>
        <v>-1.932367149758454E-2</v>
      </c>
      <c r="L152" s="16">
        <f>IF(ISNUMBER(J152), $B172 * K152, "")</f>
        <v>-2898.550724637681</v>
      </c>
      <c r="M152" s="29">
        <v>206</v>
      </c>
      <c r="N152" s="14">
        <f>IF(ISNUMBER(M152), (M152 - $B152) / $B152, "")</f>
        <v>-4.830917874396135E-3</v>
      </c>
      <c r="O152" s="16">
        <f>IF(ISNUMBER(M152), $B172 * N152, "")</f>
        <v>-724.63768115942025</v>
      </c>
      <c r="Q152" s="156"/>
      <c r="R152" s="156"/>
      <c r="S152" s="156"/>
    </row>
    <row r="153" spans="1:19" ht="17.25" thickBot="1">
      <c r="A153" s="109" t="s">
        <v>85</v>
      </c>
      <c r="B153" s="110">
        <v>170</v>
      </c>
      <c r="C153" s="70">
        <v>0</v>
      </c>
      <c r="D153" s="15">
        <v>171</v>
      </c>
      <c r="E153" s="32">
        <f t="shared" ref="E153:E156" si="78">IF(ISNUMBER(D153), (D153 - $B153) / $B153, "")</f>
        <v>5.8823529411764705E-3</v>
      </c>
      <c r="F153" s="18">
        <f>IF(ISNUMBER(D153), $B172 * E153, "")</f>
        <v>882.35294117647061</v>
      </c>
      <c r="G153" s="31">
        <v>167</v>
      </c>
      <c r="H153" s="32">
        <f t="shared" ref="H153:H156" si="79">IF(ISNUMBER(G153), (G153 - $B153) / $B153, "")</f>
        <v>-1.7647058823529412E-2</v>
      </c>
      <c r="I153" s="91">
        <f>IF(ISNUMBER(G153), $B172 * H153, "")</f>
        <v>-2647.0588235294117</v>
      </c>
      <c r="J153" s="15">
        <v>168</v>
      </c>
      <c r="K153" s="32">
        <f t="shared" ref="K153:K156" si="80">IF(ISNUMBER(J153), (J153 - $B153) / $B153, "")</f>
        <v>-1.1764705882352941E-2</v>
      </c>
      <c r="L153" s="18">
        <f>IF(ISNUMBER(J153), $B172 * K153, "")</f>
        <v>-1764.7058823529412</v>
      </c>
      <c r="M153" s="31">
        <v>170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56"/>
      <c r="R153" s="156"/>
      <c r="S153" s="156"/>
    </row>
    <row r="154" spans="1:19" ht="17.25" thickBot="1">
      <c r="A154" s="109" t="s">
        <v>219</v>
      </c>
      <c r="B154" s="110">
        <v>446</v>
      </c>
      <c r="C154" s="70">
        <v>0</v>
      </c>
      <c r="D154" s="15">
        <v>534</v>
      </c>
      <c r="E154" s="32">
        <f t="shared" si="78"/>
        <v>0.19730941704035873</v>
      </c>
      <c r="F154" s="18">
        <f>IF(ISNUMBER(D154), $B172 * E154, "")</f>
        <v>29596.412556053809</v>
      </c>
      <c r="G154" s="31">
        <v>471</v>
      </c>
      <c r="H154" s="32">
        <f t="shared" si="79"/>
        <v>5.6053811659192827E-2</v>
      </c>
      <c r="I154" s="91">
        <f>IF(ISNUMBER(G154), $B172 * H154, "")</f>
        <v>8408.0717488789232</v>
      </c>
      <c r="J154" s="15">
        <v>472</v>
      </c>
      <c r="K154" s="32">
        <f t="shared" si="80"/>
        <v>5.829596412556054E-2</v>
      </c>
      <c r="L154" s="18">
        <f>IF(ISNUMBER(J154), $B172 * K154, "")</f>
        <v>8744.3946188340815</v>
      </c>
      <c r="M154" s="31">
        <v>471</v>
      </c>
      <c r="N154" s="32">
        <f t="shared" si="81"/>
        <v>5.6053811659192827E-2</v>
      </c>
      <c r="O154" s="18">
        <f>IF(ISNUMBER(M154), $B172 * N154, "")</f>
        <v>8408.0717488789232</v>
      </c>
      <c r="Q154" s="146"/>
      <c r="R154" s="146"/>
      <c r="S154" s="146"/>
    </row>
    <row r="155" spans="1:19" ht="17.25" thickBot="1">
      <c r="A155" s="109" t="s">
        <v>51</v>
      </c>
      <c r="B155" s="110">
        <v>109</v>
      </c>
      <c r="C155" s="70">
        <v>0</v>
      </c>
      <c r="D155" s="15">
        <v>109</v>
      </c>
      <c r="E155" s="32">
        <f t="shared" si="78"/>
        <v>0</v>
      </c>
      <c r="F155" s="18">
        <f>IF(ISNUMBER(D155), $B172 * E155, "")</f>
        <v>0</v>
      </c>
      <c r="G155" s="31">
        <v>108</v>
      </c>
      <c r="H155" s="32">
        <f t="shared" si="79"/>
        <v>-9.1743119266055051E-3</v>
      </c>
      <c r="I155" s="91">
        <f>IF(ISNUMBER(G155), $B172 * H155, "")</f>
        <v>-1376.1467889908258</v>
      </c>
      <c r="J155" s="15">
        <v>108</v>
      </c>
      <c r="K155" s="32">
        <f t="shared" si="80"/>
        <v>-9.1743119266055051E-3</v>
      </c>
      <c r="L155" s="18">
        <f>IF(ISNUMBER(J155), $B172 * K155, "")</f>
        <v>-1376.1467889908258</v>
      </c>
      <c r="M155" s="31">
        <v>109</v>
      </c>
      <c r="N155" s="32">
        <f t="shared" si="81"/>
        <v>0</v>
      </c>
      <c r="O155" s="18">
        <f>IF(ISNUMBER(M155), $B172 * N155, "")</f>
        <v>0</v>
      </c>
      <c r="Q155" s="146"/>
      <c r="R155" s="146"/>
      <c r="S155" s="146"/>
    </row>
    <row r="156" spans="1:19" ht="17.25" thickBot="1">
      <c r="A156" s="111" t="s">
        <v>103</v>
      </c>
      <c r="B156" s="112">
        <v>261</v>
      </c>
      <c r="C156" s="71">
        <v>0</v>
      </c>
      <c r="D156" s="20">
        <v>266</v>
      </c>
      <c r="E156" s="21">
        <f t="shared" si="78"/>
        <v>1.9157088122605363E-2</v>
      </c>
      <c r="F156" s="22">
        <f>IF(ISNUMBER(D156), $B172 * E156, "")</f>
        <v>2873.5632183908042</v>
      </c>
      <c r="G156" s="30">
        <v>262</v>
      </c>
      <c r="H156" s="21">
        <f t="shared" si="79"/>
        <v>3.8314176245210726E-3</v>
      </c>
      <c r="I156" s="95">
        <f>IF(ISNUMBER(G156), $B172 * H156, "")</f>
        <v>574.71264367816093</v>
      </c>
      <c r="J156" s="20">
        <v>268</v>
      </c>
      <c r="K156" s="21">
        <f t="shared" si="80"/>
        <v>2.681992337164751E-2</v>
      </c>
      <c r="L156" s="22">
        <f>IF(ISNUMBER(J156), $B172 * K156, "")</f>
        <v>4022.9885057471265</v>
      </c>
      <c r="M156" s="30">
        <v>268</v>
      </c>
      <c r="N156" s="21">
        <f t="shared" si="81"/>
        <v>2.681992337164751E-2</v>
      </c>
      <c r="O156" s="22">
        <f>IF(ISNUMBER(M156), $B172 * N156, "")</f>
        <v>4022.9885057471265</v>
      </c>
      <c r="Q156" s="146"/>
      <c r="R156" s="146"/>
      <c r="S156" s="146"/>
    </row>
    <row r="157" spans="1:19" ht="17.25" thickBot="1">
      <c r="A157" s="109" t="s">
        <v>326</v>
      </c>
      <c r="B157" s="113">
        <v>290</v>
      </c>
      <c r="C157" s="73">
        <v>-3.4364260999999998E-3</v>
      </c>
      <c r="D157" s="96">
        <v>288</v>
      </c>
      <c r="E157" s="97">
        <f>IF(ISNUMBER(D157), (D157 - $B157) / $B157, "")</f>
        <v>-6.8965517241379309E-3</v>
      </c>
      <c r="F157" s="98">
        <f>IF(ISNUMBER(D157), $B172 * E157, "")</f>
        <v>-1034.4827586206895</v>
      </c>
      <c r="G157" s="99">
        <v>279</v>
      </c>
      <c r="H157" s="97">
        <f>IF(ISNUMBER(G157), (G157 - $B157) / $B157, "")</f>
        <v>-3.793103448275862E-2</v>
      </c>
      <c r="I157" s="100">
        <f>IF(ISNUMBER(G157), $B172 * H157, "")</f>
        <v>-5689.6551724137926</v>
      </c>
      <c r="J157" s="96">
        <v>279</v>
      </c>
      <c r="K157" s="97">
        <f>IF(ISNUMBER(J157), (J157 - $B157) / $B157, "")</f>
        <v>-3.793103448275862E-2</v>
      </c>
      <c r="L157" s="98">
        <f>IF(ISNUMBER(J157), $B172 * K157, "")</f>
        <v>-5689.6551724137926</v>
      </c>
      <c r="M157" s="99">
        <v>284</v>
      </c>
      <c r="N157" s="97">
        <f>IF(ISNUMBER(M157), (M157 - $B157) / $B157, "")</f>
        <v>-2.0689655172413793E-2</v>
      </c>
      <c r="O157" s="98">
        <f>IF(ISNUMBER(M157), $B172 * N157, "")</f>
        <v>-3103.4482758620688</v>
      </c>
      <c r="Q157" s="146"/>
      <c r="R157" s="146"/>
      <c r="S157" s="146"/>
    </row>
    <row r="158" spans="1:19" ht="17.25" thickBot="1">
      <c r="A158" s="109" t="s">
        <v>235</v>
      </c>
      <c r="B158" s="110">
        <v>616</v>
      </c>
      <c r="C158" s="70">
        <v>-4.8465267000000001E-3</v>
      </c>
      <c r="D158" s="15">
        <v>628</v>
      </c>
      <c r="E158" s="32">
        <f t="shared" ref="E158:E161" si="82">IF(ISNUMBER(D158), (D158 - $B158) / $B158, "")</f>
        <v>1.948051948051948E-2</v>
      </c>
      <c r="F158" s="18">
        <f>IF(ISNUMBER(D158), $B172 * E158, "")</f>
        <v>2922.0779220779218</v>
      </c>
      <c r="G158" s="31">
        <v>609</v>
      </c>
      <c r="H158" s="32">
        <f t="shared" ref="H158:H161" si="83">IF(ISNUMBER(G158), (G158 - $B158) / $B158, "")</f>
        <v>-1.1363636363636364E-2</v>
      </c>
      <c r="I158" s="91">
        <f>IF(ISNUMBER(G158), $B172 * H158, "")</f>
        <v>-1704.5454545454545</v>
      </c>
      <c r="J158" s="15">
        <v>613</v>
      </c>
      <c r="K158" s="32">
        <f t="shared" ref="K158:K161" si="84">IF(ISNUMBER(J158), (J158 - $B158) / $B158, "")</f>
        <v>-4.87012987012987E-3</v>
      </c>
      <c r="L158" s="18">
        <f>IF(ISNUMBER(J158), $B172 * K158, "")</f>
        <v>-730.51948051948045</v>
      </c>
      <c r="M158" s="31">
        <v>618</v>
      </c>
      <c r="N158" s="32">
        <f t="shared" ref="N158:N161" si="85">IF(ISNUMBER(M158), (M158 - $B158) / $B158, "")</f>
        <v>3.246753246753247E-3</v>
      </c>
      <c r="O158" s="18">
        <f>IF(ISNUMBER(M158), $B172 * N158, "")</f>
        <v>487.01298701298703</v>
      </c>
      <c r="Q158" s="146"/>
      <c r="R158" s="146"/>
      <c r="S158" s="146"/>
    </row>
    <row r="159" spans="1:19" ht="17.25" thickBot="1">
      <c r="A159" s="109" t="s">
        <v>319</v>
      </c>
      <c r="B159" s="110">
        <v>606</v>
      </c>
      <c r="C159" s="70">
        <v>-6.5573769999999997E-3</v>
      </c>
      <c r="D159" s="15">
        <v>600</v>
      </c>
      <c r="E159" s="32">
        <f t="shared" si="82"/>
        <v>-9.9009900990099011E-3</v>
      </c>
      <c r="F159" s="18">
        <f>IF(ISNUMBER(D159), $B172 * E159, "")</f>
        <v>-1485.1485148514851</v>
      </c>
      <c r="G159" s="31">
        <v>579</v>
      </c>
      <c r="H159" s="32">
        <f t="shared" si="83"/>
        <v>-4.4554455445544552E-2</v>
      </c>
      <c r="I159" s="91">
        <f>IF(ISNUMBER(G159), $B172 * H159, "")</f>
        <v>-6683.1683168316831</v>
      </c>
      <c r="J159" s="15">
        <v>579</v>
      </c>
      <c r="K159" s="32">
        <f t="shared" si="84"/>
        <v>-4.4554455445544552E-2</v>
      </c>
      <c r="L159" s="18">
        <f>IF(ISNUMBER(J159), $B172 * K159, "")</f>
        <v>-6683.1683168316831</v>
      </c>
      <c r="M159" s="31">
        <v>586</v>
      </c>
      <c r="N159" s="32">
        <f t="shared" si="85"/>
        <v>-3.3003300330033E-2</v>
      </c>
      <c r="O159" s="18">
        <f>IF(ISNUMBER(M159), $B172 * N159, "")</f>
        <v>-4950.4950495049497</v>
      </c>
      <c r="Q159" s="146"/>
      <c r="R159" s="146"/>
      <c r="S159" s="146"/>
    </row>
    <row r="160" spans="1:19" ht="17.25" thickBot="1">
      <c r="A160" s="109" t="s">
        <v>239</v>
      </c>
      <c r="B160" s="110">
        <v>477</v>
      </c>
      <c r="C160" s="70">
        <v>-8.3160083000000003E-3</v>
      </c>
      <c r="D160" s="15">
        <v>480</v>
      </c>
      <c r="E160" s="32">
        <f t="shared" si="82"/>
        <v>6.2893081761006293E-3</v>
      </c>
      <c r="F160" s="18">
        <f>IF(ISNUMBER(D160), $B172 * E160, "")</f>
        <v>943.39622641509436</v>
      </c>
      <c r="G160" s="31">
        <v>470</v>
      </c>
      <c r="H160" s="32">
        <f t="shared" si="83"/>
        <v>-1.4675052410901468E-2</v>
      </c>
      <c r="I160" s="91">
        <f>IF(ISNUMBER(G160), $B172 * H160, "")</f>
        <v>-2201.2578616352203</v>
      </c>
      <c r="J160" s="15">
        <v>473</v>
      </c>
      <c r="K160" s="32">
        <f t="shared" si="84"/>
        <v>-8.385744234800839E-3</v>
      </c>
      <c r="L160" s="18">
        <f>IF(ISNUMBER(J160), $B172 * K160, "")</f>
        <v>-1257.8616352201259</v>
      </c>
      <c r="M160" s="31">
        <v>476</v>
      </c>
      <c r="N160" s="32">
        <f t="shared" si="85"/>
        <v>-2.0964360587002098E-3</v>
      </c>
      <c r="O160" s="18">
        <f>IF(ISNUMBER(M160), $B172 * N160, "")</f>
        <v>-314.46540880503147</v>
      </c>
      <c r="Q160" s="33"/>
      <c r="R160" s="33"/>
    </row>
    <row r="161" spans="1:19" ht="17.25" thickBot="1">
      <c r="A161" s="114" t="s">
        <v>229</v>
      </c>
      <c r="B161" s="115">
        <v>281</v>
      </c>
      <c r="C161" s="72">
        <v>-1.0563380299999999E-2</v>
      </c>
      <c r="D161" s="24">
        <v>309</v>
      </c>
      <c r="E161" s="25">
        <f t="shared" si="82"/>
        <v>9.9644128113879002E-2</v>
      </c>
      <c r="F161" s="94">
        <f>IF(ISNUMBER(D161), $B172 * E161, "")</f>
        <v>14946.61921708185</v>
      </c>
      <c r="G161" s="92">
        <v>288</v>
      </c>
      <c r="H161" s="25">
        <f t="shared" si="83"/>
        <v>2.491103202846975E-2</v>
      </c>
      <c r="I161" s="93">
        <f>IF(ISNUMBER(G161), $B172 * H161, "")</f>
        <v>3736.6548042704626</v>
      </c>
      <c r="J161" s="24">
        <v>290</v>
      </c>
      <c r="K161" s="25">
        <f t="shared" si="84"/>
        <v>3.2028469750889681E-2</v>
      </c>
      <c r="L161" s="94">
        <f>IF(ISNUMBER(J161), $B172 * K161, "")</f>
        <v>4804.2704626334526</v>
      </c>
      <c r="M161" s="92">
        <v>289</v>
      </c>
      <c r="N161" s="25">
        <f t="shared" si="85"/>
        <v>2.8469750889679714E-2</v>
      </c>
      <c r="O161" s="94">
        <f>IF(ISNUMBER(M161), $B172 * N161, "")</f>
        <v>4270.4626334519571</v>
      </c>
      <c r="Q161" s="147"/>
      <c r="R161" s="148"/>
      <c r="S161" s="149"/>
    </row>
    <row r="162" spans="1:19">
      <c r="A162" s="107" t="s">
        <v>215</v>
      </c>
      <c r="B162" s="108">
        <v>364</v>
      </c>
      <c r="C162" s="69">
        <v>-1.08695652E-2</v>
      </c>
      <c r="D162" s="13">
        <v>376</v>
      </c>
      <c r="E162" s="14">
        <f>IF(ISNUMBER(D162), (D162 - $B162) / $B162, "")</f>
        <v>3.2967032967032968E-2</v>
      </c>
      <c r="F162" s="16">
        <f>IF(ISNUMBER(D162), $B172 * E162, "")</f>
        <v>4945.0549450549452</v>
      </c>
      <c r="G162" s="29">
        <v>360</v>
      </c>
      <c r="H162" s="14">
        <f>IF(ISNUMBER(G162), (G162 - $B162) / $B162, "")</f>
        <v>-1.098901098901099E-2</v>
      </c>
      <c r="I162" s="90">
        <f>IF(ISNUMBER(G162), $B172 * H162, "")</f>
        <v>-1648.3516483516485</v>
      </c>
      <c r="J162" s="13">
        <v>362</v>
      </c>
      <c r="K162" s="14">
        <f>IF(ISNUMBER(J162), (J162 - $B162) / $B162, "")</f>
        <v>-5.4945054945054949E-3</v>
      </c>
      <c r="L162" s="16">
        <f>IF(ISNUMBER(J162), $B172 * K162, "")</f>
        <v>-824.17582417582423</v>
      </c>
      <c r="M162" s="29">
        <v>371</v>
      </c>
      <c r="N162" s="14">
        <f>IF(ISNUMBER(M162), (M162 - $B162) / $B162, "")</f>
        <v>1.9230769230769232E-2</v>
      </c>
      <c r="O162" s="16">
        <f>IF(ISNUMBER(M162), $B172 * N162, "")</f>
        <v>2884.6153846153848</v>
      </c>
      <c r="Q162" s="150"/>
      <c r="R162" s="151"/>
      <c r="S162" s="152"/>
    </row>
    <row r="163" spans="1:19" ht="17.25" thickBot="1">
      <c r="A163" s="109" t="s">
        <v>157</v>
      </c>
      <c r="B163" s="110">
        <v>224</v>
      </c>
      <c r="C163" s="70">
        <v>-1.3215859E-2</v>
      </c>
      <c r="D163" s="15">
        <v>227</v>
      </c>
      <c r="E163" s="32">
        <f t="shared" ref="E163:E166" si="86">IF(ISNUMBER(D163), (D163 - $B163) / $B163, "")</f>
        <v>1.3392857142857142E-2</v>
      </c>
      <c r="F163" s="18">
        <f>IF(ISNUMBER(D163), $B172 * E163, "")</f>
        <v>2008.9285714285713</v>
      </c>
      <c r="G163" s="31">
        <v>222</v>
      </c>
      <c r="H163" s="32">
        <f t="shared" ref="H163:H166" si="87">IF(ISNUMBER(G163), (G163 - $B163) / $B163, "")</f>
        <v>-8.9285714285714281E-3</v>
      </c>
      <c r="I163" s="91">
        <f>IF(ISNUMBER(G163), $B172 * H163, "")</f>
        <v>-1339.2857142857142</v>
      </c>
      <c r="J163" s="15">
        <v>221</v>
      </c>
      <c r="K163" s="32">
        <f t="shared" ref="K163:K166" si="88">IF(ISNUMBER(J163), (J163 - $B163) / $B163, "")</f>
        <v>-1.3392857142857142E-2</v>
      </c>
      <c r="L163" s="18">
        <f>IF(ISNUMBER(J163), $B172 * K163, "")</f>
        <v>-2008.9285714285713</v>
      </c>
      <c r="M163" s="31">
        <v>223</v>
      </c>
      <c r="N163" s="32">
        <f t="shared" ref="N163:N166" si="89">IF(ISNUMBER(M163), (M163 - $B163) / $B163, "")</f>
        <v>-4.464285714285714E-3</v>
      </c>
      <c r="O163" s="18">
        <f>IF(ISNUMBER(M163), $B172 * N163, "")</f>
        <v>-669.64285714285711</v>
      </c>
      <c r="Q163" s="153"/>
      <c r="R163" s="154"/>
      <c r="S163" s="155"/>
    </row>
    <row r="164" spans="1:19" ht="17.25" thickBot="1">
      <c r="A164" s="109" t="s">
        <v>317</v>
      </c>
      <c r="B164" s="110">
        <v>637</v>
      </c>
      <c r="C164" s="70">
        <v>-1.39318885E-2</v>
      </c>
      <c r="D164" s="15">
        <v>637</v>
      </c>
      <c r="E164" s="32">
        <f t="shared" si="86"/>
        <v>0</v>
      </c>
      <c r="F164" s="18">
        <f>IF(ISNUMBER(D164), $B172 * E164, "")</f>
        <v>0</v>
      </c>
      <c r="G164" s="31">
        <v>636</v>
      </c>
      <c r="H164" s="32">
        <f t="shared" si="87"/>
        <v>-1.5698587127158557E-3</v>
      </c>
      <c r="I164" s="91">
        <f>IF(ISNUMBER(G164), $B172 * H164, "")</f>
        <v>-235.47880690737836</v>
      </c>
      <c r="J164" s="15">
        <v>636</v>
      </c>
      <c r="K164" s="32">
        <f t="shared" si="88"/>
        <v>-1.5698587127158557E-3</v>
      </c>
      <c r="L164" s="18">
        <f>IF(ISNUMBER(J164), $B172 * K164, "")</f>
        <v>-235.47880690737836</v>
      </c>
      <c r="M164" s="31">
        <v>639</v>
      </c>
      <c r="N164" s="32">
        <f t="shared" si="89"/>
        <v>3.1397174254317113E-3</v>
      </c>
      <c r="O164" s="18">
        <f>IF(ISNUMBER(M164), $B172 * N164, "")</f>
        <v>470.95761381475671</v>
      </c>
      <c r="Q164" s="146"/>
      <c r="R164" s="146"/>
      <c r="S164" s="146"/>
    </row>
    <row r="165" spans="1:19" ht="17.25" thickBot="1">
      <c r="A165" s="109" t="s">
        <v>161</v>
      </c>
      <c r="B165" s="110">
        <v>340</v>
      </c>
      <c r="C165" s="70">
        <v>-1.44927536E-2</v>
      </c>
      <c r="D165" s="15">
        <v>337</v>
      </c>
      <c r="E165" s="32">
        <f t="shared" si="86"/>
        <v>-8.8235294117647058E-3</v>
      </c>
      <c r="F165" s="18">
        <f>IF(ISNUMBER(D165), $B172 * E165, "")</f>
        <v>-1323.5294117647059</v>
      </c>
      <c r="G165" s="31">
        <v>327</v>
      </c>
      <c r="H165" s="32">
        <f t="shared" si="87"/>
        <v>-3.8235294117647062E-2</v>
      </c>
      <c r="I165" s="91">
        <f>IF(ISNUMBER(G165), $B172 * H165, "")</f>
        <v>-5735.2941176470595</v>
      </c>
      <c r="J165" s="15">
        <v>328</v>
      </c>
      <c r="K165" s="32">
        <f t="shared" si="88"/>
        <v>-3.5294117647058823E-2</v>
      </c>
      <c r="L165" s="18">
        <f>IF(ISNUMBER(J165), $B172 * K165, "")</f>
        <v>-5294.1176470588234</v>
      </c>
      <c r="M165" s="31">
        <v>332</v>
      </c>
      <c r="N165" s="32">
        <f t="shared" si="89"/>
        <v>-2.3529411764705882E-2</v>
      </c>
      <c r="O165" s="18">
        <f>IF(ISNUMBER(M165), $B172 * N165, "")</f>
        <v>-3529.4117647058824</v>
      </c>
      <c r="Q165" s="156"/>
      <c r="R165" s="156"/>
      <c r="S165" s="156"/>
    </row>
    <row r="166" spans="1:19" ht="17.25" thickBot="1">
      <c r="A166" s="111" t="s">
        <v>176</v>
      </c>
      <c r="B166" s="112">
        <v>347</v>
      </c>
      <c r="C166" s="71">
        <v>-2.25352113E-2</v>
      </c>
      <c r="D166" s="20">
        <v>354</v>
      </c>
      <c r="E166" s="21">
        <f t="shared" si="86"/>
        <v>2.0172910662824207E-2</v>
      </c>
      <c r="F166" s="22">
        <f>IF(ISNUMBER(D166), $B172 * E166, "")</f>
        <v>3025.9365994236309</v>
      </c>
      <c r="G166" s="30">
        <v>343</v>
      </c>
      <c r="H166" s="21">
        <f t="shared" si="87"/>
        <v>-1.1527377521613832E-2</v>
      </c>
      <c r="I166" s="95">
        <f>IF(ISNUMBER(G166), $B172 * H166, "")</f>
        <v>-1729.1066282420747</v>
      </c>
      <c r="J166" s="20">
        <v>348</v>
      </c>
      <c r="K166" s="21">
        <f t="shared" si="88"/>
        <v>2.881844380403458E-3</v>
      </c>
      <c r="L166" s="22">
        <f>IF(ISNUMBER(J166), $B172 * K166, "")</f>
        <v>432.27665706051869</v>
      </c>
      <c r="M166" s="30">
        <v>351</v>
      </c>
      <c r="N166" s="21">
        <f t="shared" si="89"/>
        <v>1.1527377521613832E-2</v>
      </c>
      <c r="O166" s="22">
        <f>IF(ISNUMBER(M166), $B172 * N166, "")</f>
        <v>1729.1066282420747</v>
      </c>
      <c r="Q166" s="156"/>
      <c r="R166" s="156"/>
      <c r="S166" s="156"/>
    </row>
    <row r="167" spans="1:19" ht="17.25" thickBot="1">
      <c r="A167" s="109" t="s">
        <v>187</v>
      </c>
      <c r="B167" s="113">
        <v>863</v>
      </c>
      <c r="C167" s="73">
        <v>-3.0337078699999999E-2</v>
      </c>
      <c r="D167" s="96">
        <v>852</v>
      </c>
      <c r="E167" s="97">
        <f>IF(ISNUMBER(D167), (D167 - $B167) / $B167, "")</f>
        <v>-1.2746234067207415E-2</v>
      </c>
      <c r="F167" s="98">
        <f>IF(ISNUMBER(D167), $B172 * E167, "")</f>
        <v>-1911.9351100811123</v>
      </c>
      <c r="G167" s="99">
        <v>833</v>
      </c>
      <c r="H167" s="97">
        <f>IF(ISNUMBER(G167), (G167 - $B167) / $B167, "")</f>
        <v>-3.4762456546929318E-2</v>
      </c>
      <c r="I167" s="100">
        <f>IF(ISNUMBER(G167), $B172 * H167, "")</f>
        <v>-5214.3684820393973</v>
      </c>
      <c r="J167" s="96">
        <v>837</v>
      </c>
      <c r="K167" s="97">
        <f>IF(ISNUMBER(J167), (J167 - $B167) / $B167, "")</f>
        <v>-3.0127462340672075E-2</v>
      </c>
      <c r="L167" s="98">
        <f>IF(ISNUMBER(J167), $B172 * K167, "")</f>
        <v>-4519.1193511008114</v>
      </c>
      <c r="M167" s="99">
        <v>847</v>
      </c>
      <c r="N167" s="97">
        <f>IF(ISNUMBER(M167), (M167 - $B167) / $B167, "")</f>
        <v>-1.8539976825028968E-2</v>
      </c>
      <c r="O167" s="98">
        <f>IF(ISNUMBER(M167), $B172 * N167, "")</f>
        <v>-2780.9965237543452</v>
      </c>
      <c r="Q167" s="146"/>
      <c r="R167" s="146"/>
      <c r="S167" s="146"/>
    </row>
    <row r="168" spans="1:19" ht="17.25" thickBot="1">
      <c r="A168" s="109" t="s">
        <v>341</v>
      </c>
      <c r="B168" s="110">
        <v>870</v>
      </c>
      <c r="C168" s="70">
        <v>-3.1180400899999999E-2</v>
      </c>
      <c r="D168" s="15">
        <v>859</v>
      </c>
      <c r="E168" s="32">
        <f t="shared" ref="E168:E171" si="90">IF(ISNUMBER(D168), (D168 - $B168) / $B168, "")</f>
        <v>-1.264367816091954E-2</v>
      </c>
      <c r="F168" s="18">
        <f>IF(ISNUMBER(D168), $B172 * E168, "")</f>
        <v>-1896.5517241379309</v>
      </c>
      <c r="G168" s="31">
        <v>830</v>
      </c>
      <c r="H168" s="32">
        <f t="shared" ref="H168:H171" si="91">IF(ISNUMBER(G168), (G168 - $B168) / $B168, "")</f>
        <v>-4.5977011494252873E-2</v>
      </c>
      <c r="I168" s="91">
        <f>IF(ISNUMBER(G168), $B172 * H168, "")</f>
        <v>-6896.5517241379312</v>
      </c>
      <c r="J168" s="15">
        <v>827</v>
      </c>
      <c r="K168" s="32">
        <f t="shared" ref="K168:K171" si="92">IF(ISNUMBER(J168), (J168 - $B168) / $B168, "")</f>
        <v>-4.9425287356321838E-2</v>
      </c>
      <c r="L168" s="18">
        <f>IF(ISNUMBER(J168), $B172 * K168, "")</f>
        <v>-7413.7931034482754</v>
      </c>
      <c r="M168" s="31">
        <v>835</v>
      </c>
      <c r="N168" s="32">
        <f t="shared" ref="N168:N171" si="93">IF(ISNUMBER(M168), (M168 - $B168) / $B168, "")</f>
        <v>-4.0229885057471264E-2</v>
      </c>
      <c r="O168" s="18">
        <f>IF(ISNUMBER(M168), $B172 * N168, "")</f>
        <v>-6034.4827586206893</v>
      </c>
      <c r="Q168" s="146"/>
      <c r="R168" s="146"/>
      <c r="S168" s="146"/>
    </row>
    <row r="169" spans="1:19" ht="17.25" thickBot="1">
      <c r="A169" s="109" t="s">
        <v>231</v>
      </c>
      <c r="B169" s="110">
        <v>394</v>
      </c>
      <c r="C169" s="70">
        <v>-3.4313725500000003E-2</v>
      </c>
      <c r="D169" s="15">
        <v>385</v>
      </c>
      <c r="E169" s="32">
        <f t="shared" si="90"/>
        <v>-2.2842639593908629E-2</v>
      </c>
      <c r="F169" s="18">
        <f>IF(ISNUMBER(D169), $B172 * E169, "")</f>
        <v>-3426.3959390862942</v>
      </c>
      <c r="G169" s="31">
        <v>378</v>
      </c>
      <c r="H169" s="32">
        <f t="shared" si="91"/>
        <v>-4.060913705583756E-2</v>
      </c>
      <c r="I169" s="91">
        <f>IF(ISNUMBER(G169), $B172 * H169, "")</f>
        <v>-6091.3705583756337</v>
      </c>
      <c r="J169" s="15">
        <v>380</v>
      </c>
      <c r="K169" s="32">
        <f t="shared" si="92"/>
        <v>-3.553299492385787E-2</v>
      </c>
      <c r="L169" s="18">
        <f>IF(ISNUMBER(J169), $B172 * K169, "")</f>
        <v>-5329.9492385786807</v>
      </c>
      <c r="M169" s="31">
        <v>384</v>
      </c>
      <c r="N169" s="32">
        <f t="shared" si="93"/>
        <v>-2.5380710659898477E-2</v>
      </c>
      <c r="O169" s="18">
        <f>IF(ISNUMBER(M169), $B172 * N169, "")</f>
        <v>-3807.1065989847716</v>
      </c>
      <c r="Q169" s="146"/>
      <c r="R169" s="146"/>
      <c r="S169" s="146"/>
    </row>
    <row r="170" spans="1:19">
      <c r="A170" s="109" t="s">
        <v>68</v>
      </c>
      <c r="B170" s="110">
        <v>644</v>
      </c>
      <c r="C170" s="70">
        <v>-6.9364161800000004E-2</v>
      </c>
      <c r="D170" s="15">
        <v>583</v>
      </c>
      <c r="E170" s="32">
        <f t="shared" si="90"/>
        <v>-9.4720496894409936E-2</v>
      </c>
      <c r="F170" s="18">
        <f>IF(ISNUMBER(D170), $B172 * E170, "")</f>
        <v>-14208.074534161491</v>
      </c>
      <c r="G170" s="31">
        <v>572</v>
      </c>
      <c r="H170" s="32">
        <f t="shared" si="91"/>
        <v>-0.11180124223602485</v>
      </c>
      <c r="I170" s="91">
        <f>IF(ISNUMBER(G170), $B172 * H170, "")</f>
        <v>-16770.186335403727</v>
      </c>
      <c r="J170" s="15">
        <v>575</v>
      </c>
      <c r="K170" s="32">
        <f t="shared" si="92"/>
        <v>-0.10714285714285714</v>
      </c>
      <c r="L170" s="18">
        <f>IF(ISNUMBER(J170), $B172 * K170, "")</f>
        <v>-16071.428571428571</v>
      </c>
      <c r="M170" s="31">
        <v>592</v>
      </c>
      <c r="N170" s="32">
        <f t="shared" si="93"/>
        <v>-8.0745341614906832E-2</v>
      </c>
      <c r="O170" s="18">
        <f>IF(ISNUMBER(M170), $B172 * N170, "")</f>
        <v>-12111.801242236024</v>
      </c>
      <c r="Q170" s="135"/>
      <c r="R170" s="136"/>
      <c r="S170" s="137"/>
    </row>
    <row r="171" spans="1:19" ht="17.25" thickBot="1">
      <c r="A171" s="114" t="s">
        <v>345</v>
      </c>
      <c r="B171" s="115">
        <v>173</v>
      </c>
      <c r="C171" s="72">
        <v>-8.94736842E-2</v>
      </c>
      <c r="D171" s="24">
        <v>164</v>
      </c>
      <c r="E171" s="25">
        <f t="shared" si="90"/>
        <v>-5.2023121387283239E-2</v>
      </c>
      <c r="F171" s="94">
        <f>IF(ISNUMBER(D171), $B172 * E171, "")</f>
        <v>-7803.4682080924858</v>
      </c>
      <c r="G171" s="92">
        <v>161</v>
      </c>
      <c r="H171" s="25">
        <f t="shared" si="91"/>
        <v>-6.9364161849710976E-2</v>
      </c>
      <c r="I171" s="93">
        <f>IF(ISNUMBER(G171), $B172 * H171, "")</f>
        <v>-10404.624277456647</v>
      </c>
      <c r="J171" s="24">
        <v>161</v>
      </c>
      <c r="K171" s="25">
        <f t="shared" si="92"/>
        <v>-6.9364161849710976E-2</v>
      </c>
      <c r="L171" s="94">
        <f>IF(ISNUMBER(J171), $B172 * K171, "")</f>
        <v>-10404.624277456647</v>
      </c>
      <c r="M171" s="92">
        <v>163</v>
      </c>
      <c r="N171" s="25">
        <f t="shared" si="93"/>
        <v>-5.7803468208092484E-2</v>
      </c>
      <c r="O171" s="94">
        <f>IF(ISNUMBER(M171), $B172 * N171, "")</f>
        <v>-8670.5202312138736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9.2018268779960211E-3</v>
      </c>
      <c r="F172" s="28">
        <f>SUM(F152:F171)</f>
        <v>27605.480633988063</v>
      </c>
      <c r="G172" s="26" t="s">
        <v>258</v>
      </c>
      <c r="H172" s="27">
        <f>IF(COUNT(H152:H171), SUM(H152:H171) / COUNT(H152:H171), 0)</f>
        <v>-2.2664945866974189E-2</v>
      </c>
      <c r="I172" s="28">
        <f>SUM(I152:I171)</f>
        <v>-67994.837600922576</v>
      </c>
      <c r="J172" s="26" t="s">
        <v>258</v>
      </c>
      <c r="K172" s="27">
        <f>IF(COUNT(K152:K171), SUM(K152:K171) / COUNT(K152:K171), 0)</f>
        <v>-1.8166097716091643E-2</v>
      </c>
      <c r="L172" s="28">
        <f>SUM(L152:L171)</f>
        <v>-54498.293148274934</v>
      </c>
      <c r="M172" s="26" t="s">
        <v>258</v>
      </c>
      <c r="N172" s="27">
        <f>IF(COUNT(N152:N171), SUM(N152:N171) / COUNT(N152:N171), 0)</f>
        <v>-8.1412642967422337E-3</v>
      </c>
      <c r="O172" s="28">
        <f>SUM(O152:O171)</f>
        <v>-24423.792890226705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2023-01-18(수) 오전 00:00</v>
      </c>
      <c r="C177" s="198"/>
      <c r="D177" s="170" t="str">
        <f>TEXT($G$1, "[$-ko-KR]yyyy-mm-dd(ddd) ") &amp; "오후 14:00"</f>
        <v>2023-01-18(수) 오후 14:00</v>
      </c>
      <c r="E177" s="171"/>
      <c r="F177" s="172"/>
      <c r="G177" s="170" t="str">
        <f>TEXT($G$1, "[$-ko-KR]yyyy-mm-dd(ddd) ") &amp; "오후 19:00"</f>
        <v>2023-01-18(수) 오후 19:00</v>
      </c>
      <c r="H177" s="171"/>
      <c r="I177" s="172"/>
      <c r="J177" s="170" t="str">
        <f>TEXT($G$1, "[$-ko-KR]yyyy-mm-dd(ddd) ") &amp; "오후 21:00"</f>
        <v>2023-01-18(수) 오후 21:00</v>
      </c>
      <c r="K177" s="171"/>
      <c r="L177" s="172"/>
      <c r="M177" s="170" t="str">
        <f>TEXT($G$1+1, "[$-ko-KR]yyyy-mm-dd(ddd) ") &amp; "오전 00:00"</f>
        <v>2023-01-19(목)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239</v>
      </c>
      <c r="B179" s="108">
        <v>477</v>
      </c>
      <c r="C179" s="69">
        <v>-8.3160083000000003E-3</v>
      </c>
      <c r="D179" s="13">
        <v>480</v>
      </c>
      <c r="E179" s="14">
        <f>IF(ISNUMBER(D179), (D179 - $B179) / $B179, "")</f>
        <v>6.2893081761006293E-3</v>
      </c>
      <c r="F179" s="16">
        <f>IF(ISNUMBER(D179), $B199 * E179, "")</f>
        <v>943.39622641509436</v>
      </c>
      <c r="G179" s="29">
        <v>470</v>
      </c>
      <c r="H179" s="14">
        <f>IF(ISNUMBER(G179), (G179 - $B179) / $B179, "")</f>
        <v>-1.4675052410901468E-2</v>
      </c>
      <c r="I179" s="90">
        <f>IF(ISNUMBER(G179), $B199 * H179, "")</f>
        <v>-2201.2578616352203</v>
      </c>
      <c r="J179" s="13">
        <v>473</v>
      </c>
      <c r="K179" s="14">
        <f>IF(ISNUMBER(J179), (J179 - $B179) / $B179, "")</f>
        <v>-8.385744234800839E-3</v>
      </c>
      <c r="L179" s="16">
        <f>IF(ISNUMBER(J179), $B199 * K179, "")</f>
        <v>-1257.8616352201259</v>
      </c>
      <c r="M179" s="29">
        <v>476</v>
      </c>
      <c r="N179" s="14">
        <f>IF(ISNUMBER(M179), (M179 - $B179) / $B179, "")</f>
        <v>-2.0964360587002098E-3</v>
      </c>
      <c r="O179" s="16">
        <f>IF(ISNUMBER(M179), $B199 * N179, "")</f>
        <v>-314.46540880503147</v>
      </c>
      <c r="Q179" s="156"/>
      <c r="R179" s="156"/>
      <c r="S179" s="156"/>
    </row>
    <row r="180" spans="1:19" ht="17.25" thickBot="1">
      <c r="A180" s="109" t="s">
        <v>328</v>
      </c>
      <c r="B180" s="110">
        <v>10010</v>
      </c>
      <c r="C180" s="70">
        <v>-8.9108911000000002E-3</v>
      </c>
      <c r="D180" s="15">
        <v>9640</v>
      </c>
      <c r="E180" s="32">
        <f t="shared" ref="E180:E183" si="94">IF(ISNUMBER(D180), (D180 - $B180) / $B180, "")</f>
        <v>-3.696303696303696E-2</v>
      </c>
      <c r="F180" s="18">
        <f>IF(ISNUMBER(D180), $B199 * E180, "")</f>
        <v>-5544.4555444555444</v>
      </c>
      <c r="G180" s="31">
        <v>9295</v>
      </c>
      <c r="H180" s="32">
        <f t="shared" ref="H180:H183" si="95">IF(ISNUMBER(G180), (G180 - $B180) / $B180, "")</f>
        <v>-7.1428571428571425E-2</v>
      </c>
      <c r="I180" s="91">
        <f>IF(ISNUMBER(G180), $B199 * H180, "")</f>
        <v>-10714.285714285714</v>
      </c>
      <c r="J180" s="15">
        <v>9440</v>
      </c>
      <c r="K180" s="32">
        <f t="shared" ref="K180:K183" si="96">IF(ISNUMBER(J180), (J180 - $B180) / $B180, "")</f>
        <v>-5.6943056943056944E-2</v>
      </c>
      <c r="L180" s="18">
        <f>IF(ISNUMBER(J180), $B199 * K180, "")</f>
        <v>-8541.4585414585417</v>
      </c>
      <c r="M180" s="31">
        <v>9565</v>
      </c>
      <c r="N180" s="32">
        <f t="shared" ref="N180:N183" si="97">IF(ISNUMBER(M180), (M180 - $B180) / $B180, "")</f>
        <v>-4.4455544455544456E-2</v>
      </c>
      <c r="O180" s="18">
        <f>IF(ISNUMBER(M180), $B199 * N180, "")</f>
        <v>-6668.331668331668</v>
      </c>
      <c r="Q180" s="156"/>
      <c r="R180" s="156"/>
      <c r="S180" s="156"/>
    </row>
    <row r="181" spans="1:19" ht="17.25" thickBot="1">
      <c r="A181" s="109" t="s">
        <v>174</v>
      </c>
      <c r="B181" s="110">
        <v>15310</v>
      </c>
      <c r="C181" s="70">
        <v>-1.0342598600000001E-2</v>
      </c>
      <c r="D181" s="15">
        <v>15310</v>
      </c>
      <c r="E181" s="32">
        <f t="shared" si="94"/>
        <v>0</v>
      </c>
      <c r="F181" s="18">
        <f>IF(ISNUMBER(D181), $B199 * E181, "")</f>
        <v>0</v>
      </c>
      <c r="G181" s="31">
        <v>15110</v>
      </c>
      <c r="H181" s="32">
        <f t="shared" si="95"/>
        <v>-1.3063357282821686E-2</v>
      </c>
      <c r="I181" s="91">
        <f>IF(ISNUMBER(G181), $B199 * H181, "")</f>
        <v>-1959.5035924232529</v>
      </c>
      <c r="J181" s="15">
        <v>15130</v>
      </c>
      <c r="K181" s="32">
        <f t="shared" si="96"/>
        <v>-1.1757021554539516E-2</v>
      </c>
      <c r="L181" s="18">
        <f>IF(ISNUMBER(J181), $B199 * K181, "")</f>
        <v>-1763.5532331809275</v>
      </c>
      <c r="M181" s="31">
        <v>15250</v>
      </c>
      <c r="N181" s="32">
        <f t="shared" si="97"/>
        <v>-3.9190071848465057E-3</v>
      </c>
      <c r="O181" s="18">
        <f>IF(ISNUMBER(M181), $B199 * N181, "")</f>
        <v>-587.85107772697586</v>
      </c>
      <c r="Q181" s="146"/>
      <c r="R181" s="146"/>
      <c r="S181" s="146"/>
    </row>
    <row r="182" spans="1:19" ht="17.25" thickBot="1">
      <c r="A182" s="109" t="s">
        <v>229</v>
      </c>
      <c r="B182" s="110">
        <v>281</v>
      </c>
      <c r="C182" s="70">
        <v>-1.0563380299999999E-2</v>
      </c>
      <c r="D182" s="15">
        <v>309</v>
      </c>
      <c r="E182" s="32">
        <f t="shared" si="94"/>
        <v>9.9644128113879002E-2</v>
      </c>
      <c r="F182" s="18">
        <f>IF(ISNUMBER(D182), $B199 * E182, "")</f>
        <v>14946.61921708185</v>
      </c>
      <c r="G182" s="31">
        <v>288</v>
      </c>
      <c r="H182" s="32">
        <f t="shared" si="95"/>
        <v>2.491103202846975E-2</v>
      </c>
      <c r="I182" s="91">
        <f>IF(ISNUMBER(G182), $B199 * H182, "")</f>
        <v>3736.6548042704626</v>
      </c>
      <c r="J182" s="15">
        <v>290</v>
      </c>
      <c r="K182" s="32">
        <f t="shared" si="96"/>
        <v>3.2028469750889681E-2</v>
      </c>
      <c r="L182" s="18">
        <f>IF(ISNUMBER(J182), $B199 * K182, "")</f>
        <v>4804.2704626334526</v>
      </c>
      <c r="M182" s="31">
        <v>289</v>
      </c>
      <c r="N182" s="32">
        <f t="shared" si="97"/>
        <v>2.8469750889679714E-2</v>
      </c>
      <c r="O182" s="18">
        <f>IF(ISNUMBER(M182), $B199 * N182, "")</f>
        <v>4270.4626334519571</v>
      </c>
      <c r="Q182" s="146"/>
      <c r="R182" s="146"/>
      <c r="S182" s="146"/>
    </row>
    <row r="183" spans="1:19" ht="17.25" thickBot="1">
      <c r="A183" s="111" t="s">
        <v>215</v>
      </c>
      <c r="B183" s="112">
        <v>364</v>
      </c>
      <c r="C183" s="71">
        <v>-1.08695652E-2</v>
      </c>
      <c r="D183" s="20">
        <v>376</v>
      </c>
      <c r="E183" s="21">
        <f t="shared" si="94"/>
        <v>3.2967032967032968E-2</v>
      </c>
      <c r="F183" s="22">
        <f>IF(ISNUMBER(D183), $B199 * E183, "")</f>
        <v>4945.0549450549452</v>
      </c>
      <c r="G183" s="30">
        <v>360</v>
      </c>
      <c r="H183" s="21">
        <f t="shared" si="95"/>
        <v>-1.098901098901099E-2</v>
      </c>
      <c r="I183" s="95">
        <f>IF(ISNUMBER(G183), $B199 * H183, "")</f>
        <v>-1648.3516483516485</v>
      </c>
      <c r="J183" s="20">
        <v>362</v>
      </c>
      <c r="K183" s="21">
        <f t="shared" si="96"/>
        <v>-5.4945054945054949E-3</v>
      </c>
      <c r="L183" s="22">
        <f>IF(ISNUMBER(J183), $B199 * K183, "")</f>
        <v>-824.17582417582423</v>
      </c>
      <c r="M183" s="30">
        <v>371</v>
      </c>
      <c r="N183" s="21">
        <f t="shared" si="97"/>
        <v>1.9230769230769232E-2</v>
      </c>
      <c r="O183" s="22">
        <f>IF(ISNUMBER(M183), $B199 * N183, "")</f>
        <v>2884.6153846153848</v>
      </c>
      <c r="Q183" s="146"/>
      <c r="R183" s="146"/>
      <c r="S183" s="146"/>
    </row>
    <row r="184" spans="1:19" ht="17.25" thickBot="1">
      <c r="A184" s="109" t="s">
        <v>157</v>
      </c>
      <c r="B184" s="113">
        <v>224</v>
      </c>
      <c r="C184" s="73">
        <v>-1.3215859E-2</v>
      </c>
      <c r="D184" s="96">
        <v>227</v>
      </c>
      <c r="E184" s="97">
        <f>IF(ISNUMBER(D184), (D184 - $B184) / $B184, "")</f>
        <v>1.3392857142857142E-2</v>
      </c>
      <c r="F184" s="98">
        <f>IF(ISNUMBER(D184), $B199 * E184, "")</f>
        <v>2008.9285714285713</v>
      </c>
      <c r="G184" s="99">
        <v>222</v>
      </c>
      <c r="H184" s="97">
        <f>IF(ISNUMBER(G184), (G184 - $B184) / $B184, "")</f>
        <v>-8.9285714285714281E-3</v>
      </c>
      <c r="I184" s="100">
        <f>IF(ISNUMBER(G184), $B199 * H184, "")</f>
        <v>-1339.2857142857142</v>
      </c>
      <c r="J184" s="96">
        <v>221</v>
      </c>
      <c r="K184" s="97">
        <f>IF(ISNUMBER(J184), (J184 - $B184) / $B184, "")</f>
        <v>-1.3392857142857142E-2</v>
      </c>
      <c r="L184" s="98">
        <f>IF(ISNUMBER(J184), $B199 * K184, "")</f>
        <v>-2008.9285714285713</v>
      </c>
      <c r="M184" s="99">
        <v>223</v>
      </c>
      <c r="N184" s="97">
        <f>IF(ISNUMBER(M184), (M184 - $B184) / $B184, "")</f>
        <v>-4.464285714285714E-3</v>
      </c>
      <c r="O184" s="98">
        <f>IF(ISNUMBER(M184), $B199 * N184, "")</f>
        <v>-669.64285714285711</v>
      </c>
      <c r="Q184" s="146"/>
      <c r="R184" s="146"/>
      <c r="S184" s="146"/>
    </row>
    <row r="185" spans="1:19" ht="17.25" thickBot="1">
      <c r="A185" s="109" t="s">
        <v>317</v>
      </c>
      <c r="B185" s="110">
        <v>637</v>
      </c>
      <c r="C185" s="70">
        <v>-1.39318885E-2</v>
      </c>
      <c r="D185" s="15">
        <v>637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636</v>
      </c>
      <c r="H185" s="32">
        <f t="shared" ref="H185:H188" si="99">IF(ISNUMBER(G185), (G185 - $B185) / $B185, "")</f>
        <v>-1.5698587127158557E-3</v>
      </c>
      <c r="I185" s="91">
        <f>IF(ISNUMBER(G185), $B199 * H185, "")</f>
        <v>-235.47880690737836</v>
      </c>
      <c r="J185" s="15">
        <v>636</v>
      </c>
      <c r="K185" s="32">
        <f t="shared" ref="K185:K188" si="100">IF(ISNUMBER(J185), (J185 - $B185) / $B185, "")</f>
        <v>-1.5698587127158557E-3</v>
      </c>
      <c r="L185" s="18">
        <f>IF(ISNUMBER(J185), $B199 * K185, "")</f>
        <v>-235.47880690737836</v>
      </c>
      <c r="M185" s="31">
        <v>639</v>
      </c>
      <c r="N185" s="32">
        <f t="shared" ref="N185:N188" si="101">IF(ISNUMBER(M185), (M185 - $B185) / $B185, "")</f>
        <v>3.1397174254317113E-3</v>
      </c>
      <c r="O185" s="18">
        <f>IF(ISNUMBER(M185), $B199 * N185, "")</f>
        <v>470.95761381475671</v>
      </c>
      <c r="Q185" s="146"/>
      <c r="R185" s="146"/>
      <c r="S185" s="146"/>
    </row>
    <row r="186" spans="1:19" ht="17.25" thickBot="1">
      <c r="A186" s="109" t="s">
        <v>161</v>
      </c>
      <c r="B186" s="110">
        <v>340</v>
      </c>
      <c r="C186" s="70">
        <v>-1.44927536E-2</v>
      </c>
      <c r="D186" s="15">
        <v>337</v>
      </c>
      <c r="E186" s="32">
        <f t="shared" si="98"/>
        <v>-8.8235294117647058E-3</v>
      </c>
      <c r="F186" s="18">
        <f>IF(ISNUMBER(D186), $B199 * E186, "")</f>
        <v>-1323.5294117647059</v>
      </c>
      <c r="G186" s="31">
        <v>327</v>
      </c>
      <c r="H186" s="32">
        <f t="shared" si="99"/>
        <v>-3.8235294117647062E-2</v>
      </c>
      <c r="I186" s="91">
        <f>IF(ISNUMBER(G186), $B199 * H186, "")</f>
        <v>-5735.2941176470595</v>
      </c>
      <c r="J186" s="15">
        <v>328</v>
      </c>
      <c r="K186" s="32">
        <f t="shared" si="100"/>
        <v>-3.5294117647058823E-2</v>
      </c>
      <c r="L186" s="18">
        <f>IF(ISNUMBER(J186), $B199 * K186, "")</f>
        <v>-5294.1176470588234</v>
      </c>
      <c r="M186" s="31">
        <v>332</v>
      </c>
      <c r="N186" s="32">
        <f t="shared" si="101"/>
        <v>-2.3529411764705882E-2</v>
      </c>
      <c r="O186" s="18">
        <f>IF(ISNUMBER(M186), $B199 * N186, "")</f>
        <v>-3529.4117647058824</v>
      </c>
      <c r="Q186" s="146"/>
      <c r="R186" s="146"/>
      <c r="S186" s="146"/>
    </row>
    <row r="187" spans="1:19" ht="17.25" thickBot="1">
      <c r="A187" s="109" t="s">
        <v>189</v>
      </c>
      <c r="B187" s="110">
        <v>1320</v>
      </c>
      <c r="C187" s="70">
        <v>-1.49253731E-2</v>
      </c>
      <c r="D187" s="15">
        <v>1345</v>
      </c>
      <c r="E187" s="32">
        <f t="shared" si="98"/>
        <v>1.893939393939394E-2</v>
      </c>
      <c r="F187" s="18">
        <f>IF(ISNUMBER(D187), $B199 * E187, "")</f>
        <v>2840.909090909091</v>
      </c>
      <c r="G187" s="31">
        <v>1275</v>
      </c>
      <c r="H187" s="32">
        <f t="shared" si="99"/>
        <v>-3.4090909090909088E-2</v>
      </c>
      <c r="I187" s="91">
        <f>IF(ISNUMBER(G187), $B199 * H187, "")</f>
        <v>-5113.6363636363631</v>
      </c>
      <c r="J187" s="15">
        <v>1290</v>
      </c>
      <c r="K187" s="32">
        <f t="shared" si="100"/>
        <v>-2.2727272727272728E-2</v>
      </c>
      <c r="L187" s="18">
        <f>IF(ISNUMBER(J187), $B199 * K187, "")</f>
        <v>-3409.090909090909</v>
      </c>
      <c r="M187" s="31">
        <v>1315</v>
      </c>
      <c r="N187" s="32">
        <f t="shared" si="101"/>
        <v>-3.787878787878788E-3</v>
      </c>
      <c r="O187" s="18">
        <f>IF(ISNUMBER(M187), $B199 * N187, "")</f>
        <v>-568.18181818181824</v>
      </c>
      <c r="Q187" s="33"/>
      <c r="R187" s="33"/>
    </row>
    <row r="188" spans="1:19" ht="17.25" thickBot="1">
      <c r="A188" s="114" t="s">
        <v>151</v>
      </c>
      <c r="B188" s="115">
        <v>2880</v>
      </c>
      <c r="C188" s="72">
        <v>-2.0408163300000001E-2</v>
      </c>
      <c r="D188" s="24">
        <v>2780</v>
      </c>
      <c r="E188" s="25">
        <f t="shared" si="98"/>
        <v>-3.4722222222222224E-2</v>
      </c>
      <c r="F188" s="94">
        <f>IF(ISNUMBER(D188), $B199 * E188, "")</f>
        <v>-5208.3333333333339</v>
      </c>
      <c r="G188" s="92">
        <v>2660</v>
      </c>
      <c r="H188" s="25">
        <f t="shared" si="99"/>
        <v>-7.6388888888888895E-2</v>
      </c>
      <c r="I188" s="93">
        <f>IF(ISNUMBER(G188), $B199 * H188, "")</f>
        <v>-11458.333333333334</v>
      </c>
      <c r="J188" s="24">
        <v>2685</v>
      </c>
      <c r="K188" s="25">
        <f t="shared" si="100"/>
        <v>-6.7708333333333329E-2</v>
      </c>
      <c r="L188" s="94">
        <f>IF(ISNUMBER(J188), $B199 * K188, "")</f>
        <v>-10156.25</v>
      </c>
      <c r="M188" s="92">
        <v>2720</v>
      </c>
      <c r="N188" s="25">
        <f t="shared" si="101"/>
        <v>-5.5555555555555552E-2</v>
      </c>
      <c r="O188" s="94">
        <f>IF(ISNUMBER(M188), $B199 * N188, "")</f>
        <v>-8333.3333333333321</v>
      </c>
      <c r="Q188" s="147"/>
      <c r="R188" s="148"/>
      <c r="S188" s="149"/>
    </row>
    <row r="189" spans="1:19">
      <c r="A189" s="107" t="s">
        <v>324</v>
      </c>
      <c r="B189" s="108">
        <v>97.9</v>
      </c>
      <c r="C189" s="69">
        <v>-2.1000000000000001E-2</v>
      </c>
      <c r="D189" s="13">
        <v>97.1</v>
      </c>
      <c r="E189" s="14">
        <f>IF(ISNUMBER(D189), (D189 - $B189) / $B189, "")</f>
        <v>-8.1716036772217712E-3</v>
      </c>
      <c r="F189" s="16">
        <f>IF(ISNUMBER(D189), $B199 * E189, "")</f>
        <v>-1225.7405515832656</v>
      </c>
      <c r="G189" s="29">
        <v>95</v>
      </c>
      <c r="H189" s="14">
        <f>IF(ISNUMBER(G189), (G189 - $B189) / $B189, "")</f>
        <v>-2.9622063329928554E-2</v>
      </c>
      <c r="I189" s="90">
        <f>IF(ISNUMBER(G189), $B199 * H189, "")</f>
        <v>-4443.3094994892826</v>
      </c>
      <c r="J189" s="13">
        <v>94.7</v>
      </c>
      <c r="K189" s="14">
        <f>IF(ISNUMBER(J189), (J189 - $B189) / $B189, "")</f>
        <v>-3.2686414708886648E-2</v>
      </c>
      <c r="L189" s="16">
        <f>IF(ISNUMBER(J189), $B199 * K189, "")</f>
        <v>-4902.9622063329971</v>
      </c>
      <c r="M189" s="29">
        <v>95.8</v>
      </c>
      <c r="N189" s="14">
        <f>IF(ISNUMBER(M189), (M189 - $B189) / $B189, "")</f>
        <v>-2.1450459652706928E-2</v>
      </c>
      <c r="O189" s="16">
        <f>IF(ISNUMBER(M189), $B199 * N189, "")</f>
        <v>-3217.5689479060393</v>
      </c>
      <c r="Q189" s="150"/>
      <c r="R189" s="151"/>
      <c r="S189" s="152"/>
    </row>
    <row r="190" spans="1:19" ht="17.25" thickBot="1">
      <c r="A190" s="109" t="s">
        <v>176</v>
      </c>
      <c r="B190" s="110">
        <v>347</v>
      </c>
      <c r="C190" s="70">
        <v>-2.25352113E-2</v>
      </c>
      <c r="D190" s="15">
        <v>354</v>
      </c>
      <c r="E190" s="32">
        <f t="shared" ref="E190:E193" si="102">IF(ISNUMBER(D190), (D190 - $B190) / $B190, "")</f>
        <v>2.0172910662824207E-2</v>
      </c>
      <c r="F190" s="18">
        <f>IF(ISNUMBER(D190), $B199 * E190, "")</f>
        <v>3025.9365994236309</v>
      </c>
      <c r="G190" s="31">
        <v>343</v>
      </c>
      <c r="H190" s="32">
        <f t="shared" ref="H190:H193" si="103">IF(ISNUMBER(G190), (G190 - $B190) / $B190, "")</f>
        <v>-1.1527377521613832E-2</v>
      </c>
      <c r="I190" s="91">
        <f>IF(ISNUMBER(G190), $B199 * H190, "")</f>
        <v>-1729.1066282420747</v>
      </c>
      <c r="J190" s="15">
        <v>348</v>
      </c>
      <c r="K190" s="32">
        <f t="shared" ref="K190:K193" si="104">IF(ISNUMBER(J190), (J190 - $B190) / $B190, "")</f>
        <v>2.881844380403458E-3</v>
      </c>
      <c r="L190" s="18">
        <f>IF(ISNUMBER(J190), $B199 * K190, "")</f>
        <v>432.27665706051869</v>
      </c>
      <c r="M190" s="31">
        <v>351</v>
      </c>
      <c r="N190" s="32">
        <f t="shared" ref="N190:N193" si="105">IF(ISNUMBER(M190), (M190 - $B190) / $B190, "")</f>
        <v>1.1527377521613832E-2</v>
      </c>
      <c r="O190" s="18">
        <f>IF(ISNUMBER(M190), $B199 * N190, "")</f>
        <v>1729.1066282420747</v>
      </c>
      <c r="Q190" s="153"/>
      <c r="R190" s="154"/>
      <c r="S190" s="155"/>
    </row>
    <row r="191" spans="1:19" ht="17.25" thickBot="1">
      <c r="A191" s="109" t="s">
        <v>113</v>
      </c>
      <c r="B191" s="110">
        <v>1410</v>
      </c>
      <c r="C191" s="70">
        <v>-2.75862069E-2</v>
      </c>
      <c r="D191" s="15">
        <v>1380</v>
      </c>
      <c r="E191" s="32">
        <f t="shared" si="102"/>
        <v>-2.1276595744680851E-2</v>
      </c>
      <c r="F191" s="18">
        <f>IF(ISNUMBER(D191), $B199 * E191, "")</f>
        <v>-3191.4893617021276</v>
      </c>
      <c r="G191" s="31">
        <v>1340</v>
      </c>
      <c r="H191" s="32">
        <f t="shared" si="103"/>
        <v>-4.9645390070921988E-2</v>
      </c>
      <c r="I191" s="91">
        <f>IF(ISNUMBER(G191), $B199 * H191, "")</f>
        <v>-7446.8085106382978</v>
      </c>
      <c r="J191" s="15">
        <v>1345</v>
      </c>
      <c r="K191" s="32">
        <f t="shared" si="104"/>
        <v>-4.6099290780141841E-2</v>
      </c>
      <c r="L191" s="18">
        <f>IF(ISNUMBER(J191), $B199 * K191, "")</f>
        <v>-6914.8936170212764</v>
      </c>
      <c r="M191" s="31">
        <v>1365</v>
      </c>
      <c r="N191" s="32">
        <f t="shared" si="105"/>
        <v>-3.1914893617021274E-2</v>
      </c>
      <c r="O191" s="18">
        <f>IF(ISNUMBER(M191), $B199 * N191, "")</f>
        <v>-4787.2340425531911</v>
      </c>
      <c r="Q191" s="146"/>
      <c r="R191" s="146"/>
      <c r="S191" s="146"/>
    </row>
    <row r="192" spans="1:19" ht="17.25" thickBot="1">
      <c r="A192" s="109" t="s">
        <v>187</v>
      </c>
      <c r="B192" s="110">
        <v>863</v>
      </c>
      <c r="C192" s="70">
        <v>-3.0337078699999999E-2</v>
      </c>
      <c r="D192" s="15">
        <v>852</v>
      </c>
      <c r="E192" s="32">
        <f t="shared" si="102"/>
        <v>-1.2746234067207415E-2</v>
      </c>
      <c r="F192" s="18">
        <f>IF(ISNUMBER(D192), $B199 * E192, "")</f>
        <v>-1911.9351100811123</v>
      </c>
      <c r="G192" s="31">
        <v>833</v>
      </c>
      <c r="H192" s="32">
        <f t="shared" si="103"/>
        <v>-3.4762456546929318E-2</v>
      </c>
      <c r="I192" s="91">
        <f>IF(ISNUMBER(G192), $B199 * H192, "")</f>
        <v>-5214.3684820393973</v>
      </c>
      <c r="J192" s="15">
        <v>837</v>
      </c>
      <c r="K192" s="32">
        <f t="shared" si="104"/>
        <v>-3.0127462340672075E-2</v>
      </c>
      <c r="L192" s="18">
        <f>IF(ISNUMBER(J192), $B199 * K192, "")</f>
        <v>-4519.1193511008114</v>
      </c>
      <c r="M192" s="31">
        <v>847</v>
      </c>
      <c r="N192" s="32">
        <f t="shared" si="105"/>
        <v>-1.8539976825028968E-2</v>
      </c>
      <c r="O192" s="18">
        <f>IF(ISNUMBER(M192), $B199 * N192, "")</f>
        <v>-2780.9965237543452</v>
      </c>
      <c r="Q192" s="156"/>
      <c r="R192" s="156"/>
      <c r="S192" s="156"/>
    </row>
    <row r="193" spans="1:19" ht="17.25" thickBot="1">
      <c r="A193" s="111" t="s">
        <v>341</v>
      </c>
      <c r="B193" s="112">
        <v>870</v>
      </c>
      <c r="C193" s="71">
        <v>-3.1180400899999999E-2</v>
      </c>
      <c r="D193" s="20">
        <v>859</v>
      </c>
      <c r="E193" s="21">
        <f t="shared" si="102"/>
        <v>-1.264367816091954E-2</v>
      </c>
      <c r="F193" s="22">
        <f>IF(ISNUMBER(D193), $B199 * E193, "")</f>
        <v>-1896.5517241379309</v>
      </c>
      <c r="G193" s="30">
        <v>830</v>
      </c>
      <c r="H193" s="21">
        <f t="shared" si="103"/>
        <v>-4.5977011494252873E-2</v>
      </c>
      <c r="I193" s="95">
        <f>IF(ISNUMBER(G193), $B199 * H193, "")</f>
        <v>-6896.5517241379312</v>
      </c>
      <c r="J193" s="20">
        <v>827</v>
      </c>
      <c r="K193" s="21">
        <f t="shared" si="104"/>
        <v>-4.9425287356321838E-2</v>
      </c>
      <c r="L193" s="22">
        <f>IF(ISNUMBER(J193), $B199 * K193, "")</f>
        <v>-7413.7931034482754</v>
      </c>
      <c r="M193" s="30">
        <v>835</v>
      </c>
      <c r="N193" s="21">
        <f t="shared" si="105"/>
        <v>-4.0229885057471264E-2</v>
      </c>
      <c r="O193" s="22">
        <f>IF(ISNUMBER(M193), $B199 * N193, "")</f>
        <v>-6034.4827586206893</v>
      </c>
      <c r="Q193" s="156"/>
      <c r="R193" s="156"/>
      <c r="S193" s="156"/>
    </row>
    <row r="194" spans="1:19" ht="17.25" thickBot="1">
      <c r="A194" s="109" t="s">
        <v>231</v>
      </c>
      <c r="B194" s="113">
        <v>394</v>
      </c>
      <c r="C194" s="73">
        <v>-3.4313725500000003E-2</v>
      </c>
      <c r="D194" s="96">
        <v>385</v>
      </c>
      <c r="E194" s="97">
        <f>IF(ISNUMBER(D194), (D194 - $B194) / $B194, "")</f>
        <v>-2.2842639593908629E-2</v>
      </c>
      <c r="F194" s="98">
        <f>IF(ISNUMBER(D194), $B199 * E194, "")</f>
        <v>-3426.3959390862942</v>
      </c>
      <c r="G194" s="99">
        <v>378</v>
      </c>
      <c r="H194" s="97">
        <f>IF(ISNUMBER(G194), (G194 - $B194) / $B194, "")</f>
        <v>-4.060913705583756E-2</v>
      </c>
      <c r="I194" s="100">
        <f>IF(ISNUMBER(G194), $B199 * H194, "")</f>
        <v>-6091.3705583756337</v>
      </c>
      <c r="J194" s="96">
        <v>380</v>
      </c>
      <c r="K194" s="97">
        <f>IF(ISNUMBER(J194), (J194 - $B194) / $B194, "")</f>
        <v>-3.553299492385787E-2</v>
      </c>
      <c r="L194" s="98">
        <f>IF(ISNUMBER(J194), $B199 * K194, "")</f>
        <v>-5329.9492385786807</v>
      </c>
      <c r="M194" s="99">
        <v>384</v>
      </c>
      <c r="N194" s="97">
        <f>IF(ISNUMBER(M194), (M194 - $B194) / $B194, "")</f>
        <v>-2.5380710659898477E-2</v>
      </c>
      <c r="O194" s="98">
        <f>IF(ISNUMBER(M194), $B199 * N194, "")</f>
        <v>-3807.1065989847716</v>
      </c>
      <c r="Q194" s="146"/>
      <c r="R194" s="146"/>
      <c r="S194" s="146"/>
    </row>
    <row r="195" spans="1:19" ht="17.25" thickBot="1">
      <c r="A195" s="109" t="s">
        <v>350</v>
      </c>
      <c r="B195" s="110">
        <v>7.55</v>
      </c>
      <c r="C195" s="70">
        <v>-4.4303797499999999E-2</v>
      </c>
      <c r="D195" s="15">
        <v>7.41</v>
      </c>
      <c r="E195" s="32">
        <f t="shared" ref="E195:E198" si="106">IF(ISNUMBER(D195), (D195 - $B195) / $B195, "")</f>
        <v>-1.8543046357615851E-2</v>
      </c>
      <c r="F195" s="18">
        <f>IF(ISNUMBER(D195), $B199 * E195, "")</f>
        <v>-2781.4569536423778</v>
      </c>
      <c r="G195" s="31">
        <v>7.3</v>
      </c>
      <c r="H195" s="32">
        <f t="shared" ref="H195:H198" si="107">IF(ISNUMBER(G195), (G195 - $B195) / $B195, "")</f>
        <v>-3.3112582781456956E-2</v>
      </c>
      <c r="I195" s="91">
        <f>IF(ISNUMBER(G195), $B199 * H195, "")</f>
        <v>-4966.8874172185433</v>
      </c>
      <c r="J195" s="15">
        <v>7.32</v>
      </c>
      <c r="K195" s="32">
        <f t="shared" ref="K195:K198" si="108">IF(ISNUMBER(J195), (J195 - $B195) / $B195, "")</f>
        <v>-3.0463576158940336E-2</v>
      </c>
      <c r="L195" s="18">
        <f>IF(ISNUMBER(J195), $B199 * K195, "")</f>
        <v>-4569.5364238410502</v>
      </c>
      <c r="M195" s="31">
        <v>7.38</v>
      </c>
      <c r="N195" s="32">
        <f t="shared" ref="N195:N198" si="109">IF(ISNUMBER(M195), (M195 - $B195) / $B195, "")</f>
        <v>-2.2516556291390721E-2</v>
      </c>
      <c r="O195" s="18">
        <f>IF(ISNUMBER(M195), $B199 * N195, "")</f>
        <v>-3377.4834437086083</v>
      </c>
      <c r="Q195" s="146"/>
      <c r="R195" s="146"/>
      <c r="S195" s="146"/>
    </row>
    <row r="196" spans="1:19" ht="17.25" thickBot="1">
      <c r="A196" s="109" t="s">
        <v>68</v>
      </c>
      <c r="B196" s="110">
        <v>644</v>
      </c>
      <c r="C196" s="70">
        <v>-6.9364161800000004E-2</v>
      </c>
      <c r="D196" s="15">
        <v>583</v>
      </c>
      <c r="E196" s="32">
        <f t="shared" si="106"/>
        <v>-9.4720496894409936E-2</v>
      </c>
      <c r="F196" s="18">
        <f>IF(ISNUMBER(D196), $B199 * E196, "")</f>
        <v>-14208.074534161491</v>
      </c>
      <c r="G196" s="31">
        <v>572</v>
      </c>
      <c r="H196" s="32">
        <f t="shared" si="107"/>
        <v>-0.11180124223602485</v>
      </c>
      <c r="I196" s="91">
        <f>IF(ISNUMBER(G196), $B199 * H196, "")</f>
        <v>-16770.186335403727</v>
      </c>
      <c r="J196" s="15">
        <v>575</v>
      </c>
      <c r="K196" s="32">
        <f t="shared" si="108"/>
        <v>-0.10714285714285714</v>
      </c>
      <c r="L196" s="18">
        <f>IF(ISNUMBER(J196), $B199 * K196, "")</f>
        <v>-16071.428571428571</v>
      </c>
      <c r="M196" s="31">
        <v>592</v>
      </c>
      <c r="N196" s="32">
        <f t="shared" si="109"/>
        <v>-8.0745341614906832E-2</v>
      </c>
      <c r="O196" s="18">
        <f>IF(ISNUMBER(M196), $B199 * N196, "")</f>
        <v>-12111.801242236024</v>
      </c>
      <c r="Q196" s="146"/>
      <c r="R196" s="146"/>
      <c r="S196" s="146"/>
    </row>
    <row r="197" spans="1:19">
      <c r="A197" s="109" t="s">
        <v>345</v>
      </c>
      <c r="B197" s="110">
        <v>173</v>
      </c>
      <c r="C197" s="70">
        <v>-8.94736842E-2</v>
      </c>
      <c r="D197" s="15">
        <v>164</v>
      </c>
      <c r="E197" s="32">
        <f t="shared" si="106"/>
        <v>-5.2023121387283239E-2</v>
      </c>
      <c r="F197" s="18">
        <f>IF(ISNUMBER(D197), $B199 * E197, "")</f>
        <v>-7803.4682080924858</v>
      </c>
      <c r="G197" s="31">
        <v>161</v>
      </c>
      <c r="H197" s="32">
        <f t="shared" si="107"/>
        <v>-6.9364161849710976E-2</v>
      </c>
      <c r="I197" s="91">
        <f>IF(ISNUMBER(G197), $B199 * H197, "")</f>
        <v>-10404.624277456647</v>
      </c>
      <c r="J197" s="15">
        <v>161</v>
      </c>
      <c r="K197" s="32">
        <f t="shared" si="108"/>
        <v>-6.9364161849710976E-2</v>
      </c>
      <c r="L197" s="18">
        <f>IF(ISNUMBER(J197), $B199 * K197, "")</f>
        <v>-10404.624277456647</v>
      </c>
      <c r="M197" s="31">
        <v>163</v>
      </c>
      <c r="N197" s="32">
        <f t="shared" si="109"/>
        <v>-5.7803468208092484E-2</v>
      </c>
      <c r="O197" s="18">
        <f>IF(ISNUMBER(M197), $B199 * N197, "")</f>
        <v>-8670.5202312138736</v>
      </c>
      <c r="Q197" s="135"/>
      <c r="R197" s="136"/>
      <c r="S197" s="137"/>
    </row>
    <row r="198" spans="1:19" ht="17.25" thickBot="1">
      <c r="A198" s="114" t="s">
        <v>97</v>
      </c>
      <c r="B198" s="115">
        <v>8.9999999999999998E-4</v>
      </c>
      <c r="C198" s="72">
        <v>-0.1</v>
      </c>
      <c r="D198" s="24">
        <v>8.9999999999999998E-4</v>
      </c>
      <c r="E198" s="25">
        <f t="shared" si="106"/>
        <v>0</v>
      </c>
      <c r="F198" s="94">
        <f>IF(ISNUMBER(D198), $B199 * E198, "")</f>
        <v>0</v>
      </c>
      <c r="G198" s="92">
        <v>8.9999999999999998E-4</v>
      </c>
      <c r="H198" s="25">
        <f t="shared" si="107"/>
        <v>0</v>
      </c>
      <c r="I198" s="93">
        <f>IF(ISNUMBER(G198), $B199 * H198, "")</f>
        <v>0</v>
      </c>
      <c r="J198" s="24">
        <v>1E-3</v>
      </c>
      <c r="K198" s="25">
        <f t="shared" si="108"/>
        <v>0.11111111111111116</v>
      </c>
      <c r="L198" s="94">
        <f>IF(ISNUMBER(J198), $B199 * K198, "")</f>
        <v>16666.666666666675</v>
      </c>
      <c r="M198" s="92">
        <v>8.9999999999999998E-4</v>
      </c>
      <c r="N198" s="25">
        <f t="shared" si="109"/>
        <v>0</v>
      </c>
      <c r="O198" s="94">
        <f>IF(ISNUMBER(M198), $B199 * N198, "")</f>
        <v>0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-6.603528673909162E-3</v>
      </c>
      <c r="F199" s="28">
        <f>SUM(F179:F198)</f>
        <v>-19810.586021727489</v>
      </c>
      <c r="G199" s="26" t="s">
        <v>258</v>
      </c>
      <c r="H199" s="27">
        <f>IF(COUNT(H179:H198), SUM(H179:H198) / COUNT(H179:H198), 0)</f>
        <v>-3.3543995260412254E-2</v>
      </c>
      <c r="I199" s="28">
        <f>SUM(I179:I198)</f>
        <v>-100631.98578123677</v>
      </c>
      <c r="J199" s="26" t="s">
        <v>258</v>
      </c>
      <c r="K199" s="27">
        <f>IF(COUNT(K179:K198), SUM(K179:K198) / COUNT(K179:K198), 0)</f>
        <v>-2.3904669390456251E-2</v>
      </c>
      <c r="L199" s="28">
        <f>SUM(L179:L198)</f>
        <v>-71714.008171368769</v>
      </c>
      <c r="M199" s="26" t="s">
        <v>258</v>
      </c>
      <c r="N199" s="27">
        <f>IF(COUNT(N179:N198), SUM(N179:N198) / COUNT(N179:N198), 0)</f>
        <v>-1.8701089819026979E-2</v>
      </c>
      <c r="O199" s="28">
        <f>SUM(O179:O198)</f>
        <v>-56103.269457080933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2DC49-EDC8-4920-AF49-B4E30BB816DE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44945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-178,032 KRW (-5.93%)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-133,760 KRW (-4.46%)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-144,988 KRW (-4.83%)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15,357 KRW (0.51%)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2023-01-19(목) 오전 00:00</v>
      </c>
      <c r="C15" s="196"/>
      <c r="D15" s="170" t="str">
        <f>TEXT($G$1, "[$-ko-KR]yyyy-mm-dd(ddd) ") &amp; "오후 14:00"</f>
        <v>2023-01-19(목) 오후 14:00</v>
      </c>
      <c r="E15" s="171"/>
      <c r="F15" s="172"/>
      <c r="G15" s="170" t="str">
        <f>TEXT($G$1, "[$-ko-KR]yyyy-mm-dd(ddd) ") &amp; "오후 19:00"</f>
        <v>2023-01-19(목) 오후 19:00</v>
      </c>
      <c r="H15" s="171"/>
      <c r="I15" s="172"/>
      <c r="J15" s="170" t="str">
        <f>TEXT($G$1, "[$-ko-KR]yyyy-mm-dd(ddd) ") &amp; "오후 21:00"</f>
        <v>2023-01-19(목) 오후 21:00</v>
      </c>
      <c r="K15" s="171"/>
      <c r="L15" s="172"/>
      <c r="M15" s="170" t="str">
        <f>TEXT($G$1+1, "[$-ko-KR]yyyy-mm-dd(ddd) ") &amp; "오전 00:00"</f>
        <v>2023-01-20(금)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2023-01-19(목) 오전 00:00</v>
      </c>
      <c r="C42" s="198"/>
      <c r="D42" s="170" t="str">
        <f>TEXT($G$1, "[$-ko-KR]yyyy-mm-dd(ddd) ") &amp; "오후 14:00"</f>
        <v>2023-01-19(목) 오후 14:00</v>
      </c>
      <c r="E42" s="171"/>
      <c r="F42" s="172"/>
      <c r="G42" s="170" t="str">
        <f>TEXT($G$1, "[$-ko-KR]yyyy-mm-dd(ddd) ") &amp; "오후 19:00"</f>
        <v>2023-01-19(목) 오후 19:00</v>
      </c>
      <c r="H42" s="171"/>
      <c r="I42" s="172"/>
      <c r="J42" s="170" t="str">
        <f>TEXT($G$1, "[$-ko-KR]yyyy-mm-dd(ddd) ") &amp; "오후 21:00"</f>
        <v>2023-01-19(목) 오후 21:00</v>
      </c>
      <c r="K42" s="171"/>
      <c r="L42" s="172"/>
      <c r="M42" s="170" t="str">
        <f>TEXT($G$1+1, "[$-ko-KR]yyyy-mm-dd(ddd) ") &amp; "오전 00:00"</f>
        <v>2023-01-20(금)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352</v>
      </c>
      <c r="B44" s="108">
        <v>1.54E-2</v>
      </c>
      <c r="C44" s="69">
        <v>0.31623931620000001</v>
      </c>
      <c r="D44" s="13">
        <v>1.4E-2</v>
      </c>
      <c r="E44" s="14">
        <f>IF(ISNUMBER(D44), (D44 - $B44) / $B44, "")</f>
        <v>-9.0909090909090925E-2</v>
      </c>
      <c r="F44" s="16">
        <f>IF(ISNUMBER(D44), $B64 * E44, "")</f>
        <v>-13636.36363636364</v>
      </c>
      <c r="G44" s="29">
        <v>1.4E-2</v>
      </c>
      <c r="H44" s="14">
        <f>IF(ISNUMBER(G44), (G44 - $B44) / $B44, "")</f>
        <v>-9.0909090909090925E-2</v>
      </c>
      <c r="I44" s="90">
        <f>IF(ISNUMBER(G44), $B64 * H44, "")</f>
        <v>-13636.36363636364</v>
      </c>
      <c r="J44" s="13">
        <v>1.3899999999999999E-2</v>
      </c>
      <c r="K44" s="14">
        <f>IF(ISNUMBER(J44), (J44 - $B44) / $B44, "")</f>
        <v>-9.7402597402597491E-2</v>
      </c>
      <c r="L44" s="16">
        <f>IF(ISNUMBER(J44), $B64 * K44, "")</f>
        <v>-14610.389610389624</v>
      </c>
      <c r="M44" s="29">
        <v>1.4E-2</v>
      </c>
      <c r="N44" s="14">
        <f>IF(ISNUMBER(M44), (M44 - $B44) / $B44, "")</f>
        <v>-9.0909090909090925E-2</v>
      </c>
      <c r="O44" s="16">
        <f>IF(ISNUMBER(M44), $B64 * N44, "")</f>
        <v>-13636.36363636364</v>
      </c>
      <c r="Q44" s="156"/>
      <c r="R44" s="156"/>
      <c r="S44" s="156"/>
    </row>
    <row r="45" spans="1:19" ht="17.25" customHeight="1" thickBot="1">
      <c r="A45" s="109" t="s">
        <v>329</v>
      </c>
      <c r="B45" s="110">
        <v>72.400000000000006</v>
      </c>
      <c r="C45" s="70">
        <v>7.1005917200000004E-2</v>
      </c>
      <c r="D45" s="15">
        <v>69.099999999999994</v>
      </c>
      <c r="E45" s="32">
        <f t="shared" ref="E45:E48" si="14">IF(ISNUMBER(D45), (D45 - $B45) / $B45, "")</f>
        <v>-4.5580110497237723E-2</v>
      </c>
      <c r="F45" s="18">
        <f>IF(ISNUMBER(D45), $B64 * E45, "")</f>
        <v>-6837.0165745856584</v>
      </c>
      <c r="G45" s="31">
        <v>74.7</v>
      </c>
      <c r="H45" s="32">
        <f t="shared" ref="H45:H48" si="15">IF(ISNUMBER(G45), (G45 - $B45) / $B45, "")</f>
        <v>3.1767955801104933E-2</v>
      </c>
      <c r="I45" s="91">
        <f>IF(ISNUMBER(G45), $B64 * H45, "")</f>
        <v>4765.1933701657399</v>
      </c>
      <c r="J45" s="15">
        <v>70.900000000000006</v>
      </c>
      <c r="K45" s="32">
        <f t="shared" ref="K45:K48" si="16">IF(ISNUMBER(J45), (J45 - $B45) / $B45, "")</f>
        <v>-2.0718232044198894E-2</v>
      </c>
      <c r="L45" s="18">
        <f>IF(ISNUMBER(J45), $B64 * K45, "")</f>
        <v>-3107.7348066298341</v>
      </c>
      <c r="M45" s="31">
        <v>71.3</v>
      </c>
      <c r="N45" s="32">
        <f t="shared" ref="N45:N48" si="17">IF(ISNUMBER(M45), (M45 - $B45) / $B45, "")</f>
        <v>-1.5193370165745974E-2</v>
      </c>
      <c r="O45" s="18">
        <f>IF(ISNUMBER(M45), $B64 * N45, "")</f>
        <v>-2279.005524861896</v>
      </c>
      <c r="Q45" s="156"/>
      <c r="R45" s="156"/>
      <c r="S45" s="156"/>
    </row>
    <row r="46" spans="1:19" ht="17.25" customHeight="1" thickBot="1">
      <c r="A46" s="109" t="s">
        <v>323</v>
      </c>
      <c r="B46" s="110">
        <v>3.8600000000000002E-2</v>
      </c>
      <c r="C46" s="70">
        <v>3.7634408600000002E-2</v>
      </c>
      <c r="D46" s="15">
        <v>3.5900000000000001E-2</v>
      </c>
      <c r="E46" s="32">
        <f t="shared" si="14"/>
        <v>-6.9948186528497436E-2</v>
      </c>
      <c r="F46" s="18">
        <f>IF(ISNUMBER(D46), $B64 * E46, "")</f>
        <v>-10492.227979274616</v>
      </c>
      <c r="G46" s="31">
        <v>3.5900000000000001E-2</v>
      </c>
      <c r="H46" s="32">
        <f t="shared" si="15"/>
        <v>-6.9948186528497436E-2</v>
      </c>
      <c r="I46" s="91">
        <f>IF(ISNUMBER(G46), $B64 * H46, "")</f>
        <v>-10492.227979274616</v>
      </c>
      <c r="J46" s="15">
        <v>3.5499999999999997E-2</v>
      </c>
      <c r="K46" s="32">
        <f t="shared" si="16"/>
        <v>-8.0310880829015677E-2</v>
      </c>
      <c r="L46" s="18">
        <f>IF(ISNUMBER(J46), $B64 * K46, "")</f>
        <v>-12046.632124352351</v>
      </c>
      <c r="M46" s="31">
        <v>3.5499999999999997E-2</v>
      </c>
      <c r="N46" s="32">
        <f t="shared" si="17"/>
        <v>-8.0310880829015677E-2</v>
      </c>
      <c r="O46" s="18">
        <f>IF(ISNUMBER(M46), $B64 * N46, "")</f>
        <v>-12046.632124352351</v>
      </c>
      <c r="Q46" s="146"/>
      <c r="R46" s="146"/>
      <c r="S46" s="146"/>
    </row>
    <row r="47" spans="1:19" ht="17.25" customHeight="1" thickBot="1">
      <c r="A47" s="109" t="s">
        <v>138</v>
      </c>
      <c r="B47" s="110">
        <v>29.6</v>
      </c>
      <c r="C47" s="70">
        <v>3.1358885000000003E-2</v>
      </c>
      <c r="D47" s="15">
        <v>27.7</v>
      </c>
      <c r="E47" s="32">
        <f t="shared" si="14"/>
        <v>-6.4189189189189255E-2</v>
      </c>
      <c r="F47" s="18">
        <f>IF(ISNUMBER(D47), $B64 * E47, "")</f>
        <v>-9628.3783783783874</v>
      </c>
      <c r="G47" s="31">
        <v>28</v>
      </c>
      <c r="H47" s="32">
        <f t="shared" si="15"/>
        <v>-5.4054054054054099E-2</v>
      </c>
      <c r="I47" s="91">
        <f>IF(ISNUMBER(G47), $B64 * H47, "")</f>
        <v>-8108.1081081081147</v>
      </c>
      <c r="J47" s="15">
        <v>27.5</v>
      </c>
      <c r="K47" s="32">
        <f t="shared" si="16"/>
        <v>-7.0945945945945985E-2</v>
      </c>
      <c r="L47" s="18">
        <f>IF(ISNUMBER(J47), $B64 * K47, "")</f>
        <v>-10641.891891891897</v>
      </c>
      <c r="M47" s="31">
        <v>28</v>
      </c>
      <c r="N47" s="32">
        <f t="shared" si="17"/>
        <v>-5.4054054054054099E-2</v>
      </c>
      <c r="O47" s="18">
        <f>IF(ISNUMBER(M47), $B64 * N47, "")</f>
        <v>-8108.1081081081147</v>
      </c>
      <c r="Q47" s="146"/>
      <c r="R47" s="146"/>
      <c r="S47" s="146"/>
    </row>
    <row r="48" spans="1:19" ht="17.25" customHeight="1" thickBot="1">
      <c r="A48" s="111" t="s">
        <v>217</v>
      </c>
      <c r="B48" s="112">
        <v>77</v>
      </c>
      <c r="C48" s="71">
        <v>1.7173051500000001E-2</v>
      </c>
      <c r="D48" s="20">
        <v>72.5</v>
      </c>
      <c r="E48" s="21">
        <f t="shared" si="14"/>
        <v>-5.844155844155844E-2</v>
      </c>
      <c r="F48" s="22">
        <f>IF(ISNUMBER(D48), $B64 * E48, "")</f>
        <v>-8766.2337662337668</v>
      </c>
      <c r="G48" s="30">
        <v>75.599999999999994</v>
      </c>
      <c r="H48" s="21">
        <f t="shared" si="15"/>
        <v>-1.8181818181818257E-2</v>
      </c>
      <c r="I48" s="95">
        <f>IF(ISNUMBER(G48), $B64 * H48, "")</f>
        <v>-2727.2727272727384</v>
      </c>
      <c r="J48" s="20">
        <v>77</v>
      </c>
      <c r="K48" s="21">
        <f t="shared" si="16"/>
        <v>0</v>
      </c>
      <c r="L48" s="22">
        <f>IF(ISNUMBER(J48), $B64 * K48, "")</f>
        <v>0</v>
      </c>
      <c r="M48" s="30">
        <v>79.2</v>
      </c>
      <c r="N48" s="21">
        <f t="shared" si="17"/>
        <v>2.8571428571428609E-2</v>
      </c>
      <c r="O48" s="22">
        <f>IF(ISNUMBER(M48), $B64 * N48, "")</f>
        <v>4285.7142857142917</v>
      </c>
      <c r="Q48" s="146"/>
      <c r="R48" s="146"/>
      <c r="S48" s="146"/>
    </row>
    <row r="49" spans="1:19" ht="17.25" customHeight="1" thickBot="1">
      <c r="A49" s="109" t="s">
        <v>118</v>
      </c>
      <c r="B49" s="113">
        <v>6.56</v>
      </c>
      <c r="C49" s="73">
        <v>7.6804916000000004E-3</v>
      </c>
      <c r="D49" s="96">
        <v>6.08</v>
      </c>
      <c r="E49" s="97">
        <f>IF(ISNUMBER(D49), (D49 - $B49) / $B49, "")</f>
        <v>-7.3170731707317013E-2</v>
      </c>
      <c r="F49" s="98">
        <f>IF(ISNUMBER(D49), $B64 * E49, "")</f>
        <v>-10975.609756097552</v>
      </c>
      <c r="G49" s="99">
        <v>6.12</v>
      </c>
      <c r="H49" s="97">
        <f>IF(ISNUMBER(G49), (G49 - $B49) / $B49, "")</f>
        <v>-6.7073170731707252E-2</v>
      </c>
      <c r="I49" s="100">
        <f>IF(ISNUMBER(G49), $B64 * H49, "")</f>
        <v>-10060.975609756088</v>
      </c>
      <c r="J49" s="96">
        <v>6.09</v>
      </c>
      <c r="K49" s="97">
        <f>IF(ISNUMBER(J49), (J49 - $B49) / $B49, "")</f>
        <v>-7.1646341463414601E-2</v>
      </c>
      <c r="L49" s="98">
        <f>IF(ISNUMBER(J49), $B64 * K49, "")</f>
        <v>-10746.95121951219</v>
      </c>
      <c r="M49" s="99">
        <v>6.07</v>
      </c>
      <c r="N49" s="97">
        <f>IF(ISNUMBER(M49), (M49 - $B49) / $B49, "")</f>
        <v>-7.4695121951219412E-2</v>
      </c>
      <c r="O49" s="98">
        <f>IF(ISNUMBER(M49), $B64 * N49, "")</f>
        <v>-11204.268292682911</v>
      </c>
      <c r="Q49" s="146"/>
      <c r="R49" s="146"/>
      <c r="S49" s="146"/>
    </row>
    <row r="50" spans="1:19" ht="17.25" customHeight="1" thickBot="1">
      <c r="A50" s="109" t="s">
        <v>155</v>
      </c>
      <c r="B50" s="110">
        <v>31.2</v>
      </c>
      <c r="C50" s="70">
        <v>6.4516128999999997E-3</v>
      </c>
      <c r="D50" s="15">
        <v>29.4</v>
      </c>
      <c r="E50" s="32">
        <f t="shared" ref="E50:E53" si="18">IF(ISNUMBER(D50), (D50 - $B50) / $B50, "")</f>
        <v>-5.7692307692307716E-2</v>
      </c>
      <c r="F50" s="18">
        <f>IF(ISNUMBER(D50), $B64 * E50, "")</f>
        <v>-8653.8461538461579</v>
      </c>
      <c r="G50" s="31">
        <v>29.6</v>
      </c>
      <c r="H50" s="32">
        <f t="shared" ref="H50:H53" si="19">IF(ISNUMBER(G50), (G50 - $B50) / $B50, "")</f>
        <v>-5.1282051282051218E-2</v>
      </c>
      <c r="I50" s="91">
        <f>IF(ISNUMBER(G50), $B64 * H50, "")</f>
        <v>-7692.3076923076824</v>
      </c>
      <c r="J50" s="15">
        <v>29.1</v>
      </c>
      <c r="K50" s="32">
        <f t="shared" ref="K50:K53" si="20">IF(ISNUMBER(J50), (J50 - $B50) / $B50, "")</f>
        <v>-6.7307692307692235E-2</v>
      </c>
      <c r="L50" s="18">
        <f>IF(ISNUMBER(J50), $B64 * K50, "")</f>
        <v>-10096.153846153835</v>
      </c>
      <c r="M50" s="31">
        <v>29.3</v>
      </c>
      <c r="N50" s="32">
        <f t="shared" ref="N50:N53" si="21">IF(ISNUMBER(M50), (M50 - $B50) / $B50, "")</f>
        <v>-6.0897435897435855E-2</v>
      </c>
      <c r="O50" s="18">
        <f>IF(ISNUMBER(M50), $B64 * N50, "")</f>
        <v>-9134.6153846153775</v>
      </c>
      <c r="Q50" s="146"/>
      <c r="R50" s="146"/>
      <c r="S50" s="146"/>
    </row>
    <row r="51" spans="1:19" ht="17.25" customHeight="1" thickBot="1">
      <c r="A51" s="109" t="s">
        <v>64</v>
      </c>
      <c r="B51" s="110">
        <v>11.9</v>
      </c>
      <c r="C51" s="70">
        <v>0</v>
      </c>
      <c r="D51" s="15">
        <v>11.3</v>
      </c>
      <c r="E51" s="32">
        <f t="shared" si="18"/>
        <v>-5.0420168067226857E-2</v>
      </c>
      <c r="F51" s="18">
        <f>IF(ISNUMBER(D51), $B64 * E51, "")</f>
        <v>-7563.0252100840289</v>
      </c>
      <c r="G51" s="31">
        <v>11.2</v>
      </c>
      <c r="H51" s="32">
        <f t="shared" si="19"/>
        <v>-5.8823529411764795E-2</v>
      </c>
      <c r="I51" s="91">
        <f>IF(ISNUMBER(G51), $B64 * H51, "")</f>
        <v>-8823.529411764719</v>
      </c>
      <c r="J51" s="15">
        <v>11.1</v>
      </c>
      <c r="K51" s="32">
        <f t="shared" si="20"/>
        <v>-6.7226890756302574E-2</v>
      </c>
      <c r="L51" s="18">
        <f>IF(ISNUMBER(J51), $B64 * K51, "")</f>
        <v>-10084.033613445386</v>
      </c>
      <c r="M51" s="31">
        <v>11.1</v>
      </c>
      <c r="N51" s="32">
        <f t="shared" si="21"/>
        <v>-6.7226890756302574E-2</v>
      </c>
      <c r="O51" s="18">
        <f>IF(ISNUMBER(M51), $B64 * N51, "")</f>
        <v>-10084.033613445386</v>
      </c>
      <c r="Q51" s="146"/>
      <c r="R51" s="146"/>
      <c r="S51" s="146"/>
    </row>
    <row r="52" spans="1:19" ht="17.25" customHeight="1" thickBot="1">
      <c r="A52" s="109" t="s">
        <v>122</v>
      </c>
      <c r="B52" s="110">
        <v>26.4</v>
      </c>
      <c r="C52" s="70">
        <v>0</v>
      </c>
      <c r="D52" s="15">
        <v>25.1</v>
      </c>
      <c r="E52" s="32">
        <f t="shared" si="18"/>
        <v>-4.9242424242424136E-2</v>
      </c>
      <c r="F52" s="18">
        <f>IF(ISNUMBER(D52), $B64 * E52, "")</f>
        <v>-7386.3636363636206</v>
      </c>
      <c r="G52" s="31">
        <v>25.1</v>
      </c>
      <c r="H52" s="32">
        <f t="shared" si="19"/>
        <v>-4.9242424242424136E-2</v>
      </c>
      <c r="I52" s="91">
        <f>IF(ISNUMBER(G52), $B64 * H52, "")</f>
        <v>-7386.3636363636206</v>
      </c>
      <c r="J52" s="15">
        <v>25</v>
      </c>
      <c r="K52" s="32">
        <f t="shared" si="20"/>
        <v>-5.3030303030302976E-2</v>
      </c>
      <c r="L52" s="18">
        <f>IF(ISNUMBER(J52), $B64 * K52, "")</f>
        <v>-7954.5454545454468</v>
      </c>
      <c r="M52" s="31">
        <v>25</v>
      </c>
      <c r="N52" s="32">
        <f t="shared" si="21"/>
        <v>-5.3030303030302976E-2</v>
      </c>
      <c r="O52" s="18">
        <f>IF(ISNUMBER(M52), $B64 * N52, "")</f>
        <v>-7954.5454545454468</v>
      </c>
      <c r="Q52" s="33"/>
      <c r="R52" s="33"/>
    </row>
    <row r="53" spans="1:19" ht="17.25" customHeight="1" thickBot="1">
      <c r="A53" s="114" t="s">
        <v>143</v>
      </c>
      <c r="B53" s="115">
        <v>4.13</v>
      </c>
      <c r="C53" s="72">
        <v>-2.4154589E-3</v>
      </c>
      <c r="D53" s="24">
        <v>4.04</v>
      </c>
      <c r="E53" s="25">
        <f t="shared" si="18"/>
        <v>-2.1791767554479386E-2</v>
      </c>
      <c r="F53" s="94">
        <f>IF(ISNUMBER(D53), $B64 * E53, "")</f>
        <v>-3268.765133171908</v>
      </c>
      <c r="G53" s="92">
        <v>4.04</v>
      </c>
      <c r="H53" s="25">
        <f t="shared" si="19"/>
        <v>-2.1791767554479386E-2</v>
      </c>
      <c r="I53" s="93">
        <f>IF(ISNUMBER(G53), $B64 * H53, "")</f>
        <v>-3268.765133171908</v>
      </c>
      <c r="J53" s="24">
        <v>4.0199999999999996</v>
      </c>
      <c r="K53" s="25">
        <f t="shared" si="20"/>
        <v>-2.6634382566586033E-2</v>
      </c>
      <c r="L53" s="94">
        <f>IF(ISNUMBER(J53), $B64 * K53, "")</f>
        <v>-3995.1573849879051</v>
      </c>
      <c r="M53" s="92">
        <v>3.98</v>
      </c>
      <c r="N53" s="25">
        <f t="shared" si="21"/>
        <v>-3.6319612590799008E-2</v>
      </c>
      <c r="O53" s="94">
        <f>IF(ISNUMBER(M53), $B64 * N53, "")</f>
        <v>-5447.9418886198509</v>
      </c>
      <c r="Q53" s="147"/>
      <c r="R53" s="148"/>
      <c r="S53" s="149"/>
    </row>
    <row r="54" spans="1:19" ht="17.25" customHeight="1">
      <c r="A54" s="107" t="s">
        <v>145</v>
      </c>
      <c r="B54" s="108">
        <v>76.400000000000006</v>
      </c>
      <c r="C54" s="69">
        <v>-3.9113428999999998E-3</v>
      </c>
      <c r="D54" s="13">
        <v>74.400000000000006</v>
      </c>
      <c r="E54" s="14">
        <f>IF(ISNUMBER(D54), (D54 - $B54) / $B54, "")</f>
        <v>-2.6178010471204185E-2</v>
      </c>
      <c r="F54" s="16">
        <f>IF(ISNUMBER(D54), $B64 * E54, "")</f>
        <v>-3926.7015706806278</v>
      </c>
      <c r="G54" s="29">
        <v>74.3</v>
      </c>
      <c r="H54" s="14">
        <f>IF(ISNUMBER(G54), (G54 - $B54) / $B54, "")</f>
        <v>-2.7486910994764507E-2</v>
      </c>
      <c r="I54" s="90">
        <f>IF(ISNUMBER(G54), $B64 * H54, "")</f>
        <v>-4123.0366492146759</v>
      </c>
      <c r="J54" s="13">
        <v>74</v>
      </c>
      <c r="K54" s="14">
        <f>IF(ISNUMBER(J54), (J54 - $B54) / $B54, "")</f>
        <v>-3.1413612565445101E-2</v>
      </c>
      <c r="L54" s="16">
        <f>IF(ISNUMBER(J54), $B64 * K54, "")</f>
        <v>-4712.0418848167656</v>
      </c>
      <c r="M54" s="29">
        <v>74.099999999999994</v>
      </c>
      <c r="N54" s="14">
        <f>IF(ISNUMBER(M54), (M54 - $B54) / $B54, "")</f>
        <v>-3.0104712041884963E-2</v>
      </c>
      <c r="O54" s="16">
        <f>IF(ISNUMBER(M54), $B64 * N54, "")</f>
        <v>-4515.7068062827448</v>
      </c>
      <c r="Q54" s="150"/>
      <c r="R54" s="151"/>
      <c r="S54" s="152"/>
    </row>
    <row r="55" spans="1:19" ht="17.25" customHeight="1" thickBot="1">
      <c r="A55" s="109" t="s">
        <v>56</v>
      </c>
      <c r="B55" s="110">
        <v>45.6</v>
      </c>
      <c r="C55" s="70">
        <v>-4.3668122000000004E-3</v>
      </c>
      <c r="D55" s="15">
        <v>43.5</v>
      </c>
      <c r="E55" s="32">
        <f t="shared" ref="E55:E58" si="22">IF(ISNUMBER(D55), (D55 - $B55) / $B55, "")</f>
        <v>-4.6052631578947401E-2</v>
      </c>
      <c r="F55" s="18">
        <f>IF(ISNUMBER(D55), $B64 * E55, "")</f>
        <v>-6907.8947368421104</v>
      </c>
      <c r="G55" s="31">
        <v>43.2</v>
      </c>
      <c r="H55" s="32">
        <f t="shared" ref="H55:H58" si="23">IF(ISNUMBER(G55), (G55 - $B55) / $B55, "")</f>
        <v>-5.263157894736839E-2</v>
      </c>
      <c r="I55" s="91">
        <f>IF(ISNUMBER(G55), $B64 * H55, "")</f>
        <v>-7894.7368421052588</v>
      </c>
      <c r="J55" s="15">
        <v>42.5</v>
      </c>
      <c r="K55" s="32">
        <f t="shared" ref="K55:K58" si="24">IF(ISNUMBER(J55), (J55 - $B55) / $B55, "")</f>
        <v>-6.7982456140350908E-2</v>
      </c>
      <c r="L55" s="18">
        <f>IF(ISNUMBER(J55), $B64 * K55, "")</f>
        <v>-10197.368421052635</v>
      </c>
      <c r="M55" s="31">
        <v>43</v>
      </c>
      <c r="N55" s="32">
        <f t="shared" ref="N55:N58" si="25">IF(ISNUMBER(M55), (M55 - $B55) / $B55, "")</f>
        <v>-5.7017543859649154E-2</v>
      </c>
      <c r="O55" s="18">
        <f>IF(ISNUMBER(M55), $B64 * N55, "")</f>
        <v>-8552.6315789473738</v>
      </c>
      <c r="Q55" s="153"/>
      <c r="R55" s="154"/>
      <c r="S55" s="155"/>
    </row>
    <row r="56" spans="1:19" ht="17.25" customHeight="1" thickBot="1">
      <c r="A56" s="109" t="s">
        <v>124</v>
      </c>
      <c r="B56" s="110">
        <v>33.9</v>
      </c>
      <c r="C56" s="70">
        <v>-5.8651025999999998E-3</v>
      </c>
      <c r="D56" s="15">
        <v>32.9</v>
      </c>
      <c r="E56" s="32">
        <f t="shared" si="22"/>
        <v>-2.9498525073746312E-2</v>
      </c>
      <c r="F56" s="18">
        <f>IF(ISNUMBER(D56), $B64 * E56, "")</f>
        <v>-4424.7787610619471</v>
      </c>
      <c r="G56" s="31">
        <v>32.9</v>
      </c>
      <c r="H56" s="32">
        <f t="shared" si="23"/>
        <v>-2.9498525073746312E-2</v>
      </c>
      <c r="I56" s="91">
        <f>IF(ISNUMBER(G56), $B64 * H56, "")</f>
        <v>-4424.7787610619471</v>
      </c>
      <c r="J56" s="15">
        <v>33.5</v>
      </c>
      <c r="K56" s="32">
        <f t="shared" si="24"/>
        <v>-1.1799410029498483E-2</v>
      </c>
      <c r="L56" s="18">
        <f>IF(ISNUMBER(J56), $B64 * K56, "")</f>
        <v>-1769.9115044247726</v>
      </c>
      <c r="M56" s="31">
        <v>32.6</v>
      </c>
      <c r="N56" s="32">
        <f t="shared" si="25"/>
        <v>-3.8348082595870123E-2</v>
      </c>
      <c r="O56" s="18">
        <f>IF(ISNUMBER(M56), $B64 * N56, "")</f>
        <v>-5752.2123893805183</v>
      </c>
      <c r="Q56" s="146"/>
      <c r="R56" s="146"/>
      <c r="S56" s="146"/>
    </row>
    <row r="57" spans="1:19" ht="17.25" customHeight="1" thickBot="1">
      <c r="A57" s="109" t="s">
        <v>71</v>
      </c>
      <c r="B57" s="110">
        <v>12.2</v>
      </c>
      <c r="C57" s="70">
        <v>-8.1300812999999996E-3</v>
      </c>
      <c r="D57" s="15">
        <v>11.8</v>
      </c>
      <c r="E57" s="32">
        <f t="shared" si="22"/>
        <v>-3.2786885245901523E-2</v>
      </c>
      <c r="F57" s="18">
        <f>IF(ISNUMBER(D57), $B64 * E57, "")</f>
        <v>-4918.0327868852282</v>
      </c>
      <c r="G57" s="31">
        <v>11.8</v>
      </c>
      <c r="H57" s="32">
        <f t="shared" si="23"/>
        <v>-3.2786885245901523E-2</v>
      </c>
      <c r="I57" s="91">
        <f>IF(ISNUMBER(G57), $B64 * H57, "")</f>
        <v>-4918.0327868852282</v>
      </c>
      <c r="J57" s="15">
        <v>11.7</v>
      </c>
      <c r="K57" s="32">
        <f t="shared" si="24"/>
        <v>-4.0983606557377053E-2</v>
      </c>
      <c r="L57" s="18">
        <f>IF(ISNUMBER(J57), $B64 * K57, "")</f>
        <v>-6147.5409836065583</v>
      </c>
      <c r="M57" s="31">
        <v>11.6</v>
      </c>
      <c r="N57" s="32">
        <f t="shared" si="25"/>
        <v>-4.918032786885243E-2</v>
      </c>
      <c r="O57" s="18">
        <f>IF(ISNUMBER(M57), $B64 * N57, "")</f>
        <v>-7377.0491803278646</v>
      </c>
      <c r="Q57" s="156"/>
      <c r="R57" s="156"/>
      <c r="S57" s="156"/>
    </row>
    <row r="58" spans="1:19" ht="17.25" customHeight="1" thickBot="1">
      <c r="A58" s="111" t="s">
        <v>197</v>
      </c>
      <c r="B58" s="112">
        <v>7.1</v>
      </c>
      <c r="C58" s="71">
        <v>-1.1142061300000001E-2</v>
      </c>
      <c r="D58" s="20">
        <v>6.83</v>
      </c>
      <c r="E58" s="21">
        <f t="shared" si="22"/>
        <v>-3.8028169014084449E-2</v>
      </c>
      <c r="F58" s="22">
        <f>IF(ISNUMBER(D58), $B64 * E58, "")</f>
        <v>-5704.2253521126677</v>
      </c>
      <c r="G58" s="30">
        <v>6.8</v>
      </c>
      <c r="H58" s="21">
        <f t="shared" si="23"/>
        <v>-4.2253521126760542E-2</v>
      </c>
      <c r="I58" s="95">
        <f>IF(ISNUMBER(G58), $B64 * H58, "")</f>
        <v>-6338.028169014081</v>
      </c>
      <c r="J58" s="20">
        <v>6.81</v>
      </c>
      <c r="K58" s="21">
        <f t="shared" si="24"/>
        <v>-4.0845070422535219E-2</v>
      </c>
      <c r="L58" s="22">
        <f>IF(ISNUMBER(J58), $B64 * K58, "")</f>
        <v>-6126.7605633802832</v>
      </c>
      <c r="M58" s="30">
        <v>6.79</v>
      </c>
      <c r="N58" s="21">
        <f t="shared" si="25"/>
        <v>-4.3661971830985864E-2</v>
      </c>
      <c r="O58" s="22">
        <f>IF(ISNUMBER(M58), $B64 * N58, "")</f>
        <v>-6549.2957746478796</v>
      </c>
      <c r="Q58" s="156"/>
      <c r="R58" s="156"/>
      <c r="S58" s="156"/>
    </row>
    <row r="59" spans="1:19" ht="17.25" customHeight="1" thickBot="1">
      <c r="A59" s="109" t="s">
        <v>237</v>
      </c>
      <c r="B59" s="113">
        <v>30.1</v>
      </c>
      <c r="C59" s="73">
        <v>-1.3114754100000001E-2</v>
      </c>
      <c r="D59" s="96">
        <v>29</v>
      </c>
      <c r="E59" s="97">
        <f>IF(ISNUMBER(D59), (D59 - $B59) / $B59, "")</f>
        <v>-3.6544850498338916E-2</v>
      </c>
      <c r="F59" s="98">
        <f>IF(ISNUMBER(D59), $B64 * E59, "")</f>
        <v>-5481.7275747508374</v>
      </c>
      <c r="G59" s="99">
        <v>29.1</v>
      </c>
      <c r="H59" s="97">
        <f>IF(ISNUMBER(G59), (G59 - $B59) / $B59, "")</f>
        <v>-3.3222591362126241E-2</v>
      </c>
      <c r="I59" s="100">
        <f>IF(ISNUMBER(G59), $B64 * H59, "")</f>
        <v>-4983.3887043189361</v>
      </c>
      <c r="J59" s="96">
        <v>28.8</v>
      </c>
      <c r="K59" s="97">
        <f>IF(ISNUMBER(J59), (J59 - $B59) / $B59, "")</f>
        <v>-4.3189368770764139E-2</v>
      </c>
      <c r="L59" s="98">
        <f>IF(ISNUMBER(J59), $B64 * K59, "")</f>
        <v>-6478.405315614621</v>
      </c>
      <c r="M59" s="99">
        <v>28.8</v>
      </c>
      <c r="N59" s="97">
        <f>IF(ISNUMBER(M59), (M59 - $B59) / $B59, "")</f>
        <v>-4.3189368770764139E-2</v>
      </c>
      <c r="O59" s="98">
        <f>IF(ISNUMBER(M59), $B64 * N59, "")</f>
        <v>-6478.405315614621</v>
      </c>
      <c r="Q59" s="146"/>
      <c r="R59" s="146"/>
      <c r="S59" s="146"/>
    </row>
    <row r="60" spans="1:19" ht="17.25" customHeight="1" thickBot="1">
      <c r="A60" s="109" t="s">
        <v>225</v>
      </c>
      <c r="B60" s="110">
        <v>61.8</v>
      </c>
      <c r="C60" s="70">
        <v>-1.4354067E-2</v>
      </c>
      <c r="D60" s="15">
        <v>61.6</v>
      </c>
      <c r="E60" s="32">
        <f t="shared" ref="E60:E63" si="26">IF(ISNUMBER(D60), (D60 - $B60) / $B60, "")</f>
        <v>-3.2362459546924878E-3</v>
      </c>
      <c r="F60" s="18">
        <f>IF(ISNUMBER(D60), $B64 * E60, "")</f>
        <v>-485.43689320387318</v>
      </c>
      <c r="G60" s="31">
        <v>62.1</v>
      </c>
      <c r="H60" s="32">
        <f t="shared" ref="H60:H63" si="27">IF(ISNUMBER(G60), (G60 - $B60) / $B60, "")</f>
        <v>4.8543689320389039E-3</v>
      </c>
      <c r="I60" s="91">
        <f>IF(ISNUMBER(G60), $B64 * H60, "")</f>
        <v>728.15533980583564</v>
      </c>
      <c r="J60" s="15">
        <v>61.3</v>
      </c>
      <c r="K60" s="32">
        <f t="shared" ref="K60:K63" si="28">IF(ISNUMBER(J60), (J60 - $B60) / $B60, "")</f>
        <v>-8.0906148867313926E-3</v>
      </c>
      <c r="L60" s="18">
        <f>IF(ISNUMBER(J60), $B64 * K60, "")</f>
        <v>-1213.5922330097089</v>
      </c>
      <c r="M60" s="31">
        <v>61.4</v>
      </c>
      <c r="N60" s="32">
        <f t="shared" ref="N60:N63" si="29">IF(ISNUMBER(M60), (M60 - $B60) / $B60, "")</f>
        <v>-6.4724919093850902E-3</v>
      </c>
      <c r="O60" s="18">
        <f>IF(ISNUMBER(M60), $B64 * N60, "")</f>
        <v>-970.87378640776353</v>
      </c>
      <c r="Q60" s="146"/>
      <c r="R60" s="146"/>
      <c r="S60" s="146"/>
    </row>
    <row r="61" spans="1:19" ht="17.25" customHeight="1" thickBot="1">
      <c r="A61" s="109" t="s">
        <v>141</v>
      </c>
      <c r="B61" s="110">
        <v>3.66</v>
      </c>
      <c r="C61" s="70">
        <v>-1.6129032299999999E-2</v>
      </c>
      <c r="D61" s="15">
        <v>3.52</v>
      </c>
      <c r="E61" s="32">
        <f t="shared" si="26"/>
        <v>-3.8251366120218615E-2</v>
      </c>
      <c r="F61" s="18">
        <f>IF(ISNUMBER(D61), $B64 * E61, "")</f>
        <v>-5737.7049180327922</v>
      </c>
      <c r="G61" s="31">
        <v>3.5</v>
      </c>
      <c r="H61" s="32">
        <f t="shared" si="27"/>
        <v>-4.3715846994535554E-2</v>
      </c>
      <c r="I61" s="91">
        <f>IF(ISNUMBER(G61), $B64 * H61, "")</f>
        <v>-6557.3770491803334</v>
      </c>
      <c r="J61" s="15">
        <v>3.46</v>
      </c>
      <c r="K61" s="32">
        <f t="shared" si="28"/>
        <v>-5.4644808743169446E-2</v>
      </c>
      <c r="L61" s="18">
        <f>IF(ISNUMBER(J61), $B64 * K61, "")</f>
        <v>-8196.7213114754177</v>
      </c>
      <c r="M61" s="31">
        <v>3.47</v>
      </c>
      <c r="N61" s="32">
        <f t="shared" si="29"/>
        <v>-5.191256830601091E-2</v>
      </c>
      <c r="O61" s="18">
        <f>IF(ISNUMBER(M61), $B64 * N61, "")</f>
        <v>-7786.8852459016362</v>
      </c>
      <c r="Q61" s="146"/>
      <c r="R61" s="146"/>
      <c r="S61" s="146"/>
    </row>
    <row r="62" spans="1:19" ht="17.25" customHeight="1">
      <c r="A62" s="109" t="s">
        <v>195</v>
      </c>
      <c r="B62" s="110">
        <v>6.68</v>
      </c>
      <c r="C62" s="70">
        <v>-1.76470588E-2</v>
      </c>
      <c r="D62" s="15">
        <v>6.38</v>
      </c>
      <c r="E62" s="32">
        <f t="shared" si="26"/>
        <v>-4.4910179640718535E-2</v>
      </c>
      <c r="F62" s="18">
        <f>IF(ISNUMBER(D62), $B64 * E62, "")</f>
        <v>-6736.5269461077805</v>
      </c>
      <c r="G62" s="31">
        <v>6.38</v>
      </c>
      <c r="H62" s="32">
        <f t="shared" si="27"/>
        <v>-4.4910179640718535E-2</v>
      </c>
      <c r="I62" s="91">
        <f>IF(ISNUMBER(G62), $B64 * H62, "")</f>
        <v>-6736.5269461077805</v>
      </c>
      <c r="J62" s="15">
        <v>6.39</v>
      </c>
      <c r="K62" s="32">
        <f t="shared" si="28"/>
        <v>-4.341317365269462E-2</v>
      </c>
      <c r="L62" s="18">
        <f>IF(ISNUMBER(J62), $B64 * K62, "")</f>
        <v>-6511.9760479041934</v>
      </c>
      <c r="M62" s="31">
        <v>6.4</v>
      </c>
      <c r="N62" s="32">
        <f t="shared" si="29"/>
        <v>-4.1916167664670566E-2</v>
      </c>
      <c r="O62" s="18">
        <f>IF(ISNUMBER(M62), $B64 * N62, "")</f>
        <v>-6287.4251497005853</v>
      </c>
      <c r="Q62" s="135"/>
      <c r="R62" s="136"/>
      <c r="S62" s="137"/>
    </row>
    <row r="63" spans="1:19" ht="17.25" customHeight="1" thickBot="1">
      <c r="A63" s="114" t="s">
        <v>181</v>
      </c>
      <c r="B63" s="115">
        <v>4.6399999999999997</v>
      </c>
      <c r="C63" s="72">
        <v>-2.10970464E-2</v>
      </c>
      <c r="D63" s="24">
        <v>4.5199999999999996</v>
      </c>
      <c r="E63" s="25">
        <f t="shared" si="26"/>
        <v>-2.5862068965517265E-2</v>
      </c>
      <c r="F63" s="94">
        <f>IF(ISNUMBER(D63), $B64 * E63, "")</f>
        <v>-3879.3103448275897</v>
      </c>
      <c r="G63" s="92">
        <v>4.5199999999999996</v>
      </c>
      <c r="H63" s="25">
        <f t="shared" si="27"/>
        <v>-2.5862068965517265E-2</v>
      </c>
      <c r="I63" s="93">
        <f>IF(ISNUMBER(G63), $B64 * H63, "")</f>
        <v>-3879.3103448275897</v>
      </c>
      <c r="J63" s="24">
        <v>4.4800000000000004</v>
      </c>
      <c r="K63" s="25">
        <f t="shared" si="28"/>
        <v>-3.4482758620689495E-2</v>
      </c>
      <c r="L63" s="94">
        <f>IF(ISNUMBER(J63), $B64 * K63, "")</f>
        <v>-5172.4137931034238</v>
      </c>
      <c r="M63" s="92">
        <v>4.5199999999999996</v>
      </c>
      <c r="N63" s="25">
        <f t="shared" si="29"/>
        <v>-2.5862068965517265E-2</v>
      </c>
      <c r="O63" s="94">
        <f>IF(ISNUMBER(M63), $B64 * N63, "")</f>
        <v>-3879.3103448275897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-4.5136723369634923E-2</v>
      </c>
      <c r="F64" s="28">
        <f>SUM(F44:F63)</f>
        <v>-135410.1701089048</v>
      </c>
      <c r="G64" s="26" t="s">
        <v>258</v>
      </c>
      <c r="H64" s="27">
        <f>IF(COUNT(H44:H63), SUM(H44:H63) / COUNT(H44:H63), 0)</f>
        <v>-3.8852593825709117E-2</v>
      </c>
      <c r="I64" s="28">
        <f>SUM(I44:I63)</f>
        <v>-116557.78147712737</v>
      </c>
      <c r="J64" s="26" t="s">
        <v>258</v>
      </c>
      <c r="K64" s="27">
        <f>IF(COUNT(K44:K63), SUM(K44:K63) / COUNT(K44:K63), 0)</f>
        <v>-4.6603407336765615E-2</v>
      </c>
      <c r="L64" s="28">
        <f>SUM(L44:L63)</f>
        <v>-139810.22201029686</v>
      </c>
      <c r="M64" s="26" t="s">
        <v>258</v>
      </c>
      <c r="N64" s="27">
        <f>IF(COUNT(N44:N63), SUM(N44:N63) / COUNT(N44:N63), 0)</f>
        <v>-4.4586531771306406E-2</v>
      </c>
      <c r="O64" s="28">
        <f>SUM(O44:O63)</f>
        <v>-133759.59531391927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2023-01-19(목) 오전 00:00</v>
      </c>
      <c r="C69" s="198"/>
      <c r="D69" s="170" t="str">
        <f>TEXT($G$1, "[$-ko-KR]yyyy-mm-dd(ddd) ") &amp; "오후 14:00"</f>
        <v>2023-01-19(목) 오후 14:00</v>
      </c>
      <c r="E69" s="171"/>
      <c r="F69" s="172"/>
      <c r="G69" s="170" t="str">
        <f>TEXT($G$1, "[$-ko-KR]yyyy-mm-dd(ddd) ") &amp; "오후 19:00"</f>
        <v>2023-01-19(목) 오후 19:00</v>
      </c>
      <c r="H69" s="171"/>
      <c r="I69" s="172"/>
      <c r="J69" s="170" t="str">
        <f>TEXT($G$1, "[$-ko-KR]yyyy-mm-dd(ddd) ") &amp; "오후 21:00"</f>
        <v>2023-01-19(목) 오후 21:00</v>
      </c>
      <c r="K69" s="171"/>
      <c r="L69" s="172"/>
      <c r="M69" s="170" t="str">
        <f>TEXT($G$1+1, "[$-ko-KR]yyyy-mm-dd(ddd) ") &amp; "오전 00:00"</f>
        <v>2023-01-20(금)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223</v>
      </c>
      <c r="B71" s="108">
        <v>266</v>
      </c>
      <c r="C71" s="69">
        <v>0.1465517241</v>
      </c>
      <c r="D71" s="13">
        <v>233</v>
      </c>
      <c r="E71" s="14">
        <f>IF(ISNUMBER(D71), (D71 - $B71) / $B71, "")</f>
        <v>-0.12406015037593984</v>
      </c>
      <c r="F71" s="16">
        <f>IF(ISNUMBER(D71), $B91 * E71, "")</f>
        <v>-18609.022556390977</v>
      </c>
      <c r="G71" s="29">
        <v>236</v>
      </c>
      <c r="H71" s="14">
        <f>IF(ISNUMBER(G71), (G71 - $B71) / $B71, "")</f>
        <v>-0.11278195488721804</v>
      </c>
      <c r="I71" s="90">
        <f>IF(ISNUMBER(G71), $B91 * H71, "")</f>
        <v>-16917.293233082706</v>
      </c>
      <c r="J71" s="13">
        <v>231</v>
      </c>
      <c r="K71" s="14">
        <f>IF(ISNUMBER(J71), (J71 - $B71) / $B71, "")</f>
        <v>-0.13157894736842105</v>
      </c>
      <c r="L71" s="16">
        <f>IF(ISNUMBER(J71), $B91 * K71, "")</f>
        <v>-19736.842105263157</v>
      </c>
      <c r="M71" s="29">
        <v>232</v>
      </c>
      <c r="N71" s="14">
        <f>IF(ISNUMBER(M71), (M71 - $B71) / $B71, "")</f>
        <v>-0.12781954887218044</v>
      </c>
      <c r="O71" s="16">
        <f>IF(ISNUMBER(M71), $B91 * N71, "")</f>
        <v>-19172.932330827065</v>
      </c>
      <c r="Q71" s="156"/>
      <c r="R71" s="156"/>
      <c r="S71" s="156"/>
    </row>
    <row r="72" spans="1:19" ht="17.25" thickBot="1">
      <c r="A72" s="109" t="s">
        <v>149</v>
      </c>
      <c r="B72" s="110">
        <v>502</v>
      </c>
      <c r="C72" s="70">
        <v>0.1230425056</v>
      </c>
      <c r="D72" s="15">
        <v>453</v>
      </c>
      <c r="E72" s="32">
        <f t="shared" ref="E72:E75" si="30">IF(ISNUMBER(D72), (D72 - $B72) / $B72, "")</f>
        <v>-9.7609561752988044E-2</v>
      </c>
      <c r="F72" s="18">
        <f>IF(ISNUMBER(D72), $B91 * E72, "")</f>
        <v>-14641.434262948207</v>
      </c>
      <c r="G72" s="31">
        <v>529</v>
      </c>
      <c r="H72" s="32">
        <f t="shared" ref="H72:H75" si="31">IF(ISNUMBER(G72), (G72 - $B72) / $B72, "")</f>
        <v>5.3784860557768925E-2</v>
      </c>
      <c r="I72" s="91">
        <f>IF(ISNUMBER(G72), $B91 * H72, "")</f>
        <v>8067.7290836653392</v>
      </c>
      <c r="J72" s="15">
        <v>518</v>
      </c>
      <c r="K72" s="32">
        <f t="shared" ref="K72:K75" si="32">IF(ISNUMBER(J72), (J72 - $B72) / $B72, "")</f>
        <v>3.1872509960159362E-2</v>
      </c>
      <c r="L72" s="18">
        <f>IF(ISNUMBER(J72), $B91 * K72, "")</f>
        <v>4780.8764940239043</v>
      </c>
      <c r="M72" s="31">
        <v>515</v>
      </c>
      <c r="N72" s="32">
        <f t="shared" ref="N72:N75" si="33">IF(ISNUMBER(M72), (M72 - $B72) / $B72, "")</f>
        <v>2.5896414342629483E-2</v>
      </c>
      <c r="O72" s="18">
        <f>IF(ISNUMBER(M72), $B91 * N72, "")</f>
        <v>3884.4621513944226</v>
      </c>
      <c r="Q72" s="156"/>
      <c r="R72" s="156"/>
      <c r="S72" s="156"/>
    </row>
    <row r="73" spans="1:19" ht="17.25" thickBot="1">
      <c r="A73" s="109" t="s">
        <v>79</v>
      </c>
      <c r="B73" s="110">
        <v>303</v>
      </c>
      <c r="C73" s="70">
        <v>5.9440559400000002E-2</v>
      </c>
      <c r="D73" s="15">
        <v>280</v>
      </c>
      <c r="E73" s="32">
        <f t="shared" si="30"/>
        <v>-7.590759075907591E-2</v>
      </c>
      <c r="F73" s="18">
        <f>IF(ISNUMBER(D73), $B91 * E73, "")</f>
        <v>-11386.138613861387</v>
      </c>
      <c r="G73" s="31">
        <v>297</v>
      </c>
      <c r="H73" s="32">
        <f t="shared" si="31"/>
        <v>-1.9801980198019802E-2</v>
      </c>
      <c r="I73" s="91">
        <f>IF(ISNUMBER(G73), $B91 * H73, "")</f>
        <v>-2970.2970297029701</v>
      </c>
      <c r="J73" s="15">
        <v>288</v>
      </c>
      <c r="K73" s="32">
        <f t="shared" si="32"/>
        <v>-4.9504950495049507E-2</v>
      </c>
      <c r="L73" s="18">
        <f>IF(ISNUMBER(J73), $B91 * K73, "")</f>
        <v>-7425.742574257426</v>
      </c>
      <c r="M73" s="31">
        <v>292</v>
      </c>
      <c r="N73" s="32">
        <f t="shared" si="33"/>
        <v>-3.6303630363036306E-2</v>
      </c>
      <c r="O73" s="18">
        <f>IF(ISNUMBER(M73), $B91 * N73, "")</f>
        <v>-5445.5445544554459</v>
      </c>
      <c r="Q73" s="146"/>
      <c r="R73" s="146"/>
      <c r="S73" s="146"/>
    </row>
    <row r="74" spans="1:19" ht="17.25" thickBot="1">
      <c r="A74" s="109" t="s">
        <v>253</v>
      </c>
      <c r="B74" s="110">
        <v>109</v>
      </c>
      <c r="C74" s="70">
        <v>5.8252427199999998E-2</v>
      </c>
      <c r="D74" s="15">
        <v>102</v>
      </c>
      <c r="E74" s="32">
        <f t="shared" si="30"/>
        <v>-6.4220183486238536E-2</v>
      </c>
      <c r="F74" s="18">
        <f>IF(ISNUMBER(D74), $B91 * E74, "")</f>
        <v>-9633.0275229357812</v>
      </c>
      <c r="G74" s="31">
        <v>102</v>
      </c>
      <c r="H74" s="32">
        <f t="shared" si="31"/>
        <v>-6.4220183486238536E-2</v>
      </c>
      <c r="I74" s="91">
        <f>IF(ISNUMBER(G74), $B91 * H74, "")</f>
        <v>-9633.0275229357812</v>
      </c>
      <c r="J74" s="15">
        <v>100</v>
      </c>
      <c r="K74" s="32">
        <f t="shared" si="32"/>
        <v>-8.2568807339449546E-2</v>
      </c>
      <c r="L74" s="18">
        <f>IF(ISNUMBER(J74), $B91 * K74, "")</f>
        <v>-12385.321100917432</v>
      </c>
      <c r="M74" s="31">
        <v>101</v>
      </c>
      <c r="N74" s="32">
        <f t="shared" si="33"/>
        <v>-7.3394495412844041E-2</v>
      </c>
      <c r="O74" s="18">
        <f>IF(ISNUMBER(M74), $B91 * N74, "")</f>
        <v>-11009.174311926607</v>
      </c>
      <c r="Q74" s="146"/>
      <c r="R74" s="146"/>
      <c r="S74" s="146"/>
    </row>
    <row r="75" spans="1:19" ht="17.25" thickBot="1">
      <c r="A75" s="111" t="s">
        <v>111</v>
      </c>
      <c r="B75" s="112">
        <v>911</v>
      </c>
      <c r="C75" s="71">
        <v>4.95391705E-2</v>
      </c>
      <c r="D75" s="20">
        <v>866</v>
      </c>
      <c r="E75" s="21">
        <f t="shared" si="30"/>
        <v>-4.9396267837541162E-2</v>
      </c>
      <c r="F75" s="22">
        <f>IF(ISNUMBER(D75), $B91 * E75, "")</f>
        <v>-7409.4401756311745</v>
      </c>
      <c r="G75" s="30">
        <v>884</v>
      </c>
      <c r="H75" s="21">
        <f t="shared" si="31"/>
        <v>-2.9637760702524697E-2</v>
      </c>
      <c r="I75" s="95">
        <f>IF(ISNUMBER(G75), $B91 * H75, "")</f>
        <v>-4445.6641053787043</v>
      </c>
      <c r="J75" s="20">
        <v>869</v>
      </c>
      <c r="K75" s="21">
        <f t="shared" si="32"/>
        <v>-4.6103183315038418E-2</v>
      </c>
      <c r="L75" s="22">
        <f>IF(ISNUMBER(J75), $B91 * K75, "")</f>
        <v>-6915.4774972557625</v>
      </c>
      <c r="M75" s="30">
        <v>868</v>
      </c>
      <c r="N75" s="21">
        <f t="shared" si="33"/>
        <v>-4.7200878155872671E-2</v>
      </c>
      <c r="O75" s="22">
        <f>IF(ISNUMBER(M75), $B91 * N75, "")</f>
        <v>-7080.1317233809004</v>
      </c>
      <c r="Q75" s="146"/>
      <c r="R75" s="146"/>
      <c r="S75" s="146"/>
    </row>
    <row r="76" spans="1:19" ht="17.25" thickBot="1">
      <c r="A76" s="109" t="s">
        <v>330</v>
      </c>
      <c r="B76" s="113">
        <v>342</v>
      </c>
      <c r="C76" s="73">
        <v>4.9079754599999997E-2</v>
      </c>
      <c r="D76" s="96">
        <v>316</v>
      </c>
      <c r="E76" s="97">
        <f>IF(ISNUMBER(D76), (D76 - $B76) / $B76, "")</f>
        <v>-7.6023391812865493E-2</v>
      </c>
      <c r="F76" s="98">
        <f>IF(ISNUMBER(D76), $B91 * E76, "")</f>
        <v>-11403.508771929824</v>
      </c>
      <c r="G76" s="99">
        <v>322</v>
      </c>
      <c r="H76" s="97">
        <f>IF(ISNUMBER(G76), (G76 - $B76) / $B76, "")</f>
        <v>-5.8479532163742687E-2</v>
      </c>
      <c r="I76" s="100">
        <f>IF(ISNUMBER(G76), $B91 * H76, "")</f>
        <v>-8771.9298245614027</v>
      </c>
      <c r="J76" s="96">
        <v>318</v>
      </c>
      <c r="K76" s="97">
        <f>IF(ISNUMBER(J76), (J76 - $B76) / $B76, "")</f>
        <v>-7.0175438596491224E-2</v>
      </c>
      <c r="L76" s="98">
        <f>IF(ISNUMBER(J76), $B91 * K76, "")</f>
        <v>-10526.315789473683</v>
      </c>
      <c r="M76" s="99">
        <v>317</v>
      </c>
      <c r="N76" s="97">
        <f>IF(ISNUMBER(M76), (M76 - $B76) / $B76, "")</f>
        <v>-7.3099415204678359E-2</v>
      </c>
      <c r="O76" s="98">
        <f>IF(ISNUMBER(M76), $B91 * N76, "")</f>
        <v>-10964.912280701754</v>
      </c>
      <c r="Q76" s="146"/>
      <c r="R76" s="146"/>
      <c r="S76" s="146"/>
    </row>
    <row r="77" spans="1:19" ht="17.25" thickBot="1">
      <c r="A77" s="109" t="s">
        <v>219</v>
      </c>
      <c r="B77" s="110">
        <v>471</v>
      </c>
      <c r="C77" s="70">
        <v>4.8997772799999999E-2</v>
      </c>
      <c r="D77" s="15">
        <v>440</v>
      </c>
      <c r="E77" s="32">
        <f t="shared" ref="E77:E80" si="34">IF(ISNUMBER(D77), (D77 - $B77) / $B77, "")</f>
        <v>-6.5817409766454352E-2</v>
      </c>
      <c r="F77" s="18">
        <f>IF(ISNUMBER(D77), $B91 * E77, "")</f>
        <v>-9872.6114649681531</v>
      </c>
      <c r="G77" s="31">
        <v>451</v>
      </c>
      <c r="H77" s="32">
        <f t="shared" ref="H77:H80" si="35">IF(ISNUMBER(G77), (G77 - $B77) / $B77, "")</f>
        <v>-4.2462845010615709E-2</v>
      </c>
      <c r="I77" s="91">
        <f>IF(ISNUMBER(G77), $B91 * H77, "")</f>
        <v>-6369.4267515923566</v>
      </c>
      <c r="J77" s="15">
        <v>442</v>
      </c>
      <c r="K77" s="32">
        <f t="shared" ref="K77:K80" si="36">IF(ISNUMBER(J77), (J77 - $B77) / $B77, "")</f>
        <v>-6.1571125265392782E-2</v>
      </c>
      <c r="L77" s="18">
        <f>IF(ISNUMBER(J77), $B91 * K77, "")</f>
        <v>-9235.6687898089167</v>
      </c>
      <c r="M77" s="31">
        <v>443</v>
      </c>
      <c r="N77" s="32">
        <f t="shared" ref="N77:N80" si="37">IF(ISNUMBER(M77), (M77 - $B77) / $B77, "")</f>
        <v>-5.9447983014861996E-2</v>
      </c>
      <c r="O77" s="18">
        <f>IF(ISNUMBER(M77), $B91 * N77, "")</f>
        <v>-8917.1974522293003</v>
      </c>
      <c r="Q77" s="146"/>
      <c r="R77" s="146"/>
      <c r="S77" s="146"/>
    </row>
    <row r="78" spans="1:19" ht="17.25" thickBot="1">
      <c r="A78" s="109" t="s">
        <v>229</v>
      </c>
      <c r="B78" s="110">
        <v>289</v>
      </c>
      <c r="C78" s="70">
        <v>3.2142857099999998E-2</v>
      </c>
      <c r="D78" s="15">
        <v>271</v>
      </c>
      <c r="E78" s="32">
        <f t="shared" si="34"/>
        <v>-6.228373702422145E-2</v>
      </c>
      <c r="F78" s="18">
        <f>IF(ISNUMBER(D78), $B91 * E78, "")</f>
        <v>-9342.5605536332168</v>
      </c>
      <c r="G78" s="31">
        <v>269</v>
      </c>
      <c r="H78" s="32">
        <f t="shared" si="35"/>
        <v>-6.9204152249134954E-2</v>
      </c>
      <c r="I78" s="91">
        <f>IF(ISNUMBER(G78), $B91 * H78, "")</f>
        <v>-10380.622837370243</v>
      </c>
      <c r="J78" s="15">
        <v>268</v>
      </c>
      <c r="K78" s="32">
        <f t="shared" si="36"/>
        <v>-7.2664359861591699E-2</v>
      </c>
      <c r="L78" s="18">
        <f>IF(ISNUMBER(J78), $B91 * K78, "")</f>
        <v>-10899.653979238754</v>
      </c>
      <c r="M78" s="31">
        <v>267</v>
      </c>
      <c r="N78" s="32">
        <f t="shared" si="37"/>
        <v>-7.6124567474048443E-2</v>
      </c>
      <c r="O78" s="18">
        <f>IF(ISNUMBER(M78), $B91 * N78, "")</f>
        <v>-11418.685121107266</v>
      </c>
      <c r="Q78" s="146"/>
      <c r="R78" s="146"/>
      <c r="S78" s="146"/>
    </row>
    <row r="79" spans="1:19" ht="17.25" thickBot="1">
      <c r="A79" s="109" t="s">
        <v>120</v>
      </c>
      <c r="B79" s="110">
        <v>134</v>
      </c>
      <c r="C79" s="70">
        <v>3.0769230799999998E-2</v>
      </c>
      <c r="D79" s="15">
        <v>124</v>
      </c>
      <c r="E79" s="32">
        <f t="shared" si="34"/>
        <v>-7.4626865671641784E-2</v>
      </c>
      <c r="F79" s="18">
        <f>IF(ISNUMBER(D79), $B91 * E79, "")</f>
        <v>-11194.029850746268</v>
      </c>
      <c r="G79" s="31">
        <v>125</v>
      </c>
      <c r="H79" s="32">
        <f t="shared" si="35"/>
        <v>-6.7164179104477612E-2</v>
      </c>
      <c r="I79" s="91">
        <f>IF(ISNUMBER(G79), $B91 * H79, "")</f>
        <v>-10074.626865671642</v>
      </c>
      <c r="J79" s="15">
        <v>125</v>
      </c>
      <c r="K79" s="32">
        <f t="shared" si="36"/>
        <v>-6.7164179104477612E-2</v>
      </c>
      <c r="L79" s="18">
        <f>IF(ISNUMBER(J79), $B91 * K79, "")</f>
        <v>-10074.626865671642</v>
      </c>
      <c r="M79" s="31">
        <v>123</v>
      </c>
      <c r="N79" s="32">
        <f t="shared" si="37"/>
        <v>-8.2089552238805971E-2</v>
      </c>
      <c r="O79" s="18">
        <f>IF(ISNUMBER(M79), $B91 * N79, "")</f>
        <v>-12313.432835820895</v>
      </c>
      <c r="Q79" s="33"/>
      <c r="R79" s="33"/>
    </row>
    <row r="80" spans="1:19" ht="17.25" thickBot="1">
      <c r="A80" s="114" t="s">
        <v>103</v>
      </c>
      <c r="B80" s="115">
        <v>268</v>
      </c>
      <c r="C80" s="72">
        <v>3.0769230799999998E-2</v>
      </c>
      <c r="D80" s="24">
        <v>254</v>
      </c>
      <c r="E80" s="25">
        <f t="shared" si="34"/>
        <v>-5.2238805970149252E-2</v>
      </c>
      <c r="F80" s="94">
        <f>IF(ISNUMBER(D80), $B91 * E80, "")</f>
        <v>-7835.8208955223881</v>
      </c>
      <c r="G80" s="92">
        <v>259</v>
      </c>
      <c r="H80" s="25">
        <f t="shared" si="35"/>
        <v>-3.3582089552238806E-2</v>
      </c>
      <c r="I80" s="93">
        <f>IF(ISNUMBER(G80), $B91 * H80, "")</f>
        <v>-5037.313432835821</v>
      </c>
      <c r="J80" s="24">
        <v>253</v>
      </c>
      <c r="K80" s="25">
        <f t="shared" si="36"/>
        <v>-5.5970149253731345E-2</v>
      </c>
      <c r="L80" s="94">
        <f>IF(ISNUMBER(J80), $B91 * K80, "")</f>
        <v>-8395.5223880597023</v>
      </c>
      <c r="M80" s="92">
        <v>252</v>
      </c>
      <c r="N80" s="25">
        <f t="shared" si="37"/>
        <v>-5.9701492537313432E-2</v>
      </c>
      <c r="O80" s="94">
        <f>IF(ISNUMBER(M80), $B91 * N80, "")</f>
        <v>-8955.2238805970155</v>
      </c>
      <c r="Q80" s="147"/>
      <c r="R80" s="148"/>
      <c r="S80" s="149"/>
    </row>
    <row r="81" spans="1:19">
      <c r="A81" s="107" t="s">
        <v>101</v>
      </c>
      <c r="B81" s="108">
        <v>251</v>
      </c>
      <c r="C81" s="69">
        <v>2.44897959E-2</v>
      </c>
      <c r="D81" s="13">
        <v>241</v>
      </c>
      <c r="E81" s="14">
        <f>IF(ISNUMBER(D81), (D81 - $B81) / $B81, "")</f>
        <v>-3.9840637450199202E-2</v>
      </c>
      <c r="F81" s="16">
        <f>IF(ISNUMBER(D81), $B91 * E81, "")</f>
        <v>-5976.0956175298807</v>
      </c>
      <c r="G81" s="29">
        <v>239</v>
      </c>
      <c r="H81" s="14">
        <f>IF(ISNUMBER(G81), (G81 - $B81) / $B81, "")</f>
        <v>-4.7808764940239043E-2</v>
      </c>
      <c r="I81" s="90">
        <f>IF(ISNUMBER(G81), $B91 * H81, "")</f>
        <v>-7171.3147410358561</v>
      </c>
      <c r="J81" s="13">
        <v>237</v>
      </c>
      <c r="K81" s="14">
        <f>IF(ISNUMBER(J81), (J81 - $B81) / $B81, "")</f>
        <v>-5.5776892430278883E-2</v>
      </c>
      <c r="L81" s="16">
        <f>IF(ISNUMBER(J81), $B91 * K81, "")</f>
        <v>-8366.5338645418324</v>
      </c>
      <c r="M81" s="29">
        <v>239</v>
      </c>
      <c r="N81" s="14">
        <f>IF(ISNUMBER(M81), (M81 - $B81) / $B81, "")</f>
        <v>-4.7808764940239043E-2</v>
      </c>
      <c r="O81" s="16">
        <f>IF(ISNUMBER(M81), $B91 * N81, "")</f>
        <v>-7171.3147410358561</v>
      </c>
      <c r="Q81" s="150"/>
      <c r="R81" s="151"/>
      <c r="S81" s="152"/>
    </row>
    <row r="82" spans="1:19" ht="17.25" thickBot="1">
      <c r="A82" s="109" t="s">
        <v>153</v>
      </c>
      <c r="B82" s="110">
        <v>433</v>
      </c>
      <c r="C82" s="70">
        <v>2.3640661899999998E-2</v>
      </c>
      <c r="D82" s="15">
        <v>410</v>
      </c>
      <c r="E82" s="32">
        <f t="shared" ref="E82:E85" si="38">IF(ISNUMBER(D82), (D82 - $B82) / $B82, "")</f>
        <v>-5.3117782909930716E-2</v>
      </c>
      <c r="F82" s="18">
        <f>IF(ISNUMBER(D82), $B91 * E82, "")</f>
        <v>-7967.6674364896071</v>
      </c>
      <c r="G82" s="31">
        <v>418</v>
      </c>
      <c r="H82" s="32">
        <f t="shared" ref="H82:H85" si="39">IF(ISNUMBER(G82), (G82 - $B82) / $B82, "")</f>
        <v>-3.4642032332563508E-2</v>
      </c>
      <c r="I82" s="91">
        <f>IF(ISNUMBER(G82), $B91 * H82, "")</f>
        <v>-5196.3048498845264</v>
      </c>
      <c r="J82" s="15">
        <v>410</v>
      </c>
      <c r="K82" s="32">
        <f t="shared" ref="K82:K85" si="40">IF(ISNUMBER(J82), (J82 - $B82) / $B82, "")</f>
        <v>-5.3117782909930716E-2</v>
      </c>
      <c r="L82" s="18">
        <f>IF(ISNUMBER(J82), $B91 * K82, "")</f>
        <v>-7967.6674364896071</v>
      </c>
      <c r="M82" s="31">
        <v>410</v>
      </c>
      <c r="N82" s="32">
        <f t="shared" ref="N82:N85" si="41">IF(ISNUMBER(M82), (M82 - $B82) / $B82, "")</f>
        <v>-5.3117782909930716E-2</v>
      </c>
      <c r="O82" s="18">
        <f>IF(ISNUMBER(M82), $B91 * N82, "")</f>
        <v>-7967.6674364896071</v>
      </c>
      <c r="Q82" s="153"/>
      <c r="R82" s="154"/>
      <c r="S82" s="155"/>
    </row>
    <row r="83" spans="1:19" ht="17.25" thickBot="1">
      <c r="A83" s="109" t="s">
        <v>130</v>
      </c>
      <c r="B83" s="110">
        <v>926</v>
      </c>
      <c r="C83" s="70">
        <v>1.9823788500000002E-2</v>
      </c>
      <c r="D83" s="15">
        <v>943</v>
      </c>
      <c r="E83" s="32">
        <f t="shared" si="38"/>
        <v>1.8358531317494601E-2</v>
      </c>
      <c r="F83" s="18">
        <f>IF(ISNUMBER(D83), $B91 * E83, "")</f>
        <v>2753.7796976241902</v>
      </c>
      <c r="G83" s="31">
        <v>955</v>
      </c>
      <c r="H83" s="32">
        <f t="shared" si="39"/>
        <v>3.1317494600431962E-2</v>
      </c>
      <c r="I83" s="91">
        <f>IF(ISNUMBER(G83), $B91 * H83, "")</f>
        <v>4697.6241900647947</v>
      </c>
      <c r="J83" s="15">
        <v>952</v>
      </c>
      <c r="K83" s="32">
        <f t="shared" si="40"/>
        <v>2.8077753779697623E-2</v>
      </c>
      <c r="L83" s="18">
        <f>IF(ISNUMBER(J83), $B91 * K83, "")</f>
        <v>4211.663066954643</v>
      </c>
      <c r="M83" s="31">
        <v>993</v>
      </c>
      <c r="N83" s="32">
        <f t="shared" si="41"/>
        <v>7.235421166306695E-2</v>
      </c>
      <c r="O83" s="18">
        <f>IF(ISNUMBER(M83), $B91 * N83, "")</f>
        <v>10853.131749460043</v>
      </c>
      <c r="Q83" s="146"/>
      <c r="R83" s="146"/>
      <c r="S83" s="146"/>
    </row>
    <row r="84" spans="1:19" ht="17.25" thickBot="1">
      <c r="A84" s="109" t="s">
        <v>51</v>
      </c>
      <c r="B84" s="110">
        <v>109</v>
      </c>
      <c r="C84" s="70">
        <v>1.8691588799999999E-2</v>
      </c>
      <c r="D84" s="15">
        <v>105</v>
      </c>
      <c r="E84" s="32">
        <f t="shared" si="38"/>
        <v>-3.669724770642202E-2</v>
      </c>
      <c r="F84" s="18">
        <f>IF(ISNUMBER(D84), $B91 * E84, "")</f>
        <v>-5504.5871559633033</v>
      </c>
      <c r="G84" s="31">
        <v>104</v>
      </c>
      <c r="H84" s="32">
        <f t="shared" si="39"/>
        <v>-4.5871559633027525E-2</v>
      </c>
      <c r="I84" s="91">
        <f>IF(ISNUMBER(G84), $B91 * H84, "")</f>
        <v>-6880.7339449541287</v>
      </c>
      <c r="J84" s="15">
        <v>103</v>
      </c>
      <c r="K84" s="32">
        <f t="shared" si="40"/>
        <v>-5.5045871559633031E-2</v>
      </c>
      <c r="L84" s="18">
        <f>IF(ISNUMBER(J84), $B91 * K84, "")</f>
        <v>-8256.880733944954</v>
      </c>
      <c r="M84" s="31">
        <v>104</v>
      </c>
      <c r="N84" s="32">
        <f t="shared" si="41"/>
        <v>-4.5871559633027525E-2</v>
      </c>
      <c r="O84" s="18">
        <f>IF(ISNUMBER(M84), $B91 * N84, "")</f>
        <v>-6880.7339449541287</v>
      </c>
      <c r="Q84" s="156"/>
      <c r="R84" s="156"/>
      <c r="S84" s="156"/>
    </row>
    <row r="85" spans="1:19" ht="17.25" thickBot="1">
      <c r="A85" s="111" t="s">
        <v>81</v>
      </c>
      <c r="B85" s="112">
        <v>437</v>
      </c>
      <c r="C85" s="71">
        <v>1.86480186E-2</v>
      </c>
      <c r="D85" s="20">
        <v>414</v>
      </c>
      <c r="E85" s="21">
        <f t="shared" si="38"/>
        <v>-5.2631578947368418E-2</v>
      </c>
      <c r="F85" s="22">
        <f>IF(ISNUMBER(D85), $B91 * E85, "")</f>
        <v>-7894.7368421052624</v>
      </c>
      <c r="G85" s="30">
        <v>416</v>
      </c>
      <c r="H85" s="21">
        <f t="shared" si="39"/>
        <v>-4.8054919908466817E-2</v>
      </c>
      <c r="I85" s="95">
        <f>IF(ISNUMBER(G85), $B91 * H85, "")</f>
        <v>-7208.2379862700227</v>
      </c>
      <c r="J85" s="20">
        <v>412</v>
      </c>
      <c r="K85" s="21">
        <f t="shared" si="40"/>
        <v>-5.7208237986270026E-2</v>
      </c>
      <c r="L85" s="22">
        <f>IF(ISNUMBER(J85), $B91 * K85, "")</f>
        <v>-8581.2356979405031</v>
      </c>
      <c r="M85" s="30">
        <v>415</v>
      </c>
      <c r="N85" s="21">
        <f t="shared" si="41"/>
        <v>-5.0343249427917618E-2</v>
      </c>
      <c r="O85" s="22">
        <f>IF(ISNUMBER(M85), $B91 * N85, "")</f>
        <v>-7551.4874141876426</v>
      </c>
      <c r="Q85" s="156"/>
      <c r="R85" s="156"/>
      <c r="S85" s="156"/>
    </row>
    <row r="86" spans="1:19" ht="17.25" thickBot="1">
      <c r="A86" s="109" t="s">
        <v>213</v>
      </c>
      <c r="B86" s="113">
        <v>518</v>
      </c>
      <c r="C86" s="73">
        <v>1.56862745E-2</v>
      </c>
      <c r="D86" s="96">
        <v>500</v>
      </c>
      <c r="E86" s="97">
        <f>IF(ISNUMBER(D86), (D86 - $B86) / $B86, "")</f>
        <v>-3.4749034749034749E-2</v>
      </c>
      <c r="F86" s="98">
        <f>IF(ISNUMBER(D86), $B91 * E86, "")</f>
        <v>-5212.3552123552126</v>
      </c>
      <c r="G86" s="99">
        <v>497</v>
      </c>
      <c r="H86" s="97">
        <f>IF(ISNUMBER(G86), (G86 - $B86) / $B86, "")</f>
        <v>-4.0540540540540543E-2</v>
      </c>
      <c r="I86" s="100">
        <f>IF(ISNUMBER(G86), $B91 * H86, "")</f>
        <v>-6081.0810810810817</v>
      </c>
      <c r="J86" s="96">
        <v>491</v>
      </c>
      <c r="K86" s="97">
        <f>IF(ISNUMBER(J86), (J86 - $B86) / $B86, "")</f>
        <v>-5.2123552123552123E-2</v>
      </c>
      <c r="L86" s="98">
        <f>IF(ISNUMBER(J86), $B91 * K86, "")</f>
        <v>-7818.532818532819</v>
      </c>
      <c r="M86" s="99">
        <v>495</v>
      </c>
      <c r="N86" s="97">
        <f>IF(ISNUMBER(M86), (M86 - $B86) / $B86, "")</f>
        <v>-4.4401544401544403E-2</v>
      </c>
      <c r="O86" s="98">
        <f>IF(ISNUMBER(M86), $B91 * N86, "")</f>
        <v>-6660.2316602316605</v>
      </c>
      <c r="Q86" s="146"/>
      <c r="R86" s="146"/>
      <c r="S86" s="146"/>
    </row>
    <row r="87" spans="1:19" ht="17.25" thickBot="1">
      <c r="A87" s="109" t="s">
        <v>167</v>
      </c>
      <c r="B87" s="110">
        <v>207</v>
      </c>
      <c r="C87" s="70">
        <v>1.47058824E-2</v>
      </c>
      <c r="D87" s="15">
        <v>199</v>
      </c>
      <c r="E87" s="32">
        <f t="shared" ref="E87:E90" si="42">IF(ISNUMBER(D87), (D87 - $B87) / $B87, "")</f>
        <v>-3.864734299516908E-2</v>
      </c>
      <c r="F87" s="18">
        <f>IF(ISNUMBER(D87), $B91 * E87, "")</f>
        <v>-5797.101449275362</v>
      </c>
      <c r="G87" s="31">
        <v>198</v>
      </c>
      <c r="H87" s="32">
        <f t="shared" ref="H87:H90" si="43">IF(ISNUMBER(G87), (G87 - $B87) / $B87, "")</f>
        <v>-4.3478260869565216E-2</v>
      </c>
      <c r="I87" s="91">
        <f>IF(ISNUMBER(G87), $B91 * H87, "")</f>
        <v>-6521.7391304347821</v>
      </c>
      <c r="J87" s="15">
        <v>194</v>
      </c>
      <c r="K87" s="32">
        <f t="shared" ref="K87:K90" si="44">IF(ISNUMBER(J87), (J87 - $B87) / $B87, "")</f>
        <v>-6.280193236714976E-2</v>
      </c>
      <c r="L87" s="18">
        <f>IF(ISNUMBER(J87), $B91 * K87, "")</f>
        <v>-9420.289855072464</v>
      </c>
      <c r="M87" s="31">
        <v>196</v>
      </c>
      <c r="N87" s="32">
        <f t="shared" ref="N87:N90" si="45">IF(ISNUMBER(M87), (M87 - $B87) / $B87, "")</f>
        <v>-5.3140096618357488E-2</v>
      </c>
      <c r="O87" s="18">
        <f>IF(ISNUMBER(M87), $B91 * N87, "")</f>
        <v>-7971.014492753623</v>
      </c>
      <c r="Q87" s="146"/>
      <c r="R87" s="146"/>
      <c r="S87" s="146"/>
    </row>
    <row r="88" spans="1:19" ht="17.25" thickBot="1">
      <c r="A88" s="109" t="s">
        <v>89</v>
      </c>
      <c r="B88" s="110">
        <v>488</v>
      </c>
      <c r="C88" s="70">
        <v>1.4553014600000001E-2</v>
      </c>
      <c r="D88" s="15">
        <v>476</v>
      </c>
      <c r="E88" s="32">
        <f t="shared" si="42"/>
        <v>-2.4590163934426229E-2</v>
      </c>
      <c r="F88" s="18">
        <f>IF(ISNUMBER(D88), $B91 * E88, "")</f>
        <v>-3688.5245901639341</v>
      </c>
      <c r="G88" s="31">
        <v>481</v>
      </c>
      <c r="H88" s="32">
        <f t="shared" si="43"/>
        <v>-1.4344262295081968E-2</v>
      </c>
      <c r="I88" s="91">
        <f>IF(ISNUMBER(G88), $B91 * H88, "")</f>
        <v>-2151.6393442622953</v>
      </c>
      <c r="J88" s="15">
        <v>479</v>
      </c>
      <c r="K88" s="32">
        <f t="shared" si="44"/>
        <v>-1.8442622950819672E-2</v>
      </c>
      <c r="L88" s="18">
        <f>IF(ISNUMBER(J88), $B91 * K88, "")</f>
        <v>-2766.3934426229507</v>
      </c>
      <c r="M88" s="31">
        <v>483</v>
      </c>
      <c r="N88" s="32">
        <f t="shared" si="45"/>
        <v>-1.0245901639344262E-2</v>
      </c>
      <c r="O88" s="18">
        <f>IF(ISNUMBER(M88), $B91 * N88, "")</f>
        <v>-1536.8852459016393</v>
      </c>
      <c r="Q88" s="146"/>
      <c r="R88" s="146"/>
      <c r="S88" s="146"/>
    </row>
    <row r="89" spans="1:19">
      <c r="A89" s="109" t="s">
        <v>201</v>
      </c>
      <c r="B89" s="110">
        <v>271</v>
      </c>
      <c r="C89" s="70">
        <v>1.1194029899999999E-2</v>
      </c>
      <c r="D89" s="15">
        <v>255</v>
      </c>
      <c r="E89" s="32">
        <f t="shared" si="42"/>
        <v>-5.9040590405904057E-2</v>
      </c>
      <c r="F89" s="18">
        <f>IF(ISNUMBER(D89), $B91 * E89, "")</f>
        <v>-8856.0885608856079</v>
      </c>
      <c r="G89" s="31">
        <v>255</v>
      </c>
      <c r="H89" s="32">
        <f t="shared" si="43"/>
        <v>-5.9040590405904057E-2</v>
      </c>
      <c r="I89" s="91">
        <f>IF(ISNUMBER(G89), $B91 * H89, "")</f>
        <v>-8856.0885608856079</v>
      </c>
      <c r="J89" s="15">
        <v>252</v>
      </c>
      <c r="K89" s="32">
        <f t="shared" si="44"/>
        <v>-7.0110701107011064E-2</v>
      </c>
      <c r="L89" s="18">
        <f>IF(ISNUMBER(J89), $B91 * K89, "")</f>
        <v>-10516.60516605166</v>
      </c>
      <c r="M89" s="31">
        <v>254</v>
      </c>
      <c r="N89" s="32">
        <f t="shared" si="45"/>
        <v>-6.273062730627306E-2</v>
      </c>
      <c r="O89" s="18">
        <f>IF(ISNUMBER(M89), $B91 * N89, "")</f>
        <v>-9409.5940959409581</v>
      </c>
      <c r="Q89" s="135"/>
      <c r="R89" s="136"/>
      <c r="S89" s="137"/>
    </row>
    <row r="90" spans="1:19" ht="17.25" thickBot="1">
      <c r="A90" s="114" t="s">
        <v>215</v>
      </c>
      <c r="B90" s="115">
        <v>371</v>
      </c>
      <c r="C90" s="72">
        <v>1.08991826E-2</v>
      </c>
      <c r="D90" s="24">
        <v>351</v>
      </c>
      <c r="E90" s="25">
        <f t="shared" si="42"/>
        <v>-5.3908355795148251E-2</v>
      </c>
      <c r="F90" s="94">
        <f>IF(ISNUMBER(D90), $B91 * E90, "")</f>
        <v>-8086.2533692722373</v>
      </c>
      <c r="G90" s="92">
        <v>350</v>
      </c>
      <c r="H90" s="25">
        <f t="shared" si="43"/>
        <v>-5.6603773584905662E-2</v>
      </c>
      <c r="I90" s="93">
        <f>IF(ISNUMBER(G90), $B91 * H90, "")</f>
        <v>-8490.566037735849</v>
      </c>
      <c r="J90" s="24">
        <v>346</v>
      </c>
      <c r="K90" s="25">
        <f t="shared" si="44"/>
        <v>-6.7385444743935305E-2</v>
      </c>
      <c r="L90" s="94">
        <f>IF(ISNUMBER(J90), $B91 * K90, "")</f>
        <v>-10107.816711590296</v>
      </c>
      <c r="M90" s="92">
        <v>348</v>
      </c>
      <c r="N90" s="25">
        <f t="shared" si="45"/>
        <v>-6.1994609164420483E-2</v>
      </c>
      <c r="O90" s="94">
        <f>IF(ISNUMBER(M90), $B91 * N90, "")</f>
        <v>-9299.1913746630726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-5.5852408401661204E-2</v>
      </c>
      <c r="F91" s="28">
        <f>SUM(F71:F90)</f>
        <v>-167557.22520498358</v>
      </c>
      <c r="G91" s="26" t="s">
        <v>258</v>
      </c>
      <c r="H91" s="27">
        <f>IF(COUNT(H71:H90), SUM(H71:H90) / COUNT(H71:H90), 0)</f>
        <v>-4.0130851335315215E-2</v>
      </c>
      <c r="I91" s="28">
        <f>SUM(I71:I90)</f>
        <v>-120392.55400594561</v>
      </c>
      <c r="J91" s="26" t="s">
        <v>258</v>
      </c>
      <c r="K91" s="27">
        <f>IF(COUNT(K71:K90), SUM(K71:K90) / COUNT(K71:K90), 0)</f>
        <v>-5.3468195751918336E-2</v>
      </c>
      <c r="L91" s="28">
        <f>SUM(L71:L90)</f>
        <v>-160404.587255755</v>
      </c>
      <c r="M91" s="26" t="s">
        <v>258</v>
      </c>
      <c r="N91" s="27">
        <f>IF(COUNT(N71:N90), SUM(N71:N90) / COUNT(N71:N90), 0)</f>
        <v>-4.8329253665449982E-2</v>
      </c>
      <c r="O91" s="28">
        <f>SUM(O71:O90)</f>
        <v>-144987.76099634994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2023-01-19(목) 오전 00:00</v>
      </c>
      <c r="C96" s="198"/>
      <c r="D96" s="170" t="str">
        <f>TEXT($G$1, "[$-ko-KR]yyyy-mm-dd(ddd) ") &amp; "오후 14:00"</f>
        <v>2023-01-19(목) 오후 14:00</v>
      </c>
      <c r="E96" s="171"/>
      <c r="F96" s="172"/>
      <c r="G96" s="170" t="str">
        <f>TEXT($G$1, "[$-ko-KR]yyyy-mm-dd(ddd) ") &amp; "오후 19:00"</f>
        <v>2023-01-19(목) 오후 19:00</v>
      </c>
      <c r="H96" s="171"/>
      <c r="I96" s="172"/>
      <c r="J96" s="170" t="str">
        <f>TEXT($G$1, "[$-ko-KR]yyyy-mm-dd(ddd) ") &amp; "오후 21:00"</f>
        <v>2023-01-19(목) 오후 21:00</v>
      </c>
      <c r="K96" s="171"/>
      <c r="L96" s="172"/>
      <c r="M96" s="170" t="str">
        <f>TEXT($G$1+1, "[$-ko-KR]yyyy-mm-dd(ddd) ") &amp; "오전 00:00"</f>
        <v>2023-01-20(금)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352</v>
      </c>
      <c r="B98" s="108">
        <v>1.54E-2</v>
      </c>
      <c r="C98" s="69">
        <v>0.31623931620000001</v>
      </c>
      <c r="D98" s="13">
        <v>1.4E-2</v>
      </c>
      <c r="E98" s="14">
        <f>IF(ISNUMBER(D98), (D98 - $B98) / $B98, "")</f>
        <v>-9.0909090909090925E-2</v>
      </c>
      <c r="F98" s="16">
        <f>IF(ISNUMBER(D98), $B118 * E98, "")</f>
        <v>-13636.36363636364</v>
      </c>
      <c r="G98" s="29">
        <v>1.4E-2</v>
      </c>
      <c r="H98" s="14">
        <f>IF(ISNUMBER(G98), (G98 - $B98) / $B98, "")</f>
        <v>-9.0909090909090925E-2</v>
      </c>
      <c r="I98" s="90">
        <f>IF(ISNUMBER(G98), $B118 * H98, "")</f>
        <v>-13636.36363636364</v>
      </c>
      <c r="J98" s="13">
        <v>1.3899999999999999E-2</v>
      </c>
      <c r="K98" s="14">
        <f>IF(ISNUMBER(J98), (J98 - $B98) / $B98, "")</f>
        <v>-9.7402597402597491E-2</v>
      </c>
      <c r="L98" s="16">
        <f>IF(ISNUMBER(J98), $B118 * K98, "")</f>
        <v>-14610.389610389624</v>
      </c>
      <c r="M98" s="29">
        <v>1.4E-2</v>
      </c>
      <c r="N98" s="14">
        <f>IF(ISNUMBER(M98), (M98 - $B98) / $B98, "")</f>
        <v>-9.0909090909090925E-2</v>
      </c>
      <c r="O98" s="16">
        <f>IF(ISNUMBER(M98), $B118 * N98, "")</f>
        <v>-13636.36363636364</v>
      </c>
      <c r="Q98" s="156"/>
      <c r="R98" s="156"/>
      <c r="S98" s="156"/>
    </row>
    <row r="99" spans="1:19" ht="17.25" thickBot="1">
      <c r="A99" s="109" t="s">
        <v>223</v>
      </c>
      <c r="B99" s="110">
        <v>266</v>
      </c>
      <c r="C99" s="70">
        <v>0.1465517241</v>
      </c>
      <c r="D99" s="15">
        <v>233</v>
      </c>
      <c r="E99" s="32">
        <f t="shared" ref="E99:E102" si="46">IF(ISNUMBER(D99), (D99 - $B99) / $B99, "")</f>
        <v>-0.12406015037593984</v>
      </c>
      <c r="F99" s="18">
        <f>IF(ISNUMBER(D99), $B118 * E99, "")</f>
        <v>-18609.022556390977</v>
      </c>
      <c r="G99" s="31">
        <v>236</v>
      </c>
      <c r="H99" s="32">
        <f t="shared" ref="H99:H102" si="47">IF(ISNUMBER(G99), (G99 - $B99) / $B99, "")</f>
        <v>-0.11278195488721804</v>
      </c>
      <c r="I99" s="91">
        <f>IF(ISNUMBER(G99), $B118 * H99, "")</f>
        <v>-16917.293233082706</v>
      </c>
      <c r="J99" s="15">
        <v>231</v>
      </c>
      <c r="K99" s="32">
        <f t="shared" ref="K99:K102" si="48">IF(ISNUMBER(J99), (J99 - $B99) / $B99, "")</f>
        <v>-0.13157894736842105</v>
      </c>
      <c r="L99" s="18">
        <f>IF(ISNUMBER(J99), $B118 * K99, "")</f>
        <v>-19736.842105263157</v>
      </c>
      <c r="M99" s="31">
        <v>232</v>
      </c>
      <c r="N99" s="32">
        <f t="shared" ref="N99:N102" si="49">IF(ISNUMBER(M99), (M99 - $B99) / $B99, "")</f>
        <v>-0.12781954887218044</v>
      </c>
      <c r="O99" s="18">
        <f>IF(ISNUMBER(M99), $B118 * N99, "")</f>
        <v>-19172.932330827065</v>
      </c>
      <c r="Q99" s="156"/>
      <c r="R99" s="156"/>
      <c r="S99" s="156"/>
    </row>
    <row r="100" spans="1:19" ht="17.25" thickBot="1">
      <c r="A100" s="109" t="s">
        <v>149</v>
      </c>
      <c r="B100" s="110">
        <v>502</v>
      </c>
      <c r="C100" s="70">
        <v>0.1230425056</v>
      </c>
      <c r="D100" s="15">
        <v>453</v>
      </c>
      <c r="E100" s="32">
        <f t="shared" si="46"/>
        <v>-9.7609561752988044E-2</v>
      </c>
      <c r="F100" s="18">
        <f>IF(ISNUMBER(D100), $B118 * E100, "")</f>
        <v>-14641.434262948207</v>
      </c>
      <c r="G100" s="31">
        <v>529</v>
      </c>
      <c r="H100" s="32">
        <f t="shared" si="47"/>
        <v>5.3784860557768925E-2</v>
      </c>
      <c r="I100" s="91">
        <f>IF(ISNUMBER(G100), $B118 * H100, "")</f>
        <v>8067.7290836653392</v>
      </c>
      <c r="J100" s="15">
        <v>518</v>
      </c>
      <c r="K100" s="32">
        <f t="shared" si="48"/>
        <v>3.1872509960159362E-2</v>
      </c>
      <c r="L100" s="18">
        <f>IF(ISNUMBER(J100), $B118 * K100, "")</f>
        <v>4780.8764940239043</v>
      </c>
      <c r="M100" s="31">
        <v>515</v>
      </c>
      <c r="N100" s="32">
        <f t="shared" si="49"/>
        <v>2.5896414342629483E-2</v>
      </c>
      <c r="O100" s="18">
        <f>IF(ISNUMBER(M100), $B118 * N100, "")</f>
        <v>3884.4621513944226</v>
      </c>
      <c r="Q100" s="146"/>
      <c r="R100" s="146"/>
      <c r="S100" s="146"/>
    </row>
    <row r="101" spans="1:19" ht="17.25" thickBot="1">
      <c r="A101" s="109" t="s">
        <v>329</v>
      </c>
      <c r="B101" s="110">
        <v>72.400000000000006</v>
      </c>
      <c r="C101" s="70">
        <v>7.1005917200000004E-2</v>
      </c>
      <c r="D101" s="15">
        <v>69.099999999999994</v>
      </c>
      <c r="E101" s="32">
        <f t="shared" si="46"/>
        <v>-4.5580110497237723E-2</v>
      </c>
      <c r="F101" s="18">
        <f>IF(ISNUMBER(D101), $B118 * E101, "")</f>
        <v>-6837.0165745856584</v>
      </c>
      <c r="G101" s="31">
        <v>74.7</v>
      </c>
      <c r="H101" s="32">
        <f t="shared" si="47"/>
        <v>3.1767955801104933E-2</v>
      </c>
      <c r="I101" s="91">
        <f>IF(ISNUMBER(G101), $B118 * H101, "")</f>
        <v>4765.1933701657399</v>
      </c>
      <c r="J101" s="15">
        <v>70.900000000000006</v>
      </c>
      <c r="K101" s="32">
        <f t="shared" si="48"/>
        <v>-2.0718232044198894E-2</v>
      </c>
      <c r="L101" s="18">
        <f>IF(ISNUMBER(J101), $B118 * K101, "")</f>
        <v>-3107.7348066298341</v>
      </c>
      <c r="M101" s="31">
        <v>71.3</v>
      </c>
      <c r="N101" s="32">
        <f t="shared" si="49"/>
        <v>-1.5193370165745974E-2</v>
      </c>
      <c r="O101" s="18">
        <f>IF(ISNUMBER(M101), $B118 * N101, "")</f>
        <v>-2279.005524861896</v>
      </c>
      <c r="Q101" s="146"/>
      <c r="R101" s="146"/>
      <c r="S101" s="146"/>
    </row>
    <row r="102" spans="1:19" ht="17.25" thickBot="1">
      <c r="A102" s="111" t="s">
        <v>79</v>
      </c>
      <c r="B102" s="112">
        <v>303</v>
      </c>
      <c r="C102" s="71">
        <v>5.9440559400000002E-2</v>
      </c>
      <c r="D102" s="20">
        <v>280</v>
      </c>
      <c r="E102" s="21">
        <f t="shared" si="46"/>
        <v>-7.590759075907591E-2</v>
      </c>
      <c r="F102" s="22">
        <f>IF(ISNUMBER(D102), $B118 * E102, "")</f>
        <v>-11386.138613861387</v>
      </c>
      <c r="G102" s="30">
        <v>297</v>
      </c>
      <c r="H102" s="21">
        <f t="shared" si="47"/>
        <v>-1.9801980198019802E-2</v>
      </c>
      <c r="I102" s="95">
        <f>IF(ISNUMBER(G102), $B118 * H102, "")</f>
        <v>-2970.2970297029701</v>
      </c>
      <c r="J102" s="20">
        <v>288</v>
      </c>
      <c r="K102" s="21">
        <f t="shared" si="48"/>
        <v>-4.9504950495049507E-2</v>
      </c>
      <c r="L102" s="22">
        <f>IF(ISNUMBER(J102), $B118 * K102, "")</f>
        <v>-7425.742574257426</v>
      </c>
      <c r="M102" s="30">
        <v>292</v>
      </c>
      <c r="N102" s="21">
        <f t="shared" si="49"/>
        <v>-3.6303630363036306E-2</v>
      </c>
      <c r="O102" s="22">
        <f>IF(ISNUMBER(M102), $B118 * N102, "")</f>
        <v>-5445.5445544554459</v>
      </c>
      <c r="Q102" s="146"/>
      <c r="R102" s="146"/>
      <c r="S102" s="146"/>
    </row>
    <row r="103" spans="1:19" ht="17.25" thickBot="1">
      <c r="A103" s="109" t="s">
        <v>253</v>
      </c>
      <c r="B103" s="113">
        <v>109</v>
      </c>
      <c r="C103" s="73">
        <v>5.8252427199999998E-2</v>
      </c>
      <c r="D103" s="96">
        <v>102</v>
      </c>
      <c r="E103" s="97">
        <f>IF(ISNUMBER(D103), (D103 - $B103) / $B103, "")</f>
        <v>-6.4220183486238536E-2</v>
      </c>
      <c r="F103" s="98">
        <f>IF(ISNUMBER(D103), $B118 * E103, "")</f>
        <v>-9633.0275229357812</v>
      </c>
      <c r="G103" s="99">
        <v>102</v>
      </c>
      <c r="H103" s="97">
        <f>IF(ISNUMBER(G103), (G103 - $B103) / $B103, "")</f>
        <v>-6.4220183486238536E-2</v>
      </c>
      <c r="I103" s="100">
        <f>IF(ISNUMBER(G103), $B118 * H103, "")</f>
        <v>-9633.0275229357812</v>
      </c>
      <c r="J103" s="96">
        <v>100</v>
      </c>
      <c r="K103" s="97">
        <f>IF(ISNUMBER(J103), (J103 - $B103) / $B103, "")</f>
        <v>-8.2568807339449546E-2</v>
      </c>
      <c r="L103" s="98">
        <f>IF(ISNUMBER(J103), $B118 * K103, "")</f>
        <v>-12385.321100917432</v>
      </c>
      <c r="M103" s="99">
        <v>101</v>
      </c>
      <c r="N103" s="97">
        <f>IF(ISNUMBER(M103), (M103 - $B103) / $B103, "")</f>
        <v>-7.3394495412844041E-2</v>
      </c>
      <c r="O103" s="98">
        <f>IF(ISNUMBER(M103), $B118 * N103, "")</f>
        <v>-11009.174311926607</v>
      </c>
      <c r="Q103" s="146"/>
      <c r="R103" s="146"/>
      <c r="S103" s="146"/>
    </row>
    <row r="104" spans="1:19" ht="17.25" thickBot="1">
      <c r="A104" s="109" t="s">
        <v>111</v>
      </c>
      <c r="B104" s="110">
        <v>911</v>
      </c>
      <c r="C104" s="70">
        <v>4.95391705E-2</v>
      </c>
      <c r="D104" s="15">
        <v>866</v>
      </c>
      <c r="E104" s="32">
        <f t="shared" ref="E104:E107" si="50">IF(ISNUMBER(D104), (D104 - $B104) / $B104, "")</f>
        <v>-4.9396267837541162E-2</v>
      </c>
      <c r="F104" s="18">
        <f>IF(ISNUMBER(D104), $B118 * E104, "")</f>
        <v>-7409.4401756311745</v>
      </c>
      <c r="G104" s="31">
        <v>884</v>
      </c>
      <c r="H104" s="32">
        <f t="shared" ref="H104:H107" si="51">IF(ISNUMBER(G104), (G104 - $B104) / $B104, "")</f>
        <v>-2.9637760702524697E-2</v>
      </c>
      <c r="I104" s="91">
        <f>IF(ISNUMBER(G104), $B118 * H104, "")</f>
        <v>-4445.6641053787043</v>
      </c>
      <c r="J104" s="15">
        <v>869</v>
      </c>
      <c r="K104" s="32">
        <f t="shared" ref="K104:K107" si="52">IF(ISNUMBER(J104), (J104 - $B104) / $B104, "")</f>
        <v>-4.6103183315038418E-2</v>
      </c>
      <c r="L104" s="18">
        <f>IF(ISNUMBER(J104), $B118 * K104, "")</f>
        <v>-6915.4774972557625</v>
      </c>
      <c r="M104" s="31">
        <v>868</v>
      </c>
      <c r="N104" s="32">
        <f t="shared" ref="N104:N107" si="53">IF(ISNUMBER(M104), (M104 - $B104) / $B104, "")</f>
        <v>-4.7200878155872671E-2</v>
      </c>
      <c r="O104" s="18">
        <f>IF(ISNUMBER(M104), $B118 * N104, "")</f>
        <v>-7080.1317233809004</v>
      </c>
      <c r="Q104" s="146"/>
      <c r="R104" s="146"/>
      <c r="S104" s="146"/>
    </row>
    <row r="105" spans="1:19" ht="17.25" thickBot="1">
      <c r="A105" s="109" t="s">
        <v>330</v>
      </c>
      <c r="B105" s="110">
        <v>342</v>
      </c>
      <c r="C105" s="70">
        <v>4.9079754599999997E-2</v>
      </c>
      <c r="D105" s="15">
        <v>316</v>
      </c>
      <c r="E105" s="32">
        <f t="shared" si="50"/>
        <v>-7.6023391812865493E-2</v>
      </c>
      <c r="F105" s="18">
        <f>IF(ISNUMBER(D105), $B118 * E105, "")</f>
        <v>-11403.508771929824</v>
      </c>
      <c r="G105" s="31">
        <v>322</v>
      </c>
      <c r="H105" s="32">
        <f t="shared" si="51"/>
        <v>-5.8479532163742687E-2</v>
      </c>
      <c r="I105" s="91">
        <f>IF(ISNUMBER(G105), $B118 * H105, "")</f>
        <v>-8771.9298245614027</v>
      </c>
      <c r="J105" s="15">
        <v>318</v>
      </c>
      <c r="K105" s="32">
        <f t="shared" si="52"/>
        <v>-7.0175438596491224E-2</v>
      </c>
      <c r="L105" s="18">
        <f>IF(ISNUMBER(J105), $B118 * K105, "")</f>
        <v>-10526.315789473683</v>
      </c>
      <c r="M105" s="31">
        <v>317</v>
      </c>
      <c r="N105" s="32">
        <f t="shared" si="53"/>
        <v>-7.3099415204678359E-2</v>
      </c>
      <c r="O105" s="18">
        <f>IF(ISNUMBER(M105), $B118 * N105, "")</f>
        <v>-10964.912280701754</v>
      </c>
      <c r="Q105" s="146"/>
      <c r="R105" s="146"/>
      <c r="S105" s="146"/>
    </row>
    <row r="106" spans="1:19" ht="17.25" thickBot="1">
      <c r="A106" s="109" t="s">
        <v>219</v>
      </c>
      <c r="B106" s="110">
        <v>471</v>
      </c>
      <c r="C106" s="70">
        <v>4.8997772799999999E-2</v>
      </c>
      <c r="D106" s="15">
        <v>440</v>
      </c>
      <c r="E106" s="32">
        <f t="shared" si="50"/>
        <v>-6.5817409766454352E-2</v>
      </c>
      <c r="F106" s="18">
        <f>IF(ISNUMBER(D106), $B118 * E106, "")</f>
        <v>-9872.6114649681531</v>
      </c>
      <c r="G106" s="31">
        <v>451</v>
      </c>
      <c r="H106" s="32">
        <f t="shared" si="51"/>
        <v>-4.2462845010615709E-2</v>
      </c>
      <c r="I106" s="91">
        <f>IF(ISNUMBER(G106), $B118 * H106, "")</f>
        <v>-6369.4267515923566</v>
      </c>
      <c r="J106" s="15">
        <v>442</v>
      </c>
      <c r="K106" s="32">
        <f t="shared" si="52"/>
        <v>-6.1571125265392782E-2</v>
      </c>
      <c r="L106" s="18">
        <f>IF(ISNUMBER(J106), $B118 * K106, "")</f>
        <v>-9235.6687898089167</v>
      </c>
      <c r="M106" s="31">
        <v>443</v>
      </c>
      <c r="N106" s="32">
        <f t="shared" si="53"/>
        <v>-5.9447983014861996E-2</v>
      </c>
      <c r="O106" s="18">
        <f>IF(ISNUMBER(M106), $B118 * N106, "")</f>
        <v>-8917.1974522293003</v>
      </c>
      <c r="Q106" s="33"/>
      <c r="R106" s="33"/>
    </row>
    <row r="107" spans="1:19" ht="17.25" thickBot="1">
      <c r="A107" s="114" t="s">
        <v>323</v>
      </c>
      <c r="B107" s="115">
        <v>3.8600000000000002E-2</v>
      </c>
      <c r="C107" s="72">
        <v>3.7634408600000002E-2</v>
      </c>
      <c r="D107" s="24">
        <v>3.5900000000000001E-2</v>
      </c>
      <c r="E107" s="25">
        <f t="shared" si="50"/>
        <v>-6.9948186528497436E-2</v>
      </c>
      <c r="F107" s="94">
        <f>IF(ISNUMBER(D107), $B118 * E107, "")</f>
        <v>-10492.227979274616</v>
      </c>
      <c r="G107" s="92">
        <v>3.5900000000000001E-2</v>
      </c>
      <c r="H107" s="25">
        <f t="shared" si="51"/>
        <v>-6.9948186528497436E-2</v>
      </c>
      <c r="I107" s="93">
        <f>IF(ISNUMBER(G107), $B118 * H107, "")</f>
        <v>-10492.227979274616</v>
      </c>
      <c r="J107" s="24">
        <v>3.5499999999999997E-2</v>
      </c>
      <c r="K107" s="25">
        <f t="shared" si="52"/>
        <v>-8.0310880829015677E-2</v>
      </c>
      <c r="L107" s="94">
        <f>IF(ISNUMBER(J107), $B118 * K107, "")</f>
        <v>-12046.632124352351</v>
      </c>
      <c r="M107" s="92">
        <v>3.5499999999999997E-2</v>
      </c>
      <c r="N107" s="25">
        <f t="shared" si="53"/>
        <v>-8.0310880829015677E-2</v>
      </c>
      <c r="O107" s="94">
        <f>IF(ISNUMBER(M107), $B118 * N107, "")</f>
        <v>-12046.632124352351</v>
      </c>
      <c r="Q107" s="147"/>
      <c r="R107" s="148"/>
      <c r="S107" s="149"/>
    </row>
    <row r="108" spans="1:19">
      <c r="A108" s="107" t="s">
        <v>229</v>
      </c>
      <c r="B108" s="108">
        <v>289</v>
      </c>
      <c r="C108" s="69">
        <v>3.2142857099999998E-2</v>
      </c>
      <c r="D108" s="13">
        <v>271</v>
      </c>
      <c r="E108" s="14">
        <f>IF(ISNUMBER(D108), (D108 - $B108) / $B108, "")</f>
        <v>-6.228373702422145E-2</v>
      </c>
      <c r="F108" s="16">
        <f>IF(ISNUMBER(D108), $B118 * E108, "")</f>
        <v>-9342.5605536332168</v>
      </c>
      <c r="G108" s="29">
        <v>269</v>
      </c>
      <c r="H108" s="14">
        <f>IF(ISNUMBER(G108), (G108 - $B108) / $B108, "")</f>
        <v>-6.9204152249134954E-2</v>
      </c>
      <c r="I108" s="90">
        <f>IF(ISNUMBER(G108), $B118 * H108, "")</f>
        <v>-10380.622837370243</v>
      </c>
      <c r="J108" s="13">
        <v>268</v>
      </c>
      <c r="K108" s="14">
        <f>IF(ISNUMBER(J108), (J108 - $B108) / $B108, "")</f>
        <v>-7.2664359861591699E-2</v>
      </c>
      <c r="L108" s="16">
        <f>IF(ISNUMBER(J108), $B118 * K108, "")</f>
        <v>-10899.653979238754</v>
      </c>
      <c r="M108" s="29">
        <v>267</v>
      </c>
      <c r="N108" s="14">
        <f>IF(ISNUMBER(M108), (M108 - $B108) / $B108, "")</f>
        <v>-7.6124567474048443E-2</v>
      </c>
      <c r="O108" s="16">
        <f>IF(ISNUMBER(M108), $B118 * N108, "")</f>
        <v>-11418.685121107266</v>
      </c>
      <c r="Q108" s="150"/>
      <c r="R108" s="151"/>
      <c r="S108" s="152"/>
    </row>
    <row r="109" spans="1:19" ht="17.25" thickBot="1">
      <c r="A109" s="109" t="s">
        <v>128</v>
      </c>
      <c r="B109" s="110">
        <v>7645</v>
      </c>
      <c r="C109" s="70">
        <v>3.1713900099999998E-2</v>
      </c>
      <c r="D109" s="15">
        <v>7230</v>
      </c>
      <c r="E109" s="32">
        <f t="shared" ref="E109:E112" si="54">IF(ISNUMBER(D109), (D109 - $B109) / $B109, "")</f>
        <v>-5.4283845650752123E-2</v>
      </c>
      <c r="F109" s="18">
        <f>IF(ISNUMBER(D109), $B118 * E109, "")</f>
        <v>-8142.5768476128187</v>
      </c>
      <c r="G109" s="31">
        <v>7200</v>
      </c>
      <c r="H109" s="32">
        <f t="shared" ref="H109:H112" si="55">IF(ISNUMBER(G109), (G109 - $B109) / $B109, "")</f>
        <v>-5.8207979071288427E-2</v>
      </c>
      <c r="I109" s="91">
        <f>IF(ISNUMBER(G109), $B118 * H109, "")</f>
        <v>-8731.1968606932642</v>
      </c>
      <c r="J109" s="15">
        <v>7125</v>
      </c>
      <c r="K109" s="32">
        <f t="shared" ref="K109:K112" si="56">IF(ISNUMBER(J109), (J109 - $B109) / $B109, "")</f>
        <v>-6.8018312622629168E-2</v>
      </c>
      <c r="L109" s="18">
        <f>IF(ISNUMBER(J109), $B118 * K109, "")</f>
        <v>-10202.746893394375</v>
      </c>
      <c r="M109" s="31">
        <v>7145</v>
      </c>
      <c r="N109" s="32">
        <f t="shared" ref="N109:N112" si="57">IF(ISNUMBER(M109), (M109 - $B109) / $B109, "")</f>
        <v>-6.540222367560497E-2</v>
      </c>
      <c r="O109" s="18">
        <f>IF(ISNUMBER(M109), $B118 * N109, "")</f>
        <v>-9810.3335513407455</v>
      </c>
      <c r="Q109" s="153"/>
      <c r="R109" s="154"/>
      <c r="S109" s="155"/>
    </row>
    <row r="110" spans="1:19" ht="17.25" thickBot="1">
      <c r="A110" s="109" t="s">
        <v>138</v>
      </c>
      <c r="B110" s="110">
        <v>29.6</v>
      </c>
      <c r="C110" s="70">
        <v>3.1358885000000003E-2</v>
      </c>
      <c r="D110" s="15">
        <v>27.7</v>
      </c>
      <c r="E110" s="32">
        <f t="shared" si="54"/>
        <v>-6.4189189189189255E-2</v>
      </c>
      <c r="F110" s="18">
        <f>IF(ISNUMBER(D110), $B118 * E110, "")</f>
        <v>-9628.3783783783874</v>
      </c>
      <c r="G110" s="31">
        <v>28</v>
      </c>
      <c r="H110" s="32">
        <f t="shared" si="55"/>
        <v>-5.4054054054054099E-2</v>
      </c>
      <c r="I110" s="91">
        <f>IF(ISNUMBER(G110), $B118 * H110, "")</f>
        <v>-8108.1081081081147</v>
      </c>
      <c r="J110" s="15">
        <v>27.5</v>
      </c>
      <c r="K110" s="32">
        <f t="shared" si="56"/>
        <v>-7.0945945945945985E-2</v>
      </c>
      <c r="L110" s="18">
        <f>IF(ISNUMBER(J110), $B118 * K110, "")</f>
        <v>-10641.891891891897</v>
      </c>
      <c r="M110" s="31">
        <v>28</v>
      </c>
      <c r="N110" s="32">
        <f t="shared" si="57"/>
        <v>-5.4054054054054099E-2</v>
      </c>
      <c r="O110" s="18">
        <f>IF(ISNUMBER(M110), $B118 * N110, "")</f>
        <v>-8108.1081081081147</v>
      </c>
      <c r="Q110" s="146"/>
      <c r="R110" s="146"/>
      <c r="S110" s="146"/>
    </row>
    <row r="111" spans="1:19" ht="17.25" thickBot="1">
      <c r="A111" s="109" t="s">
        <v>120</v>
      </c>
      <c r="B111" s="110">
        <v>134</v>
      </c>
      <c r="C111" s="70">
        <v>3.0769230799999998E-2</v>
      </c>
      <c r="D111" s="15">
        <v>124</v>
      </c>
      <c r="E111" s="32">
        <f t="shared" si="54"/>
        <v>-7.4626865671641784E-2</v>
      </c>
      <c r="F111" s="18">
        <f>IF(ISNUMBER(D111), $B118 * E111, "")</f>
        <v>-11194.029850746268</v>
      </c>
      <c r="G111" s="31">
        <v>125</v>
      </c>
      <c r="H111" s="32">
        <f t="shared" si="55"/>
        <v>-6.7164179104477612E-2</v>
      </c>
      <c r="I111" s="91">
        <f>IF(ISNUMBER(G111), $B118 * H111, "")</f>
        <v>-10074.626865671642</v>
      </c>
      <c r="J111" s="15">
        <v>125</v>
      </c>
      <c r="K111" s="32">
        <f t="shared" si="56"/>
        <v>-6.7164179104477612E-2</v>
      </c>
      <c r="L111" s="18">
        <f>IF(ISNUMBER(J111), $B118 * K111, "")</f>
        <v>-10074.626865671642</v>
      </c>
      <c r="M111" s="31">
        <v>123</v>
      </c>
      <c r="N111" s="32">
        <f t="shared" si="57"/>
        <v>-8.2089552238805971E-2</v>
      </c>
      <c r="O111" s="18">
        <f>IF(ISNUMBER(M111), $B118 * N111, "")</f>
        <v>-12313.432835820895</v>
      </c>
      <c r="Q111" s="156"/>
      <c r="R111" s="156"/>
      <c r="S111" s="156"/>
    </row>
    <row r="112" spans="1:19" ht="17.25" thickBot="1">
      <c r="A112" s="111" t="s">
        <v>103</v>
      </c>
      <c r="B112" s="112">
        <v>268</v>
      </c>
      <c r="C112" s="71">
        <v>3.0769230799999998E-2</v>
      </c>
      <c r="D112" s="20">
        <v>254</v>
      </c>
      <c r="E112" s="21">
        <f t="shared" si="54"/>
        <v>-5.2238805970149252E-2</v>
      </c>
      <c r="F112" s="22">
        <f>IF(ISNUMBER(D112), $B118 * E112, "")</f>
        <v>-7835.8208955223881</v>
      </c>
      <c r="G112" s="30">
        <v>259</v>
      </c>
      <c r="H112" s="21">
        <f t="shared" si="55"/>
        <v>-3.3582089552238806E-2</v>
      </c>
      <c r="I112" s="95">
        <f>IF(ISNUMBER(G112), $B118 * H112, "")</f>
        <v>-5037.313432835821</v>
      </c>
      <c r="J112" s="20">
        <v>253</v>
      </c>
      <c r="K112" s="21">
        <f t="shared" si="56"/>
        <v>-5.5970149253731345E-2</v>
      </c>
      <c r="L112" s="22">
        <f>IF(ISNUMBER(J112), $B118 * K112, "")</f>
        <v>-8395.5223880597023</v>
      </c>
      <c r="M112" s="30">
        <v>252</v>
      </c>
      <c r="N112" s="21">
        <f t="shared" si="57"/>
        <v>-5.9701492537313432E-2</v>
      </c>
      <c r="O112" s="22">
        <f>IF(ISNUMBER(M112), $B118 * N112, "")</f>
        <v>-8955.2238805970155</v>
      </c>
      <c r="Q112" s="156"/>
      <c r="R112" s="156"/>
      <c r="S112" s="156"/>
    </row>
    <row r="113" spans="1:19" ht="17.25" thickBot="1">
      <c r="A113" s="109" t="s">
        <v>233</v>
      </c>
      <c r="B113" s="113">
        <v>3235</v>
      </c>
      <c r="C113" s="73">
        <v>2.6984127E-2</v>
      </c>
      <c r="D113" s="96">
        <v>2980</v>
      </c>
      <c r="E113" s="97">
        <f>IF(ISNUMBER(D113), (D113 - $B113) / $B113, "")</f>
        <v>-7.8825347758887165E-2</v>
      </c>
      <c r="F113" s="98">
        <f>IF(ISNUMBER(D113), $B118 * E113, "")</f>
        <v>-11823.802163833076</v>
      </c>
      <c r="G113" s="99">
        <v>2990</v>
      </c>
      <c r="H113" s="97">
        <f>IF(ISNUMBER(G113), (G113 - $B113) / $B113, "")</f>
        <v>-7.5734157650695522E-2</v>
      </c>
      <c r="I113" s="100">
        <f>IF(ISNUMBER(G113), $B118 * H113, "")</f>
        <v>-11360.123647604329</v>
      </c>
      <c r="J113" s="96">
        <v>2970</v>
      </c>
      <c r="K113" s="97">
        <f>IF(ISNUMBER(J113), (J113 - $B113) / $B113, "")</f>
        <v>-8.1916537867078823E-2</v>
      </c>
      <c r="L113" s="98">
        <f>IF(ISNUMBER(J113), $B118 * K113, "")</f>
        <v>-12287.480680061823</v>
      </c>
      <c r="M113" s="99">
        <v>2980</v>
      </c>
      <c r="N113" s="97">
        <f>IF(ISNUMBER(M113), (M113 - $B113) / $B113, "")</f>
        <v>-7.8825347758887165E-2</v>
      </c>
      <c r="O113" s="98">
        <f>IF(ISNUMBER(M113), $B118 * N113, "")</f>
        <v>-11823.802163833076</v>
      </c>
      <c r="Q113" s="146"/>
      <c r="R113" s="146"/>
      <c r="S113" s="146"/>
    </row>
    <row r="114" spans="1:19" ht="17.25" thickBot="1">
      <c r="A114" s="109" t="s">
        <v>101</v>
      </c>
      <c r="B114" s="110">
        <v>251</v>
      </c>
      <c r="C114" s="70">
        <v>2.44897959E-2</v>
      </c>
      <c r="D114" s="15">
        <v>241</v>
      </c>
      <c r="E114" s="32">
        <f t="shared" ref="E114:E117" si="58">IF(ISNUMBER(D114), (D114 - $B114) / $B114, "")</f>
        <v>-3.9840637450199202E-2</v>
      </c>
      <c r="F114" s="18">
        <f>IF(ISNUMBER(D114), $B118 * E114, "")</f>
        <v>-5976.0956175298807</v>
      </c>
      <c r="G114" s="31">
        <v>239</v>
      </c>
      <c r="H114" s="32">
        <f t="shared" ref="H114:H117" si="59">IF(ISNUMBER(G114), (G114 - $B114) / $B114, "")</f>
        <v>-4.7808764940239043E-2</v>
      </c>
      <c r="I114" s="91">
        <f>IF(ISNUMBER(G114), $B118 * H114, "")</f>
        <v>-7171.3147410358561</v>
      </c>
      <c r="J114" s="15">
        <v>237</v>
      </c>
      <c r="K114" s="32">
        <f t="shared" ref="K114:K117" si="60">IF(ISNUMBER(J114), (J114 - $B114) / $B114, "")</f>
        <v>-5.5776892430278883E-2</v>
      </c>
      <c r="L114" s="18">
        <f>IF(ISNUMBER(J114), $B118 * K114, "")</f>
        <v>-8366.5338645418324</v>
      </c>
      <c r="M114" s="31">
        <v>239</v>
      </c>
      <c r="N114" s="32">
        <f t="shared" ref="N114:N117" si="61">IF(ISNUMBER(M114), (M114 - $B114) / $B114, "")</f>
        <v>-4.7808764940239043E-2</v>
      </c>
      <c r="O114" s="18">
        <f>IF(ISNUMBER(M114), $B118 * N114, "")</f>
        <v>-7171.3147410358561</v>
      </c>
      <c r="Q114" s="146"/>
      <c r="R114" s="146"/>
      <c r="S114" s="146"/>
    </row>
    <row r="115" spans="1:19" ht="17.25" thickBot="1">
      <c r="A115" s="109" t="s">
        <v>335</v>
      </c>
      <c r="B115" s="110">
        <v>2740</v>
      </c>
      <c r="C115" s="70">
        <v>2.42990654E-2</v>
      </c>
      <c r="D115" s="15">
        <v>2575</v>
      </c>
      <c r="E115" s="32">
        <f t="shared" si="58"/>
        <v>-6.0218978102189784E-2</v>
      </c>
      <c r="F115" s="18">
        <f>IF(ISNUMBER(D115), $B118 * E115, "")</f>
        <v>-9032.8467153284673</v>
      </c>
      <c r="G115" s="31">
        <v>2550</v>
      </c>
      <c r="H115" s="32">
        <f t="shared" si="59"/>
        <v>-6.9343065693430656E-2</v>
      </c>
      <c r="I115" s="91">
        <f>IF(ISNUMBER(G115), $B118 * H115, "")</f>
        <v>-10401.459854014598</v>
      </c>
      <c r="J115" s="15">
        <v>2525</v>
      </c>
      <c r="K115" s="32">
        <f t="shared" si="60"/>
        <v>-7.8467153284671534E-2</v>
      </c>
      <c r="L115" s="18">
        <f>IF(ISNUMBER(J115), $B118 * K115, "")</f>
        <v>-11770.072992700731</v>
      </c>
      <c r="M115" s="31">
        <v>2580</v>
      </c>
      <c r="N115" s="32">
        <f t="shared" si="61"/>
        <v>-5.8394160583941604E-2</v>
      </c>
      <c r="O115" s="18">
        <f>IF(ISNUMBER(M115), $B118 * N115, "")</f>
        <v>-8759.1240875912408</v>
      </c>
      <c r="Q115" s="146"/>
      <c r="R115" s="146"/>
      <c r="S115" s="146"/>
    </row>
    <row r="116" spans="1:19">
      <c r="A116" s="109" t="s">
        <v>77</v>
      </c>
      <c r="B116" s="110">
        <v>156350</v>
      </c>
      <c r="C116" s="70">
        <v>2.39030779E-2</v>
      </c>
      <c r="D116" s="15">
        <v>150900</v>
      </c>
      <c r="E116" s="32">
        <f t="shared" si="58"/>
        <v>-3.4857691077710265E-2</v>
      </c>
      <c r="F116" s="18">
        <f>IF(ISNUMBER(D116), $B118 * E116, "")</f>
        <v>-5228.65366165654</v>
      </c>
      <c r="G116" s="31">
        <v>152100</v>
      </c>
      <c r="H116" s="32">
        <f t="shared" si="59"/>
        <v>-2.7182603133994242E-2</v>
      </c>
      <c r="I116" s="91">
        <f>IF(ISNUMBER(G116), $B118 * H116, "")</f>
        <v>-4077.3904700991366</v>
      </c>
      <c r="J116" s="15">
        <v>150800</v>
      </c>
      <c r="K116" s="32">
        <f t="shared" si="60"/>
        <v>-3.5497281739686602E-2</v>
      </c>
      <c r="L116" s="18">
        <f>IF(ISNUMBER(J116), $B118 * K116, "")</f>
        <v>-5324.5922609529907</v>
      </c>
      <c r="M116" s="31">
        <v>151100</v>
      </c>
      <c r="N116" s="32">
        <f t="shared" si="61"/>
        <v>-3.3578509753757597E-2</v>
      </c>
      <c r="O116" s="18">
        <f>IF(ISNUMBER(M116), $B118 * N116, "")</f>
        <v>-5036.7764630636393</v>
      </c>
      <c r="Q116" s="135"/>
      <c r="R116" s="136"/>
      <c r="S116" s="137"/>
    </row>
    <row r="117" spans="1:19" ht="17.25" thickBot="1">
      <c r="A117" s="114" t="s">
        <v>153</v>
      </c>
      <c r="B117" s="115">
        <v>433</v>
      </c>
      <c r="C117" s="72">
        <v>2.3640661899999998E-2</v>
      </c>
      <c r="D117" s="24">
        <v>410</v>
      </c>
      <c r="E117" s="25">
        <f t="shared" si="58"/>
        <v>-5.3117782909930716E-2</v>
      </c>
      <c r="F117" s="94">
        <f>IF(ISNUMBER(D117), $B118 * E117, "")</f>
        <v>-7967.6674364896071</v>
      </c>
      <c r="G117" s="92">
        <v>418</v>
      </c>
      <c r="H117" s="25">
        <f t="shared" si="59"/>
        <v>-3.4642032332563508E-2</v>
      </c>
      <c r="I117" s="93">
        <f>IF(ISNUMBER(G117), $B118 * H117, "")</f>
        <v>-5196.3048498845264</v>
      </c>
      <c r="J117" s="24">
        <v>410</v>
      </c>
      <c r="K117" s="25">
        <f t="shared" si="60"/>
        <v>-5.3117782909930716E-2</v>
      </c>
      <c r="L117" s="94">
        <f>IF(ISNUMBER(J117), $B118 * K117, "")</f>
        <v>-7967.6674364896071</v>
      </c>
      <c r="M117" s="92">
        <v>410</v>
      </c>
      <c r="N117" s="25">
        <f t="shared" si="61"/>
        <v>-5.3117782909930716E-2</v>
      </c>
      <c r="O117" s="94">
        <f>IF(ISNUMBER(M117), $B118 * N117, "")</f>
        <v>-7967.6674364896071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-6.6697741226540028E-2</v>
      </c>
      <c r="F118" s="28">
        <f>SUM(F98:F117)</f>
        <v>-200093.22367962007</v>
      </c>
      <c r="G118" s="26" t="s">
        <v>258</v>
      </c>
      <c r="H118" s="27">
        <f>IF(COUNT(H98:H117), SUM(H98:H117) / COUNT(H98:H117), 0)</f>
        <v>-4.6980589765459532E-2</v>
      </c>
      <c r="I118" s="28">
        <f>SUM(I98:I117)</f>
        <v>-140941.76929637865</v>
      </c>
      <c r="J118" s="26" t="s">
        <v>258</v>
      </c>
      <c r="K118" s="27">
        <f>IF(COUNT(K98:K117), SUM(K98:K117) / COUNT(K98:K117), 0)</f>
        <v>-6.2380012385775875E-2</v>
      </c>
      <c r="L118" s="28">
        <f>SUM(L98:L117)</f>
        <v>-187140.03715732761</v>
      </c>
      <c r="M118" s="26" t="s">
        <v>258</v>
      </c>
      <c r="N118" s="27">
        <f>IF(COUNT(N98:N117), SUM(N98:N117) / COUNT(N98:N117), 0)</f>
        <v>-5.9343966725563989E-2</v>
      </c>
      <c r="O118" s="28">
        <f>SUM(O98:O117)</f>
        <v>-178031.90017669203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2023-01-19(목) 오전 00:00</v>
      </c>
      <c r="C123" s="198"/>
      <c r="D123" s="170" t="str">
        <f>TEXT($G$1, "[$-ko-KR]yyyy-mm-dd(ddd) ") &amp; "오후 14:00"</f>
        <v>2023-01-19(목) 오후 14:00</v>
      </c>
      <c r="E123" s="171"/>
      <c r="F123" s="172"/>
      <c r="G123" s="170" t="str">
        <f>TEXT($G$1, "[$-ko-KR]yyyy-mm-dd(ddd) ") &amp; "오후 19:00"</f>
        <v>2023-01-19(목) 오후 19:00</v>
      </c>
      <c r="H123" s="171"/>
      <c r="I123" s="172"/>
      <c r="J123" s="170" t="str">
        <f>TEXT($G$1, "[$-ko-KR]yyyy-mm-dd(ddd) ") &amp; "오후 21:00"</f>
        <v>2023-01-19(목) 오후 21:00</v>
      </c>
      <c r="K123" s="171"/>
      <c r="L123" s="172"/>
      <c r="M123" s="170" t="str">
        <f>TEXT($G$1+1, "[$-ko-KR]yyyy-mm-dd(ddd) ") &amp; "오전 00:00"</f>
        <v>2023-01-20(금)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225</v>
      </c>
      <c r="B125" s="108">
        <v>61.8</v>
      </c>
      <c r="C125" s="69">
        <v>-1.4354067E-2</v>
      </c>
      <c r="D125" s="13">
        <v>61.6</v>
      </c>
      <c r="E125" s="14">
        <f>IF(ISNUMBER(D125), (D125 - $B125) / $B125, "")</f>
        <v>-3.2362459546924878E-3</v>
      </c>
      <c r="F125" s="16">
        <f>IF(ISNUMBER(D125), $B145 * E125, "")</f>
        <v>-485.43689320387318</v>
      </c>
      <c r="G125" s="29">
        <v>62.1</v>
      </c>
      <c r="H125" s="14">
        <f>IF(ISNUMBER(G125), (G125 - $B125) / $B125, "")</f>
        <v>4.8543689320389039E-3</v>
      </c>
      <c r="I125" s="90">
        <f>IF(ISNUMBER(G125), $B145 * H125, "")</f>
        <v>728.15533980583564</v>
      </c>
      <c r="J125" s="13">
        <v>61.3</v>
      </c>
      <c r="K125" s="14">
        <f>IF(ISNUMBER(J125), (J125 - $B125) / $B125, "")</f>
        <v>-8.0906148867313926E-3</v>
      </c>
      <c r="L125" s="16">
        <f>IF(ISNUMBER(J125), $B145 * K125, "")</f>
        <v>-1213.5922330097089</v>
      </c>
      <c r="M125" s="29">
        <v>61.4</v>
      </c>
      <c r="N125" s="14">
        <f>IF(ISNUMBER(M125), (M125 - $B125) / $B125, "")</f>
        <v>-6.4724919093850902E-3</v>
      </c>
      <c r="O125" s="16">
        <f>IF(ISNUMBER(M125), $B145 * N125, "")</f>
        <v>-970.87378640776353</v>
      </c>
      <c r="Q125" s="156"/>
      <c r="R125" s="156"/>
      <c r="S125" s="156"/>
    </row>
    <row r="126" spans="1:19" ht="17.25" thickBot="1">
      <c r="A126" s="109" t="s">
        <v>141</v>
      </c>
      <c r="B126" s="110">
        <v>3.66</v>
      </c>
      <c r="C126" s="70">
        <v>-1.6129032299999999E-2</v>
      </c>
      <c r="D126" s="15">
        <v>3.52</v>
      </c>
      <c r="E126" s="32">
        <f t="shared" ref="E126:E129" si="62">IF(ISNUMBER(D126), (D126 - $B126) / $B126, "")</f>
        <v>-3.8251366120218615E-2</v>
      </c>
      <c r="F126" s="18">
        <f>IF(ISNUMBER(D126), $B145 * E126, "")</f>
        <v>-5737.7049180327922</v>
      </c>
      <c r="G126" s="31">
        <v>3.5</v>
      </c>
      <c r="H126" s="32">
        <f t="shared" ref="H126:H129" si="63">IF(ISNUMBER(G126), (G126 - $B126) / $B126, "")</f>
        <v>-4.3715846994535554E-2</v>
      </c>
      <c r="I126" s="91">
        <f>IF(ISNUMBER(G126), $B145 * H126, "")</f>
        <v>-6557.3770491803334</v>
      </c>
      <c r="J126" s="15">
        <v>3.46</v>
      </c>
      <c r="K126" s="32">
        <f t="shared" ref="K126:K129" si="64">IF(ISNUMBER(J126), (J126 - $B126) / $B126, "")</f>
        <v>-5.4644808743169446E-2</v>
      </c>
      <c r="L126" s="18">
        <f>IF(ISNUMBER(J126), $B145 * K126, "")</f>
        <v>-8196.7213114754177</v>
      </c>
      <c r="M126" s="31">
        <v>3.47</v>
      </c>
      <c r="N126" s="32">
        <f t="shared" ref="N126:N129" si="65">IF(ISNUMBER(M126), (M126 - $B126) / $B126, "")</f>
        <v>-5.191256830601091E-2</v>
      </c>
      <c r="O126" s="18">
        <f>IF(ISNUMBER(M126), $B145 * N126, "")</f>
        <v>-7786.8852459016362</v>
      </c>
      <c r="Q126" s="156"/>
      <c r="R126" s="156"/>
      <c r="S126" s="156"/>
    </row>
    <row r="127" spans="1:19" ht="17.25" thickBot="1">
      <c r="A127" s="109" t="s">
        <v>195</v>
      </c>
      <c r="B127" s="110">
        <v>6.68</v>
      </c>
      <c r="C127" s="70">
        <v>-1.76470588E-2</v>
      </c>
      <c r="D127" s="15">
        <v>6.38</v>
      </c>
      <c r="E127" s="32">
        <f t="shared" si="62"/>
        <v>-4.4910179640718535E-2</v>
      </c>
      <c r="F127" s="18">
        <f>IF(ISNUMBER(D127), $B145 * E127, "")</f>
        <v>-6736.5269461077805</v>
      </c>
      <c r="G127" s="31">
        <v>6.38</v>
      </c>
      <c r="H127" s="32">
        <f t="shared" si="63"/>
        <v>-4.4910179640718535E-2</v>
      </c>
      <c r="I127" s="91">
        <f>IF(ISNUMBER(G127), $B145 * H127, "")</f>
        <v>-6736.5269461077805</v>
      </c>
      <c r="J127" s="15">
        <v>6.39</v>
      </c>
      <c r="K127" s="32">
        <f t="shared" si="64"/>
        <v>-4.341317365269462E-2</v>
      </c>
      <c r="L127" s="18">
        <f>IF(ISNUMBER(J127), $B145 * K127, "")</f>
        <v>-6511.9760479041934</v>
      </c>
      <c r="M127" s="31">
        <v>6.4</v>
      </c>
      <c r="N127" s="32">
        <f t="shared" si="65"/>
        <v>-4.1916167664670566E-2</v>
      </c>
      <c r="O127" s="18">
        <f>IF(ISNUMBER(M127), $B145 * N127, "")</f>
        <v>-6287.4251497005853</v>
      </c>
      <c r="Q127" s="146"/>
      <c r="R127" s="146"/>
      <c r="S127" s="146"/>
    </row>
    <row r="128" spans="1:19" ht="17.25" thickBot="1">
      <c r="A128" s="109" t="s">
        <v>181</v>
      </c>
      <c r="B128" s="110">
        <v>4.6399999999999997</v>
      </c>
      <c r="C128" s="70">
        <v>-2.10970464E-2</v>
      </c>
      <c r="D128" s="15">
        <v>4.5199999999999996</v>
      </c>
      <c r="E128" s="32">
        <f t="shared" si="62"/>
        <v>-2.5862068965517265E-2</v>
      </c>
      <c r="F128" s="18">
        <f>IF(ISNUMBER(D128), $B145 * E128, "")</f>
        <v>-3879.3103448275897</v>
      </c>
      <c r="G128" s="31">
        <v>4.5199999999999996</v>
      </c>
      <c r="H128" s="32">
        <f t="shared" si="63"/>
        <v>-2.5862068965517265E-2</v>
      </c>
      <c r="I128" s="91">
        <f>IF(ISNUMBER(G128), $B145 * H128, "")</f>
        <v>-3879.3103448275897</v>
      </c>
      <c r="J128" s="15">
        <v>4.4800000000000004</v>
      </c>
      <c r="K128" s="32">
        <f t="shared" si="64"/>
        <v>-3.4482758620689495E-2</v>
      </c>
      <c r="L128" s="18">
        <f>IF(ISNUMBER(J128), $B145 * K128, "")</f>
        <v>-5172.4137931034238</v>
      </c>
      <c r="M128" s="31">
        <v>4.5199999999999996</v>
      </c>
      <c r="N128" s="32">
        <f t="shared" si="65"/>
        <v>-2.5862068965517265E-2</v>
      </c>
      <c r="O128" s="18">
        <f>IF(ISNUMBER(M128), $B145 * N128, "")</f>
        <v>-3879.3103448275897</v>
      </c>
      <c r="Q128" s="146"/>
      <c r="R128" s="146"/>
      <c r="S128" s="146"/>
    </row>
    <row r="129" spans="1:19" ht="17.25" thickBot="1">
      <c r="A129" s="111" t="s">
        <v>333</v>
      </c>
      <c r="B129" s="112">
        <v>4.9800000000000004</v>
      </c>
      <c r="C129" s="71">
        <v>-2.1611002000000001E-2</v>
      </c>
      <c r="D129" s="20">
        <v>4.84</v>
      </c>
      <c r="E129" s="21">
        <f t="shared" si="62"/>
        <v>-2.8112449799196897E-2</v>
      </c>
      <c r="F129" s="22">
        <f>IF(ISNUMBER(D129), $B145 * E129, "")</f>
        <v>-4216.8674698795348</v>
      </c>
      <c r="G129" s="30">
        <v>4.78</v>
      </c>
      <c r="H129" s="21">
        <f t="shared" si="63"/>
        <v>-4.0160642570281159E-2</v>
      </c>
      <c r="I129" s="95">
        <f>IF(ISNUMBER(G129), $B145 * H129, "")</f>
        <v>-6024.0963855421742</v>
      </c>
      <c r="J129" s="20">
        <v>4.75</v>
      </c>
      <c r="K129" s="21">
        <f t="shared" si="64"/>
        <v>-4.6184738955823375E-2</v>
      </c>
      <c r="L129" s="22">
        <f>IF(ISNUMBER(J129), $B145 * K129, "")</f>
        <v>-6927.7108433735066</v>
      </c>
      <c r="M129" s="30">
        <v>4.78</v>
      </c>
      <c r="N129" s="21">
        <f t="shared" si="65"/>
        <v>-4.0160642570281159E-2</v>
      </c>
      <c r="O129" s="22">
        <f>IF(ISNUMBER(M129), $B145 * N129, "")</f>
        <v>-6024.0963855421742</v>
      </c>
      <c r="Q129" s="146"/>
      <c r="R129" s="146"/>
      <c r="S129" s="146"/>
    </row>
    <row r="130" spans="1:19" ht="17.25" thickBot="1">
      <c r="A130" s="109" t="s">
        <v>324</v>
      </c>
      <c r="B130" s="113">
        <v>95.8</v>
      </c>
      <c r="C130" s="73">
        <v>-2.34454638E-2</v>
      </c>
      <c r="D130" s="96">
        <v>89.8</v>
      </c>
      <c r="E130" s="97">
        <f>IF(ISNUMBER(D130), (D130 - $B130) / $B130, "")</f>
        <v>-6.2630480167014613E-2</v>
      </c>
      <c r="F130" s="98">
        <f>IF(ISNUMBER(D130), $B145 * E130, "")</f>
        <v>-9394.5720250521917</v>
      </c>
      <c r="G130" s="99">
        <v>90.3</v>
      </c>
      <c r="H130" s="97">
        <f>IF(ISNUMBER(G130), (G130 - $B130) / $B130, "")</f>
        <v>-5.7411273486430062E-2</v>
      </c>
      <c r="I130" s="100">
        <f>IF(ISNUMBER(G130), $B145 * H130, "")</f>
        <v>-8611.6910229645091</v>
      </c>
      <c r="J130" s="96">
        <v>89.2</v>
      </c>
      <c r="K130" s="97">
        <f>IF(ISNUMBER(J130), (J130 - $B130) / $B130, "")</f>
        <v>-6.8893528183716024E-2</v>
      </c>
      <c r="L130" s="98">
        <f>IF(ISNUMBER(J130), $B145 * K130, "")</f>
        <v>-10334.029227557403</v>
      </c>
      <c r="M130" s="99">
        <v>90</v>
      </c>
      <c r="N130" s="97">
        <f>IF(ISNUMBER(M130), (M130 - $B130) / $B130, "")</f>
        <v>-6.0542797494780767E-2</v>
      </c>
      <c r="O130" s="98">
        <f>IF(ISNUMBER(M130), $B145 * N130, "")</f>
        <v>-9081.4196242171147</v>
      </c>
      <c r="Q130" s="146"/>
      <c r="R130" s="146"/>
      <c r="S130" s="146"/>
    </row>
    <row r="131" spans="1:19" ht="17.25" thickBot="1">
      <c r="A131" s="109" t="s">
        <v>126</v>
      </c>
      <c r="B131" s="110">
        <v>33.1</v>
      </c>
      <c r="C131" s="70">
        <v>-2.3598820100000001E-2</v>
      </c>
      <c r="D131" s="15">
        <v>31.3</v>
      </c>
      <c r="E131" s="32">
        <f t="shared" ref="E131:E134" si="66">IF(ISNUMBER(D131), (D131 - $B131) / $B131, "")</f>
        <v>-5.4380664652567995E-2</v>
      </c>
      <c r="F131" s="18">
        <f>IF(ISNUMBER(D131), $B145 * E131, "")</f>
        <v>-8157.099697885199</v>
      </c>
      <c r="G131" s="31">
        <v>31.4</v>
      </c>
      <c r="H131" s="32">
        <f t="shared" ref="H131:H134" si="67">IF(ISNUMBER(G131), (G131 - $B131) / $B131, "")</f>
        <v>-5.1359516616314285E-2</v>
      </c>
      <c r="I131" s="91">
        <f>IF(ISNUMBER(G131), $B145 * H131, "")</f>
        <v>-7703.9274924471429</v>
      </c>
      <c r="J131" s="15">
        <v>30.9</v>
      </c>
      <c r="K131" s="32">
        <f t="shared" ref="K131:K134" si="68">IF(ISNUMBER(J131), (J131 - $B131) / $B131, "")</f>
        <v>-6.6465256797583167E-2</v>
      </c>
      <c r="L131" s="18">
        <f>IF(ISNUMBER(J131), $B145 * K131, "")</f>
        <v>-9969.7885196374755</v>
      </c>
      <c r="M131" s="31">
        <v>31.4</v>
      </c>
      <c r="N131" s="32">
        <f t="shared" ref="N131:N134" si="69">IF(ISNUMBER(M131), (M131 - $B131) / $B131, "")</f>
        <v>-5.1359516616314285E-2</v>
      </c>
      <c r="O131" s="18">
        <f>IF(ISNUMBER(M131), $B145 * N131, "")</f>
        <v>-7703.9274924471429</v>
      </c>
      <c r="Q131" s="146"/>
      <c r="R131" s="146"/>
      <c r="S131" s="146"/>
    </row>
    <row r="132" spans="1:19" ht="17.25" thickBot="1">
      <c r="A132" s="109" t="s">
        <v>203</v>
      </c>
      <c r="B132" s="110">
        <v>3.64</v>
      </c>
      <c r="C132" s="70">
        <v>-2.67379679E-2</v>
      </c>
      <c r="D132" s="15">
        <v>3.53</v>
      </c>
      <c r="E132" s="32">
        <f t="shared" si="66"/>
        <v>-3.0219780219780307E-2</v>
      </c>
      <c r="F132" s="18">
        <f>IF(ISNUMBER(D132), $B145 * E132, "")</f>
        <v>-4532.9670329670462</v>
      </c>
      <c r="G132" s="31">
        <v>3.52</v>
      </c>
      <c r="H132" s="32">
        <f t="shared" si="67"/>
        <v>-3.2967032967032996E-2</v>
      </c>
      <c r="I132" s="91">
        <f>IF(ISNUMBER(G132), $B145 * H132, "")</f>
        <v>-4945.0549450549497</v>
      </c>
      <c r="J132" s="15">
        <v>3.49</v>
      </c>
      <c r="K132" s="32">
        <f t="shared" si="68"/>
        <v>-4.120879120879118E-2</v>
      </c>
      <c r="L132" s="18">
        <f>IF(ISNUMBER(J132), $B145 * K132, "")</f>
        <v>-6181.3186813186767</v>
      </c>
      <c r="M132" s="31">
        <v>3.47</v>
      </c>
      <c r="N132" s="32">
        <f t="shared" si="69"/>
        <v>-4.6703296703296683E-2</v>
      </c>
      <c r="O132" s="18">
        <f>IF(ISNUMBER(M132), $B145 * N132, "")</f>
        <v>-7005.4945054945028</v>
      </c>
      <c r="Q132" s="146"/>
      <c r="R132" s="146"/>
      <c r="S132" s="146"/>
    </row>
    <row r="133" spans="1:19" ht="17.25" thickBot="1">
      <c r="A133" s="109" t="s">
        <v>349</v>
      </c>
      <c r="B133" s="110">
        <v>27.5</v>
      </c>
      <c r="C133" s="70">
        <v>-2.8268551199999999E-2</v>
      </c>
      <c r="D133" s="15">
        <v>26</v>
      </c>
      <c r="E133" s="32">
        <f t="shared" si="66"/>
        <v>-5.4545454545454543E-2</v>
      </c>
      <c r="F133" s="18">
        <f>IF(ISNUMBER(D133), $B145 * E133, "")</f>
        <v>-8181.8181818181811</v>
      </c>
      <c r="G133" s="31">
        <v>25.9</v>
      </c>
      <c r="H133" s="32">
        <f t="shared" si="67"/>
        <v>-5.818181818181823E-2</v>
      </c>
      <c r="I133" s="91">
        <f>IF(ISNUMBER(G133), $B145 * H133, "")</f>
        <v>-8727.2727272727352</v>
      </c>
      <c r="J133" s="15">
        <v>25.7</v>
      </c>
      <c r="K133" s="32">
        <f t="shared" si="68"/>
        <v>-6.5454545454545474E-2</v>
      </c>
      <c r="L133" s="18">
        <f>IF(ISNUMBER(J133), $B145 * K133, "")</f>
        <v>-9818.1818181818217</v>
      </c>
      <c r="M133" s="31">
        <v>25.7</v>
      </c>
      <c r="N133" s="32">
        <f t="shared" si="69"/>
        <v>-6.5454545454545474E-2</v>
      </c>
      <c r="O133" s="18">
        <f>IF(ISNUMBER(M133), $B145 * N133, "")</f>
        <v>-9818.1818181818217</v>
      </c>
      <c r="Q133" s="33"/>
      <c r="R133" s="33"/>
    </row>
    <row r="134" spans="1:19" ht="17.25" thickBot="1">
      <c r="A134" s="114" t="s">
        <v>227</v>
      </c>
      <c r="B134" s="115">
        <v>43.4</v>
      </c>
      <c r="C134" s="72">
        <v>-2.9082773999999999E-2</v>
      </c>
      <c r="D134" s="24">
        <v>41.8</v>
      </c>
      <c r="E134" s="25">
        <f t="shared" si="66"/>
        <v>-3.6866359447004643E-2</v>
      </c>
      <c r="F134" s="94">
        <f>IF(ISNUMBER(D134), $B145 * E134, "")</f>
        <v>-5529.9539170506969</v>
      </c>
      <c r="G134" s="92">
        <v>42</v>
      </c>
      <c r="H134" s="25">
        <f t="shared" si="67"/>
        <v>-3.2258064516129004E-2</v>
      </c>
      <c r="I134" s="93">
        <f>IF(ISNUMBER(G134), $B145 * H134, "")</f>
        <v>-4838.7096774193506</v>
      </c>
      <c r="J134" s="24">
        <v>41.7</v>
      </c>
      <c r="K134" s="25">
        <f t="shared" si="68"/>
        <v>-3.9170506912442296E-2</v>
      </c>
      <c r="L134" s="94">
        <f>IF(ISNUMBER(J134), $B145 * K134, "")</f>
        <v>-5875.5760368663441</v>
      </c>
      <c r="M134" s="92">
        <v>41.5</v>
      </c>
      <c r="N134" s="25">
        <f t="shared" si="69"/>
        <v>-4.3778801843317942E-2</v>
      </c>
      <c r="O134" s="94">
        <f>IF(ISNUMBER(M134), $B145 * N134, "")</f>
        <v>-6566.8202764976913</v>
      </c>
      <c r="Q134" s="147"/>
      <c r="R134" s="148"/>
      <c r="S134" s="149"/>
    </row>
    <row r="135" spans="1:19">
      <c r="A135" s="107" t="s">
        <v>207</v>
      </c>
      <c r="B135" s="108">
        <v>71.900000000000006</v>
      </c>
      <c r="C135" s="69">
        <v>-3.23014805E-2</v>
      </c>
      <c r="D135" s="13">
        <v>68.7</v>
      </c>
      <c r="E135" s="14">
        <f>IF(ISNUMBER(D135), (D135 - $B135) / $B135, "")</f>
        <v>-4.4506258692628684E-2</v>
      </c>
      <c r="F135" s="16">
        <f>IF(ISNUMBER(D135), $B145 * E135, "")</f>
        <v>-6675.9388038943025</v>
      </c>
      <c r="G135" s="29">
        <v>69.7</v>
      </c>
      <c r="H135" s="14">
        <f>IF(ISNUMBER(G135), (G135 - $B135) / $B135, "")</f>
        <v>-3.0598052851182233E-2</v>
      </c>
      <c r="I135" s="90">
        <f>IF(ISNUMBER(G135), $B145 * H135, "")</f>
        <v>-4589.7079276773347</v>
      </c>
      <c r="J135" s="13">
        <v>68.8</v>
      </c>
      <c r="K135" s="14">
        <f>IF(ISNUMBER(J135), (J135 - $B135) / $B135, "")</f>
        <v>-4.3115438108484123E-2</v>
      </c>
      <c r="L135" s="16">
        <f>IF(ISNUMBER(J135), $B145 * K135, "")</f>
        <v>-6467.3157162726184</v>
      </c>
      <c r="M135" s="29">
        <v>69.400000000000006</v>
      </c>
      <c r="N135" s="14">
        <f>IF(ISNUMBER(M135), (M135 - $B135) / $B135, "")</f>
        <v>-3.4770514603616132E-2</v>
      </c>
      <c r="O135" s="16">
        <f>IF(ISNUMBER(M135), $B145 * N135, "")</f>
        <v>-5215.5771905424199</v>
      </c>
      <c r="Q135" s="150"/>
      <c r="R135" s="151"/>
      <c r="S135" s="152"/>
    </row>
    <row r="136" spans="1:19" ht="17.25" thickBot="1">
      <c r="A136" s="109" t="s">
        <v>191</v>
      </c>
      <c r="B136" s="110">
        <v>59</v>
      </c>
      <c r="C136" s="70">
        <v>-3.4369885400000001E-2</v>
      </c>
      <c r="D136" s="15">
        <v>57.7</v>
      </c>
      <c r="E136" s="32">
        <f t="shared" ref="E136:E139" si="70">IF(ISNUMBER(D136), (D136 - $B136) / $B136, "")</f>
        <v>-2.2033898305084697E-2</v>
      </c>
      <c r="F136" s="18">
        <f>IF(ISNUMBER(D136), $B145 * E136, "")</f>
        <v>-3305.0847457627046</v>
      </c>
      <c r="G136" s="31">
        <v>57</v>
      </c>
      <c r="H136" s="32">
        <f t="shared" ref="H136:H139" si="71">IF(ISNUMBER(G136), (G136 - $B136) / $B136, "")</f>
        <v>-3.3898305084745763E-2</v>
      </c>
      <c r="I136" s="91">
        <f>IF(ISNUMBER(G136), $B145 * H136, "")</f>
        <v>-5084.7457627118647</v>
      </c>
      <c r="J136" s="15">
        <v>57.2</v>
      </c>
      <c r="K136" s="32">
        <f t="shared" ref="K136:K139" si="72">IF(ISNUMBER(J136), (J136 - $B136) / $B136, "")</f>
        <v>-3.0508474576271139E-2</v>
      </c>
      <c r="L136" s="18">
        <f>IF(ISNUMBER(J136), $B145 * K136, "")</f>
        <v>-4576.271186440671</v>
      </c>
      <c r="M136" s="31">
        <v>56.8</v>
      </c>
      <c r="N136" s="32">
        <f t="shared" ref="N136:N139" si="73">IF(ISNUMBER(M136), (M136 - $B136) / $B136, "")</f>
        <v>-3.728813559322039E-2</v>
      </c>
      <c r="O136" s="18">
        <f>IF(ISNUMBER(M136), $B145 * N136, "")</f>
        <v>-5593.2203389830584</v>
      </c>
      <c r="Q136" s="153"/>
      <c r="R136" s="154"/>
      <c r="S136" s="155"/>
    </row>
    <row r="137" spans="1:19" ht="17.25" thickBot="1">
      <c r="A137" s="109" t="s">
        <v>132</v>
      </c>
      <c r="B137" s="110">
        <v>54.8</v>
      </c>
      <c r="C137" s="70">
        <v>-3.5211267599999999E-2</v>
      </c>
      <c r="D137" s="15">
        <v>52.1</v>
      </c>
      <c r="E137" s="32">
        <f t="shared" si="70"/>
        <v>-4.9270072992700656E-2</v>
      </c>
      <c r="F137" s="18">
        <f>IF(ISNUMBER(D137), $B145 * E137, "")</f>
        <v>-7390.5109489050983</v>
      </c>
      <c r="G137" s="31">
        <v>52.3</v>
      </c>
      <c r="H137" s="32">
        <f t="shared" si="71"/>
        <v>-4.5620437956204379E-2</v>
      </c>
      <c r="I137" s="91">
        <f>IF(ISNUMBER(G137), $B145 * H137, "")</f>
        <v>-6843.0656934306571</v>
      </c>
      <c r="J137" s="15">
        <v>51.5</v>
      </c>
      <c r="K137" s="32">
        <f t="shared" si="72"/>
        <v>-6.0218978102189735E-2</v>
      </c>
      <c r="L137" s="18">
        <f>IF(ISNUMBER(J137), $B145 * K137, "")</f>
        <v>-9032.84671532846</v>
      </c>
      <c r="M137" s="31">
        <v>51.7</v>
      </c>
      <c r="N137" s="32">
        <f t="shared" si="73"/>
        <v>-5.6569343065693327E-2</v>
      </c>
      <c r="O137" s="18">
        <f>IF(ISNUMBER(M137), $B145 * N137, "")</f>
        <v>-8485.4014598539998</v>
      </c>
      <c r="Q137" s="146"/>
      <c r="R137" s="146"/>
      <c r="S137" s="146"/>
    </row>
    <row r="138" spans="1:19" ht="17.25" thickBot="1">
      <c r="A138" s="109" t="s">
        <v>193</v>
      </c>
      <c r="B138" s="110">
        <v>19.7</v>
      </c>
      <c r="C138" s="70">
        <v>-3.9024390200000002E-2</v>
      </c>
      <c r="D138" s="15">
        <v>19</v>
      </c>
      <c r="E138" s="32">
        <f t="shared" si="70"/>
        <v>-3.5532994923857836E-2</v>
      </c>
      <c r="F138" s="18">
        <f>IF(ISNUMBER(D138), $B145 * E138, "")</f>
        <v>-5329.9492385786752</v>
      </c>
      <c r="G138" s="31">
        <v>18.8</v>
      </c>
      <c r="H138" s="32">
        <f t="shared" si="71"/>
        <v>-4.5685279187817188E-2</v>
      </c>
      <c r="I138" s="91">
        <f>IF(ISNUMBER(G138), $B145 * H138, "")</f>
        <v>-6852.7918781725784</v>
      </c>
      <c r="J138" s="15">
        <v>18.8</v>
      </c>
      <c r="K138" s="32">
        <f t="shared" si="72"/>
        <v>-4.5685279187817188E-2</v>
      </c>
      <c r="L138" s="18">
        <f>IF(ISNUMBER(J138), $B145 * K138, "")</f>
        <v>-6852.7918781725784</v>
      </c>
      <c r="M138" s="31">
        <v>18.8</v>
      </c>
      <c r="N138" s="32">
        <f t="shared" si="73"/>
        <v>-4.5685279187817188E-2</v>
      </c>
      <c r="O138" s="18">
        <f>IF(ISNUMBER(M138), $B145 * N138, "")</f>
        <v>-6852.7918781725784</v>
      </c>
      <c r="Q138" s="156"/>
      <c r="R138" s="156"/>
      <c r="S138" s="156"/>
    </row>
    <row r="139" spans="1:19" ht="17.25" thickBot="1">
      <c r="A139" s="111" t="s">
        <v>350</v>
      </c>
      <c r="B139" s="112">
        <v>7.38</v>
      </c>
      <c r="C139" s="71">
        <v>-3.90625E-2</v>
      </c>
      <c r="D139" s="20">
        <v>7.18</v>
      </c>
      <c r="E139" s="21">
        <f t="shared" si="70"/>
        <v>-2.7100271002710053E-2</v>
      </c>
      <c r="F139" s="22">
        <f>IF(ISNUMBER(D139), $B145 * E139, "")</f>
        <v>-4065.0406504065081</v>
      </c>
      <c r="G139" s="30">
        <v>7.2</v>
      </c>
      <c r="H139" s="21">
        <f t="shared" si="71"/>
        <v>-2.4390243902438987E-2</v>
      </c>
      <c r="I139" s="95">
        <f>IF(ISNUMBER(G139), $B145 * H139, "")</f>
        <v>-3658.5365853658482</v>
      </c>
      <c r="J139" s="20">
        <v>7.22</v>
      </c>
      <c r="K139" s="21">
        <f t="shared" si="72"/>
        <v>-2.1680216802168042E-2</v>
      </c>
      <c r="L139" s="22">
        <f>IF(ISNUMBER(J139), $B145 * K139, "")</f>
        <v>-3252.0325203252064</v>
      </c>
      <c r="M139" s="30">
        <v>7.19</v>
      </c>
      <c r="N139" s="21">
        <f t="shared" si="73"/>
        <v>-2.5745257452574458E-2</v>
      </c>
      <c r="O139" s="22">
        <f>IF(ISNUMBER(M139), $B145 * N139, "")</f>
        <v>-3861.7886178861686</v>
      </c>
      <c r="Q139" s="156"/>
      <c r="R139" s="156"/>
      <c r="S139" s="156"/>
    </row>
    <row r="140" spans="1:19" ht="17.25" thickBot="1">
      <c r="A140" s="109" t="s">
        <v>209</v>
      </c>
      <c r="B140" s="113">
        <v>90.6</v>
      </c>
      <c r="C140" s="73">
        <v>-4.4303797499999999E-2</v>
      </c>
      <c r="D140" s="96">
        <v>87.3</v>
      </c>
      <c r="E140" s="97">
        <f>IF(ISNUMBER(D140), (D140 - $B140) / $B140, "")</f>
        <v>-3.642384105960262E-2</v>
      </c>
      <c r="F140" s="98">
        <f>IF(ISNUMBER(D140), $B145 * E140, "")</f>
        <v>-5463.5761589403928</v>
      </c>
      <c r="G140" s="99">
        <v>88.7</v>
      </c>
      <c r="H140" s="97">
        <f>IF(ISNUMBER(G140), (G140 - $B140) / $B140, "")</f>
        <v>-2.0971302428255977E-2</v>
      </c>
      <c r="I140" s="100">
        <f>IF(ISNUMBER(G140), $B145 * H140, "")</f>
        <v>-3145.6953642383965</v>
      </c>
      <c r="J140" s="96">
        <v>89.4</v>
      </c>
      <c r="K140" s="97">
        <f>IF(ISNUMBER(J140), (J140 - $B140) / $B140, "")</f>
        <v>-1.3245033112582657E-2</v>
      </c>
      <c r="L140" s="98">
        <f>IF(ISNUMBER(J140), $B145 * K140, "")</f>
        <v>-1986.7549668873985</v>
      </c>
      <c r="M140" s="99">
        <v>88.8</v>
      </c>
      <c r="N140" s="97">
        <f>IF(ISNUMBER(M140), (M140 - $B140) / $B140, "")</f>
        <v>-1.9867549668874142E-2</v>
      </c>
      <c r="O140" s="98">
        <f>IF(ISNUMBER(M140), $B145 * N140, "")</f>
        <v>-2980.1324503311212</v>
      </c>
      <c r="Q140" s="146"/>
      <c r="R140" s="146"/>
      <c r="S140" s="146"/>
    </row>
    <row r="141" spans="1:19" ht="17.25" thickBot="1">
      <c r="A141" s="109" t="s">
        <v>221</v>
      </c>
      <c r="B141" s="110">
        <v>22.5</v>
      </c>
      <c r="C141" s="70">
        <v>-5.4621848700000003E-2</v>
      </c>
      <c r="D141" s="15">
        <v>21.4</v>
      </c>
      <c r="E141" s="32">
        <f t="shared" ref="E141:E144" si="74">IF(ISNUMBER(D141), (D141 - $B141) / $B141, "")</f>
        <v>-4.8888888888888954E-2</v>
      </c>
      <c r="F141" s="18">
        <f>IF(ISNUMBER(D141), $B145 * E141, "")</f>
        <v>-7333.333333333343</v>
      </c>
      <c r="G141" s="31">
        <v>21.5</v>
      </c>
      <c r="H141" s="32">
        <f t="shared" ref="H141:H144" si="75">IF(ISNUMBER(G141), (G141 - $B141) / $B141, "")</f>
        <v>-4.4444444444444446E-2</v>
      </c>
      <c r="I141" s="91">
        <f>IF(ISNUMBER(G141), $B145 * H141, "")</f>
        <v>-6666.666666666667</v>
      </c>
      <c r="J141" s="15">
        <v>21.4</v>
      </c>
      <c r="K141" s="32">
        <f t="shared" ref="K141:K144" si="76">IF(ISNUMBER(J141), (J141 - $B141) / $B141, "")</f>
        <v>-4.8888888888888954E-2</v>
      </c>
      <c r="L141" s="18">
        <f>IF(ISNUMBER(J141), $B145 * K141, "")</f>
        <v>-7333.333333333343</v>
      </c>
      <c r="M141" s="31">
        <v>21.3</v>
      </c>
      <c r="N141" s="32">
        <f t="shared" ref="N141:N144" si="77">IF(ISNUMBER(M141), (M141 - $B141) / $B141, "")</f>
        <v>-5.3333333333333302E-2</v>
      </c>
      <c r="O141" s="18">
        <f>IF(ISNUMBER(M141), $B145 * N141, "")</f>
        <v>-7999.9999999999955</v>
      </c>
      <c r="Q141" s="146"/>
      <c r="R141" s="146"/>
      <c r="S141" s="146"/>
    </row>
    <row r="142" spans="1:19" ht="17.25" thickBot="1">
      <c r="A142" s="109" t="s">
        <v>107</v>
      </c>
      <c r="B142" s="110">
        <v>44.2</v>
      </c>
      <c r="C142" s="70">
        <v>-7.9166666699999999E-2</v>
      </c>
      <c r="D142" s="15">
        <v>43.3</v>
      </c>
      <c r="E142" s="32">
        <f t="shared" si="74"/>
        <v>-2.0361990950226373E-2</v>
      </c>
      <c r="F142" s="18">
        <f>IF(ISNUMBER(D142), $B145 * E142, "")</f>
        <v>-3054.2986425339559</v>
      </c>
      <c r="G142" s="31">
        <v>42.6</v>
      </c>
      <c r="H142" s="32">
        <f t="shared" si="75"/>
        <v>-3.6199095022624465E-2</v>
      </c>
      <c r="I142" s="91">
        <f>IF(ISNUMBER(G142), $B145 * H142, "")</f>
        <v>-5429.86425339367</v>
      </c>
      <c r="J142" s="15">
        <v>42.4</v>
      </c>
      <c r="K142" s="32">
        <f t="shared" si="76"/>
        <v>-4.072398190045258E-2</v>
      </c>
      <c r="L142" s="18">
        <f>IF(ISNUMBER(J142), $B145 * K142, "")</f>
        <v>-6108.5972850678872</v>
      </c>
      <c r="M142" s="31">
        <v>42.4</v>
      </c>
      <c r="N142" s="32">
        <f t="shared" si="77"/>
        <v>-4.072398190045258E-2</v>
      </c>
      <c r="O142" s="18">
        <f>IF(ISNUMBER(M142), $B145 * N142, "")</f>
        <v>-6108.5972850678872</v>
      </c>
      <c r="Q142" s="146"/>
      <c r="R142" s="146"/>
      <c r="S142" s="146"/>
    </row>
    <row r="143" spans="1:19">
      <c r="A143" s="109" t="s">
        <v>97</v>
      </c>
      <c r="B143" s="110">
        <v>8.9999999999999998E-4</v>
      </c>
      <c r="C143" s="70">
        <v>-0.1</v>
      </c>
      <c r="D143" s="15">
        <v>8.9999999999999998E-4</v>
      </c>
      <c r="E143" s="32">
        <f t="shared" si="74"/>
        <v>0</v>
      </c>
      <c r="F143" s="18">
        <f>IF(ISNUMBER(D143), $B145 * E143, "")</f>
        <v>0</v>
      </c>
      <c r="G143" s="31">
        <v>8.9999999999999998E-4</v>
      </c>
      <c r="H143" s="32">
        <f t="shared" si="75"/>
        <v>0</v>
      </c>
      <c r="I143" s="91">
        <f>IF(ISNUMBER(G143), $B145 * H143, "")</f>
        <v>0</v>
      </c>
      <c r="J143" s="15">
        <v>8.9999999999999998E-4</v>
      </c>
      <c r="K143" s="32">
        <f t="shared" si="76"/>
        <v>0</v>
      </c>
      <c r="L143" s="18">
        <f>IF(ISNUMBER(J143), $B145 * K143, "")</f>
        <v>0</v>
      </c>
      <c r="M143" s="31">
        <v>8.9999999999999998E-4</v>
      </c>
      <c r="N143" s="32">
        <f t="shared" si="77"/>
        <v>0</v>
      </c>
      <c r="O143" s="18">
        <f>IF(ISNUMBER(M143), $B145 * N143, "")</f>
        <v>0</v>
      </c>
      <c r="Q143" s="135"/>
      <c r="R143" s="136"/>
      <c r="S143" s="137"/>
    </row>
    <row r="144" spans="1:19" ht="17.25" thickBot="1">
      <c r="A144" s="114" t="s">
        <v>185</v>
      </c>
      <c r="B144" s="115">
        <v>38.6</v>
      </c>
      <c r="C144" s="72">
        <v>-0.1266968326</v>
      </c>
      <c r="D144" s="24">
        <v>35.5</v>
      </c>
      <c r="E144" s="25">
        <f t="shared" si="74"/>
        <v>-8.031088082901558E-2</v>
      </c>
      <c r="F144" s="94">
        <f>IF(ISNUMBER(D144), $B145 * E144, "")</f>
        <v>-12046.632124352336</v>
      </c>
      <c r="G144" s="92">
        <v>35.200000000000003</v>
      </c>
      <c r="H144" s="25">
        <f t="shared" si="75"/>
        <v>-8.8082901554404111E-2</v>
      </c>
      <c r="I144" s="93">
        <f>IF(ISNUMBER(G144), $B145 * H144, "")</f>
        <v>-13212.435233160617</v>
      </c>
      <c r="J144" s="24">
        <v>34.9</v>
      </c>
      <c r="K144" s="25">
        <f t="shared" si="76"/>
        <v>-9.5854922279792823E-2</v>
      </c>
      <c r="L144" s="94">
        <f>IF(ISNUMBER(J144), $B145 * K144, "")</f>
        <v>-14378.238341968923</v>
      </c>
      <c r="M144" s="92">
        <v>34.9</v>
      </c>
      <c r="N144" s="25">
        <f t="shared" si="77"/>
        <v>-9.5854922279792823E-2</v>
      </c>
      <c r="O144" s="94">
        <f>IF(ISNUMBER(M144), $B145 * N144, "")</f>
        <v>-14378.238341968923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-3.7172207357844073E-2</v>
      </c>
      <c r="F145" s="28">
        <f>SUM(F125:F144)</f>
        <v>-111516.62207353221</v>
      </c>
      <c r="G145" s="26" t="s">
        <v>258</v>
      </c>
      <c r="H145" s="27">
        <f>IF(COUNT(H125:H144), SUM(H125:H144) / COUNT(H125:H144), 0)</f>
        <v>-3.7593106871942776E-2</v>
      </c>
      <c r="I145" s="28">
        <f>SUM(I125:I144)</f>
        <v>-112779.32061582837</v>
      </c>
      <c r="J145" s="26" t="s">
        <v>258</v>
      </c>
      <c r="K145" s="27">
        <f>IF(COUNT(K125:K144), SUM(K125:K144) / COUNT(K125:K144), 0)</f>
        <v>-4.3396496818741678E-2</v>
      </c>
      <c r="L145" s="28">
        <f>SUM(L125:L144)</f>
        <v>-130189.49045622504</v>
      </c>
      <c r="M145" s="26" t="s">
        <v>258</v>
      </c>
      <c r="N145" s="27">
        <f>IF(COUNT(N125:N144), SUM(N125:N144) / COUNT(N125:N144), 0)</f>
        <v>-4.2200060730674727E-2</v>
      </c>
      <c r="O145" s="28">
        <f>SUM(O125:O144)</f>
        <v>-126600.18219202416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2023-01-19(목) 오전 00:00</v>
      </c>
      <c r="C150" s="198"/>
      <c r="D150" s="170" t="str">
        <f>TEXT($G$1, "[$-ko-KR]yyyy-mm-dd(ddd) ") &amp; "오후 14:00"</f>
        <v>2023-01-19(목) 오후 14:00</v>
      </c>
      <c r="E150" s="171"/>
      <c r="F150" s="172"/>
      <c r="G150" s="170" t="str">
        <f>TEXT($G$1, "[$-ko-KR]yyyy-mm-dd(ddd) ") &amp; "오후 19:00"</f>
        <v>2023-01-19(목) 오후 19:00</v>
      </c>
      <c r="H150" s="171"/>
      <c r="I150" s="172"/>
      <c r="J150" s="170" t="str">
        <f>TEXT($G$1, "[$-ko-KR]yyyy-mm-dd(ddd) ") &amp; "오후 21:00"</f>
        <v>2023-01-19(목) 오후 21:00</v>
      </c>
      <c r="K150" s="171"/>
      <c r="L150" s="172"/>
      <c r="M150" s="170" t="str">
        <f>TEXT($G$1+1, "[$-ko-KR]yyyy-mm-dd(ddd) ") &amp; "오전 00:00"</f>
        <v>2023-01-20(금)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241</v>
      </c>
      <c r="B152" s="108">
        <v>102</v>
      </c>
      <c r="C152" s="69">
        <v>0</v>
      </c>
      <c r="D152" s="13">
        <v>98.4</v>
      </c>
      <c r="E152" s="14">
        <f>IF(ISNUMBER(D152), (D152 - $B152) / $B152, "")</f>
        <v>-3.5294117647058768E-2</v>
      </c>
      <c r="F152" s="16">
        <f>IF(ISNUMBER(D152), $B172 * E152, "")</f>
        <v>-5294.1176470588152</v>
      </c>
      <c r="G152" s="29">
        <v>98.8</v>
      </c>
      <c r="H152" s="14">
        <f>IF(ISNUMBER(G152), (G152 - $B152) / $B152, "")</f>
        <v>-3.137254901960787E-2</v>
      </c>
      <c r="I152" s="90">
        <f>IF(ISNUMBER(G152), $B172 * H152, "")</f>
        <v>-4705.8823529411802</v>
      </c>
      <c r="J152" s="13">
        <v>100</v>
      </c>
      <c r="K152" s="14">
        <f>IF(ISNUMBER(J152), (J152 - $B152) / $B152, "")</f>
        <v>-1.9607843137254902E-2</v>
      </c>
      <c r="L152" s="16">
        <f>IF(ISNUMBER(J152), $B172 * K152, "")</f>
        <v>-2941.1764705882351</v>
      </c>
      <c r="M152" s="29">
        <v>100</v>
      </c>
      <c r="N152" s="14">
        <f>IF(ISNUMBER(M152), (M152 - $B152) / $B152, "")</f>
        <v>-1.9607843137254902E-2</v>
      </c>
      <c r="O152" s="16">
        <f>IF(ISNUMBER(M152), $B172 * N152, "")</f>
        <v>-2941.1764705882351</v>
      </c>
      <c r="Q152" s="156"/>
      <c r="R152" s="156"/>
      <c r="S152" s="156"/>
    </row>
    <row r="153" spans="1:19" ht="17.25" thickBot="1">
      <c r="A153" s="109" t="s">
        <v>159</v>
      </c>
      <c r="B153" s="110">
        <v>206</v>
      </c>
      <c r="C153" s="70">
        <v>0</v>
      </c>
      <c r="D153" s="15">
        <v>224</v>
      </c>
      <c r="E153" s="32">
        <f t="shared" ref="E153:E156" si="78">IF(ISNUMBER(D153), (D153 - $B153) / $B153, "")</f>
        <v>8.7378640776699032E-2</v>
      </c>
      <c r="F153" s="18">
        <f>IF(ISNUMBER(D153), $B172 * E153, "")</f>
        <v>13106.796116504855</v>
      </c>
      <c r="G153" s="31">
        <v>207</v>
      </c>
      <c r="H153" s="32">
        <f t="shared" ref="H153:H156" si="79">IF(ISNUMBER(G153), (G153 - $B153) / $B153, "")</f>
        <v>4.8543689320388345E-3</v>
      </c>
      <c r="I153" s="91">
        <f>IF(ISNUMBER(G153), $B172 * H153, "")</f>
        <v>728.15533980582518</v>
      </c>
      <c r="J153" s="15">
        <v>208</v>
      </c>
      <c r="K153" s="32">
        <f t="shared" ref="K153:K156" si="80">IF(ISNUMBER(J153), (J153 - $B153) / $B153, "")</f>
        <v>9.7087378640776691E-3</v>
      </c>
      <c r="L153" s="18">
        <f>IF(ISNUMBER(J153), $B172 * K153, "")</f>
        <v>1456.3106796116504</v>
      </c>
      <c r="M153" s="31">
        <v>203</v>
      </c>
      <c r="N153" s="32">
        <f t="shared" ref="N153:N156" si="81">IF(ISNUMBER(M153), (M153 - $B153) / $B153, "")</f>
        <v>-1.4563106796116505E-2</v>
      </c>
      <c r="O153" s="18">
        <f>IF(ISNUMBER(M153), $B172 * N153, "")</f>
        <v>-2184.4660194174758</v>
      </c>
      <c r="Q153" s="156"/>
      <c r="R153" s="156"/>
      <c r="S153" s="156"/>
    </row>
    <row r="154" spans="1:19" ht="17.25" thickBot="1">
      <c r="A154" s="109" t="s">
        <v>105</v>
      </c>
      <c r="B154" s="110">
        <v>241</v>
      </c>
      <c r="C154" s="70">
        <v>0</v>
      </c>
      <c r="D154" s="15">
        <v>232</v>
      </c>
      <c r="E154" s="32">
        <f t="shared" si="78"/>
        <v>-3.7344398340248962E-2</v>
      </c>
      <c r="F154" s="18">
        <f>IF(ISNUMBER(D154), $B172 * E154, "")</f>
        <v>-5601.659751037344</v>
      </c>
      <c r="G154" s="31">
        <v>231</v>
      </c>
      <c r="H154" s="32">
        <f t="shared" si="79"/>
        <v>-4.1493775933609957E-2</v>
      </c>
      <c r="I154" s="91">
        <f>IF(ISNUMBER(G154), $B172 * H154, "")</f>
        <v>-6224.0663900414938</v>
      </c>
      <c r="J154" s="15">
        <v>233</v>
      </c>
      <c r="K154" s="32">
        <f t="shared" si="80"/>
        <v>-3.3195020746887967E-2</v>
      </c>
      <c r="L154" s="18">
        <f>IF(ISNUMBER(J154), $B172 * K154, "")</f>
        <v>-4979.2531120331951</v>
      </c>
      <c r="M154" s="31">
        <v>232</v>
      </c>
      <c r="N154" s="32">
        <f t="shared" si="81"/>
        <v>-3.7344398340248962E-2</v>
      </c>
      <c r="O154" s="18">
        <f>IF(ISNUMBER(M154), $B172 * N154, "")</f>
        <v>-5601.659751037344</v>
      </c>
      <c r="Q154" s="146"/>
      <c r="R154" s="146"/>
      <c r="S154" s="146"/>
    </row>
    <row r="155" spans="1:19" ht="17.25" thickBot="1">
      <c r="A155" s="109" t="s">
        <v>239</v>
      </c>
      <c r="B155" s="110">
        <v>476</v>
      </c>
      <c r="C155" s="70">
        <v>-4.1841003999999998E-3</v>
      </c>
      <c r="D155" s="15">
        <v>466</v>
      </c>
      <c r="E155" s="32">
        <f t="shared" si="78"/>
        <v>-2.100840336134454E-2</v>
      </c>
      <c r="F155" s="18">
        <f>IF(ISNUMBER(D155), $B172 * E155, "")</f>
        <v>-3151.2605042016808</v>
      </c>
      <c r="G155" s="31">
        <v>466</v>
      </c>
      <c r="H155" s="32">
        <f t="shared" si="79"/>
        <v>-2.100840336134454E-2</v>
      </c>
      <c r="I155" s="91">
        <f>IF(ISNUMBER(G155), $B172 * H155, "")</f>
        <v>-3151.2605042016808</v>
      </c>
      <c r="J155" s="15">
        <v>462</v>
      </c>
      <c r="K155" s="32">
        <f t="shared" si="80"/>
        <v>-2.9411764705882353E-2</v>
      </c>
      <c r="L155" s="18">
        <f>IF(ISNUMBER(J155), $B172 * K155, "")</f>
        <v>-4411.7647058823532</v>
      </c>
      <c r="M155" s="31">
        <v>462</v>
      </c>
      <c r="N155" s="32">
        <f t="shared" si="81"/>
        <v>-2.9411764705882353E-2</v>
      </c>
      <c r="O155" s="18">
        <f>IF(ISNUMBER(M155), $B172 * N155, "")</f>
        <v>-4411.7647058823532</v>
      </c>
      <c r="Q155" s="146"/>
      <c r="R155" s="146"/>
      <c r="S155" s="146"/>
    </row>
    <row r="156" spans="1:19" ht="17.25" thickBot="1">
      <c r="A156" s="111" t="s">
        <v>235</v>
      </c>
      <c r="B156" s="112">
        <v>618</v>
      </c>
      <c r="C156" s="71">
        <v>-4.8309179000000004E-3</v>
      </c>
      <c r="D156" s="20">
        <v>594</v>
      </c>
      <c r="E156" s="21">
        <f t="shared" si="78"/>
        <v>-3.8834951456310676E-2</v>
      </c>
      <c r="F156" s="22">
        <f>IF(ISNUMBER(D156), $B172 * E156, "")</f>
        <v>-5825.2427184466014</v>
      </c>
      <c r="G156" s="30">
        <v>595</v>
      </c>
      <c r="H156" s="21">
        <f t="shared" si="79"/>
        <v>-3.7216828478964403E-2</v>
      </c>
      <c r="I156" s="95">
        <f>IF(ISNUMBER(G156), $B172 * H156, "")</f>
        <v>-5582.5242718446607</v>
      </c>
      <c r="J156" s="20">
        <v>591</v>
      </c>
      <c r="K156" s="21">
        <f t="shared" si="80"/>
        <v>-4.3689320388349516E-2</v>
      </c>
      <c r="L156" s="22">
        <f>IF(ISNUMBER(J156), $B172 * K156, "")</f>
        <v>-6553.3980582524273</v>
      </c>
      <c r="M156" s="30">
        <v>594</v>
      </c>
      <c r="N156" s="21">
        <f t="shared" si="81"/>
        <v>-3.8834951456310676E-2</v>
      </c>
      <c r="O156" s="22">
        <f>IF(ISNUMBER(M156), $B172 * N156, "")</f>
        <v>-5825.2427184466014</v>
      </c>
      <c r="Q156" s="146"/>
      <c r="R156" s="146"/>
      <c r="S156" s="146"/>
    </row>
    <row r="157" spans="1:19" ht="17.25" thickBot="1">
      <c r="A157" s="109" t="s">
        <v>157</v>
      </c>
      <c r="B157" s="113">
        <v>223</v>
      </c>
      <c r="C157" s="73">
        <v>-8.8888888999999992E-3</v>
      </c>
      <c r="D157" s="96">
        <v>220</v>
      </c>
      <c r="E157" s="97">
        <f>IF(ISNUMBER(D157), (D157 - $B157) / $B157, "")</f>
        <v>-1.3452914798206279E-2</v>
      </c>
      <c r="F157" s="98">
        <f>IF(ISNUMBER(D157), $B172 * E157, "")</f>
        <v>-2017.9372197309417</v>
      </c>
      <c r="G157" s="99">
        <v>221</v>
      </c>
      <c r="H157" s="97">
        <f>IF(ISNUMBER(G157), (G157 - $B157) / $B157, "")</f>
        <v>-8.9686098654708519E-3</v>
      </c>
      <c r="I157" s="100">
        <f>IF(ISNUMBER(G157), $B172 * H157, "")</f>
        <v>-1345.2914798206277</v>
      </c>
      <c r="J157" s="96">
        <v>219</v>
      </c>
      <c r="K157" s="97">
        <f>IF(ISNUMBER(J157), (J157 - $B157) / $B157, "")</f>
        <v>-1.7937219730941704E-2</v>
      </c>
      <c r="L157" s="98">
        <f>IF(ISNUMBER(J157), $B172 * K157, "")</f>
        <v>-2690.5829596412555</v>
      </c>
      <c r="M157" s="99">
        <v>222</v>
      </c>
      <c r="N157" s="97">
        <f>IF(ISNUMBER(M157), (M157 - $B157) / $B157, "")</f>
        <v>-4.4843049327354259E-3</v>
      </c>
      <c r="O157" s="98">
        <f>IF(ISNUMBER(M157), $B172 * N157, "")</f>
        <v>-672.64573991031386</v>
      </c>
      <c r="Q157" s="146"/>
      <c r="R157" s="146"/>
      <c r="S157" s="146"/>
    </row>
    <row r="158" spans="1:19" ht="17.25" thickBot="1">
      <c r="A158" s="109" t="s">
        <v>321</v>
      </c>
      <c r="B158" s="110">
        <v>214</v>
      </c>
      <c r="C158" s="70">
        <v>-9.2592592999999994E-3</v>
      </c>
      <c r="D158" s="15">
        <v>211</v>
      </c>
      <c r="E158" s="32">
        <f t="shared" ref="E158:E161" si="82">IF(ISNUMBER(D158), (D158 - $B158) / $B158, "")</f>
        <v>-1.4018691588785047E-2</v>
      </c>
      <c r="F158" s="18">
        <f>IF(ISNUMBER(D158), $B172 * E158, "")</f>
        <v>-2102.8037383177571</v>
      </c>
      <c r="G158" s="31">
        <v>204</v>
      </c>
      <c r="H158" s="32">
        <f t="shared" ref="H158:H161" si="83">IF(ISNUMBER(G158), (G158 - $B158) / $B158, "")</f>
        <v>-4.6728971962616821E-2</v>
      </c>
      <c r="I158" s="91">
        <f>IF(ISNUMBER(G158), $B172 * H158, "")</f>
        <v>-7009.3457943925232</v>
      </c>
      <c r="J158" s="15">
        <v>203</v>
      </c>
      <c r="K158" s="32">
        <f t="shared" ref="K158:K161" si="84">IF(ISNUMBER(J158), (J158 - $B158) / $B158, "")</f>
        <v>-5.1401869158878503E-2</v>
      </c>
      <c r="L158" s="18">
        <f>IF(ISNUMBER(J158), $B172 * K158, "")</f>
        <v>-7710.2803738317753</v>
      </c>
      <c r="M158" s="31">
        <v>206</v>
      </c>
      <c r="N158" s="32">
        <f t="shared" ref="N158:N161" si="85">IF(ISNUMBER(M158), (M158 - $B158) / $B158, "")</f>
        <v>-3.7383177570093455E-2</v>
      </c>
      <c r="O158" s="18">
        <f>IF(ISNUMBER(M158), $B172 * N158, "")</f>
        <v>-5607.4766355140182</v>
      </c>
      <c r="Q158" s="146"/>
      <c r="R158" s="146"/>
      <c r="S158" s="146"/>
    </row>
    <row r="159" spans="1:19" ht="17.25" thickBot="1">
      <c r="A159" s="109" t="s">
        <v>341</v>
      </c>
      <c r="B159" s="110">
        <v>835</v>
      </c>
      <c r="C159" s="70">
        <v>-9.4899170000000005E-3</v>
      </c>
      <c r="D159" s="15">
        <v>784</v>
      </c>
      <c r="E159" s="32">
        <f t="shared" si="82"/>
        <v>-6.1077844311377243E-2</v>
      </c>
      <c r="F159" s="18">
        <f>IF(ISNUMBER(D159), $B172 * E159, "")</f>
        <v>-9161.6766467065863</v>
      </c>
      <c r="G159" s="31">
        <v>782</v>
      </c>
      <c r="H159" s="32">
        <f t="shared" si="83"/>
        <v>-6.3473053892215567E-2</v>
      </c>
      <c r="I159" s="91">
        <f>IF(ISNUMBER(G159), $B172 * H159, "")</f>
        <v>-9520.9580838323345</v>
      </c>
      <c r="J159" s="15">
        <v>773</v>
      </c>
      <c r="K159" s="32">
        <f t="shared" si="84"/>
        <v>-7.4251497005988029E-2</v>
      </c>
      <c r="L159" s="18">
        <f>IF(ISNUMBER(J159), $B172 * K159, "")</f>
        <v>-11137.724550898205</v>
      </c>
      <c r="M159" s="31">
        <v>771</v>
      </c>
      <c r="N159" s="32">
        <f t="shared" si="85"/>
        <v>-7.6646706586826346E-2</v>
      </c>
      <c r="O159" s="18">
        <f>IF(ISNUMBER(M159), $B172 * N159, "")</f>
        <v>-11497.005988023951</v>
      </c>
      <c r="Q159" s="146"/>
      <c r="R159" s="146"/>
      <c r="S159" s="146"/>
    </row>
    <row r="160" spans="1:19" ht="17.25" thickBot="1">
      <c r="A160" s="109" t="s">
        <v>317</v>
      </c>
      <c r="B160" s="110">
        <v>639</v>
      </c>
      <c r="C160" s="70">
        <v>-1.08359133E-2</v>
      </c>
      <c r="D160" s="15">
        <v>611</v>
      </c>
      <c r="E160" s="32">
        <f t="shared" si="82"/>
        <v>-4.3818466353677622E-2</v>
      </c>
      <c r="F160" s="18">
        <f>IF(ISNUMBER(D160), $B172 * E160, "")</f>
        <v>-6572.7699530516429</v>
      </c>
      <c r="G160" s="31">
        <v>612</v>
      </c>
      <c r="H160" s="32">
        <f t="shared" si="83"/>
        <v>-4.2253521126760563E-2</v>
      </c>
      <c r="I160" s="91">
        <f>IF(ISNUMBER(G160), $B172 * H160, "")</f>
        <v>-6338.0281690140846</v>
      </c>
      <c r="J160" s="15">
        <v>603</v>
      </c>
      <c r="K160" s="32">
        <f t="shared" si="84"/>
        <v>-5.6338028169014086E-2</v>
      </c>
      <c r="L160" s="18">
        <f>IF(ISNUMBER(J160), $B172 * K160, "")</f>
        <v>-8450.7042253521122</v>
      </c>
      <c r="M160" s="31">
        <v>606</v>
      </c>
      <c r="N160" s="32">
        <f t="shared" si="85"/>
        <v>-5.1643192488262914E-2</v>
      </c>
      <c r="O160" s="18">
        <f>IF(ISNUMBER(M160), $B172 * N160, "")</f>
        <v>-7746.4788732394372</v>
      </c>
      <c r="Q160" s="33"/>
      <c r="R160" s="33"/>
    </row>
    <row r="161" spans="1:19" ht="17.25" thickBot="1">
      <c r="A161" s="114" t="s">
        <v>199</v>
      </c>
      <c r="B161" s="115">
        <v>339</v>
      </c>
      <c r="C161" s="72">
        <v>-1.1661807600000001E-2</v>
      </c>
      <c r="D161" s="24">
        <v>328</v>
      </c>
      <c r="E161" s="25">
        <f t="shared" si="82"/>
        <v>-3.2448377581120944E-2</v>
      </c>
      <c r="F161" s="94">
        <f>IF(ISNUMBER(D161), $B172 * E161, "")</f>
        <v>-4867.2566371681414</v>
      </c>
      <c r="G161" s="92">
        <v>326</v>
      </c>
      <c r="H161" s="25">
        <f t="shared" si="83"/>
        <v>-3.8348082595870206E-2</v>
      </c>
      <c r="I161" s="93">
        <f>IF(ISNUMBER(G161), $B172 * H161, "")</f>
        <v>-5752.212389380531</v>
      </c>
      <c r="J161" s="24">
        <v>321</v>
      </c>
      <c r="K161" s="25">
        <f t="shared" si="84"/>
        <v>-5.3097345132743362E-2</v>
      </c>
      <c r="L161" s="94">
        <f>IF(ISNUMBER(J161), $B172 * K161, "")</f>
        <v>-7964.6017699115046</v>
      </c>
      <c r="M161" s="92">
        <v>321</v>
      </c>
      <c r="N161" s="25">
        <f t="shared" si="85"/>
        <v>-5.3097345132743362E-2</v>
      </c>
      <c r="O161" s="94">
        <f>IF(ISNUMBER(M161), $B172 * N161, "")</f>
        <v>-7964.6017699115046</v>
      </c>
      <c r="Q161" s="147"/>
      <c r="R161" s="148"/>
      <c r="S161" s="149"/>
    </row>
    <row r="162" spans="1:19">
      <c r="A162" s="107" t="s">
        <v>161</v>
      </c>
      <c r="B162" s="108">
        <v>332</v>
      </c>
      <c r="C162" s="69">
        <v>-1.19047619E-2</v>
      </c>
      <c r="D162" s="13">
        <v>317</v>
      </c>
      <c r="E162" s="14">
        <f>IF(ISNUMBER(D162), (D162 - $B162) / $B162, "")</f>
        <v>-4.5180722891566265E-2</v>
      </c>
      <c r="F162" s="16">
        <f>IF(ISNUMBER(D162), $B172 * E162, "")</f>
        <v>-6777.1084337349394</v>
      </c>
      <c r="G162" s="29">
        <v>321</v>
      </c>
      <c r="H162" s="14">
        <f>IF(ISNUMBER(G162), (G162 - $B162) / $B162, "")</f>
        <v>-3.313253012048193E-2</v>
      </c>
      <c r="I162" s="90">
        <f>IF(ISNUMBER(G162), $B172 * H162, "")</f>
        <v>-4969.8795180722891</v>
      </c>
      <c r="J162" s="13">
        <v>317</v>
      </c>
      <c r="K162" s="14">
        <f>IF(ISNUMBER(J162), (J162 - $B162) / $B162, "")</f>
        <v>-4.5180722891566265E-2</v>
      </c>
      <c r="L162" s="16">
        <f>IF(ISNUMBER(J162), $B172 * K162, "")</f>
        <v>-6777.1084337349394</v>
      </c>
      <c r="M162" s="29">
        <v>318</v>
      </c>
      <c r="N162" s="14">
        <f>IF(ISNUMBER(M162), (M162 - $B162) / $B162, "")</f>
        <v>-4.2168674698795178E-2</v>
      </c>
      <c r="O162" s="16">
        <f>IF(ISNUMBER(M162), $B172 * N162, "")</f>
        <v>-6325.3012048192768</v>
      </c>
      <c r="Q162" s="150"/>
      <c r="R162" s="151"/>
      <c r="S162" s="152"/>
    </row>
    <row r="163" spans="1:19" ht="17.25" thickBot="1">
      <c r="A163" s="109" t="s">
        <v>332</v>
      </c>
      <c r="B163" s="110">
        <v>590</v>
      </c>
      <c r="C163" s="70">
        <v>-1.33779264E-2</v>
      </c>
      <c r="D163" s="15">
        <v>565</v>
      </c>
      <c r="E163" s="32">
        <f t="shared" ref="E163:E166" si="86">IF(ISNUMBER(D163), (D163 - $B163) / $B163, "")</f>
        <v>-4.2372881355932202E-2</v>
      </c>
      <c r="F163" s="18">
        <f>IF(ISNUMBER(D163), $B172 * E163, "")</f>
        <v>-6355.9322033898306</v>
      </c>
      <c r="G163" s="31">
        <v>567</v>
      </c>
      <c r="H163" s="32">
        <f t="shared" ref="H163:H166" si="87">IF(ISNUMBER(G163), (G163 - $B163) / $B163, "")</f>
        <v>-3.898305084745763E-2</v>
      </c>
      <c r="I163" s="91">
        <f>IF(ISNUMBER(G163), $B172 * H163, "")</f>
        <v>-5847.4576271186443</v>
      </c>
      <c r="J163" s="15">
        <v>561</v>
      </c>
      <c r="K163" s="32">
        <f t="shared" ref="K163:K166" si="88">IF(ISNUMBER(J163), (J163 - $B163) / $B163, "")</f>
        <v>-4.9152542372881358E-2</v>
      </c>
      <c r="L163" s="18">
        <f>IF(ISNUMBER(J163), $B172 * K163, "")</f>
        <v>-7372.8813559322034</v>
      </c>
      <c r="M163" s="31">
        <v>575</v>
      </c>
      <c r="N163" s="32">
        <f t="shared" ref="N163:N166" si="89">IF(ISNUMBER(M163), (M163 - $B163) / $B163, "")</f>
        <v>-2.5423728813559324E-2</v>
      </c>
      <c r="O163" s="18">
        <f>IF(ISNUMBER(M163), $B172 * N163, "")</f>
        <v>-3813.5593220338988</v>
      </c>
      <c r="Q163" s="153"/>
      <c r="R163" s="154"/>
      <c r="S163" s="155"/>
    </row>
    <row r="164" spans="1:19" ht="17.25" thickBot="1">
      <c r="A164" s="109" t="s">
        <v>66</v>
      </c>
      <c r="B164" s="110">
        <v>753</v>
      </c>
      <c r="C164" s="70">
        <v>-1.4397905799999999E-2</v>
      </c>
      <c r="D164" s="15">
        <v>742</v>
      </c>
      <c r="E164" s="32">
        <f t="shared" si="86"/>
        <v>-1.4608233731739707E-2</v>
      </c>
      <c r="F164" s="18">
        <f>IF(ISNUMBER(D164), $B172 * E164, "")</f>
        <v>-2191.2350597609561</v>
      </c>
      <c r="G164" s="31">
        <v>743</v>
      </c>
      <c r="H164" s="32">
        <f t="shared" si="87"/>
        <v>-1.3280212483399735E-2</v>
      </c>
      <c r="I164" s="91">
        <f>IF(ISNUMBER(G164), $B172 * H164, "")</f>
        <v>-1992.0318725099603</v>
      </c>
      <c r="J164" s="15">
        <v>742</v>
      </c>
      <c r="K164" s="32">
        <f t="shared" si="88"/>
        <v>-1.4608233731739707E-2</v>
      </c>
      <c r="L164" s="18">
        <f>IF(ISNUMBER(J164), $B172 * K164, "")</f>
        <v>-2191.2350597609561</v>
      </c>
      <c r="M164" s="31">
        <v>742</v>
      </c>
      <c r="N164" s="32">
        <f t="shared" si="89"/>
        <v>-1.4608233731739707E-2</v>
      </c>
      <c r="O164" s="18">
        <f>IF(ISNUMBER(M164), $B172 * N164, "")</f>
        <v>-2191.2350597609561</v>
      </c>
      <c r="Q164" s="146"/>
      <c r="R164" s="146"/>
      <c r="S164" s="146"/>
    </row>
    <row r="165" spans="1:19" ht="17.25" thickBot="1">
      <c r="A165" s="109" t="s">
        <v>319</v>
      </c>
      <c r="B165" s="110">
        <v>586</v>
      </c>
      <c r="C165" s="70">
        <v>-1.67785235E-2</v>
      </c>
      <c r="D165" s="15">
        <v>545</v>
      </c>
      <c r="E165" s="32">
        <f t="shared" si="86"/>
        <v>-6.9965870307167236E-2</v>
      </c>
      <c r="F165" s="18">
        <f>IF(ISNUMBER(D165), $B172 * E165, "")</f>
        <v>-10494.880546075085</v>
      </c>
      <c r="G165" s="31">
        <v>539</v>
      </c>
      <c r="H165" s="32">
        <f t="shared" si="87"/>
        <v>-8.0204778156996587E-2</v>
      </c>
      <c r="I165" s="91">
        <f>IF(ISNUMBER(G165), $B172 * H165, "")</f>
        <v>-12030.716723549487</v>
      </c>
      <c r="J165" s="15">
        <v>532</v>
      </c>
      <c r="K165" s="32">
        <f t="shared" si="88"/>
        <v>-9.2150170648464161E-2</v>
      </c>
      <c r="L165" s="18">
        <f>IF(ISNUMBER(J165), $B172 * K165, "")</f>
        <v>-13822.525597269625</v>
      </c>
      <c r="M165" s="31">
        <v>536</v>
      </c>
      <c r="N165" s="32">
        <f t="shared" si="89"/>
        <v>-8.5324232081911269E-2</v>
      </c>
      <c r="O165" s="18">
        <f>IF(ISNUMBER(M165), $B172 * N165, "")</f>
        <v>-12798.634812286691</v>
      </c>
      <c r="Q165" s="156"/>
      <c r="R165" s="156"/>
      <c r="S165" s="156"/>
    </row>
    <row r="166" spans="1:19" ht="17.25" thickBot="1">
      <c r="A166" s="111" t="s">
        <v>187</v>
      </c>
      <c r="B166" s="112">
        <v>847</v>
      </c>
      <c r="C166" s="71">
        <v>-2.1939953799999998E-2</v>
      </c>
      <c r="D166" s="20">
        <v>826</v>
      </c>
      <c r="E166" s="21">
        <f t="shared" si="86"/>
        <v>-2.4793388429752067E-2</v>
      </c>
      <c r="F166" s="22">
        <f>IF(ISNUMBER(D166), $B172 * E166, "")</f>
        <v>-3719.0082644628101</v>
      </c>
      <c r="G166" s="30">
        <v>830</v>
      </c>
      <c r="H166" s="21">
        <f t="shared" si="87"/>
        <v>-2.0070838252656435E-2</v>
      </c>
      <c r="I166" s="95">
        <f>IF(ISNUMBER(G166), $B172 * H166, "")</f>
        <v>-3010.6257378984651</v>
      </c>
      <c r="J166" s="20">
        <v>828</v>
      </c>
      <c r="K166" s="21">
        <f t="shared" si="88"/>
        <v>-2.2432113341204249E-2</v>
      </c>
      <c r="L166" s="22">
        <f>IF(ISNUMBER(J166), $B172 * K166, "")</f>
        <v>-3364.8170011806374</v>
      </c>
      <c r="M166" s="30">
        <v>827</v>
      </c>
      <c r="N166" s="21">
        <f t="shared" si="89"/>
        <v>-2.3612750885478158E-2</v>
      </c>
      <c r="O166" s="22">
        <f>IF(ISNUMBER(M166), $B172 * N166, "")</f>
        <v>-3541.9126328217235</v>
      </c>
      <c r="Q166" s="156"/>
      <c r="R166" s="156"/>
      <c r="S166" s="156"/>
    </row>
    <row r="167" spans="1:19" ht="17.25" thickBot="1">
      <c r="A167" s="109" t="s">
        <v>176</v>
      </c>
      <c r="B167" s="113">
        <v>351</v>
      </c>
      <c r="C167" s="73">
        <v>-2.5000000000000001E-2</v>
      </c>
      <c r="D167" s="96">
        <v>341</v>
      </c>
      <c r="E167" s="97">
        <f>IF(ISNUMBER(D167), (D167 - $B167) / $B167, "")</f>
        <v>-2.8490028490028491E-2</v>
      </c>
      <c r="F167" s="98">
        <f>IF(ISNUMBER(D167), $B172 * E167, "")</f>
        <v>-4273.5042735042734</v>
      </c>
      <c r="G167" s="99">
        <v>341</v>
      </c>
      <c r="H167" s="97">
        <f>IF(ISNUMBER(G167), (G167 - $B167) / $B167, "")</f>
        <v>-2.8490028490028491E-2</v>
      </c>
      <c r="I167" s="100">
        <f>IF(ISNUMBER(G167), $B172 * H167, "")</f>
        <v>-4273.5042735042734</v>
      </c>
      <c r="J167" s="96">
        <v>339</v>
      </c>
      <c r="K167" s="97">
        <f>IF(ISNUMBER(J167), (J167 - $B167) / $B167, "")</f>
        <v>-3.4188034188034191E-2</v>
      </c>
      <c r="L167" s="98">
        <f>IF(ISNUMBER(J167), $B172 * K167, "")</f>
        <v>-5128.2051282051289</v>
      </c>
      <c r="M167" s="99">
        <v>341</v>
      </c>
      <c r="N167" s="97">
        <f>IF(ISNUMBER(M167), (M167 - $B167) / $B167, "")</f>
        <v>-2.8490028490028491E-2</v>
      </c>
      <c r="O167" s="98">
        <f>IF(ISNUMBER(M167), $B172 * N167, "")</f>
        <v>-4273.5042735042734</v>
      </c>
      <c r="Q167" s="146"/>
      <c r="R167" s="146"/>
      <c r="S167" s="146"/>
    </row>
    <row r="168" spans="1:19" ht="17.25" thickBot="1">
      <c r="A168" s="109" t="s">
        <v>231</v>
      </c>
      <c r="B168" s="110">
        <v>384</v>
      </c>
      <c r="C168" s="70">
        <v>-2.7848101300000001E-2</v>
      </c>
      <c r="D168" s="15">
        <v>368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370</v>
      </c>
      <c r="H168" s="32">
        <f t="shared" ref="H168:H171" si="91">IF(ISNUMBER(G168), (G168 - $B168) / $B168, "")</f>
        <v>-3.6458333333333336E-2</v>
      </c>
      <c r="I168" s="91">
        <f>IF(ISNUMBER(G168), $B172 * H168, "")</f>
        <v>-5468.75</v>
      </c>
      <c r="J168" s="15">
        <v>366</v>
      </c>
      <c r="K168" s="32">
        <f t="shared" ref="K168:K171" si="92">IF(ISNUMBER(J168), (J168 - $B168) / $B168, "")</f>
        <v>-4.6875E-2</v>
      </c>
      <c r="L168" s="18">
        <f>IF(ISNUMBER(J168), $B172 * K168, "")</f>
        <v>-7031.25</v>
      </c>
      <c r="M168" s="31">
        <v>367</v>
      </c>
      <c r="N168" s="32">
        <f t="shared" ref="N168:N171" si="93">IF(ISNUMBER(M168), (M168 - $B168) / $B168, "")</f>
        <v>-4.4270833333333336E-2</v>
      </c>
      <c r="O168" s="18">
        <f>IF(ISNUMBER(M168), $B172 * N168, "")</f>
        <v>-6640.625</v>
      </c>
      <c r="Q168" s="146"/>
      <c r="R168" s="146"/>
      <c r="S168" s="146"/>
    </row>
    <row r="169" spans="1:19" ht="17.25" thickBot="1">
      <c r="A169" s="109" t="s">
        <v>205</v>
      </c>
      <c r="B169" s="110">
        <v>118</v>
      </c>
      <c r="C169" s="70">
        <v>-3.2786885199999997E-2</v>
      </c>
      <c r="D169" s="15">
        <v>114</v>
      </c>
      <c r="E169" s="32">
        <f t="shared" si="90"/>
        <v>-3.3898305084745763E-2</v>
      </c>
      <c r="F169" s="18">
        <f>IF(ISNUMBER(D169), $B172 * E169, "")</f>
        <v>-5084.7457627118647</v>
      </c>
      <c r="G169" s="31">
        <v>112</v>
      </c>
      <c r="H169" s="32">
        <f t="shared" si="91"/>
        <v>-5.0847457627118647E-2</v>
      </c>
      <c r="I169" s="91">
        <f>IF(ISNUMBER(G169), $B172 * H169, "")</f>
        <v>-7627.1186440677975</v>
      </c>
      <c r="J169" s="15">
        <v>111</v>
      </c>
      <c r="K169" s="32">
        <f t="shared" si="92"/>
        <v>-5.9322033898305086E-2</v>
      </c>
      <c r="L169" s="18">
        <f>IF(ISNUMBER(J169), $B172 * K169, "")</f>
        <v>-8898.3050847457635</v>
      </c>
      <c r="M169" s="31">
        <v>111</v>
      </c>
      <c r="N169" s="32">
        <f t="shared" si="93"/>
        <v>-5.9322033898305086E-2</v>
      </c>
      <c r="O169" s="18">
        <f>IF(ISNUMBER(M169), $B172 * N169, "")</f>
        <v>-8898.3050847457635</v>
      </c>
      <c r="Q169" s="146"/>
      <c r="R169" s="146"/>
      <c r="S169" s="146"/>
    </row>
    <row r="170" spans="1:19">
      <c r="A170" s="109" t="s">
        <v>345</v>
      </c>
      <c r="B170" s="110">
        <v>163</v>
      </c>
      <c r="C170" s="70">
        <v>-5.7803468199999999E-2</v>
      </c>
      <c r="D170" s="15">
        <v>167</v>
      </c>
      <c r="E170" s="32">
        <f t="shared" si="90"/>
        <v>2.4539877300613498E-2</v>
      </c>
      <c r="F170" s="18">
        <f>IF(ISNUMBER(D170), $B172 * E170, "")</f>
        <v>3680.9815950920247</v>
      </c>
      <c r="G170" s="31">
        <v>166</v>
      </c>
      <c r="H170" s="32">
        <f t="shared" si="91"/>
        <v>1.8404907975460124E-2</v>
      </c>
      <c r="I170" s="91">
        <f>IF(ISNUMBER(G170), $B172 * H170, "")</f>
        <v>2760.7361963190187</v>
      </c>
      <c r="J170" s="15">
        <v>163</v>
      </c>
      <c r="K170" s="32">
        <f t="shared" si="92"/>
        <v>0</v>
      </c>
      <c r="L170" s="18">
        <f>IF(ISNUMBER(J170), $B172 * K170, "")</f>
        <v>0</v>
      </c>
      <c r="M170" s="31">
        <v>162</v>
      </c>
      <c r="N170" s="32">
        <f t="shared" si="93"/>
        <v>-6.1349693251533744E-3</v>
      </c>
      <c r="O170" s="18">
        <f>IF(ISNUMBER(M170), $B172 * N170, "")</f>
        <v>-920.24539877300617</v>
      </c>
      <c r="Q170" s="135"/>
      <c r="R170" s="136"/>
      <c r="S170" s="137"/>
    </row>
    <row r="171" spans="1:19" ht="17.25" thickBot="1">
      <c r="A171" s="114" t="s">
        <v>68</v>
      </c>
      <c r="B171" s="115">
        <v>592</v>
      </c>
      <c r="C171" s="72">
        <v>-6.6246056799999994E-2</v>
      </c>
      <c r="D171" s="24">
        <v>603</v>
      </c>
      <c r="E171" s="25">
        <f t="shared" si="90"/>
        <v>1.8581081081081082E-2</v>
      </c>
      <c r="F171" s="94">
        <f>IF(ISNUMBER(D171), $B172 * E171, "")</f>
        <v>2787.1621621621625</v>
      </c>
      <c r="G171" s="92">
        <v>600</v>
      </c>
      <c r="H171" s="25">
        <f t="shared" si="91"/>
        <v>1.3513513513513514E-2</v>
      </c>
      <c r="I171" s="93">
        <f>IF(ISNUMBER(G171), $B172 * H171, "")</f>
        <v>2027.0270270270271</v>
      </c>
      <c r="J171" s="24">
        <v>591</v>
      </c>
      <c r="K171" s="25">
        <f t="shared" si="92"/>
        <v>-1.6891891891891893E-3</v>
      </c>
      <c r="L171" s="94">
        <f>IF(ISNUMBER(J171), $B172 * K171, "")</f>
        <v>-253.37837837837839</v>
      </c>
      <c r="M171" s="92">
        <v>575</v>
      </c>
      <c r="N171" s="25">
        <f t="shared" si="93"/>
        <v>-2.8716216216216218E-2</v>
      </c>
      <c r="O171" s="94">
        <f>IF(ISNUMBER(M171), $B172 * N171, "")</f>
        <v>-4307.4324324324325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-2.3388733161866737E-2</v>
      </c>
      <c r="F172" s="28">
        <f>SUM(F152:F171)</f>
        <v>-70166.199485600227</v>
      </c>
      <c r="G172" s="26" t="s">
        <v>258</v>
      </c>
      <c r="H172" s="27">
        <f>IF(COUNT(H152:H171), SUM(H152:H171) / COUNT(H152:H171), 0)</f>
        <v>-2.9777911756346052E-2</v>
      </c>
      <c r="I172" s="28">
        <f>SUM(I152:I171)</f>
        <v>-89333.735269038152</v>
      </c>
      <c r="J172" s="26" t="s">
        <v>258</v>
      </c>
      <c r="K172" s="27">
        <f>IF(COUNT(K152:K171), SUM(K152:K171) / COUNT(K152:K171), 0)</f>
        <v>-3.6740960528662339E-2</v>
      </c>
      <c r="L172" s="28">
        <f>SUM(L152:L171)</f>
        <v>-110222.88158598704</v>
      </c>
      <c r="M172" s="26" t="s">
        <v>258</v>
      </c>
      <c r="N172" s="27">
        <f>IF(COUNT(N152:N171), SUM(N152:N171) / COUNT(N152:N171), 0)</f>
        <v>-3.6054424631049756E-2</v>
      </c>
      <c r="O172" s="28">
        <f>SUM(O152:O171)</f>
        <v>-108163.27389314925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2023-01-19(목) 오전 00:00</v>
      </c>
      <c r="C177" s="198"/>
      <c r="D177" s="170" t="str">
        <f>TEXT($G$1, "[$-ko-KR]yyyy-mm-dd(ddd) ") &amp; "오후 14:00"</f>
        <v>2023-01-19(목) 오후 14:00</v>
      </c>
      <c r="E177" s="171"/>
      <c r="F177" s="172"/>
      <c r="G177" s="170" t="str">
        <f>TEXT($G$1, "[$-ko-KR]yyyy-mm-dd(ddd) ") &amp; "오후 19:00"</f>
        <v>2023-01-19(목) 오후 19:00</v>
      </c>
      <c r="H177" s="171"/>
      <c r="I177" s="172"/>
      <c r="J177" s="170" t="str">
        <f>TEXT($G$1, "[$-ko-KR]yyyy-mm-dd(ddd) ") &amp; "오후 21:00"</f>
        <v>2023-01-19(목) 오후 21:00</v>
      </c>
      <c r="K177" s="171"/>
      <c r="L177" s="172"/>
      <c r="M177" s="170" t="str">
        <f>TEXT($G$1+1, "[$-ko-KR]yyyy-mm-dd(ddd) ") &amp; "오전 00:00"</f>
        <v>2023-01-20(금)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126</v>
      </c>
      <c r="B179" s="108">
        <v>33.1</v>
      </c>
      <c r="C179" s="69">
        <v>-2.3598820100000001E-2</v>
      </c>
      <c r="D179" s="13">
        <v>31.3</v>
      </c>
      <c r="E179" s="14">
        <f>IF(ISNUMBER(D179), (D179 - $B179) / $B179, "")</f>
        <v>-5.4380664652567995E-2</v>
      </c>
      <c r="F179" s="16">
        <f>IF(ISNUMBER(D179), $B199 * E179, "")</f>
        <v>-8157.099697885199</v>
      </c>
      <c r="G179" s="29">
        <v>31.4</v>
      </c>
      <c r="H179" s="14">
        <f>IF(ISNUMBER(G179), (G179 - $B179) / $B179, "")</f>
        <v>-5.1359516616314285E-2</v>
      </c>
      <c r="I179" s="90">
        <f>IF(ISNUMBER(G179), $B199 * H179, "")</f>
        <v>-7703.9274924471429</v>
      </c>
      <c r="J179" s="13">
        <v>30.9</v>
      </c>
      <c r="K179" s="14">
        <f>IF(ISNUMBER(J179), (J179 - $B179) / $B179, "")</f>
        <v>-6.6465256797583167E-2</v>
      </c>
      <c r="L179" s="16">
        <f>IF(ISNUMBER(J179), $B199 * K179, "")</f>
        <v>-9969.7885196374755</v>
      </c>
      <c r="M179" s="29">
        <v>31.4</v>
      </c>
      <c r="N179" s="14">
        <f>IF(ISNUMBER(M179), (M179 - $B179) / $B179, "")</f>
        <v>-5.1359516616314285E-2</v>
      </c>
      <c r="O179" s="16">
        <f>IF(ISNUMBER(M179), $B199 * N179, "")</f>
        <v>-7703.9274924471429</v>
      </c>
      <c r="Q179" s="156"/>
      <c r="R179" s="156"/>
      <c r="S179" s="156"/>
    </row>
    <row r="180" spans="1:19" ht="17.25" thickBot="1">
      <c r="A180" s="109" t="s">
        <v>176</v>
      </c>
      <c r="B180" s="110">
        <v>351</v>
      </c>
      <c r="C180" s="70">
        <v>-2.5000000000000001E-2</v>
      </c>
      <c r="D180" s="15">
        <v>341</v>
      </c>
      <c r="E180" s="32">
        <f t="shared" ref="E180:E183" si="94">IF(ISNUMBER(D180), (D180 - $B180) / $B180, "")</f>
        <v>-2.8490028490028491E-2</v>
      </c>
      <c r="F180" s="18">
        <f>IF(ISNUMBER(D180), $B199 * E180, "")</f>
        <v>-4273.5042735042734</v>
      </c>
      <c r="G180" s="31">
        <v>341</v>
      </c>
      <c r="H180" s="32">
        <f t="shared" ref="H180:H183" si="95">IF(ISNUMBER(G180), (G180 - $B180) / $B180, "")</f>
        <v>-2.8490028490028491E-2</v>
      </c>
      <c r="I180" s="91">
        <f>IF(ISNUMBER(G180), $B199 * H180, "")</f>
        <v>-4273.5042735042734</v>
      </c>
      <c r="J180" s="15">
        <v>339</v>
      </c>
      <c r="K180" s="32">
        <f t="shared" ref="K180:K183" si="96">IF(ISNUMBER(J180), (J180 - $B180) / $B180, "")</f>
        <v>-3.4188034188034191E-2</v>
      </c>
      <c r="L180" s="18">
        <f>IF(ISNUMBER(J180), $B199 * K180, "")</f>
        <v>-5128.2051282051289</v>
      </c>
      <c r="M180" s="31">
        <v>341</v>
      </c>
      <c r="N180" s="32">
        <f t="shared" ref="N180:N183" si="97">IF(ISNUMBER(M180), (M180 - $B180) / $B180, "")</f>
        <v>-2.8490028490028491E-2</v>
      </c>
      <c r="O180" s="18">
        <f>IF(ISNUMBER(M180), $B199 * N180, "")</f>
        <v>-4273.5042735042734</v>
      </c>
      <c r="Q180" s="156"/>
      <c r="R180" s="156"/>
      <c r="S180" s="156"/>
    </row>
    <row r="181" spans="1:19" ht="17.25" thickBot="1">
      <c r="A181" s="109" t="s">
        <v>203</v>
      </c>
      <c r="B181" s="110">
        <v>3.64</v>
      </c>
      <c r="C181" s="70">
        <v>-2.67379679E-2</v>
      </c>
      <c r="D181" s="15">
        <v>3.53</v>
      </c>
      <c r="E181" s="32">
        <f t="shared" si="94"/>
        <v>-3.0219780219780307E-2</v>
      </c>
      <c r="F181" s="18">
        <f>IF(ISNUMBER(D181), $B199 * E181, "")</f>
        <v>-4532.9670329670462</v>
      </c>
      <c r="G181" s="31">
        <v>3.52</v>
      </c>
      <c r="H181" s="32">
        <f t="shared" si="95"/>
        <v>-3.2967032967032996E-2</v>
      </c>
      <c r="I181" s="91">
        <f>IF(ISNUMBER(G181), $B199 * H181, "")</f>
        <v>-4945.0549450549497</v>
      </c>
      <c r="J181" s="15">
        <v>3.49</v>
      </c>
      <c r="K181" s="32">
        <f t="shared" si="96"/>
        <v>-4.120879120879118E-2</v>
      </c>
      <c r="L181" s="18">
        <f>IF(ISNUMBER(J181), $B199 * K181, "")</f>
        <v>-6181.3186813186767</v>
      </c>
      <c r="M181" s="31">
        <v>3.47</v>
      </c>
      <c r="N181" s="32">
        <f t="shared" si="97"/>
        <v>-4.6703296703296683E-2</v>
      </c>
      <c r="O181" s="18">
        <f>IF(ISNUMBER(M181), $B199 * N181, "")</f>
        <v>-7005.4945054945028</v>
      </c>
      <c r="Q181" s="146"/>
      <c r="R181" s="146"/>
      <c r="S181" s="146"/>
    </row>
    <row r="182" spans="1:19" ht="17.25" thickBot="1">
      <c r="A182" s="109" t="s">
        <v>231</v>
      </c>
      <c r="B182" s="110">
        <v>384</v>
      </c>
      <c r="C182" s="70">
        <v>-2.7848101300000001E-2</v>
      </c>
      <c r="D182" s="15">
        <v>368</v>
      </c>
      <c r="E182" s="32">
        <f t="shared" si="94"/>
        <v>-4.1666666666666664E-2</v>
      </c>
      <c r="F182" s="18">
        <f>IF(ISNUMBER(D182), $B199 * E182, "")</f>
        <v>-6250</v>
      </c>
      <c r="G182" s="31">
        <v>370</v>
      </c>
      <c r="H182" s="32">
        <f t="shared" si="95"/>
        <v>-3.6458333333333336E-2</v>
      </c>
      <c r="I182" s="91">
        <f>IF(ISNUMBER(G182), $B199 * H182, "")</f>
        <v>-5468.75</v>
      </c>
      <c r="J182" s="15">
        <v>366</v>
      </c>
      <c r="K182" s="32">
        <f t="shared" si="96"/>
        <v>-4.6875E-2</v>
      </c>
      <c r="L182" s="18">
        <f>IF(ISNUMBER(J182), $B199 * K182, "")</f>
        <v>-7031.25</v>
      </c>
      <c r="M182" s="31">
        <v>367</v>
      </c>
      <c r="N182" s="32">
        <f t="shared" si="97"/>
        <v>-4.4270833333333336E-2</v>
      </c>
      <c r="O182" s="18">
        <f>IF(ISNUMBER(M182), $B199 * N182, "")</f>
        <v>-6640.625</v>
      </c>
      <c r="Q182" s="146"/>
      <c r="R182" s="146"/>
      <c r="S182" s="146"/>
    </row>
    <row r="183" spans="1:19" ht="17.25" thickBot="1">
      <c r="A183" s="111" t="s">
        <v>349</v>
      </c>
      <c r="B183" s="112">
        <v>27.5</v>
      </c>
      <c r="C183" s="71">
        <v>-2.8268551199999999E-2</v>
      </c>
      <c r="D183" s="20">
        <v>26</v>
      </c>
      <c r="E183" s="21">
        <f t="shared" si="94"/>
        <v>-5.4545454545454543E-2</v>
      </c>
      <c r="F183" s="22">
        <f>IF(ISNUMBER(D183), $B199 * E183, "")</f>
        <v>-8181.8181818181811</v>
      </c>
      <c r="G183" s="30">
        <v>25.9</v>
      </c>
      <c r="H183" s="21">
        <f t="shared" si="95"/>
        <v>-5.818181818181823E-2</v>
      </c>
      <c r="I183" s="95">
        <f>IF(ISNUMBER(G183), $B199 * H183, "")</f>
        <v>-8727.2727272727352</v>
      </c>
      <c r="J183" s="20">
        <v>25.7</v>
      </c>
      <c r="K183" s="21">
        <f t="shared" si="96"/>
        <v>-6.5454545454545474E-2</v>
      </c>
      <c r="L183" s="22">
        <f>IF(ISNUMBER(J183), $B199 * K183, "")</f>
        <v>-9818.1818181818217</v>
      </c>
      <c r="M183" s="30">
        <v>25.7</v>
      </c>
      <c r="N183" s="21">
        <f t="shared" si="97"/>
        <v>-6.5454545454545474E-2</v>
      </c>
      <c r="O183" s="22">
        <f>IF(ISNUMBER(M183), $B199 * N183, "")</f>
        <v>-9818.1818181818217</v>
      </c>
      <c r="Q183" s="146"/>
      <c r="R183" s="146"/>
      <c r="S183" s="146"/>
    </row>
    <row r="184" spans="1:19" ht="17.25" thickBot="1">
      <c r="A184" s="109" t="s">
        <v>227</v>
      </c>
      <c r="B184" s="113">
        <v>43.4</v>
      </c>
      <c r="C184" s="73">
        <v>-2.9082773999999999E-2</v>
      </c>
      <c r="D184" s="96">
        <v>41.8</v>
      </c>
      <c r="E184" s="97">
        <f>IF(ISNUMBER(D184), (D184 - $B184) / $B184, "")</f>
        <v>-3.6866359447004643E-2</v>
      </c>
      <c r="F184" s="98">
        <f>IF(ISNUMBER(D184), $B199 * E184, "")</f>
        <v>-5529.9539170506969</v>
      </c>
      <c r="G184" s="99">
        <v>42</v>
      </c>
      <c r="H184" s="97">
        <f>IF(ISNUMBER(G184), (G184 - $B184) / $B184, "")</f>
        <v>-3.2258064516129004E-2</v>
      </c>
      <c r="I184" s="100">
        <f>IF(ISNUMBER(G184), $B199 * H184, "")</f>
        <v>-4838.7096774193506</v>
      </c>
      <c r="J184" s="96">
        <v>41.7</v>
      </c>
      <c r="K184" s="97">
        <f>IF(ISNUMBER(J184), (J184 - $B184) / $B184, "")</f>
        <v>-3.9170506912442296E-2</v>
      </c>
      <c r="L184" s="98">
        <f>IF(ISNUMBER(J184), $B199 * K184, "")</f>
        <v>-5875.5760368663441</v>
      </c>
      <c r="M184" s="99">
        <v>41.5</v>
      </c>
      <c r="N184" s="97">
        <f>IF(ISNUMBER(M184), (M184 - $B184) / $B184, "")</f>
        <v>-4.3778801843317942E-2</v>
      </c>
      <c r="O184" s="98">
        <f>IF(ISNUMBER(M184), $B199 * N184, "")</f>
        <v>-6566.8202764976913</v>
      </c>
      <c r="Q184" s="146"/>
      <c r="R184" s="146"/>
      <c r="S184" s="146"/>
    </row>
    <row r="185" spans="1:19" ht="17.25" thickBot="1">
      <c r="A185" s="109" t="s">
        <v>207</v>
      </c>
      <c r="B185" s="110">
        <v>71.900000000000006</v>
      </c>
      <c r="C185" s="70">
        <v>-3.23014805E-2</v>
      </c>
      <c r="D185" s="15">
        <v>68.7</v>
      </c>
      <c r="E185" s="32">
        <f t="shared" ref="E185:E188" si="98">IF(ISNUMBER(D185), (D185 - $B185) / $B185, "")</f>
        <v>-4.4506258692628684E-2</v>
      </c>
      <c r="F185" s="18">
        <f>IF(ISNUMBER(D185), $B199 * E185, "")</f>
        <v>-6675.9388038943025</v>
      </c>
      <c r="G185" s="31">
        <v>69.7</v>
      </c>
      <c r="H185" s="32">
        <f t="shared" ref="H185:H188" si="99">IF(ISNUMBER(G185), (G185 - $B185) / $B185, "")</f>
        <v>-3.0598052851182233E-2</v>
      </c>
      <c r="I185" s="91">
        <f>IF(ISNUMBER(G185), $B199 * H185, "")</f>
        <v>-4589.7079276773347</v>
      </c>
      <c r="J185" s="15">
        <v>68.8</v>
      </c>
      <c r="K185" s="32">
        <f t="shared" ref="K185:K188" si="100">IF(ISNUMBER(J185), (J185 - $B185) / $B185, "")</f>
        <v>-4.3115438108484123E-2</v>
      </c>
      <c r="L185" s="18">
        <f>IF(ISNUMBER(J185), $B199 * K185, "")</f>
        <v>-6467.3157162726184</v>
      </c>
      <c r="M185" s="31">
        <v>69.400000000000006</v>
      </c>
      <c r="N185" s="32">
        <f t="shared" ref="N185:N188" si="101">IF(ISNUMBER(M185), (M185 - $B185) / $B185, "")</f>
        <v>-3.4770514603616132E-2</v>
      </c>
      <c r="O185" s="18">
        <f>IF(ISNUMBER(M185), $B199 * N185, "")</f>
        <v>-5215.5771905424199</v>
      </c>
      <c r="Q185" s="146"/>
      <c r="R185" s="146"/>
      <c r="S185" s="146"/>
    </row>
    <row r="186" spans="1:19" ht="17.25" thickBot="1">
      <c r="A186" s="109" t="s">
        <v>205</v>
      </c>
      <c r="B186" s="110">
        <v>118</v>
      </c>
      <c r="C186" s="70">
        <v>-3.2786885199999997E-2</v>
      </c>
      <c r="D186" s="15">
        <v>114</v>
      </c>
      <c r="E186" s="32">
        <f t="shared" si="98"/>
        <v>-3.3898305084745763E-2</v>
      </c>
      <c r="F186" s="18">
        <f>IF(ISNUMBER(D186), $B199 * E186, "")</f>
        <v>-5084.7457627118647</v>
      </c>
      <c r="G186" s="31">
        <v>112</v>
      </c>
      <c r="H186" s="32">
        <f t="shared" si="99"/>
        <v>-5.0847457627118647E-2</v>
      </c>
      <c r="I186" s="91">
        <f>IF(ISNUMBER(G186), $B199 * H186, "")</f>
        <v>-7627.1186440677975</v>
      </c>
      <c r="J186" s="15">
        <v>111</v>
      </c>
      <c r="K186" s="32">
        <f t="shared" si="100"/>
        <v>-5.9322033898305086E-2</v>
      </c>
      <c r="L186" s="18">
        <f>IF(ISNUMBER(J186), $B199 * K186, "")</f>
        <v>-8898.3050847457635</v>
      </c>
      <c r="M186" s="31">
        <v>111</v>
      </c>
      <c r="N186" s="32">
        <f t="shared" si="101"/>
        <v>-5.9322033898305086E-2</v>
      </c>
      <c r="O186" s="18">
        <f>IF(ISNUMBER(M186), $B199 * N186, "")</f>
        <v>-8898.3050847457635</v>
      </c>
      <c r="Q186" s="146"/>
      <c r="R186" s="146"/>
      <c r="S186" s="146"/>
    </row>
    <row r="187" spans="1:19" ht="17.25" thickBot="1">
      <c r="A187" s="109" t="s">
        <v>191</v>
      </c>
      <c r="B187" s="110">
        <v>59</v>
      </c>
      <c r="C187" s="70">
        <v>-3.4369885400000001E-2</v>
      </c>
      <c r="D187" s="15">
        <v>57.7</v>
      </c>
      <c r="E187" s="32">
        <f t="shared" si="98"/>
        <v>-2.2033898305084697E-2</v>
      </c>
      <c r="F187" s="18">
        <f>IF(ISNUMBER(D187), $B199 * E187, "")</f>
        <v>-3305.0847457627046</v>
      </c>
      <c r="G187" s="31">
        <v>57</v>
      </c>
      <c r="H187" s="32">
        <f t="shared" si="99"/>
        <v>-3.3898305084745763E-2</v>
      </c>
      <c r="I187" s="91">
        <f>IF(ISNUMBER(G187), $B199 * H187, "")</f>
        <v>-5084.7457627118647</v>
      </c>
      <c r="J187" s="15">
        <v>57.2</v>
      </c>
      <c r="K187" s="32">
        <f t="shared" si="100"/>
        <v>-3.0508474576271139E-2</v>
      </c>
      <c r="L187" s="18">
        <f>IF(ISNUMBER(J187), $B199 * K187, "")</f>
        <v>-4576.271186440671</v>
      </c>
      <c r="M187" s="31">
        <v>56.8</v>
      </c>
      <c r="N187" s="32">
        <f t="shared" si="101"/>
        <v>-3.728813559322039E-2</v>
      </c>
      <c r="O187" s="18">
        <f>IF(ISNUMBER(M187), $B199 * N187, "")</f>
        <v>-5593.2203389830584</v>
      </c>
      <c r="Q187" s="33"/>
      <c r="R187" s="33"/>
    </row>
    <row r="188" spans="1:19" ht="17.25" thickBot="1">
      <c r="A188" s="114" t="s">
        <v>132</v>
      </c>
      <c r="B188" s="115">
        <v>54.8</v>
      </c>
      <c r="C188" s="72">
        <v>-3.5211267599999999E-2</v>
      </c>
      <c r="D188" s="24">
        <v>52.1</v>
      </c>
      <c r="E188" s="25">
        <f t="shared" si="98"/>
        <v>-4.9270072992700656E-2</v>
      </c>
      <c r="F188" s="94">
        <f>IF(ISNUMBER(D188), $B199 * E188, "")</f>
        <v>-7390.5109489050983</v>
      </c>
      <c r="G188" s="92">
        <v>52.3</v>
      </c>
      <c r="H188" s="25">
        <f t="shared" si="99"/>
        <v>-4.5620437956204379E-2</v>
      </c>
      <c r="I188" s="93">
        <f>IF(ISNUMBER(G188), $B199 * H188, "")</f>
        <v>-6843.0656934306571</v>
      </c>
      <c r="J188" s="24">
        <v>51.5</v>
      </c>
      <c r="K188" s="25">
        <f t="shared" si="100"/>
        <v>-6.0218978102189735E-2</v>
      </c>
      <c r="L188" s="94">
        <f>IF(ISNUMBER(J188), $B199 * K188, "")</f>
        <v>-9032.84671532846</v>
      </c>
      <c r="M188" s="92">
        <v>51.7</v>
      </c>
      <c r="N188" s="25">
        <f t="shared" si="101"/>
        <v>-5.6569343065693327E-2</v>
      </c>
      <c r="O188" s="94">
        <f>IF(ISNUMBER(M188), $B199 * N188, "")</f>
        <v>-8485.4014598539998</v>
      </c>
      <c r="Q188" s="147"/>
      <c r="R188" s="148"/>
      <c r="S188" s="149"/>
    </row>
    <row r="189" spans="1:19">
      <c r="A189" s="107" t="s">
        <v>113</v>
      </c>
      <c r="B189" s="108">
        <v>1365</v>
      </c>
      <c r="C189" s="69">
        <v>-3.5335689000000003E-2</v>
      </c>
      <c r="D189" s="13">
        <v>2645</v>
      </c>
      <c r="E189" s="14">
        <f>IF(ISNUMBER(D189), (D189 - $B189) / $B189, "")</f>
        <v>0.93772893772893773</v>
      </c>
      <c r="F189" s="16">
        <f>IF(ISNUMBER(D189), $B199 * E189, "")</f>
        <v>140659.34065934067</v>
      </c>
      <c r="G189" s="29">
        <v>2685</v>
      </c>
      <c r="H189" s="14">
        <f>IF(ISNUMBER(G189), (G189 - $B189) / $B189, "")</f>
        <v>0.96703296703296704</v>
      </c>
      <c r="I189" s="90">
        <f>IF(ISNUMBER(G189), $B199 * H189, "")</f>
        <v>145054.94505494507</v>
      </c>
      <c r="J189" s="13">
        <v>2670</v>
      </c>
      <c r="K189" s="14">
        <f>IF(ISNUMBER(J189), (J189 - $B189) / $B189, "")</f>
        <v>0.95604395604395609</v>
      </c>
      <c r="L189" s="16">
        <f>IF(ISNUMBER(J189), $B199 * K189, "")</f>
        <v>143406.59340659343</v>
      </c>
      <c r="M189" s="29">
        <v>2575</v>
      </c>
      <c r="N189" s="14">
        <f>IF(ISNUMBER(M189), (M189 - $B189) / $B189, "")</f>
        <v>0.88644688644688641</v>
      </c>
      <c r="O189" s="16">
        <f>IF(ISNUMBER(M189), $B199 * N189, "")</f>
        <v>132967.03296703295</v>
      </c>
      <c r="Q189" s="150"/>
      <c r="R189" s="151"/>
      <c r="S189" s="152"/>
    </row>
    <row r="190" spans="1:19" ht="17.25" thickBot="1">
      <c r="A190" s="109" t="s">
        <v>193</v>
      </c>
      <c r="B190" s="110">
        <v>19.7</v>
      </c>
      <c r="C190" s="70">
        <v>-3.9024390200000002E-2</v>
      </c>
      <c r="D190" s="15">
        <v>19</v>
      </c>
      <c r="E190" s="32">
        <f t="shared" ref="E190:E193" si="102">IF(ISNUMBER(D190), (D190 - $B190) / $B190, "")</f>
        <v>-3.5532994923857836E-2</v>
      </c>
      <c r="F190" s="18">
        <f>IF(ISNUMBER(D190), $B199 * E190, "")</f>
        <v>-5329.9492385786752</v>
      </c>
      <c r="G190" s="31">
        <v>18.8</v>
      </c>
      <c r="H190" s="32">
        <f t="shared" ref="H190:H193" si="103">IF(ISNUMBER(G190), (G190 - $B190) / $B190, "")</f>
        <v>-4.5685279187817188E-2</v>
      </c>
      <c r="I190" s="91">
        <f>IF(ISNUMBER(G190), $B199 * H190, "")</f>
        <v>-6852.7918781725784</v>
      </c>
      <c r="J190" s="15">
        <v>18.8</v>
      </c>
      <c r="K190" s="32">
        <f t="shared" ref="K190:K193" si="104">IF(ISNUMBER(J190), (J190 - $B190) / $B190, "")</f>
        <v>-4.5685279187817188E-2</v>
      </c>
      <c r="L190" s="18">
        <f>IF(ISNUMBER(J190), $B199 * K190, "")</f>
        <v>-6852.7918781725784</v>
      </c>
      <c r="M190" s="31">
        <v>18.8</v>
      </c>
      <c r="N190" s="32">
        <f t="shared" ref="N190:N193" si="105">IF(ISNUMBER(M190), (M190 - $B190) / $B190, "")</f>
        <v>-4.5685279187817188E-2</v>
      </c>
      <c r="O190" s="18">
        <f>IF(ISNUMBER(M190), $B199 * N190, "")</f>
        <v>-6852.7918781725784</v>
      </c>
      <c r="Q190" s="153"/>
      <c r="R190" s="154"/>
      <c r="S190" s="155"/>
    </row>
    <row r="191" spans="1:19" ht="17.25" thickBot="1">
      <c r="A191" s="109" t="s">
        <v>350</v>
      </c>
      <c r="B191" s="110">
        <v>7.38</v>
      </c>
      <c r="C191" s="70">
        <v>-3.90625E-2</v>
      </c>
      <c r="D191" s="15">
        <v>7.18</v>
      </c>
      <c r="E191" s="32">
        <f t="shared" si="102"/>
        <v>-2.7100271002710053E-2</v>
      </c>
      <c r="F191" s="18">
        <f>IF(ISNUMBER(D191), $B199 * E191, "")</f>
        <v>-4065.0406504065081</v>
      </c>
      <c r="G191" s="31">
        <v>7.2</v>
      </c>
      <c r="H191" s="32">
        <f t="shared" si="103"/>
        <v>-2.4390243902438987E-2</v>
      </c>
      <c r="I191" s="91">
        <f>IF(ISNUMBER(G191), $B199 * H191, "")</f>
        <v>-3658.5365853658482</v>
      </c>
      <c r="J191" s="15">
        <v>7.22</v>
      </c>
      <c r="K191" s="32">
        <f t="shared" si="104"/>
        <v>-2.1680216802168042E-2</v>
      </c>
      <c r="L191" s="18">
        <f>IF(ISNUMBER(J191), $B199 * K191, "")</f>
        <v>-3252.0325203252064</v>
      </c>
      <c r="M191" s="31">
        <v>7.19</v>
      </c>
      <c r="N191" s="32">
        <f t="shared" si="105"/>
        <v>-2.5745257452574458E-2</v>
      </c>
      <c r="O191" s="18">
        <f>IF(ISNUMBER(M191), $B199 * N191, "")</f>
        <v>-3861.7886178861686</v>
      </c>
      <c r="Q191" s="146"/>
      <c r="R191" s="146"/>
      <c r="S191" s="146"/>
    </row>
    <row r="192" spans="1:19" ht="17.25" thickBot="1">
      <c r="A192" s="109" t="s">
        <v>209</v>
      </c>
      <c r="B192" s="110">
        <v>90.6</v>
      </c>
      <c r="C192" s="70">
        <v>-4.4303797499999999E-2</v>
      </c>
      <c r="D192" s="15">
        <v>87.3</v>
      </c>
      <c r="E192" s="32">
        <f t="shared" si="102"/>
        <v>-3.642384105960262E-2</v>
      </c>
      <c r="F192" s="18">
        <f>IF(ISNUMBER(D192), $B199 * E192, "")</f>
        <v>-5463.5761589403928</v>
      </c>
      <c r="G192" s="31">
        <v>88.7</v>
      </c>
      <c r="H192" s="32">
        <f t="shared" si="103"/>
        <v>-2.0971302428255977E-2</v>
      </c>
      <c r="I192" s="91">
        <f>IF(ISNUMBER(G192), $B199 * H192, "")</f>
        <v>-3145.6953642383965</v>
      </c>
      <c r="J192" s="15">
        <v>89.4</v>
      </c>
      <c r="K192" s="32">
        <f t="shared" si="104"/>
        <v>-1.3245033112582657E-2</v>
      </c>
      <c r="L192" s="18">
        <f>IF(ISNUMBER(J192), $B199 * K192, "")</f>
        <v>-1986.7549668873985</v>
      </c>
      <c r="M192" s="31">
        <v>88.8</v>
      </c>
      <c r="N192" s="32">
        <f t="shared" si="105"/>
        <v>-1.9867549668874142E-2</v>
      </c>
      <c r="O192" s="18">
        <f>IF(ISNUMBER(M192), $B199 * N192, "")</f>
        <v>-2980.1324503311212</v>
      </c>
      <c r="Q192" s="156"/>
      <c r="R192" s="156"/>
      <c r="S192" s="156"/>
    </row>
    <row r="193" spans="1:19" ht="17.25" thickBot="1">
      <c r="A193" s="111" t="s">
        <v>221</v>
      </c>
      <c r="B193" s="112">
        <v>22.5</v>
      </c>
      <c r="C193" s="71">
        <v>-5.4621848700000003E-2</v>
      </c>
      <c r="D193" s="20">
        <v>21.4</v>
      </c>
      <c r="E193" s="21">
        <f t="shared" si="102"/>
        <v>-4.8888888888888954E-2</v>
      </c>
      <c r="F193" s="22">
        <f>IF(ISNUMBER(D193), $B199 * E193, "")</f>
        <v>-7333.333333333343</v>
      </c>
      <c r="G193" s="30">
        <v>21.5</v>
      </c>
      <c r="H193" s="21">
        <f t="shared" si="103"/>
        <v>-4.4444444444444446E-2</v>
      </c>
      <c r="I193" s="95">
        <f>IF(ISNUMBER(G193), $B199 * H193, "")</f>
        <v>-6666.666666666667</v>
      </c>
      <c r="J193" s="20">
        <v>21.4</v>
      </c>
      <c r="K193" s="21">
        <f t="shared" si="104"/>
        <v>-4.8888888888888954E-2</v>
      </c>
      <c r="L193" s="22">
        <f>IF(ISNUMBER(J193), $B199 * K193, "")</f>
        <v>-7333.333333333343</v>
      </c>
      <c r="M193" s="30">
        <v>21.3</v>
      </c>
      <c r="N193" s="21">
        <f t="shared" si="105"/>
        <v>-5.3333333333333302E-2</v>
      </c>
      <c r="O193" s="22">
        <f>IF(ISNUMBER(M193), $B199 * N193, "")</f>
        <v>-7999.9999999999955</v>
      </c>
      <c r="Q193" s="156"/>
      <c r="R193" s="156"/>
      <c r="S193" s="156"/>
    </row>
    <row r="194" spans="1:19" ht="17.25" thickBot="1">
      <c r="A194" s="109" t="s">
        <v>345</v>
      </c>
      <c r="B194" s="113">
        <v>163</v>
      </c>
      <c r="C194" s="73">
        <v>-5.7803468199999999E-2</v>
      </c>
      <c r="D194" s="96">
        <v>167</v>
      </c>
      <c r="E194" s="97">
        <f>IF(ISNUMBER(D194), (D194 - $B194) / $B194, "")</f>
        <v>2.4539877300613498E-2</v>
      </c>
      <c r="F194" s="98">
        <f>IF(ISNUMBER(D194), $B199 * E194, "")</f>
        <v>3680.9815950920247</v>
      </c>
      <c r="G194" s="99">
        <v>166</v>
      </c>
      <c r="H194" s="97">
        <f>IF(ISNUMBER(G194), (G194 - $B194) / $B194, "")</f>
        <v>1.8404907975460124E-2</v>
      </c>
      <c r="I194" s="100">
        <f>IF(ISNUMBER(G194), $B199 * H194, "")</f>
        <v>2760.7361963190187</v>
      </c>
      <c r="J194" s="96">
        <v>163</v>
      </c>
      <c r="K194" s="97">
        <f>IF(ISNUMBER(J194), (J194 - $B194) / $B194, "")</f>
        <v>0</v>
      </c>
      <c r="L194" s="98">
        <f>IF(ISNUMBER(J194), $B199 * K194, "")</f>
        <v>0</v>
      </c>
      <c r="M194" s="99">
        <v>162</v>
      </c>
      <c r="N194" s="97">
        <f>IF(ISNUMBER(M194), (M194 - $B194) / $B194, "")</f>
        <v>-6.1349693251533744E-3</v>
      </c>
      <c r="O194" s="98">
        <f>IF(ISNUMBER(M194), $B199 * N194, "")</f>
        <v>-920.24539877300617</v>
      </c>
      <c r="Q194" s="146"/>
      <c r="R194" s="146"/>
      <c r="S194" s="146"/>
    </row>
    <row r="195" spans="1:19" ht="17.25" thickBot="1">
      <c r="A195" s="109" t="s">
        <v>68</v>
      </c>
      <c r="B195" s="110">
        <v>592</v>
      </c>
      <c r="C195" s="70">
        <v>-6.6246056799999994E-2</v>
      </c>
      <c r="D195" s="15">
        <v>603</v>
      </c>
      <c r="E195" s="32">
        <f t="shared" ref="E195:E198" si="106">IF(ISNUMBER(D195), (D195 - $B195) / $B195, "")</f>
        <v>1.8581081081081082E-2</v>
      </c>
      <c r="F195" s="18">
        <f>IF(ISNUMBER(D195), $B199 * E195, "")</f>
        <v>2787.1621621621625</v>
      </c>
      <c r="G195" s="31">
        <v>600</v>
      </c>
      <c r="H195" s="32">
        <f t="shared" ref="H195:H198" si="107">IF(ISNUMBER(G195), (G195 - $B195) / $B195, "")</f>
        <v>1.3513513513513514E-2</v>
      </c>
      <c r="I195" s="91">
        <f>IF(ISNUMBER(G195), $B199 * H195, "")</f>
        <v>2027.0270270270271</v>
      </c>
      <c r="J195" s="15">
        <v>591</v>
      </c>
      <c r="K195" s="32">
        <f t="shared" ref="K195:K198" si="108">IF(ISNUMBER(J195), (J195 - $B195) / $B195, "")</f>
        <v>-1.6891891891891893E-3</v>
      </c>
      <c r="L195" s="18">
        <f>IF(ISNUMBER(J195), $B199 * K195, "")</f>
        <v>-253.37837837837839</v>
      </c>
      <c r="M195" s="31">
        <v>575</v>
      </c>
      <c r="N195" s="32">
        <f t="shared" ref="N195:N198" si="109">IF(ISNUMBER(M195), (M195 - $B195) / $B195, "")</f>
        <v>-2.8716216216216218E-2</v>
      </c>
      <c r="O195" s="18">
        <f>IF(ISNUMBER(M195), $B199 * N195, "")</f>
        <v>-4307.4324324324325</v>
      </c>
      <c r="Q195" s="146"/>
      <c r="R195" s="146"/>
      <c r="S195" s="146"/>
    </row>
    <row r="196" spans="1:19" ht="17.25" thickBot="1">
      <c r="A196" s="109" t="s">
        <v>107</v>
      </c>
      <c r="B196" s="110">
        <v>44.2</v>
      </c>
      <c r="C196" s="70">
        <v>-7.9166666699999999E-2</v>
      </c>
      <c r="D196" s="15">
        <v>43.3</v>
      </c>
      <c r="E196" s="32">
        <f t="shared" si="106"/>
        <v>-2.0361990950226373E-2</v>
      </c>
      <c r="F196" s="18">
        <f>IF(ISNUMBER(D196), $B199 * E196, "")</f>
        <v>-3054.2986425339559</v>
      </c>
      <c r="G196" s="31">
        <v>42.6</v>
      </c>
      <c r="H196" s="32">
        <f t="shared" si="107"/>
        <v>-3.6199095022624465E-2</v>
      </c>
      <c r="I196" s="91">
        <f>IF(ISNUMBER(G196), $B199 * H196, "")</f>
        <v>-5429.86425339367</v>
      </c>
      <c r="J196" s="15">
        <v>42.4</v>
      </c>
      <c r="K196" s="32">
        <f t="shared" si="108"/>
        <v>-4.072398190045258E-2</v>
      </c>
      <c r="L196" s="18">
        <f>IF(ISNUMBER(J196), $B199 * K196, "")</f>
        <v>-6108.5972850678872</v>
      </c>
      <c r="M196" s="31">
        <v>42.4</v>
      </c>
      <c r="N196" s="32">
        <f t="shared" si="109"/>
        <v>-4.072398190045258E-2</v>
      </c>
      <c r="O196" s="18">
        <f>IF(ISNUMBER(M196), $B199 * N196, "")</f>
        <v>-6108.5972850678872</v>
      </c>
      <c r="Q196" s="146"/>
      <c r="R196" s="146"/>
      <c r="S196" s="146"/>
    </row>
    <row r="197" spans="1:19">
      <c r="A197" s="109" t="s">
        <v>97</v>
      </c>
      <c r="B197" s="110">
        <v>8.9999999999999998E-4</v>
      </c>
      <c r="C197" s="70">
        <v>-0.1</v>
      </c>
      <c r="D197" s="15">
        <v>8.9999999999999998E-4</v>
      </c>
      <c r="E197" s="32">
        <f t="shared" si="106"/>
        <v>0</v>
      </c>
      <c r="F197" s="18">
        <f>IF(ISNUMBER(D197), $B199 * E197, "")</f>
        <v>0</v>
      </c>
      <c r="G197" s="31">
        <v>8.9999999999999998E-4</v>
      </c>
      <c r="H197" s="32">
        <f t="shared" si="107"/>
        <v>0</v>
      </c>
      <c r="I197" s="91">
        <f>IF(ISNUMBER(G197), $B199 * H197, "")</f>
        <v>0</v>
      </c>
      <c r="J197" s="15">
        <v>8.9999999999999998E-4</v>
      </c>
      <c r="K197" s="32">
        <f t="shared" si="108"/>
        <v>0</v>
      </c>
      <c r="L197" s="18">
        <f>IF(ISNUMBER(J197), $B199 * K197, "")</f>
        <v>0</v>
      </c>
      <c r="M197" s="31">
        <v>8.9999999999999998E-4</v>
      </c>
      <c r="N197" s="32">
        <f t="shared" si="109"/>
        <v>0</v>
      </c>
      <c r="O197" s="18">
        <f>IF(ISNUMBER(M197), $B199 * N197, "")</f>
        <v>0</v>
      </c>
      <c r="Q197" s="135"/>
      <c r="R197" s="136"/>
      <c r="S197" s="137"/>
    </row>
    <row r="198" spans="1:19" ht="17.25" thickBot="1">
      <c r="A198" s="114" t="s">
        <v>185</v>
      </c>
      <c r="B198" s="115">
        <v>38.6</v>
      </c>
      <c r="C198" s="72">
        <v>-0.1266968326</v>
      </c>
      <c r="D198" s="24">
        <v>35.5</v>
      </c>
      <c r="E198" s="25">
        <f t="shared" si="106"/>
        <v>-8.031088082901558E-2</v>
      </c>
      <c r="F198" s="94">
        <f>IF(ISNUMBER(D198), $B199 * E198, "")</f>
        <v>-12046.632124352336</v>
      </c>
      <c r="G198" s="92">
        <v>35.200000000000003</v>
      </c>
      <c r="H198" s="25">
        <f t="shared" si="107"/>
        <v>-8.8082901554404111E-2</v>
      </c>
      <c r="I198" s="93">
        <f>IF(ISNUMBER(G198), $B199 * H198, "")</f>
        <v>-13212.435233160617</v>
      </c>
      <c r="J198" s="24">
        <v>34.9</v>
      </c>
      <c r="K198" s="25">
        <f t="shared" si="108"/>
        <v>-9.5854922279792823E-2</v>
      </c>
      <c r="L198" s="94">
        <f>IF(ISNUMBER(J198), $B199 * K198, "")</f>
        <v>-14378.238341968923</v>
      </c>
      <c r="M198" s="92">
        <v>34.9</v>
      </c>
      <c r="N198" s="25">
        <f t="shared" si="109"/>
        <v>-9.5854922279792823E-2</v>
      </c>
      <c r="O198" s="94">
        <f>IF(ISNUMBER(M198), $B199 * N198, "")</f>
        <v>-14378.238341968923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1.6817676967983419E-2</v>
      </c>
      <c r="F199" s="28">
        <f>SUM(F179:F198)</f>
        <v>50453.03090395029</v>
      </c>
      <c r="G199" s="26" t="s">
        <v>258</v>
      </c>
      <c r="H199" s="27">
        <f>IF(COUNT(H179:H198), SUM(H179:H198) / COUNT(H179:H198), 0)</f>
        <v>1.6924953717902404E-2</v>
      </c>
      <c r="I199" s="28">
        <f>SUM(I179:I198)</f>
        <v>50774.861153707228</v>
      </c>
      <c r="J199" s="26" t="s">
        <v>258</v>
      </c>
      <c r="K199" s="27">
        <f>IF(COUNT(K179:K198), SUM(K179:K198) / COUNT(K179:K198), 0)</f>
        <v>1.0087469271820915E-2</v>
      </c>
      <c r="L199" s="28">
        <f>SUM(L179:L198)</f>
        <v>30262.40781546275</v>
      </c>
      <c r="M199" s="26" t="s">
        <v>258</v>
      </c>
      <c r="N199" s="27">
        <f>IF(COUNT(N179:N198), SUM(N179:N198) / COUNT(N179:N198), 0)</f>
        <v>5.1189163740500551E-3</v>
      </c>
      <c r="O199" s="28">
        <f>SUM(O179:O198)</f>
        <v>15356.749122150175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3EB6D-D3FC-41FD-9754-8399CB9E24F7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44946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111,171 KRW (3.71%)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108,845 KRW (3.63%)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95,452 KRW (3.18%)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77,925 KRW (2.60%)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2023-01-20(금) 오전 00:00</v>
      </c>
      <c r="C15" s="196"/>
      <c r="D15" s="170" t="str">
        <f>TEXT($G$1, "[$-ko-KR]yyyy-mm-dd(ddd) ") &amp; "오후 14:00"</f>
        <v>2023-01-20(금) 오후 14:00</v>
      </c>
      <c r="E15" s="171"/>
      <c r="F15" s="172"/>
      <c r="G15" s="170" t="str">
        <f>TEXT($G$1, "[$-ko-KR]yyyy-mm-dd(ddd) ") &amp; "오후 19:00"</f>
        <v>2023-01-20(금) 오후 19:00</v>
      </c>
      <c r="H15" s="171"/>
      <c r="I15" s="172"/>
      <c r="J15" s="170" t="str">
        <f>TEXT($G$1, "[$-ko-KR]yyyy-mm-dd(ddd) ") &amp; "오후 21:00"</f>
        <v>2023-01-20(금) 오후 21:00</v>
      </c>
      <c r="K15" s="171"/>
      <c r="L15" s="172"/>
      <c r="M15" s="170" t="str">
        <f>TEXT($G$1+1, "[$-ko-KR]yyyy-mm-dd(ddd) ") &amp; "오전 00:00"</f>
        <v>2023-01-21(토)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2023-01-20(금) 오전 00:00</v>
      </c>
      <c r="C42" s="198"/>
      <c r="D42" s="170" t="str">
        <f>TEXT($G$1, "[$-ko-KR]yyyy-mm-dd(ddd) ") &amp; "오후 14:00"</f>
        <v>2023-01-20(금) 오후 14:00</v>
      </c>
      <c r="E42" s="171"/>
      <c r="F42" s="172"/>
      <c r="G42" s="170" t="str">
        <f>TEXT($G$1, "[$-ko-KR]yyyy-mm-dd(ddd) ") &amp; "오후 19:00"</f>
        <v>2023-01-20(금) 오후 19:00</v>
      </c>
      <c r="H42" s="171"/>
      <c r="I42" s="172"/>
      <c r="J42" s="170" t="str">
        <f>TEXT($G$1, "[$-ko-KR]yyyy-mm-dd(ddd) ") &amp; "오후 21:00"</f>
        <v>2023-01-20(금) 오후 21:00</v>
      </c>
      <c r="K42" s="171"/>
      <c r="L42" s="172"/>
      <c r="M42" s="170" t="str">
        <f>TEXT($G$1+1, "[$-ko-KR]yyyy-mm-dd(ddd) ") &amp; "오전 00:00"</f>
        <v>2023-01-21(토)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217</v>
      </c>
      <c r="B44" s="108">
        <v>79.2</v>
      </c>
      <c r="C44" s="69">
        <v>0.125</v>
      </c>
      <c r="D44" s="13">
        <v>92.3</v>
      </c>
      <c r="E44" s="14">
        <f>IF(ISNUMBER(D44), (D44 - $B44) / $B44, "")</f>
        <v>0.16540404040404033</v>
      </c>
      <c r="F44" s="16">
        <f>IF(ISNUMBER(D44), $B64 * E44, "")</f>
        <v>24810.606060606049</v>
      </c>
      <c r="G44" s="29">
        <v>90.1</v>
      </c>
      <c r="H44" s="14">
        <f>IF(ISNUMBER(G44), (G44 - $B44) / $B44, "")</f>
        <v>0.13762626262626251</v>
      </c>
      <c r="I44" s="90">
        <f>IF(ISNUMBER(G44), $B64 * H44, "")</f>
        <v>20643.939393939378</v>
      </c>
      <c r="J44" s="13">
        <v>90.4</v>
      </c>
      <c r="K44" s="14">
        <f>IF(ISNUMBER(J44), (J44 - $B44) / $B44, "")</f>
        <v>0.14141414141414144</v>
      </c>
      <c r="L44" s="16">
        <f>IF(ISNUMBER(J44), $B64 * K44, "")</f>
        <v>21212.121212121216</v>
      </c>
      <c r="M44" s="29">
        <v>88.9</v>
      </c>
      <c r="N44" s="14">
        <f>IF(ISNUMBER(M44), (M44 - $B44) / $B44, "")</f>
        <v>0.1224747474747475</v>
      </c>
      <c r="O44" s="16">
        <f>IF(ISNUMBER(M44), $B64 * N44, "")</f>
        <v>18371.212121212124</v>
      </c>
      <c r="Q44" s="156"/>
      <c r="R44" s="156"/>
      <c r="S44" s="156"/>
    </row>
    <row r="45" spans="1:19" ht="17.25" customHeight="1" thickBot="1">
      <c r="A45" s="109" t="s">
        <v>329</v>
      </c>
      <c r="B45" s="110">
        <v>71.3</v>
      </c>
      <c r="C45" s="70">
        <v>6.2593144599999997E-2</v>
      </c>
      <c r="D45" s="15">
        <v>74.099999999999994</v>
      </c>
      <c r="E45" s="32">
        <f t="shared" ref="E45:E48" si="14">IF(ISNUMBER(D45), (D45 - $B45) / $B45, "")</f>
        <v>3.9270687237026612E-2</v>
      </c>
      <c r="F45" s="18">
        <f>IF(ISNUMBER(D45), $B64 * E45, "")</f>
        <v>5890.6030855539921</v>
      </c>
      <c r="G45" s="31">
        <v>75.400000000000006</v>
      </c>
      <c r="H45" s="32">
        <f t="shared" ref="H45:H48" si="15">IF(ISNUMBER(G45), (G45 - $B45) / $B45, "")</f>
        <v>5.7503506311360572E-2</v>
      </c>
      <c r="I45" s="91">
        <f>IF(ISNUMBER(G45), $B64 * H45, "")</f>
        <v>8625.5259467040851</v>
      </c>
      <c r="J45" s="15">
        <v>76.400000000000006</v>
      </c>
      <c r="K45" s="32">
        <f t="shared" ref="K45:K48" si="16">IF(ISNUMBER(J45), (J45 - $B45) / $B45, "")</f>
        <v>7.1528751753155803E-2</v>
      </c>
      <c r="L45" s="18">
        <f>IF(ISNUMBER(J45), $B64 * K45, "")</f>
        <v>10729.31276297337</v>
      </c>
      <c r="M45" s="31">
        <v>76.2</v>
      </c>
      <c r="N45" s="32">
        <f t="shared" ref="N45:N48" si="17">IF(ISNUMBER(M45), (M45 - $B45) / $B45, "")</f>
        <v>6.8723702664796715E-2</v>
      </c>
      <c r="O45" s="18">
        <f>IF(ISNUMBER(M45), $B64 * N45, "")</f>
        <v>10308.555399719507</v>
      </c>
      <c r="Q45" s="156"/>
      <c r="R45" s="156"/>
      <c r="S45" s="156"/>
    </row>
    <row r="46" spans="1:19" ht="17.25" customHeight="1" thickBot="1">
      <c r="A46" s="109" t="s">
        <v>138</v>
      </c>
      <c r="B46" s="110">
        <v>28</v>
      </c>
      <c r="C46" s="70">
        <v>4.4776119400000002E-2</v>
      </c>
      <c r="D46" s="15">
        <v>28.9</v>
      </c>
      <c r="E46" s="32">
        <f t="shared" si="14"/>
        <v>3.2142857142857091E-2</v>
      </c>
      <c r="F46" s="18">
        <f>IF(ISNUMBER(D46), $B64 * E46, "")</f>
        <v>4821.4285714285634</v>
      </c>
      <c r="G46" s="31">
        <v>29</v>
      </c>
      <c r="H46" s="32">
        <f t="shared" si="15"/>
        <v>3.5714285714285712E-2</v>
      </c>
      <c r="I46" s="91">
        <f>IF(ISNUMBER(G46), $B64 * H46, "")</f>
        <v>5357.1428571428569</v>
      </c>
      <c r="J46" s="15">
        <v>30.2</v>
      </c>
      <c r="K46" s="32">
        <f t="shared" si="16"/>
        <v>7.8571428571428542E-2</v>
      </c>
      <c r="L46" s="18">
        <f>IF(ISNUMBER(J46), $B64 * K46, "")</f>
        <v>11785.714285714281</v>
      </c>
      <c r="M46" s="31">
        <v>29.1</v>
      </c>
      <c r="N46" s="32">
        <f t="shared" si="17"/>
        <v>3.9285714285714333E-2</v>
      </c>
      <c r="O46" s="18">
        <f>IF(ISNUMBER(M46), $B64 * N46, "")</f>
        <v>5892.8571428571504</v>
      </c>
      <c r="Q46" s="146"/>
      <c r="R46" s="146"/>
      <c r="S46" s="146"/>
    </row>
    <row r="47" spans="1:19" ht="17.25" customHeight="1" thickBot="1">
      <c r="A47" s="109" t="s">
        <v>209</v>
      </c>
      <c r="B47" s="110">
        <v>88.8</v>
      </c>
      <c r="C47" s="70">
        <v>3.25581395E-2</v>
      </c>
      <c r="D47" s="15">
        <v>98.6</v>
      </c>
      <c r="E47" s="32">
        <f t="shared" si="14"/>
        <v>0.11036036036036033</v>
      </c>
      <c r="F47" s="18">
        <f>IF(ISNUMBER(D47), $B64 * E47, "")</f>
        <v>16554.05405405405</v>
      </c>
      <c r="G47" s="31">
        <v>97.4</v>
      </c>
      <c r="H47" s="32">
        <f t="shared" si="15"/>
        <v>9.684684684684694E-2</v>
      </c>
      <c r="I47" s="91">
        <f>IF(ISNUMBER(G47), $B64 * H47, "")</f>
        <v>14527.027027027041</v>
      </c>
      <c r="J47" s="15">
        <v>98.1</v>
      </c>
      <c r="K47" s="32">
        <f t="shared" si="16"/>
        <v>0.1047297297297297</v>
      </c>
      <c r="L47" s="18">
        <f>IF(ISNUMBER(J47), $B64 * K47, "")</f>
        <v>15709.459459459455</v>
      </c>
      <c r="M47" s="31">
        <v>97.3</v>
      </c>
      <c r="N47" s="32">
        <f t="shared" si="17"/>
        <v>9.5720720720720728E-2</v>
      </c>
      <c r="O47" s="18">
        <f>IF(ISNUMBER(M47), $B64 * N47, "")</f>
        <v>14358.108108108108</v>
      </c>
      <c r="Q47" s="146"/>
      <c r="R47" s="146"/>
      <c r="S47" s="146"/>
    </row>
    <row r="48" spans="1:19" ht="17.25" customHeight="1" thickBot="1">
      <c r="A48" s="111" t="s">
        <v>323</v>
      </c>
      <c r="B48" s="112">
        <v>3.5499999999999997E-2</v>
      </c>
      <c r="C48" s="71">
        <v>2.6011560699999998E-2</v>
      </c>
      <c r="D48" s="20">
        <v>3.5700000000000003E-2</v>
      </c>
      <c r="E48" s="21">
        <f t="shared" si="14"/>
        <v>5.6338028169015701E-3</v>
      </c>
      <c r="F48" s="22">
        <f>IF(ISNUMBER(D48), $B64 * E48, "")</f>
        <v>845.07042253523548</v>
      </c>
      <c r="G48" s="30">
        <v>3.56E-2</v>
      </c>
      <c r="H48" s="21">
        <f t="shared" si="15"/>
        <v>2.816901408450785E-3</v>
      </c>
      <c r="I48" s="95">
        <f>IF(ISNUMBER(G48), $B64 * H48, "")</f>
        <v>422.53521126761774</v>
      </c>
      <c r="J48" s="20">
        <v>3.56E-2</v>
      </c>
      <c r="K48" s="21">
        <f t="shared" si="16"/>
        <v>2.816901408450785E-3</v>
      </c>
      <c r="L48" s="22">
        <f>IF(ISNUMBER(J48), $B64 * K48, "")</f>
        <v>422.53521126761774</v>
      </c>
      <c r="M48" s="30">
        <v>3.5900000000000001E-2</v>
      </c>
      <c r="N48" s="21">
        <f t="shared" si="17"/>
        <v>1.1267605633802946E-2</v>
      </c>
      <c r="O48" s="22">
        <f>IF(ISNUMBER(M48), $B64 * N48, "")</f>
        <v>1690.1408450704419</v>
      </c>
      <c r="Q48" s="146"/>
      <c r="R48" s="146"/>
      <c r="S48" s="146"/>
    </row>
    <row r="49" spans="1:19" ht="17.25" customHeight="1" thickBot="1">
      <c r="A49" s="109" t="s">
        <v>197</v>
      </c>
      <c r="B49" s="113">
        <v>6.79</v>
      </c>
      <c r="C49" s="73">
        <v>2.10526316E-2</v>
      </c>
      <c r="D49" s="96">
        <v>6.88</v>
      </c>
      <c r="E49" s="97">
        <f>IF(ISNUMBER(D49), (D49 - $B49) / $B49, "")</f>
        <v>1.3254786450662718E-2</v>
      </c>
      <c r="F49" s="98">
        <f>IF(ISNUMBER(D49), $B64 * E49, "")</f>
        <v>1988.2179675994078</v>
      </c>
      <c r="G49" s="99">
        <v>6.89</v>
      </c>
      <c r="H49" s="97">
        <f>IF(ISNUMBER(G49), (G49 - $B49) / $B49, "")</f>
        <v>1.4727540500736325E-2</v>
      </c>
      <c r="I49" s="100">
        <f>IF(ISNUMBER(G49), $B64 * H49, "")</f>
        <v>2209.1310751104488</v>
      </c>
      <c r="J49" s="96">
        <v>6.9</v>
      </c>
      <c r="K49" s="97">
        <f>IF(ISNUMBER(J49), (J49 - $B49) / $B49, "")</f>
        <v>1.6200294550810061E-2</v>
      </c>
      <c r="L49" s="98">
        <f>IF(ISNUMBER(J49), $B64 * K49, "")</f>
        <v>2430.0441826215092</v>
      </c>
      <c r="M49" s="99">
        <v>6.95</v>
      </c>
      <c r="N49" s="97">
        <f>IF(ISNUMBER(M49), (M49 - $B49) / $B49, "")</f>
        <v>2.3564064801178224E-2</v>
      </c>
      <c r="O49" s="98">
        <f>IF(ISNUMBER(M49), $B64 * N49, "")</f>
        <v>3534.6097201767334</v>
      </c>
      <c r="Q49" s="146"/>
      <c r="R49" s="146"/>
      <c r="S49" s="146"/>
    </row>
    <row r="50" spans="1:19" ht="17.25" customHeight="1" thickBot="1">
      <c r="A50" s="109" t="s">
        <v>207</v>
      </c>
      <c r="B50" s="110">
        <v>69.400000000000006</v>
      </c>
      <c r="C50" s="70">
        <v>2.05882353E-2</v>
      </c>
      <c r="D50" s="15">
        <v>70.900000000000006</v>
      </c>
      <c r="E50" s="32">
        <f t="shared" ref="E50:E53" si="18">IF(ISNUMBER(D50), (D50 - $B50) / $B50, "")</f>
        <v>2.1613832853025934E-2</v>
      </c>
      <c r="F50" s="18">
        <f>IF(ISNUMBER(D50), $B64 * E50, "")</f>
        <v>3242.07492795389</v>
      </c>
      <c r="G50" s="31">
        <v>70.400000000000006</v>
      </c>
      <c r="H50" s="32">
        <f t="shared" ref="H50:H53" si="19">IF(ISNUMBER(G50), (G50 - $B50) / $B50, "")</f>
        <v>1.4409221902017291E-2</v>
      </c>
      <c r="I50" s="91">
        <f>IF(ISNUMBER(G50), $B64 * H50, "")</f>
        <v>2161.3832853025938</v>
      </c>
      <c r="J50" s="15">
        <v>70.900000000000006</v>
      </c>
      <c r="K50" s="32">
        <f t="shared" ref="K50:K53" si="20">IF(ISNUMBER(J50), (J50 - $B50) / $B50, "")</f>
        <v>2.1613832853025934E-2</v>
      </c>
      <c r="L50" s="18">
        <f>IF(ISNUMBER(J50), $B64 * K50, "")</f>
        <v>3242.07492795389</v>
      </c>
      <c r="M50" s="31">
        <v>70.900000000000006</v>
      </c>
      <c r="N50" s="32">
        <f t="shared" ref="N50:N53" si="21">IF(ISNUMBER(M50), (M50 - $B50) / $B50, "")</f>
        <v>2.1613832853025934E-2</v>
      </c>
      <c r="O50" s="18">
        <f>IF(ISNUMBER(M50), $B64 * N50, "")</f>
        <v>3242.07492795389</v>
      </c>
      <c r="Q50" s="146"/>
      <c r="R50" s="146"/>
      <c r="S50" s="146"/>
    </row>
    <row r="51" spans="1:19" ht="17.25" customHeight="1" thickBot="1">
      <c r="A51" s="109" t="s">
        <v>324</v>
      </c>
      <c r="B51" s="110">
        <v>90</v>
      </c>
      <c r="C51" s="70">
        <v>2.0408163300000001E-2</v>
      </c>
      <c r="D51" s="15">
        <v>91.8</v>
      </c>
      <c r="E51" s="32">
        <f t="shared" si="18"/>
        <v>1.9999999999999969E-2</v>
      </c>
      <c r="F51" s="18">
        <f>IF(ISNUMBER(D51), $B64 * E51, "")</f>
        <v>2999.9999999999955</v>
      </c>
      <c r="G51" s="31">
        <v>91.9</v>
      </c>
      <c r="H51" s="32">
        <f t="shared" si="19"/>
        <v>2.1111111111111174E-2</v>
      </c>
      <c r="I51" s="91">
        <f>IF(ISNUMBER(G51), $B64 * H51, "")</f>
        <v>3166.6666666666761</v>
      </c>
      <c r="J51" s="15">
        <v>91.9</v>
      </c>
      <c r="K51" s="32">
        <f t="shared" si="20"/>
        <v>2.1111111111111174E-2</v>
      </c>
      <c r="L51" s="18">
        <f>IF(ISNUMBER(J51), $B64 * K51, "")</f>
        <v>3166.6666666666761</v>
      </c>
      <c r="M51" s="31">
        <v>92.2</v>
      </c>
      <c r="N51" s="32">
        <f t="shared" si="21"/>
        <v>2.4444444444444477E-2</v>
      </c>
      <c r="O51" s="18">
        <f>IF(ISNUMBER(M51), $B64 * N51, "")</f>
        <v>3666.6666666666715</v>
      </c>
      <c r="Q51" s="146"/>
      <c r="R51" s="146"/>
      <c r="S51" s="146"/>
    </row>
    <row r="52" spans="1:19" ht="17.25" customHeight="1" thickBot="1">
      <c r="A52" s="109" t="s">
        <v>122</v>
      </c>
      <c r="B52" s="110">
        <v>25</v>
      </c>
      <c r="C52" s="70">
        <v>2.0408163300000001E-2</v>
      </c>
      <c r="D52" s="15">
        <v>25.1</v>
      </c>
      <c r="E52" s="32">
        <f t="shared" si="18"/>
        <v>4.0000000000000565E-3</v>
      </c>
      <c r="F52" s="18">
        <f>IF(ISNUMBER(D52), $B64 * E52, "")</f>
        <v>600.00000000000841</v>
      </c>
      <c r="G52" s="31">
        <v>25.3</v>
      </c>
      <c r="H52" s="32">
        <f t="shared" si="19"/>
        <v>1.2000000000000028E-2</v>
      </c>
      <c r="I52" s="91">
        <f>IF(ISNUMBER(G52), $B64 * H52, "")</f>
        <v>1800.0000000000041</v>
      </c>
      <c r="J52" s="15">
        <v>25.3</v>
      </c>
      <c r="K52" s="32">
        <f t="shared" si="20"/>
        <v>1.2000000000000028E-2</v>
      </c>
      <c r="L52" s="18">
        <f>IF(ISNUMBER(J52), $B64 * K52, "")</f>
        <v>1800.0000000000041</v>
      </c>
      <c r="M52" s="31">
        <v>25.4</v>
      </c>
      <c r="N52" s="32">
        <f t="shared" si="21"/>
        <v>1.5999999999999945E-2</v>
      </c>
      <c r="O52" s="18">
        <f>IF(ISNUMBER(M52), $B64 * N52, "")</f>
        <v>2399.9999999999918</v>
      </c>
      <c r="Q52" s="33"/>
      <c r="R52" s="33"/>
    </row>
    <row r="53" spans="1:19" ht="17.25" customHeight="1" thickBot="1">
      <c r="A53" s="114" t="s">
        <v>118</v>
      </c>
      <c r="B53" s="115">
        <v>6.07</v>
      </c>
      <c r="C53" s="72">
        <v>2.0168067200000001E-2</v>
      </c>
      <c r="D53" s="24">
        <v>6.17</v>
      </c>
      <c r="E53" s="25">
        <f t="shared" si="18"/>
        <v>1.6474464579901094E-2</v>
      </c>
      <c r="F53" s="94">
        <f>IF(ISNUMBER(D53), $B64 * E53, "")</f>
        <v>2471.1696869851639</v>
      </c>
      <c r="G53" s="92">
        <v>6.21</v>
      </c>
      <c r="H53" s="25">
        <f t="shared" si="19"/>
        <v>2.306425041186156E-2</v>
      </c>
      <c r="I53" s="93">
        <f>IF(ISNUMBER(G53), $B64 * H53, "")</f>
        <v>3459.6375617792341</v>
      </c>
      <c r="J53" s="24">
        <v>6.19</v>
      </c>
      <c r="K53" s="25">
        <f t="shared" si="20"/>
        <v>1.97693574958814E-2</v>
      </c>
      <c r="L53" s="94">
        <f>IF(ISNUMBER(J53), $B64 * K53, "")</f>
        <v>2965.4036243822102</v>
      </c>
      <c r="M53" s="92">
        <v>6.17</v>
      </c>
      <c r="N53" s="25">
        <f t="shared" si="21"/>
        <v>1.6474464579901094E-2</v>
      </c>
      <c r="O53" s="94">
        <f>IF(ISNUMBER(M53), $B64 * N53, "")</f>
        <v>2471.1696869851639</v>
      </c>
      <c r="Q53" s="147"/>
      <c r="R53" s="148"/>
      <c r="S53" s="149"/>
    </row>
    <row r="54" spans="1:19" ht="17.25" customHeight="1">
      <c r="A54" s="107" t="s">
        <v>126</v>
      </c>
      <c r="B54" s="108">
        <v>31.4</v>
      </c>
      <c r="C54" s="69">
        <v>1.9480519500000001E-2</v>
      </c>
      <c r="D54" s="13">
        <v>31.6</v>
      </c>
      <c r="E54" s="14">
        <f>IF(ISNUMBER(D54), (D54 - $B54) / $B54, "")</f>
        <v>6.3694267515924472E-3</v>
      </c>
      <c r="F54" s="16">
        <f>IF(ISNUMBER(D54), $B64 * E54, "")</f>
        <v>955.41401273886709</v>
      </c>
      <c r="G54" s="29">
        <v>31.3</v>
      </c>
      <c r="H54" s="14">
        <f>IF(ISNUMBER(G54), (G54 - $B54) / $B54, "")</f>
        <v>-3.1847133757961104E-3</v>
      </c>
      <c r="I54" s="90">
        <f>IF(ISNUMBER(G54), $B64 * H54, "")</f>
        <v>-477.70700636941655</v>
      </c>
      <c r="J54" s="13">
        <v>31.7</v>
      </c>
      <c r="K54" s="14">
        <f>IF(ISNUMBER(J54), (J54 - $B54) / $B54, "")</f>
        <v>9.5541401273885589E-3</v>
      </c>
      <c r="L54" s="16">
        <f>IF(ISNUMBER(J54), $B64 * K54, "")</f>
        <v>1433.1210191082839</v>
      </c>
      <c r="M54" s="29">
        <v>31.8</v>
      </c>
      <c r="N54" s="14">
        <f>IF(ISNUMBER(M54), (M54 - $B54) / $B54, "")</f>
        <v>1.2738853503184782E-2</v>
      </c>
      <c r="O54" s="16">
        <f>IF(ISNUMBER(M54), $B64 * N54, "")</f>
        <v>1910.8280254777173</v>
      </c>
      <c r="Q54" s="150"/>
      <c r="R54" s="151"/>
      <c r="S54" s="152"/>
    </row>
    <row r="55" spans="1:19" ht="17.25" customHeight="1" thickBot="1">
      <c r="A55" s="109" t="s">
        <v>56</v>
      </c>
      <c r="B55" s="110">
        <v>43</v>
      </c>
      <c r="C55" s="70">
        <v>1.8957346E-2</v>
      </c>
      <c r="D55" s="15">
        <v>43.9</v>
      </c>
      <c r="E55" s="32">
        <f t="shared" ref="E55:E58" si="22">IF(ISNUMBER(D55), (D55 - $B55) / $B55, "")</f>
        <v>2.0930232558139503E-2</v>
      </c>
      <c r="F55" s="18">
        <f>IF(ISNUMBER(D55), $B64 * E55, "")</f>
        <v>3139.5348837209253</v>
      </c>
      <c r="G55" s="31">
        <v>44</v>
      </c>
      <c r="H55" s="32">
        <f t="shared" ref="H55:H58" si="23">IF(ISNUMBER(G55), (G55 - $B55) / $B55, "")</f>
        <v>2.3255813953488372E-2</v>
      </c>
      <c r="I55" s="91">
        <f>IF(ISNUMBER(G55), $B64 * H55, "")</f>
        <v>3488.3720930232557</v>
      </c>
      <c r="J55" s="15">
        <v>43.9</v>
      </c>
      <c r="K55" s="32">
        <f t="shared" ref="K55:K58" si="24">IF(ISNUMBER(J55), (J55 - $B55) / $B55, "")</f>
        <v>2.0930232558139503E-2</v>
      </c>
      <c r="L55" s="18">
        <f>IF(ISNUMBER(J55), $B64 * K55, "")</f>
        <v>3139.5348837209253</v>
      </c>
      <c r="M55" s="31">
        <v>44.2</v>
      </c>
      <c r="N55" s="32">
        <f t="shared" ref="N55:N58" si="25">IF(ISNUMBER(M55), (M55 - $B55) / $B55, "")</f>
        <v>2.7906976744186112E-2</v>
      </c>
      <c r="O55" s="18">
        <f>IF(ISNUMBER(M55), $B64 * N55, "")</f>
        <v>4186.0465116279165</v>
      </c>
      <c r="Q55" s="153"/>
      <c r="R55" s="154"/>
      <c r="S55" s="155"/>
    </row>
    <row r="56" spans="1:19" ht="17.25" customHeight="1" thickBot="1">
      <c r="A56" s="109" t="s">
        <v>191</v>
      </c>
      <c r="B56" s="110">
        <v>56.8</v>
      </c>
      <c r="C56" s="70">
        <v>1.7921146999999998E-2</v>
      </c>
      <c r="D56" s="15">
        <v>57.9</v>
      </c>
      <c r="E56" s="32">
        <f t="shared" si="22"/>
        <v>1.9366197183098618E-2</v>
      </c>
      <c r="F56" s="18">
        <f>IF(ISNUMBER(D56), $B64 * E56, "")</f>
        <v>2904.9295774647926</v>
      </c>
      <c r="G56" s="31">
        <v>57.4</v>
      </c>
      <c r="H56" s="32">
        <f t="shared" si="23"/>
        <v>1.0563380281690167E-2</v>
      </c>
      <c r="I56" s="91">
        <f>IF(ISNUMBER(G56), $B64 * H56, "")</f>
        <v>1584.507042253525</v>
      </c>
      <c r="J56" s="15">
        <v>57.7</v>
      </c>
      <c r="K56" s="32">
        <f t="shared" si="24"/>
        <v>1.5845070422535312E-2</v>
      </c>
      <c r="L56" s="18">
        <f>IF(ISNUMBER(J56), $B64 * K56, "")</f>
        <v>2376.7605633802968</v>
      </c>
      <c r="M56" s="31">
        <v>58</v>
      </c>
      <c r="N56" s="32">
        <f t="shared" si="25"/>
        <v>2.1126760563380333E-2</v>
      </c>
      <c r="O56" s="18">
        <f>IF(ISNUMBER(M56), $B64 * N56, "")</f>
        <v>3169.01408450705</v>
      </c>
      <c r="Q56" s="146"/>
      <c r="R56" s="146"/>
      <c r="S56" s="146"/>
    </row>
    <row r="57" spans="1:19" ht="17.25" customHeight="1" thickBot="1">
      <c r="A57" s="109" t="s">
        <v>155</v>
      </c>
      <c r="B57" s="110">
        <v>29.3</v>
      </c>
      <c r="C57" s="70">
        <v>1.73611111E-2</v>
      </c>
      <c r="D57" s="15">
        <v>30.3</v>
      </c>
      <c r="E57" s="32">
        <f t="shared" si="22"/>
        <v>3.4129692832764506E-2</v>
      </c>
      <c r="F57" s="18">
        <f>IF(ISNUMBER(D57), $B64 * E57, "")</f>
        <v>5119.4539249146756</v>
      </c>
      <c r="G57" s="31">
        <v>30.5</v>
      </c>
      <c r="H57" s="32">
        <f t="shared" si="23"/>
        <v>4.0955631399317384E-2</v>
      </c>
      <c r="I57" s="91">
        <f>IF(ISNUMBER(G57), $B64 * H57, "")</f>
        <v>6143.3447098976076</v>
      </c>
      <c r="J57" s="15">
        <v>30.4</v>
      </c>
      <c r="K57" s="32">
        <f t="shared" si="24"/>
        <v>3.7542662116040883E-2</v>
      </c>
      <c r="L57" s="18">
        <f>IF(ISNUMBER(J57), $B64 * K57, "")</f>
        <v>5631.3993174061325</v>
      </c>
      <c r="M57" s="31">
        <v>30.7</v>
      </c>
      <c r="N57" s="32">
        <f t="shared" si="25"/>
        <v>4.7781569965870255E-2</v>
      </c>
      <c r="O57" s="18">
        <f>IF(ISNUMBER(M57), $B64 * N57, "")</f>
        <v>7167.2354948805378</v>
      </c>
      <c r="Q57" s="156"/>
      <c r="R57" s="156"/>
      <c r="S57" s="156"/>
    </row>
    <row r="58" spans="1:19" ht="17.25" customHeight="1" thickBot="1">
      <c r="A58" s="111" t="s">
        <v>124</v>
      </c>
      <c r="B58" s="112">
        <v>32.6</v>
      </c>
      <c r="C58" s="71">
        <v>1.5576324000000001E-2</v>
      </c>
      <c r="D58" s="20">
        <v>34.700000000000003</v>
      </c>
      <c r="E58" s="21">
        <f t="shared" si="22"/>
        <v>6.4417177914110474E-2</v>
      </c>
      <c r="F58" s="22">
        <f>IF(ISNUMBER(D58), $B64 * E58, "")</f>
        <v>9662.5766871165706</v>
      </c>
      <c r="G58" s="30">
        <v>34.5</v>
      </c>
      <c r="H58" s="21">
        <f t="shared" si="23"/>
        <v>5.828220858895701E-2</v>
      </c>
      <c r="I58" s="95">
        <f>IF(ISNUMBER(G58), $B64 * H58, "")</f>
        <v>8742.3312883435519</v>
      </c>
      <c r="J58" s="20">
        <v>34.799999999999997</v>
      </c>
      <c r="K58" s="21">
        <f t="shared" si="24"/>
        <v>6.7484662576686977E-2</v>
      </c>
      <c r="L58" s="22">
        <f>IF(ISNUMBER(J58), $B64 * K58, "")</f>
        <v>10122.699386503047</v>
      </c>
      <c r="M58" s="30">
        <v>34.700000000000003</v>
      </c>
      <c r="N58" s="21">
        <f t="shared" si="25"/>
        <v>6.4417177914110474E-2</v>
      </c>
      <c r="O58" s="22">
        <f>IF(ISNUMBER(M58), $B64 * N58, "")</f>
        <v>9662.5766871165706</v>
      </c>
      <c r="Q58" s="156"/>
      <c r="R58" s="156"/>
      <c r="S58" s="156"/>
    </row>
    <row r="59" spans="1:19" ht="17.25" customHeight="1" thickBot="1">
      <c r="A59" s="109" t="s">
        <v>227</v>
      </c>
      <c r="B59" s="113">
        <v>41.5</v>
      </c>
      <c r="C59" s="73">
        <v>1.46699267E-2</v>
      </c>
      <c r="D59" s="96">
        <v>43.3</v>
      </c>
      <c r="E59" s="97">
        <f>IF(ISNUMBER(D59), (D59 - $B59) / $B59, "")</f>
        <v>4.3373493975903545E-2</v>
      </c>
      <c r="F59" s="98">
        <f>IF(ISNUMBER(D59), $B64 * E59, "")</f>
        <v>6506.0240963855313</v>
      </c>
      <c r="G59" s="99">
        <v>43.1</v>
      </c>
      <c r="H59" s="97">
        <f>IF(ISNUMBER(G59), (G59 - $B59) / $B59, "")</f>
        <v>3.8554216867469911E-2</v>
      </c>
      <c r="I59" s="100">
        <f>IF(ISNUMBER(G59), $B64 * H59, "")</f>
        <v>5783.132530120487</v>
      </c>
      <c r="J59" s="96">
        <v>43.6</v>
      </c>
      <c r="K59" s="97">
        <f>IF(ISNUMBER(J59), (J59 - $B59) / $B59, "")</f>
        <v>5.0602409638554252E-2</v>
      </c>
      <c r="L59" s="98">
        <f>IF(ISNUMBER(J59), $B64 * K59, "")</f>
        <v>7590.3614457831382</v>
      </c>
      <c r="M59" s="99">
        <v>43.5</v>
      </c>
      <c r="N59" s="97">
        <f>IF(ISNUMBER(M59), (M59 - $B59) / $B59, "")</f>
        <v>4.8192771084337352E-2</v>
      </c>
      <c r="O59" s="98">
        <f>IF(ISNUMBER(M59), $B64 * N59, "")</f>
        <v>7228.9156626506028</v>
      </c>
      <c r="Q59" s="146"/>
      <c r="R59" s="146"/>
      <c r="S59" s="146"/>
    </row>
    <row r="60" spans="1:19" ht="17.25" customHeight="1" thickBot="1">
      <c r="A60" s="109" t="s">
        <v>333</v>
      </c>
      <c r="B60" s="110">
        <v>4.78</v>
      </c>
      <c r="C60" s="70">
        <v>1.27118644E-2</v>
      </c>
      <c r="D60" s="15">
        <v>4.83</v>
      </c>
      <c r="E60" s="32">
        <f t="shared" ref="E60:E63" si="26">IF(ISNUMBER(D60), (D60 - $B60) / $B60, "")</f>
        <v>1.0460251046025068E-2</v>
      </c>
      <c r="F60" s="18">
        <f>IF(ISNUMBER(D60), $B64 * E60, "")</f>
        <v>1569.0376569037601</v>
      </c>
      <c r="G60" s="31">
        <v>4.88</v>
      </c>
      <c r="H60" s="32">
        <f t="shared" ref="H60:H63" si="27">IF(ISNUMBER(G60), (G60 - $B60) / $B60, "")</f>
        <v>2.0920502092050135E-2</v>
      </c>
      <c r="I60" s="91">
        <f>IF(ISNUMBER(G60), $B64 * H60, "")</f>
        <v>3138.0753138075202</v>
      </c>
      <c r="J60" s="15">
        <v>4.84</v>
      </c>
      <c r="K60" s="32">
        <f t="shared" ref="K60:K63" si="28">IF(ISNUMBER(J60), (J60 - $B60) / $B60, "")</f>
        <v>1.2552301255230044E-2</v>
      </c>
      <c r="L60" s="18">
        <f>IF(ISNUMBER(J60), $B64 * K60, "")</f>
        <v>1882.8451882845065</v>
      </c>
      <c r="M60" s="31">
        <v>4.88</v>
      </c>
      <c r="N60" s="32">
        <f t="shared" ref="N60:N63" si="29">IF(ISNUMBER(M60), (M60 - $B60) / $B60, "")</f>
        <v>2.0920502092050135E-2</v>
      </c>
      <c r="O60" s="18">
        <f>IF(ISNUMBER(M60), $B64 * N60, "")</f>
        <v>3138.0753138075202</v>
      </c>
      <c r="Q60" s="146"/>
      <c r="R60" s="146"/>
      <c r="S60" s="146"/>
    </row>
    <row r="61" spans="1:19" ht="17.25" customHeight="1" thickBot="1">
      <c r="A61" s="109" t="s">
        <v>195</v>
      </c>
      <c r="B61" s="110">
        <v>6.4</v>
      </c>
      <c r="C61" s="70">
        <v>1.26582278E-2</v>
      </c>
      <c r="D61" s="15">
        <v>6.43</v>
      </c>
      <c r="E61" s="32">
        <f t="shared" si="26"/>
        <v>4.6874999999999001E-3</v>
      </c>
      <c r="F61" s="18">
        <f>IF(ISNUMBER(D61), $B64 * E61, "")</f>
        <v>703.12499999998499</v>
      </c>
      <c r="G61" s="31">
        <v>6.43</v>
      </c>
      <c r="H61" s="32">
        <f t="shared" si="27"/>
        <v>4.6874999999999001E-3</v>
      </c>
      <c r="I61" s="91">
        <f>IF(ISNUMBER(G61), $B64 * H61, "")</f>
        <v>703.12499999998499</v>
      </c>
      <c r="J61" s="15">
        <v>6.46</v>
      </c>
      <c r="K61" s="32">
        <f t="shared" si="28"/>
        <v>9.3749999999999389E-3</v>
      </c>
      <c r="L61" s="18">
        <f>IF(ISNUMBER(J61), $B64 * K61, "")</f>
        <v>1406.2499999999909</v>
      </c>
      <c r="M61" s="31">
        <v>6.51</v>
      </c>
      <c r="N61" s="32">
        <f t="shared" si="29"/>
        <v>1.7187499999999911E-2</v>
      </c>
      <c r="O61" s="18">
        <f>IF(ISNUMBER(M61), $B64 * N61, "")</f>
        <v>2578.1249999999868</v>
      </c>
      <c r="Q61" s="146"/>
      <c r="R61" s="146"/>
      <c r="S61" s="146"/>
    </row>
    <row r="62" spans="1:19" ht="17.25" customHeight="1">
      <c r="A62" s="109" t="s">
        <v>350</v>
      </c>
      <c r="B62" s="110">
        <v>7.19</v>
      </c>
      <c r="C62" s="70">
        <v>1.12517581E-2</v>
      </c>
      <c r="D62" s="15">
        <v>7.25</v>
      </c>
      <c r="E62" s="32">
        <f t="shared" si="26"/>
        <v>8.3449235048678166E-3</v>
      </c>
      <c r="F62" s="18">
        <f>IF(ISNUMBER(D62), $B64 * E62, "")</f>
        <v>1251.7385257301726</v>
      </c>
      <c r="G62" s="31">
        <v>7.24</v>
      </c>
      <c r="H62" s="32">
        <f t="shared" si="27"/>
        <v>6.9541029207232019E-3</v>
      </c>
      <c r="I62" s="91">
        <f>IF(ISNUMBER(G62), $B64 * H62, "")</f>
        <v>1043.1154381084802</v>
      </c>
      <c r="J62" s="15">
        <v>7.22</v>
      </c>
      <c r="K62" s="32">
        <f t="shared" si="28"/>
        <v>4.1724617524338467E-3</v>
      </c>
      <c r="L62" s="18">
        <f>IF(ISNUMBER(J62), $B64 * K62, "")</f>
        <v>625.86926286507696</v>
      </c>
      <c r="M62" s="31">
        <v>7.28</v>
      </c>
      <c r="N62" s="32">
        <f t="shared" si="29"/>
        <v>1.2517385257301788E-2</v>
      </c>
      <c r="O62" s="18">
        <f>IF(ISNUMBER(M62), $B64 * N62, "")</f>
        <v>1877.6077885952682</v>
      </c>
      <c r="Q62" s="135"/>
      <c r="R62" s="136"/>
      <c r="S62" s="137"/>
    </row>
    <row r="63" spans="1:19" ht="17.25" customHeight="1" thickBot="1">
      <c r="A63" s="114" t="s">
        <v>181</v>
      </c>
      <c r="B63" s="115">
        <v>4.5199999999999996</v>
      </c>
      <c r="C63" s="72">
        <v>1.1185682299999999E-2</v>
      </c>
      <c r="D63" s="24">
        <v>4.55</v>
      </c>
      <c r="E63" s="25">
        <f t="shared" si="26"/>
        <v>6.6371681415929758E-3</v>
      </c>
      <c r="F63" s="94">
        <f>IF(ISNUMBER(D63), $B64 * E63, "")</f>
        <v>995.57522123894637</v>
      </c>
      <c r="G63" s="92">
        <v>4.54</v>
      </c>
      <c r="H63" s="25">
        <f t="shared" si="27"/>
        <v>4.4247787610620492E-3</v>
      </c>
      <c r="I63" s="93">
        <f>IF(ISNUMBER(G63), $B64 * H63, "")</f>
        <v>663.71681415930743</v>
      </c>
      <c r="J63" s="24">
        <v>4.53</v>
      </c>
      <c r="K63" s="25">
        <f t="shared" si="28"/>
        <v>2.212389380531123E-3</v>
      </c>
      <c r="L63" s="94">
        <f>IF(ISNUMBER(J63), $B64 * K63, "")</f>
        <v>331.85840707966844</v>
      </c>
      <c r="M63" s="92">
        <v>4.58</v>
      </c>
      <c r="N63" s="25">
        <f t="shared" si="29"/>
        <v>1.3274336283185952E-2</v>
      </c>
      <c r="O63" s="94">
        <f>IF(ISNUMBER(M63), $B64 * N63, "")</f>
        <v>1991.1504424778927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3.2343544787643522E-2</v>
      </c>
      <c r="F64" s="28">
        <f>SUM(F44:F63)</f>
        <v>97030.634362930592</v>
      </c>
      <c r="G64" s="26" t="s">
        <v>258</v>
      </c>
      <c r="H64" s="27">
        <f>IF(COUNT(H44:H63), SUM(H44:H63) / COUNT(H44:H63), 0)</f>
        <v>3.106166741609474E-2</v>
      </c>
      <c r="I64" s="28">
        <f>SUM(I44:I63)</f>
        <v>93185.002248284261</v>
      </c>
      <c r="J64" s="26" t="s">
        <v>258</v>
      </c>
      <c r="K64" s="27">
        <f>IF(COUNT(K44:K63), SUM(K44:K63) / COUNT(K44:K63), 0)</f>
        <v>3.6001343935763756E-2</v>
      </c>
      <c r="L64" s="28">
        <f>SUM(L44:L63)</f>
        <v>108004.03180729129</v>
      </c>
      <c r="M64" s="26" t="s">
        <v>258</v>
      </c>
      <c r="N64" s="27">
        <f>IF(COUNT(N44:N63), SUM(N44:N63) / COUNT(N44:N63), 0)</f>
        <v>3.6281656543296958E-2</v>
      </c>
      <c r="O64" s="28">
        <f>SUM(O44:O63)</f>
        <v>108844.96962989087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2023-01-20(금) 오전 00:00</v>
      </c>
      <c r="C69" s="198"/>
      <c r="D69" s="170" t="str">
        <f>TEXT($G$1, "[$-ko-KR]yyyy-mm-dd(ddd) ") &amp; "오후 14:00"</f>
        <v>2023-01-20(금) 오후 14:00</v>
      </c>
      <c r="E69" s="171"/>
      <c r="F69" s="172"/>
      <c r="G69" s="170" t="str">
        <f>TEXT($G$1, "[$-ko-KR]yyyy-mm-dd(ddd) ") &amp; "오후 19:00"</f>
        <v>2023-01-20(금) 오후 19:00</v>
      </c>
      <c r="H69" s="171"/>
      <c r="I69" s="172"/>
      <c r="J69" s="170" t="str">
        <f>TEXT($G$1, "[$-ko-KR]yyyy-mm-dd(ddd) ") &amp; "오후 21:00"</f>
        <v>2023-01-20(금) 오후 21:00</v>
      </c>
      <c r="K69" s="171"/>
      <c r="L69" s="172"/>
      <c r="M69" s="170" t="str">
        <f>TEXT($G$1+1, "[$-ko-KR]yyyy-mm-dd(ddd) ") &amp; "오전 00:00"</f>
        <v>2023-01-21(토)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149</v>
      </c>
      <c r="B71" s="108">
        <v>515</v>
      </c>
      <c r="C71" s="69">
        <v>0.14190687360000001</v>
      </c>
      <c r="D71" s="13">
        <v>519</v>
      </c>
      <c r="E71" s="14">
        <f>IF(ISNUMBER(D71), (D71 - $B71) / $B71, "")</f>
        <v>7.7669902912621356E-3</v>
      </c>
      <c r="F71" s="16">
        <f>IF(ISNUMBER(D71), $B91 * E71, "")</f>
        <v>1165.0485436893202</v>
      </c>
      <c r="G71" s="29">
        <v>525</v>
      </c>
      <c r="H71" s="14">
        <f>IF(ISNUMBER(G71), (G71 - $B71) / $B71, "")</f>
        <v>1.9417475728155338E-2</v>
      </c>
      <c r="I71" s="90">
        <f>IF(ISNUMBER(G71), $B91 * H71, "")</f>
        <v>2912.6213592233007</v>
      </c>
      <c r="J71" s="13">
        <v>521</v>
      </c>
      <c r="K71" s="14">
        <f>IF(ISNUMBER(J71), (J71 - $B71) / $B71, "")</f>
        <v>1.1650485436893204E-2</v>
      </c>
      <c r="L71" s="16">
        <f>IF(ISNUMBER(J71), $B91 * K71, "")</f>
        <v>1747.5728155339807</v>
      </c>
      <c r="M71" s="29">
        <v>519</v>
      </c>
      <c r="N71" s="14">
        <f>IF(ISNUMBER(M71), (M71 - $B71) / $B71, "")</f>
        <v>7.7669902912621356E-3</v>
      </c>
      <c r="O71" s="16">
        <f>IF(ISNUMBER(M71), $B91 * N71, "")</f>
        <v>1165.0485436893202</v>
      </c>
      <c r="Q71" s="156"/>
      <c r="R71" s="156"/>
      <c r="S71" s="156"/>
    </row>
    <row r="72" spans="1:19" ht="17.25" thickBot="1">
      <c r="A72" s="109" t="s">
        <v>159</v>
      </c>
      <c r="B72" s="110">
        <v>203</v>
      </c>
      <c r="C72" s="70">
        <v>6.2827225099999995E-2</v>
      </c>
      <c r="D72" s="15">
        <v>217</v>
      </c>
      <c r="E72" s="32">
        <f t="shared" ref="E72:E75" si="30">IF(ISNUMBER(D72), (D72 - $B72) / $B72, "")</f>
        <v>6.8965517241379309E-2</v>
      </c>
      <c r="F72" s="18">
        <f>IF(ISNUMBER(D72), $B91 * E72, "")</f>
        <v>10344.827586206897</v>
      </c>
      <c r="G72" s="31">
        <v>215</v>
      </c>
      <c r="H72" s="32">
        <f t="shared" ref="H72:H75" si="31">IF(ISNUMBER(G72), (G72 - $B72) / $B72, "")</f>
        <v>5.9113300492610835E-2</v>
      </c>
      <c r="I72" s="91">
        <f>IF(ISNUMBER(G72), $B91 * H72, "")</f>
        <v>8866.995073891625</v>
      </c>
      <c r="J72" s="15">
        <v>218</v>
      </c>
      <c r="K72" s="32">
        <f t="shared" ref="K72:K75" si="32">IF(ISNUMBER(J72), (J72 - $B72) / $B72, "")</f>
        <v>7.3891625615763554E-2</v>
      </c>
      <c r="L72" s="18">
        <f>IF(ISNUMBER(J72), $B91 * K72, "")</f>
        <v>11083.743842364533</v>
      </c>
      <c r="M72" s="31">
        <v>223</v>
      </c>
      <c r="N72" s="32">
        <f t="shared" ref="N72:N75" si="33">IF(ISNUMBER(M72), (M72 - $B72) / $B72, "")</f>
        <v>9.8522167487684734E-2</v>
      </c>
      <c r="O72" s="18">
        <f>IF(ISNUMBER(M72), $B91 * N72, "")</f>
        <v>14778.32512315271</v>
      </c>
      <c r="Q72" s="156"/>
      <c r="R72" s="156"/>
      <c r="S72" s="156"/>
    </row>
    <row r="73" spans="1:19" ht="17.25" thickBot="1">
      <c r="A73" s="109" t="s">
        <v>105</v>
      </c>
      <c r="B73" s="110">
        <v>232</v>
      </c>
      <c r="C73" s="70">
        <v>5.45454545E-2</v>
      </c>
      <c r="D73" s="15">
        <v>232</v>
      </c>
      <c r="E73" s="32">
        <f t="shared" si="30"/>
        <v>0</v>
      </c>
      <c r="F73" s="18">
        <f>IF(ISNUMBER(D73), $B91 * E73, "")</f>
        <v>0</v>
      </c>
      <c r="G73" s="31">
        <v>232</v>
      </c>
      <c r="H73" s="32">
        <f t="shared" si="31"/>
        <v>0</v>
      </c>
      <c r="I73" s="91">
        <f>IF(ISNUMBER(G73), $B91 * H73, "")</f>
        <v>0</v>
      </c>
      <c r="J73" s="15">
        <v>233</v>
      </c>
      <c r="K73" s="32">
        <f t="shared" si="32"/>
        <v>4.3103448275862068E-3</v>
      </c>
      <c r="L73" s="18">
        <f>IF(ISNUMBER(J73), $B91 * K73, "")</f>
        <v>646.55172413793105</v>
      </c>
      <c r="M73" s="31">
        <v>236</v>
      </c>
      <c r="N73" s="32">
        <f t="shared" si="33"/>
        <v>1.7241379310344827E-2</v>
      </c>
      <c r="O73" s="18">
        <f>IF(ISNUMBER(M73), $B91 * N73, "")</f>
        <v>2586.2068965517242</v>
      </c>
      <c r="Q73" s="146"/>
      <c r="R73" s="146"/>
      <c r="S73" s="146"/>
    </row>
    <row r="74" spans="1:19" ht="17.25" thickBot="1">
      <c r="A74" s="109" t="s">
        <v>79</v>
      </c>
      <c r="B74" s="110">
        <v>292</v>
      </c>
      <c r="C74" s="70">
        <v>5.0359712199999997E-2</v>
      </c>
      <c r="D74" s="15">
        <v>296</v>
      </c>
      <c r="E74" s="32">
        <f t="shared" si="30"/>
        <v>1.3698630136986301E-2</v>
      </c>
      <c r="F74" s="18">
        <f>IF(ISNUMBER(D74), $B91 * E74, "")</f>
        <v>2054.794520547945</v>
      </c>
      <c r="G74" s="31">
        <v>296</v>
      </c>
      <c r="H74" s="32">
        <f t="shared" si="31"/>
        <v>1.3698630136986301E-2</v>
      </c>
      <c r="I74" s="91">
        <f>IF(ISNUMBER(G74), $B91 * H74, "")</f>
        <v>2054.794520547945</v>
      </c>
      <c r="J74" s="15">
        <v>298</v>
      </c>
      <c r="K74" s="32">
        <f t="shared" si="32"/>
        <v>2.0547945205479451E-2</v>
      </c>
      <c r="L74" s="18">
        <f>IF(ISNUMBER(J74), $B91 * K74, "")</f>
        <v>3082.1917808219177</v>
      </c>
      <c r="M74" s="31">
        <v>299</v>
      </c>
      <c r="N74" s="32">
        <f t="shared" si="33"/>
        <v>2.3972602739726026E-2</v>
      </c>
      <c r="O74" s="18">
        <f>IF(ISNUMBER(M74), $B91 * N74, "")</f>
        <v>3595.8904109589039</v>
      </c>
      <c r="Q74" s="146"/>
      <c r="R74" s="146"/>
      <c r="S74" s="146"/>
    </row>
    <row r="75" spans="1:19" ht="17.25" thickBot="1">
      <c r="A75" s="111" t="s">
        <v>321</v>
      </c>
      <c r="B75" s="112">
        <v>206</v>
      </c>
      <c r="C75" s="71">
        <v>4.5685279199999998E-2</v>
      </c>
      <c r="D75" s="20">
        <v>218</v>
      </c>
      <c r="E75" s="21">
        <f t="shared" si="30"/>
        <v>5.8252427184466021E-2</v>
      </c>
      <c r="F75" s="22">
        <f>IF(ISNUMBER(D75), $B91 * E75, "")</f>
        <v>8737.8640776699031</v>
      </c>
      <c r="G75" s="30">
        <v>224</v>
      </c>
      <c r="H75" s="21">
        <f t="shared" si="31"/>
        <v>8.7378640776699032E-2</v>
      </c>
      <c r="I75" s="95">
        <f>IF(ISNUMBER(G75), $B91 * H75, "")</f>
        <v>13106.796116504855</v>
      </c>
      <c r="J75" s="20">
        <v>222</v>
      </c>
      <c r="K75" s="21">
        <f t="shared" si="32"/>
        <v>7.7669902912621352E-2</v>
      </c>
      <c r="L75" s="22">
        <f>IF(ISNUMBER(J75), $B91 * K75, "")</f>
        <v>11650.485436893203</v>
      </c>
      <c r="M75" s="30">
        <v>227</v>
      </c>
      <c r="N75" s="21">
        <f t="shared" si="33"/>
        <v>0.10194174757281553</v>
      </c>
      <c r="O75" s="22">
        <f>IF(ISNUMBER(M75), $B91 * N75, "")</f>
        <v>15291.26213592233</v>
      </c>
      <c r="Q75" s="146"/>
      <c r="R75" s="146"/>
      <c r="S75" s="146"/>
    </row>
    <row r="76" spans="1:19" ht="17.25" thickBot="1">
      <c r="A76" s="109" t="s">
        <v>201</v>
      </c>
      <c r="B76" s="113">
        <v>254</v>
      </c>
      <c r="C76" s="73">
        <v>4.5267489700000003E-2</v>
      </c>
      <c r="D76" s="96">
        <v>264</v>
      </c>
      <c r="E76" s="97">
        <f>IF(ISNUMBER(D76), (D76 - $B76) / $B76, "")</f>
        <v>3.937007874015748E-2</v>
      </c>
      <c r="F76" s="98">
        <f>IF(ISNUMBER(D76), $B91 * E76, "")</f>
        <v>5905.5118110236217</v>
      </c>
      <c r="G76" s="99">
        <v>264</v>
      </c>
      <c r="H76" s="97">
        <f>IF(ISNUMBER(G76), (G76 - $B76) / $B76, "")</f>
        <v>3.937007874015748E-2</v>
      </c>
      <c r="I76" s="100">
        <f>IF(ISNUMBER(G76), $B91 * H76, "")</f>
        <v>5905.5118110236217</v>
      </c>
      <c r="J76" s="96">
        <v>268</v>
      </c>
      <c r="K76" s="97">
        <f>IF(ISNUMBER(J76), (J76 - $B76) / $B76, "")</f>
        <v>5.5118110236220472E-2</v>
      </c>
      <c r="L76" s="98">
        <f>IF(ISNUMBER(J76), $B91 * K76, "")</f>
        <v>8267.71653543307</v>
      </c>
      <c r="M76" s="99">
        <v>269</v>
      </c>
      <c r="N76" s="97">
        <f>IF(ISNUMBER(M76), (M76 - $B76) / $B76, "")</f>
        <v>5.905511811023622E-2</v>
      </c>
      <c r="O76" s="98">
        <f>IF(ISNUMBER(M76), $B91 * N76, "")</f>
        <v>8858.2677165354326</v>
      </c>
      <c r="Q76" s="146"/>
      <c r="R76" s="146"/>
      <c r="S76" s="146"/>
    </row>
    <row r="77" spans="1:19" ht="17.25" thickBot="1">
      <c r="A77" s="109" t="s">
        <v>68</v>
      </c>
      <c r="B77" s="110">
        <v>575</v>
      </c>
      <c r="C77" s="70">
        <v>4.3557168799999997E-2</v>
      </c>
      <c r="D77" s="15">
        <v>605</v>
      </c>
      <c r="E77" s="32">
        <f t="shared" ref="E77:E80" si="34">IF(ISNUMBER(D77), (D77 - $B77) / $B77, "")</f>
        <v>5.2173913043478258E-2</v>
      </c>
      <c r="F77" s="18">
        <f>IF(ISNUMBER(D77), $B91 * E77, "")</f>
        <v>7826.086956521739</v>
      </c>
      <c r="G77" s="31">
        <v>607</v>
      </c>
      <c r="H77" s="32">
        <f t="shared" ref="H77:H80" si="35">IF(ISNUMBER(G77), (G77 - $B77) / $B77, "")</f>
        <v>5.565217391304348E-2</v>
      </c>
      <c r="I77" s="91">
        <f>IF(ISNUMBER(G77), $B91 * H77, "")</f>
        <v>8347.826086956522</v>
      </c>
      <c r="J77" s="15">
        <v>609</v>
      </c>
      <c r="K77" s="32">
        <f t="shared" ref="K77:K80" si="36">IF(ISNUMBER(J77), (J77 - $B77) / $B77, "")</f>
        <v>5.9130434782608696E-2</v>
      </c>
      <c r="L77" s="18">
        <f>IF(ISNUMBER(J77), $B91 * K77, "")</f>
        <v>8869.565217391304</v>
      </c>
      <c r="M77" s="31">
        <v>621</v>
      </c>
      <c r="N77" s="32">
        <f t="shared" ref="N77:N80" si="37">IF(ISNUMBER(M77), (M77 - $B77) / $B77, "")</f>
        <v>0.08</v>
      </c>
      <c r="O77" s="18">
        <f>IF(ISNUMBER(M77), $B91 * N77, "")</f>
        <v>12000</v>
      </c>
      <c r="Q77" s="146"/>
      <c r="R77" s="146"/>
      <c r="S77" s="146"/>
    </row>
    <row r="78" spans="1:19" ht="17.25" thickBot="1">
      <c r="A78" s="109" t="s">
        <v>153</v>
      </c>
      <c r="B78" s="110">
        <v>410</v>
      </c>
      <c r="C78" s="70">
        <v>3.2745591900000003E-2</v>
      </c>
      <c r="D78" s="15">
        <v>415</v>
      </c>
      <c r="E78" s="32">
        <f t="shared" si="34"/>
        <v>1.2195121951219513E-2</v>
      </c>
      <c r="F78" s="18">
        <f>IF(ISNUMBER(D78), $B91 * E78, "")</f>
        <v>1829.2682926829268</v>
      </c>
      <c r="G78" s="31">
        <v>417</v>
      </c>
      <c r="H78" s="32">
        <f t="shared" si="35"/>
        <v>1.7073170731707318E-2</v>
      </c>
      <c r="I78" s="91">
        <f>IF(ISNUMBER(G78), $B91 * H78, "")</f>
        <v>2560.9756097560976</v>
      </c>
      <c r="J78" s="15">
        <v>415</v>
      </c>
      <c r="K78" s="32">
        <f t="shared" si="36"/>
        <v>1.2195121951219513E-2</v>
      </c>
      <c r="L78" s="18">
        <f>IF(ISNUMBER(J78), $B91 * K78, "")</f>
        <v>1829.2682926829268</v>
      </c>
      <c r="M78" s="31">
        <v>419</v>
      </c>
      <c r="N78" s="32">
        <f t="shared" si="37"/>
        <v>2.1951219512195121E-2</v>
      </c>
      <c r="O78" s="18">
        <f>IF(ISNUMBER(M78), $B91 * N78, "")</f>
        <v>3292.6829268292681</v>
      </c>
      <c r="Q78" s="146"/>
      <c r="R78" s="146"/>
      <c r="S78" s="146"/>
    </row>
    <row r="79" spans="1:19" ht="17.25" thickBot="1">
      <c r="A79" s="109" t="s">
        <v>167</v>
      </c>
      <c r="B79" s="110">
        <v>196</v>
      </c>
      <c r="C79" s="70">
        <v>3.1578947400000001E-2</v>
      </c>
      <c r="D79" s="15">
        <v>203</v>
      </c>
      <c r="E79" s="32">
        <f t="shared" si="34"/>
        <v>3.5714285714285712E-2</v>
      </c>
      <c r="F79" s="18">
        <f>IF(ISNUMBER(D79), $B91 * E79, "")</f>
        <v>5357.1428571428569</v>
      </c>
      <c r="G79" s="31">
        <v>212</v>
      </c>
      <c r="H79" s="32">
        <f t="shared" si="35"/>
        <v>8.1632653061224483E-2</v>
      </c>
      <c r="I79" s="91">
        <f>IF(ISNUMBER(G79), $B91 * H79, "")</f>
        <v>12244.897959183672</v>
      </c>
      <c r="J79" s="15">
        <v>210</v>
      </c>
      <c r="K79" s="32">
        <f t="shared" si="36"/>
        <v>7.1428571428571425E-2</v>
      </c>
      <c r="L79" s="18">
        <f>IF(ISNUMBER(J79), $B91 * K79, "")</f>
        <v>10714.285714285714</v>
      </c>
      <c r="M79" s="31">
        <v>209</v>
      </c>
      <c r="N79" s="32">
        <f t="shared" si="37"/>
        <v>6.6326530612244902E-2</v>
      </c>
      <c r="O79" s="18">
        <f>IF(ISNUMBER(M79), $B91 * N79, "")</f>
        <v>9948.9795918367345</v>
      </c>
      <c r="Q79" s="33"/>
      <c r="R79" s="33"/>
    </row>
    <row r="80" spans="1:19" ht="17.25" thickBot="1">
      <c r="A80" s="114" t="s">
        <v>332</v>
      </c>
      <c r="B80" s="115">
        <v>575</v>
      </c>
      <c r="C80" s="72">
        <v>3.0465949799999999E-2</v>
      </c>
      <c r="D80" s="24">
        <v>573</v>
      </c>
      <c r="E80" s="25">
        <f t="shared" si="34"/>
        <v>-3.4782608695652175E-3</v>
      </c>
      <c r="F80" s="94">
        <f>IF(ISNUMBER(D80), $B91 * E80, "")</f>
        <v>-521.73913043478262</v>
      </c>
      <c r="G80" s="92">
        <v>570</v>
      </c>
      <c r="H80" s="25">
        <f t="shared" si="35"/>
        <v>-8.6956521739130436E-3</v>
      </c>
      <c r="I80" s="93">
        <f>IF(ISNUMBER(G80), $B91 * H80, "")</f>
        <v>-1304.3478260869565</v>
      </c>
      <c r="J80" s="24">
        <v>571</v>
      </c>
      <c r="K80" s="25">
        <f t="shared" si="36"/>
        <v>-6.956521739130435E-3</v>
      </c>
      <c r="L80" s="94">
        <f>IF(ISNUMBER(J80), $B91 * K80, "")</f>
        <v>-1043.4782608695652</v>
      </c>
      <c r="M80" s="92">
        <v>575</v>
      </c>
      <c r="N80" s="25">
        <f t="shared" si="37"/>
        <v>0</v>
      </c>
      <c r="O80" s="94">
        <f>IF(ISNUMBER(M80), $B91 * N80, "")</f>
        <v>0</v>
      </c>
      <c r="Q80" s="147"/>
      <c r="R80" s="148"/>
      <c r="S80" s="149"/>
    </row>
    <row r="81" spans="1:19">
      <c r="A81" s="107" t="s">
        <v>241</v>
      </c>
      <c r="B81" s="108">
        <v>100</v>
      </c>
      <c r="C81" s="69">
        <v>2.8806584400000002E-2</v>
      </c>
      <c r="D81" s="13">
        <v>102</v>
      </c>
      <c r="E81" s="14">
        <f>IF(ISNUMBER(D81), (D81 - $B81) / $B81, "")</f>
        <v>0.02</v>
      </c>
      <c r="F81" s="16">
        <f>IF(ISNUMBER(D81), $B91 * E81, "")</f>
        <v>3000</v>
      </c>
      <c r="G81" s="29">
        <v>101</v>
      </c>
      <c r="H81" s="14">
        <f>IF(ISNUMBER(G81), (G81 - $B81) / $B81, "")</f>
        <v>0.01</v>
      </c>
      <c r="I81" s="90">
        <f>IF(ISNUMBER(G81), $B91 * H81, "")</f>
        <v>1500</v>
      </c>
      <c r="J81" s="13">
        <v>102</v>
      </c>
      <c r="K81" s="14">
        <f>IF(ISNUMBER(J81), (J81 - $B81) / $B81, "")</f>
        <v>0.02</v>
      </c>
      <c r="L81" s="16">
        <f>IF(ISNUMBER(J81), $B91 * K81, "")</f>
        <v>3000</v>
      </c>
      <c r="M81" s="29">
        <v>102</v>
      </c>
      <c r="N81" s="14">
        <f>IF(ISNUMBER(M81), (M81 - $B81) / $B81, "")</f>
        <v>0.02</v>
      </c>
      <c r="O81" s="16">
        <f>IF(ISNUMBER(M81), $B91 * N81, "")</f>
        <v>3000</v>
      </c>
      <c r="Q81" s="150"/>
      <c r="R81" s="151"/>
      <c r="S81" s="152"/>
    </row>
    <row r="82" spans="1:19" ht="17.25" thickBot="1">
      <c r="A82" s="109" t="s">
        <v>130</v>
      </c>
      <c r="B82" s="110">
        <v>993</v>
      </c>
      <c r="C82" s="70">
        <v>2.79503106E-2</v>
      </c>
      <c r="D82" s="15">
        <v>992</v>
      </c>
      <c r="E82" s="32">
        <f t="shared" ref="E82:E85" si="38">IF(ISNUMBER(D82), (D82 - $B82) / $B82, "")</f>
        <v>-1.0070493454179255E-3</v>
      </c>
      <c r="F82" s="18">
        <f>IF(ISNUMBER(D82), $B91 * E82, "")</f>
        <v>-151.05740181268882</v>
      </c>
      <c r="G82" s="31">
        <v>992</v>
      </c>
      <c r="H82" s="32">
        <f t="shared" ref="H82:H85" si="39">IF(ISNUMBER(G82), (G82 - $B82) / $B82, "")</f>
        <v>-1.0070493454179255E-3</v>
      </c>
      <c r="I82" s="91">
        <f>IF(ISNUMBER(G82), $B91 * H82, "")</f>
        <v>-151.05740181268882</v>
      </c>
      <c r="J82" s="15">
        <v>995</v>
      </c>
      <c r="K82" s="32">
        <f t="shared" ref="K82:K85" si="40">IF(ISNUMBER(J82), (J82 - $B82) / $B82, "")</f>
        <v>2.014098690835851E-3</v>
      </c>
      <c r="L82" s="18">
        <f>IF(ISNUMBER(J82), $B91 * K82, "")</f>
        <v>302.11480362537765</v>
      </c>
      <c r="M82" s="31">
        <v>1005</v>
      </c>
      <c r="N82" s="32">
        <f t="shared" ref="N82:N85" si="41">IF(ISNUMBER(M82), (M82 - $B82) / $B82, "")</f>
        <v>1.2084592145015106E-2</v>
      </c>
      <c r="O82" s="18">
        <f>IF(ISNUMBER(M82), $B91 * N82, "")</f>
        <v>1812.6888217522658</v>
      </c>
      <c r="Q82" s="153"/>
      <c r="R82" s="154"/>
      <c r="S82" s="155"/>
    </row>
    <row r="83" spans="1:19" ht="17.25" thickBot="1">
      <c r="A83" s="109" t="s">
        <v>319</v>
      </c>
      <c r="B83" s="110">
        <v>536</v>
      </c>
      <c r="C83" s="70">
        <v>2.4856596599999999E-2</v>
      </c>
      <c r="D83" s="15">
        <v>536</v>
      </c>
      <c r="E83" s="32">
        <f t="shared" si="38"/>
        <v>0</v>
      </c>
      <c r="F83" s="18">
        <f>IF(ISNUMBER(D83), $B91 * E83, "")</f>
        <v>0</v>
      </c>
      <c r="G83" s="31">
        <v>533</v>
      </c>
      <c r="H83" s="32">
        <f t="shared" si="39"/>
        <v>-5.597014925373134E-3</v>
      </c>
      <c r="I83" s="91">
        <f>IF(ISNUMBER(G83), $B91 * H83, "")</f>
        <v>-839.55223880597009</v>
      </c>
      <c r="J83" s="15">
        <v>532</v>
      </c>
      <c r="K83" s="32">
        <f t="shared" si="40"/>
        <v>-7.462686567164179E-3</v>
      </c>
      <c r="L83" s="18">
        <f>IF(ISNUMBER(J83), $B91 * K83, "")</f>
        <v>-1119.4029850746269</v>
      </c>
      <c r="M83" s="31">
        <v>535</v>
      </c>
      <c r="N83" s="32">
        <f t="shared" si="41"/>
        <v>-1.8656716417910447E-3</v>
      </c>
      <c r="O83" s="18">
        <f>IF(ISNUMBER(M83), $B91 * N83, "")</f>
        <v>-279.85074626865674</v>
      </c>
      <c r="Q83" s="146"/>
      <c r="R83" s="146"/>
      <c r="S83" s="146"/>
    </row>
    <row r="84" spans="1:19" ht="17.25" thickBot="1">
      <c r="A84" s="109" t="s">
        <v>213</v>
      </c>
      <c r="B84" s="110">
        <v>495</v>
      </c>
      <c r="C84" s="70">
        <v>2.48447205E-2</v>
      </c>
      <c r="D84" s="15">
        <v>498</v>
      </c>
      <c r="E84" s="32">
        <f t="shared" si="38"/>
        <v>6.0606060606060606E-3</v>
      </c>
      <c r="F84" s="18">
        <f>IF(ISNUMBER(D84), $B91 * E84, "")</f>
        <v>909.09090909090912</v>
      </c>
      <c r="G84" s="31">
        <v>499</v>
      </c>
      <c r="H84" s="32">
        <f t="shared" si="39"/>
        <v>8.0808080808080808E-3</v>
      </c>
      <c r="I84" s="91">
        <f>IF(ISNUMBER(G84), $B91 * H84, "")</f>
        <v>1212.121212121212</v>
      </c>
      <c r="J84" s="15">
        <v>499</v>
      </c>
      <c r="K84" s="32">
        <f t="shared" si="40"/>
        <v>8.0808080808080808E-3</v>
      </c>
      <c r="L84" s="18">
        <f>IF(ISNUMBER(J84), $B91 * K84, "")</f>
        <v>1212.121212121212</v>
      </c>
      <c r="M84" s="31">
        <v>504</v>
      </c>
      <c r="N84" s="32">
        <f t="shared" si="41"/>
        <v>1.8181818181818181E-2</v>
      </c>
      <c r="O84" s="18">
        <f>IF(ISNUMBER(M84), $B91 * N84, "")</f>
        <v>2727.272727272727</v>
      </c>
      <c r="Q84" s="156"/>
      <c r="R84" s="156"/>
      <c r="S84" s="156"/>
    </row>
    <row r="85" spans="1:19" ht="17.25" thickBot="1">
      <c r="A85" s="111" t="s">
        <v>103</v>
      </c>
      <c r="B85" s="112">
        <v>252</v>
      </c>
      <c r="C85" s="71">
        <v>2.4390243900000001E-2</v>
      </c>
      <c r="D85" s="20">
        <v>254</v>
      </c>
      <c r="E85" s="21">
        <f t="shared" si="38"/>
        <v>7.9365079365079361E-3</v>
      </c>
      <c r="F85" s="22">
        <f>IF(ISNUMBER(D85), $B91 * E85, "")</f>
        <v>1190.4761904761904</v>
      </c>
      <c r="G85" s="30">
        <v>253</v>
      </c>
      <c r="H85" s="21">
        <f t="shared" si="39"/>
        <v>3.968253968253968E-3</v>
      </c>
      <c r="I85" s="95">
        <f>IF(ISNUMBER(G85), $B91 * H85, "")</f>
        <v>595.23809523809518</v>
      </c>
      <c r="J85" s="20">
        <v>254</v>
      </c>
      <c r="K85" s="21">
        <f t="shared" si="40"/>
        <v>7.9365079365079361E-3</v>
      </c>
      <c r="L85" s="22">
        <f>IF(ISNUMBER(J85), $B91 * K85, "")</f>
        <v>1190.4761904761904</v>
      </c>
      <c r="M85" s="30">
        <v>256</v>
      </c>
      <c r="N85" s="21">
        <f t="shared" si="41"/>
        <v>1.5873015873015872E-2</v>
      </c>
      <c r="O85" s="22">
        <f>IF(ISNUMBER(M85), $B91 * N85, "")</f>
        <v>2380.9523809523807</v>
      </c>
      <c r="Q85" s="156"/>
      <c r="R85" s="156"/>
      <c r="S85" s="156"/>
    </row>
    <row r="86" spans="1:19" ht="17.25" thickBot="1">
      <c r="A86" s="109" t="s">
        <v>89</v>
      </c>
      <c r="B86" s="113">
        <v>483</v>
      </c>
      <c r="C86" s="73">
        <v>2.3305084699999999E-2</v>
      </c>
      <c r="D86" s="96">
        <v>484</v>
      </c>
      <c r="E86" s="97">
        <f>IF(ISNUMBER(D86), (D86 - $B86) / $B86, "")</f>
        <v>2.070393374741201E-3</v>
      </c>
      <c r="F86" s="98">
        <f>IF(ISNUMBER(D86), $B91 * E86, "")</f>
        <v>310.55900621118013</v>
      </c>
      <c r="G86" s="99">
        <v>488</v>
      </c>
      <c r="H86" s="97">
        <f>IF(ISNUMBER(G86), (G86 - $B86) / $B86, "")</f>
        <v>1.0351966873706004E-2</v>
      </c>
      <c r="I86" s="100">
        <f>IF(ISNUMBER(G86), $B91 * H86, "")</f>
        <v>1552.7950310559006</v>
      </c>
      <c r="J86" s="96">
        <v>489</v>
      </c>
      <c r="K86" s="97">
        <f>IF(ISNUMBER(J86), (J86 - $B86) / $B86, "")</f>
        <v>1.2422360248447204E-2</v>
      </c>
      <c r="L86" s="98">
        <f>IF(ISNUMBER(J86), $B91 * K86, "")</f>
        <v>1863.3540372670807</v>
      </c>
      <c r="M86" s="99">
        <v>492</v>
      </c>
      <c r="N86" s="97">
        <f>IF(ISNUMBER(M86), (M86 - $B86) / $B86, "")</f>
        <v>1.8633540372670808E-2</v>
      </c>
      <c r="O86" s="98">
        <f>IF(ISNUMBER(M86), $B91 * N86, "")</f>
        <v>2795.0310559006211</v>
      </c>
      <c r="Q86" s="146"/>
      <c r="R86" s="146"/>
      <c r="S86" s="146"/>
    </row>
    <row r="87" spans="1:19" ht="17.25" thickBot="1">
      <c r="A87" s="109" t="s">
        <v>157</v>
      </c>
      <c r="B87" s="110">
        <v>222</v>
      </c>
      <c r="C87" s="70">
        <v>2.3041474700000002E-2</v>
      </c>
      <c r="D87" s="15">
        <v>224</v>
      </c>
      <c r="E87" s="32">
        <f t="shared" ref="E87:E90" si="42">IF(ISNUMBER(D87), (D87 - $B87) / $B87, "")</f>
        <v>9.0090090090090089E-3</v>
      </c>
      <c r="F87" s="18">
        <f>IF(ISNUMBER(D87), $B91 * E87, "")</f>
        <v>1351.3513513513512</v>
      </c>
      <c r="G87" s="31">
        <v>223</v>
      </c>
      <c r="H87" s="32">
        <f t="shared" ref="H87:H90" si="43">IF(ISNUMBER(G87), (G87 - $B87) / $B87, "")</f>
        <v>4.5045045045045045E-3</v>
      </c>
      <c r="I87" s="91">
        <f>IF(ISNUMBER(G87), $B91 * H87, "")</f>
        <v>675.67567567567562</v>
      </c>
      <c r="J87" s="15">
        <v>223</v>
      </c>
      <c r="K87" s="32">
        <f t="shared" ref="K87:K90" si="44">IF(ISNUMBER(J87), (J87 - $B87) / $B87, "")</f>
        <v>4.5045045045045045E-3</v>
      </c>
      <c r="L87" s="18">
        <f>IF(ISNUMBER(J87), $B91 * K87, "")</f>
        <v>675.67567567567562</v>
      </c>
      <c r="M87" s="31">
        <v>225</v>
      </c>
      <c r="N87" s="32">
        <f t="shared" ref="N87:N90" si="45">IF(ISNUMBER(M87), (M87 - $B87) / $B87, "")</f>
        <v>1.3513513513513514E-2</v>
      </c>
      <c r="O87" s="18">
        <f>IF(ISNUMBER(M87), $B91 * N87, "")</f>
        <v>2027.0270270270271</v>
      </c>
      <c r="Q87" s="146"/>
      <c r="R87" s="146"/>
      <c r="S87" s="146"/>
    </row>
    <row r="88" spans="1:19" ht="17.25" thickBot="1">
      <c r="A88" s="109" t="s">
        <v>81</v>
      </c>
      <c r="B88" s="110">
        <v>415</v>
      </c>
      <c r="C88" s="70">
        <v>1.9656019699999999E-2</v>
      </c>
      <c r="D88" s="15">
        <v>421</v>
      </c>
      <c r="E88" s="32">
        <f t="shared" si="42"/>
        <v>1.4457831325301205E-2</v>
      </c>
      <c r="F88" s="18">
        <f>IF(ISNUMBER(D88), $B91 * E88, "")</f>
        <v>2168.6746987951806</v>
      </c>
      <c r="G88" s="31">
        <v>422</v>
      </c>
      <c r="H88" s="32">
        <f t="shared" si="43"/>
        <v>1.6867469879518072E-2</v>
      </c>
      <c r="I88" s="91">
        <f>IF(ISNUMBER(G88), $B91 * H88, "")</f>
        <v>2530.1204819277109</v>
      </c>
      <c r="J88" s="15">
        <v>419</v>
      </c>
      <c r="K88" s="32">
        <f t="shared" si="44"/>
        <v>9.6385542168674707E-3</v>
      </c>
      <c r="L88" s="18">
        <f>IF(ISNUMBER(J88), $B91 * K88, "")</f>
        <v>1445.7831325301206</v>
      </c>
      <c r="M88" s="31">
        <v>424</v>
      </c>
      <c r="N88" s="32">
        <f t="shared" si="45"/>
        <v>2.1686746987951807E-2</v>
      </c>
      <c r="O88" s="18">
        <f>IF(ISNUMBER(M88), $B91 * N88, "")</f>
        <v>3253.0120481927711</v>
      </c>
      <c r="Q88" s="146"/>
      <c r="R88" s="146"/>
      <c r="S88" s="146"/>
    </row>
    <row r="89" spans="1:19">
      <c r="A89" s="109" t="s">
        <v>51</v>
      </c>
      <c r="B89" s="110">
        <v>104</v>
      </c>
      <c r="C89" s="70">
        <v>1.9607843100000001E-2</v>
      </c>
      <c r="D89" s="15">
        <v>104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9.6153846153846159E-3</v>
      </c>
      <c r="I89" s="91">
        <f>IF(ISNUMBER(G89), $B91 * H89, "")</f>
        <v>1442.3076923076924</v>
      </c>
      <c r="J89" s="15">
        <v>105</v>
      </c>
      <c r="K89" s="32">
        <f t="shared" si="44"/>
        <v>9.6153846153846159E-3</v>
      </c>
      <c r="L89" s="18">
        <f>IF(ISNUMBER(J89), $B91 * K89, "")</f>
        <v>1442.3076923076924</v>
      </c>
      <c r="M89" s="31">
        <v>105</v>
      </c>
      <c r="N89" s="32">
        <f t="shared" si="45"/>
        <v>9.6153846153846159E-3</v>
      </c>
      <c r="O89" s="18">
        <f>IF(ISNUMBER(M89), $B91 * N89, "")</f>
        <v>1442.3076923076924</v>
      </c>
      <c r="Q89" s="135"/>
      <c r="R89" s="136"/>
      <c r="S89" s="137"/>
    </row>
    <row r="90" spans="1:19" ht="17.25" thickBot="1">
      <c r="A90" s="114" t="s">
        <v>85</v>
      </c>
      <c r="B90" s="115">
        <v>157</v>
      </c>
      <c r="C90" s="72">
        <v>1.9480519500000001E-2</v>
      </c>
      <c r="D90" s="24">
        <v>159</v>
      </c>
      <c r="E90" s="25">
        <f t="shared" si="42"/>
        <v>1.2738853503184714E-2</v>
      </c>
      <c r="F90" s="94">
        <f>IF(ISNUMBER(D90), $B91 * E90, "")</f>
        <v>1910.8280254777071</v>
      </c>
      <c r="G90" s="92">
        <v>159</v>
      </c>
      <c r="H90" s="25">
        <f t="shared" si="43"/>
        <v>1.2738853503184714E-2</v>
      </c>
      <c r="I90" s="93">
        <f>IF(ISNUMBER(G90), $B91 * H90, "")</f>
        <v>1910.8280254777071</v>
      </c>
      <c r="J90" s="24">
        <v>159</v>
      </c>
      <c r="K90" s="25">
        <f t="shared" si="44"/>
        <v>1.2738853503184714E-2</v>
      </c>
      <c r="L90" s="94">
        <f>IF(ISNUMBER(J90), $B91 * K90, "")</f>
        <v>1910.8280254777071</v>
      </c>
      <c r="M90" s="92">
        <v>162</v>
      </c>
      <c r="N90" s="25">
        <f t="shared" si="45"/>
        <v>3.1847133757961783E-2</v>
      </c>
      <c r="O90" s="94">
        <f>IF(ISNUMBER(M90), $B91 * N90, "")</f>
        <v>4777.0700636942674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1.7796242764880087E-2</v>
      </c>
      <c r="F91" s="28">
        <f>SUM(F71:F90)</f>
        <v>53388.728294640256</v>
      </c>
      <c r="G91" s="26" t="s">
        <v>258</v>
      </c>
      <c r="H91" s="27">
        <f>IF(COUNT(H71:H90), SUM(H71:H90) / COUNT(H71:H90), 0)</f>
        <v>2.1708182428062009E-2</v>
      </c>
      <c r="I91" s="28">
        <f>SUM(I71:I90)</f>
        <v>65124.547284186017</v>
      </c>
      <c r="J91" s="26" t="s">
        <v>258</v>
      </c>
      <c r="K91" s="27">
        <f>IF(COUNT(K71:K90), SUM(K71:K90) / COUNT(K71:K90), 0)</f>
        <v>2.2923720294360485E-2</v>
      </c>
      <c r="L91" s="28">
        <f>SUM(L71:L90)</f>
        <v>68771.160883081437</v>
      </c>
      <c r="M91" s="26" t="s">
        <v>258</v>
      </c>
      <c r="N91" s="27">
        <f>IF(COUNT(N71:N90), SUM(N71:N90) / COUNT(N71:N90), 0)</f>
        <v>3.181739147210251E-2</v>
      </c>
      <c r="O91" s="28">
        <f>SUM(O71:O90)</f>
        <v>95452.174416307505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2023-01-20(금) 오전 00:00</v>
      </c>
      <c r="C96" s="198"/>
      <c r="D96" s="170" t="str">
        <f>TEXT($G$1, "[$-ko-KR]yyyy-mm-dd(ddd) ") &amp; "오후 14:00"</f>
        <v>2023-01-20(금) 오후 14:00</v>
      </c>
      <c r="E96" s="171"/>
      <c r="F96" s="172"/>
      <c r="G96" s="170" t="str">
        <f>TEXT($G$1, "[$-ko-KR]yyyy-mm-dd(ddd) ") &amp; "오후 19:00"</f>
        <v>2023-01-20(금) 오후 19:00</v>
      </c>
      <c r="H96" s="171"/>
      <c r="I96" s="172"/>
      <c r="J96" s="170" t="str">
        <f>TEXT($G$1, "[$-ko-KR]yyyy-mm-dd(ddd) ") &amp; "오후 21:00"</f>
        <v>2023-01-20(금) 오후 21:00</v>
      </c>
      <c r="K96" s="171"/>
      <c r="L96" s="172"/>
      <c r="M96" s="170" t="str">
        <f>TEXT($G$1+1, "[$-ko-KR]yyyy-mm-dd(ddd) ") &amp; "오전 00:00"</f>
        <v>2023-01-21(토)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113</v>
      </c>
      <c r="B98" s="108">
        <v>2575</v>
      </c>
      <c r="C98" s="69">
        <v>0.19212962959999999</v>
      </c>
      <c r="D98" s="13">
        <v>2410</v>
      </c>
      <c r="E98" s="14">
        <f>IF(ISNUMBER(D98), (D98 - $B98) / $B98, "")</f>
        <v>-6.4077669902912623E-2</v>
      </c>
      <c r="F98" s="16">
        <f>IF(ISNUMBER(D98), $B118 * E98, "")</f>
        <v>-9611.6504854368941</v>
      </c>
      <c r="G98" s="29">
        <v>2365</v>
      </c>
      <c r="H98" s="14">
        <f>IF(ISNUMBER(G98), (G98 - $B98) / $B98, "")</f>
        <v>-8.155339805825243E-2</v>
      </c>
      <c r="I98" s="90">
        <f>IF(ISNUMBER(G98), $B118 * H98, "")</f>
        <v>-12233.009708737865</v>
      </c>
      <c r="J98" s="13">
        <v>2355</v>
      </c>
      <c r="K98" s="14">
        <f>IF(ISNUMBER(J98), (J98 - $B98) / $B98, "")</f>
        <v>-8.5436893203883493E-2</v>
      </c>
      <c r="L98" s="16">
        <f>IF(ISNUMBER(J98), $B118 * K98, "")</f>
        <v>-12815.533980582524</v>
      </c>
      <c r="M98" s="29">
        <v>2325</v>
      </c>
      <c r="N98" s="14">
        <f>IF(ISNUMBER(M98), (M98 - $B98) / $B98, "")</f>
        <v>-9.7087378640776698E-2</v>
      </c>
      <c r="O98" s="16">
        <f>IF(ISNUMBER(M98), $B118 * N98, "")</f>
        <v>-14563.106796116504</v>
      </c>
      <c r="Q98" s="156"/>
      <c r="R98" s="156"/>
      <c r="S98" s="156"/>
    </row>
    <row r="99" spans="1:19" ht="17.25" thickBot="1">
      <c r="A99" s="109" t="s">
        <v>149</v>
      </c>
      <c r="B99" s="110">
        <v>515</v>
      </c>
      <c r="C99" s="70">
        <v>0.14190687360000001</v>
      </c>
      <c r="D99" s="15">
        <v>519</v>
      </c>
      <c r="E99" s="32">
        <f t="shared" ref="E99:E102" si="46">IF(ISNUMBER(D99), (D99 - $B99) / $B99, "")</f>
        <v>7.7669902912621356E-3</v>
      </c>
      <c r="F99" s="18">
        <f>IF(ISNUMBER(D99), $B118 * E99, "")</f>
        <v>1165.0485436893202</v>
      </c>
      <c r="G99" s="31">
        <v>525</v>
      </c>
      <c r="H99" s="32">
        <f t="shared" ref="H99:H102" si="47">IF(ISNUMBER(G99), (G99 - $B99) / $B99, "")</f>
        <v>1.9417475728155338E-2</v>
      </c>
      <c r="I99" s="91">
        <f>IF(ISNUMBER(G99), $B118 * H99, "")</f>
        <v>2912.6213592233007</v>
      </c>
      <c r="J99" s="15">
        <v>521</v>
      </c>
      <c r="K99" s="32">
        <f t="shared" ref="K99:K102" si="48">IF(ISNUMBER(J99), (J99 - $B99) / $B99, "")</f>
        <v>1.1650485436893204E-2</v>
      </c>
      <c r="L99" s="18">
        <f>IF(ISNUMBER(J99), $B118 * K99, "")</f>
        <v>1747.5728155339807</v>
      </c>
      <c r="M99" s="31">
        <v>519</v>
      </c>
      <c r="N99" s="32">
        <f t="shared" ref="N99:N102" si="49">IF(ISNUMBER(M99), (M99 - $B99) / $B99, "")</f>
        <v>7.7669902912621356E-3</v>
      </c>
      <c r="O99" s="18">
        <f>IF(ISNUMBER(M99), $B118 * N99, "")</f>
        <v>1165.0485436893202</v>
      </c>
      <c r="Q99" s="156"/>
      <c r="R99" s="156"/>
      <c r="S99" s="156"/>
    </row>
    <row r="100" spans="1:19" ht="17.25" thickBot="1">
      <c r="A100" s="109" t="s">
        <v>217</v>
      </c>
      <c r="B100" s="110">
        <v>79.2</v>
      </c>
      <c r="C100" s="70">
        <v>0.125</v>
      </c>
      <c r="D100" s="15">
        <v>92.3</v>
      </c>
      <c r="E100" s="32">
        <f t="shared" si="46"/>
        <v>0.16540404040404033</v>
      </c>
      <c r="F100" s="18">
        <f>IF(ISNUMBER(D100), $B118 * E100, "")</f>
        <v>24810.606060606049</v>
      </c>
      <c r="G100" s="31">
        <v>90.1</v>
      </c>
      <c r="H100" s="32">
        <f t="shared" si="47"/>
        <v>0.13762626262626251</v>
      </c>
      <c r="I100" s="91">
        <f>IF(ISNUMBER(G100), $B118 * H100, "")</f>
        <v>20643.939393939378</v>
      </c>
      <c r="J100" s="15">
        <v>90.4</v>
      </c>
      <c r="K100" s="32">
        <f t="shared" si="48"/>
        <v>0.14141414141414144</v>
      </c>
      <c r="L100" s="18">
        <f>IF(ISNUMBER(J100), $B118 * K100, "")</f>
        <v>21212.121212121216</v>
      </c>
      <c r="M100" s="31">
        <v>88.9</v>
      </c>
      <c r="N100" s="32">
        <f t="shared" si="49"/>
        <v>0.1224747474747475</v>
      </c>
      <c r="O100" s="18">
        <f>IF(ISNUMBER(M100), $B118 * N100, "")</f>
        <v>18371.212121212124</v>
      </c>
      <c r="Q100" s="146"/>
      <c r="R100" s="146"/>
      <c r="S100" s="146"/>
    </row>
    <row r="101" spans="1:19" ht="17.25" thickBot="1">
      <c r="A101" s="109" t="s">
        <v>165</v>
      </c>
      <c r="B101" s="110">
        <v>1095</v>
      </c>
      <c r="C101" s="70">
        <v>6.3106796100000001E-2</v>
      </c>
      <c r="D101" s="15">
        <v>1080</v>
      </c>
      <c r="E101" s="32">
        <f t="shared" si="46"/>
        <v>-1.3698630136986301E-2</v>
      </c>
      <c r="F101" s="18">
        <f>IF(ISNUMBER(D101), $B118 * E101, "")</f>
        <v>-2054.794520547945</v>
      </c>
      <c r="G101" s="31">
        <v>1085</v>
      </c>
      <c r="H101" s="32">
        <f t="shared" si="47"/>
        <v>-9.1324200913242004E-3</v>
      </c>
      <c r="I101" s="91">
        <f>IF(ISNUMBER(G101), $B118 * H101, "")</f>
        <v>-1369.8630136986301</v>
      </c>
      <c r="J101" s="15">
        <v>1085</v>
      </c>
      <c r="K101" s="32">
        <f t="shared" si="48"/>
        <v>-9.1324200913242004E-3</v>
      </c>
      <c r="L101" s="18">
        <f>IF(ISNUMBER(J101), $B118 * K101, "")</f>
        <v>-1369.8630136986301</v>
      </c>
      <c r="M101" s="31">
        <v>1090</v>
      </c>
      <c r="N101" s="32">
        <f t="shared" si="49"/>
        <v>-4.5662100456621002E-3</v>
      </c>
      <c r="O101" s="18">
        <f>IF(ISNUMBER(M101), $B118 * N101, "")</f>
        <v>-684.93150684931504</v>
      </c>
      <c r="Q101" s="146"/>
      <c r="R101" s="146"/>
      <c r="S101" s="146"/>
    </row>
    <row r="102" spans="1:19" ht="17.25" thickBot="1">
      <c r="A102" s="111" t="s">
        <v>159</v>
      </c>
      <c r="B102" s="112">
        <v>203</v>
      </c>
      <c r="C102" s="71">
        <v>6.2827225099999995E-2</v>
      </c>
      <c r="D102" s="20">
        <v>217</v>
      </c>
      <c r="E102" s="21">
        <f t="shared" si="46"/>
        <v>6.8965517241379309E-2</v>
      </c>
      <c r="F102" s="22">
        <f>IF(ISNUMBER(D102), $B118 * E102, "")</f>
        <v>10344.827586206897</v>
      </c>
      <c r="G102" s="30">
        <v>215</v>
      </c>
      <c r="H102" s="21">
        <f t="shared" si="47"/>
        <v>5.9113300492610835E-2</v>
      </c>
      <c r="I102" s="95">
        <f>IF(ISNUMBER(G102), $B118 * H102, "")</f>
        <v>8866.995073891625</v>
      </c>
      <c r="J102" s="20">
        <v>218</v>
      </c>
      <c r="K102" s="21">
        <f t="shared" si="48"/>
        <v>7.3891625615763554E-2</v>
      </c>
      <c r="L102" s="22">
        <f>IF(ISNUMBER(J102), $B118 * K102, "")</f>
        <v>11083.743842364533</v>
      </c>
      <c r="M102" s="30">
        <v>223</v>
      </c>
      <c r="N102" s="21">
        <f t="shared" si="49"/>
        <v>9.8522167487684734E-2</v>
      </c>
      <c r="O102" s="22">
        <f>IF(ISNUMBER(M102), $B118 * N102, "")</f>
        <v>14778.32512315271</v>
      </c>
      <c r="Q102" s="146"/>
      <c r="R102" s="146"/>
      <c r="S102" s="146"/>
    </row>
    <row r="103" spans="1:19" ht="17.25" thickBot="1">
      <c r="A103" s="109" t="s">
        <v>329</v>
      </c>
      <c r="B103" s="113">
        <v>71.3</v>
      </c>
      <c r="C103" s="73">
        <v>6.2593144599999997E-2</v>
      </c>
      <c r="D103" s="96">
        <v>74.099999999999994</v>
      </c>
      <c r="E103" s="97">
        <f>IF(ISNUMBER(D103), (D103 - $B103) / $B103, "")</f>
        <v>3.9270687237026612E-2</v>
      </c>
      <c r="F103" s="98">
        <f>IF(ISNUMBER(D103), $B118 * E103, "")</f>
        <v>5890.6030855539921</v>
      </c>
      <c r="G103" s="99">
        <v>75.400000000000006</v>
      </c>
      <c r="H103" s="97">
        <f>IF(ISNUMBER(G103), (G103 - $B103) / $B103, "")</f>
        <v>5.7503506311360572E-2</v>
      </c>
      <c r="I103" s="100">
        <f>IF(ISNUMBER(G103), $B118 * H103, "")</f>
        <v>8625.5259467040851</v>
      </c>
      <c r="J103" s="96">
        <v>76.400000000000006</v>
      </c>
      <c r="K103" s="97">
        <f>IF(ISNUMBER(J103), (J103 - $B103) / $B103, "")</f>
        <v>7.1528751753155803E-2</v>
      </c>
      <c r="L103" s="98">
        <f>IF(ISNUMBER(J103), $B118 * K103, "")</f>
        <v>10729.31276297337</v>
      </c>
      <c r="M103" s="99">
        <v>76.2</v>
      </c>
      <c r="N103" s="97">
        <f>IF(ISNUMBER(M103), (M103 - $B103) / $B103, "")</f>
        <v>6.8723702664796715E-2</v>
      </c>
      <c r="O103" s="98">
        <f>IF(ISNUMBER(M103), $B118 * N103, "")</f>
        <v>10308.555399719507</v>
      </c>
      <c r="Q103" s="146"/>
      <c r="R103" s="146"/>
      <c r="S103" s="146"/>
    </row>
    <row r="104" spans="1:19" ht="17.25" thickBot="1">
      <c r="A104" s="109" t="s">
        <v>105</v>
      </c>
      <c r="B104" s="110">
        <v>232</v>
      </c>
      <c r="C104" s="70">
        <v>5.45454545E-2</v>
      </c>
      <c r="D104" s="15">
        <v>232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232</v>
      </c>
      <c r="H104" s="32">
        <f t="shared" ref="H104:H107" si="51">IF(ISNUMBER(G104), (G104 - $B104) / $B104, "")</f>
        <v>0</v>
      </c>
      <c r="I104" s="91">
        <f>IF(ISNUMBER(G104), $B118 * H104, "")</f>
        <v>0</v>
      </c>
      <c r="J104" s="15">
        <v>233</v>
      </c>
      <c r="K104" s="32">
        <f t="shared" ref="K104:K107" si="52">IF(ISNUMBER(J104), (J104 - $B104) / $B104, "")</f>
        <v>4.3103448275862068E-3</v>
      </c>
      <c r="L104" s="18">
        <f>IF(ISNUMBER(J104), $B118 * K104, "")</f>
        <v>646.55172413793105</v>
      </c>
      <c r="M104" s="31">
        <v>236</v>
      </c>
      <c r="N104" s="32">
        <f t="shared" ref="N104:N107" si="53">IF(ISNUMBER(M104), (M104 - $B104) / $B104, "")</f>
        <v>1.7241379310344827E-2</v>
      </c>
      <c r="O104" s="18">
        <f>IF(ISNUMBER(M104), $B118 * N104, "")</f>
        <v>2586.2068965517242</v>
      </c>
      <c r="Q104" s="146"/>
      <c r="R104" s="146"/>
      <c r="S104" s="146"/>
    </row>
    <row r="105" spans="1:19" ht="17.25" thickBot="1">
      <c r="A105" s="109" t="s">
        <v>95</v>
      </c>
      <c r="B105" s="110">
        <v>1250</v>
      </c>
      <c r="C105" s="70">
        <v>5.0420168100000003E-2</v>
      </c>
      <c r="D105" s="15">
        <v>1235</v>
      </c>
      <c r="E105" s="32">
        <f t="shared" si="50"/>
        <v>-1.2E-2</v>
      </c>
      <c r="F105" s="18">
        <f>IF(ISNUMBER(D105), $B118 * E105, "")</f>
        <v>-1800</v>
      </c>
      <c r="G105" s="31">
        <v>1220</v>
      </c>
      <c r="H105" s="32">
        <f t="shared" si="51"/>
        <v>-2.4E-2</v>
      </c>
      <c r="I105" s="91">
        <f>IF(ISNUMBER(G105), $B118 * H105, "")</f>
        <v>-3600</v>
      </c>
      <c r="J105" s="15">
        <v>1225</v>
      </c>
      <c r="K105" s="32">
        <f t="shared" si="52"/>
        <v>-0.02</v>
      </c>
      <c r="L105" s="18">
        <f>IF(ISNUMBER(J105), $B118 * K105, "")</f>
        <v>-3000</v>
      </c>
      <c r="M105" s="31">
        <v>1235</v>
      </c>
      <c r="N105" s="32">
        <f t="shared" si="53"/>
        <v>-1.2E-2</v>
      </c>
      <c r="O105" s="18">
        <f>IF(ISNUMBER(M105), $B118 * N105, "")</f>
        <v>-1800</v>
      </c>
      <c r="Q105" s="146"/>
      <c r="R105" s="146"/>
      <c r="S105" s="146"/>
    </row>
    <row r="106" spans="1:19" ht="17.25" thickBot="1">
      <c r="A106" s="109" t="s">
        <v>79</v>
      </c>
      <c r="B106" s="110">
        <v>292</v>
      </c>
      <c r="C106" s="70">
        <v>5.0359712199999997E-2</v>
      </c>
      <c r="D106" s="15">
        <v>296</v>
      </c>
      <c r="E106" s="32">
        <f t="shared" si="50"/>
        <v>1.3698630136986301E-2</v>
      </c>
      <c r="F106" s="18">
        <f>IF(ISNUMBER(D106), $B118 * E106, "")</f>
        <v>2054.794520547945</v>
      </c>
      <c r="G106" s="31">
        <v>296</v>
      </c>
      <c r="H106" s="32">
        <f t="shared" si="51"/>
        <v>1.3698630136986301E-2</v>
      </c>
      <c r="I106" s="91">
        <f>IF(ISNUMBER(G106), $B118 * H106, "")</f>
        <v>2054.794520547945</v>
      </c>
      <c r="J106" s="15">
        <v>298</v>
      </c>
      <c r="K106" s="32">
        <f t="shared" si="52"/>
        <v>2.0547945205479451E-2</v>
      </c>
      <c r="L106" s="18">
        <f>IF(ISNUMBER(J106), $B118 * K106, "")</f>
        <v>3082.1917808219177</v>
      </c>
      <c r="M106" s="31">
        <v>299</v>
      </c>
      <c r="N106" s="32">
        <f t="shared" si="53"/>
        <v>2.3972602739726026E-2</v>
      </c>
      <c r="O106" s="18">
        <f>IF(ISNUMBER(M106), $B118 * N106, "")</f>
        <v>3595.8904109589039</v>
      </c>
      <c r="Q106" s="33"/>
      <c r="R106" s="33"/>
    </row>
    <row r="107" spans="1:19" ht="17.25" thickBot="1">
      <c r="A107" s="114" t="s">
        <v>335</v>
      </c>
      <c r="B107" s="115">
        <v>2580</v>
      </c>
      <c r="C107" s="72">
        <v>4.8780487800000001E-2</v>
      </c>
      <c r="D107" s="24">
        <v>2585</v>
      </c>
      <c r="E107" s="25">
        <f t="shared" si="50"/>
        <v>1.937984496124031E-3</v>
      </c>
      <c r="F107" s="94">
        <f>IF(ISNUMBER(D107), $B118 * E107, "")</f>
        <v>290.69767441860466</v>
      </c>
      <c r="G107" s="92">
        <v>2590</v>
      </c>
      <c r="H107" s="25">
        <f t="shared" si="51"/>
        <v>3.875968992248062E-3</v>
      </c>
      <c r="I107" s="93">
        <f>IF(ISNUMBER(G107), $B118 * H107, "")</f>
        <v>581.39534883720933</v>
      </c>
      <c r="J107" s="24">
        <v>2585</v>
      </c>
      <c r="K107" s="25">
        <f t="shared" si="52"/>
        <v>1.937984496124031E-3</v>
      </c>
      <c r="L107" s="94">
        <f>IF(ISNUMBER(J107), $B118 * K107, "")</f>
        <v>290.69767441860466</v>
      </c>
      <c r="M107" s="92">
        <v>2630</v>
      </c>
      <c r="N107" s="25">
        <f t="shared" si="53"/>
        <v>1.937984496124031E-2</v>
      </c>
      <c r="O107" s="94">
        <f>IF(ISNUMBER(M107), $B118 * N107, "")</f>
        <v>2906.9767441860463</v>
      </c>
      <c r="Q107" s="147"/>
      <c r="R107" s="148"/>
      <c r="S107" s="149"/>
    </row>
    <row r="108" spans="1:19">
      <c r="A108" s="107" t="s">
        <v>321</v>
      </c>
      <c r="B108" s="108">
        <v>206</v>
      </c>
      <c r="C108" s="69">
        <v>4.5685279199999998E-2</v>
      </c>
      <c r="D108" s="13">
        <v>218</v>
      </c>
      <c r="E108" s="14">
        <f>IF(ISNUMBER(D108), (D108 - $B108) / $B108, "")</f>
        <v>5.8252427184466021E-2</v>
      </c>
      <c r="F108" s="16">
        <f>IF(ISNUMBER(D108), $B118 * E108, "")</f>
        <v>8737.8640776699031</v>
      </c>
      <c r="G108" s="29">
        <v>224</v>
      </c>
      <c r="H108" s="14">
        <f>IF(ISNUMBER(G108), (G108 - $B108) / $B108, "")</f>
        <v>8.7378640776699032E-2</v>
      </c>
      <c r="I108" s="90">
        <f>IF(ISNUMBER(G108), $B118 * H108, "")</f>
        <v>13106.796116504855</v>
      </c>
      <c r="J108" s="13">
        <v>222</v>
      </c>
      <c r="K108" s="14">
        <f>IF(ISNUMBER(J108), (J108 - $B108) / $B108, "")</f>
        <v>7.7669902912621352E-2</v>
      </c>
      <c r="L108" s="16">
        <f>IF(ISNUMBER(J108), $B118 * K108, "")</f>
        <v>11650.485436893203</v>
      </c>
      <c r="M108" s="29">
        <v>227</v>
      </c>
      <c r="N108" s="14">
        <f>IF(ISNUMBER(M108), (M108 - $B108) / $B108, "")</f>
        <v>0.10194174757281553</v>
      </c>
      <c r="O108" s="16">
        <f>IF(ISNUMBER(M108), $B118 * N108, "")</f>
        <v>15291.26213592233</v>
      </c>
      <c r="Q108" s="150"/>
      <c r="R108" s="151"/>
      <c r="S108" s="152"/>
    </row>
    <row r="109" spans="1:19" ht="17.25" thickBot="1">
      <c r="A109" s="109" t="s">
        <v>201</v>
      </c>
      <c r="B109" s="110">
        <v>254</v>
      </c>
      <c r="C109" s="70">
        <v>4.5267489700000003E-2</v>
      </c>
      <c r="D109" s="15">
        <v>264</v>
      </c>
      <c r="E109" s="32">
        <f t="shared" ref="E109:E112" si="54">IF(ISNUMBER(D109), (D109 - $B109) / $B109, "")</f>
        <v>3.937007874015748E-2</v>
      </c>
      <c r="F109" s="18">
        <f>IF(ISNUMBER(D109), $B118 * E109, "")</f>
        <v>5905.5118110236217</v>
      </c>
      <c r="G109" s="31">
        <v>264</v>
      </c>
      <c r="H109" s="32">
        <f t="shared" ref="H109:H112" si="55">IF(ISNUMBER(G109), (G109 - $B109) / $B109, "")</f>
        <v>3.937007874015748E-2</v>
      </c>
      <c r="I109" s="91">
        <f>IF(ISNUMBER(G109), $B118 * H109, "")</f>
        <v>5905.5118110236217</v>
      </c>
      <c r="J109" s="15">
        <v>268</v>
      </c>
      <c r="K109" s="32">
        <f t="shared" ref="K109:K112" si="56">IF(ISNUMBER(J109), (J109 - $B109) / $B109, "")</f>
        <v>5.5118110236220472E-2</v>
      </c>
      <c r="L109" s="18">
        <f>IF(ISNUMBER(J109), $B118 * K109, "")</f>
        <v>8267.71653543307</v>
      </c>
      <c r="M109" s="31">
        <v>269</v>
      </c>
      <c r="N109" s="32">
        <f t="shared" ref="N109:N112" si="57">IF(ISNUMBER(M109), (M109 - $B109) / $B109, "")</f>
        <v>5.905511811023622E-2</v>
      </c>
      <c r="O109" s="18">
        <f>IF(ISNUMBER(M109), $B118 * N109, "")</f>
        <v>8858.2677165354326</v>
      </c>
      <c r="Q109" s="153"/>
      <c r="R109" s="154"/>
      <c r="S109" s="155"/>
    </row>
    <row r="110" spans="1:19" ht="17.25" thickBot="1">
      <c r="A110" s="109" t="s">
        <v>138</v>
      </c>
      <c r="B110" s="110">
        <v>28</v>
      </c>
      <c r="C110" s="70">
        <v>4.4776119400000002E-2</v>
      </c>
      <c r="D110" s="15">
        <v>28.9</v>
      </c>
      <c r="E110" s="32">
        <f t="shared" si="54"/>
        <v>3.2142857142857091E-2</v>
      </c>
      <c r="F110" s="18">
        <f>IF(ISNUMBER(D110), $B118 * E110, "")</f>
        <v>4821.4285714285634</v>
      </c>
      <c r="G110" s="31">
        <v>29</v>
      </c>
      <c r="H110" s="32">
        <f t="shared" si="55"/>
        <v>3.5714285714285712E-2</v>
      </c>
      <c r="I110" s="91">
        <f>IF(ISNUMBER(G110), $B118 * H110, "")</f>
        <v>5357.1428571428569</v>
      </c>
      <c r="J110" s="15">
        <v>30.2</v>
      </c>
      <c r="K110" s="32">
        <f t="shared" si="56"/>
        <v>7.8571428571428542E-2</v>
      </c>
      <c r="L110" s="18">
        <f>IF(ISNUMBER(J110), $B118 * K110, "")</f>
        <v>11785.714285714281</v>
      </c>
      <c r="M110" s="31">
        <v>29.1</v>
      </c>
      <c r="N110" s="32">
        <f t="shared" si="57"/>
        <v>3.9285714285714333E-2</v>
      </c>
      <c r="O110" s="18">
        <f>IF(ISNUMBER(M110), $B118 * N110, "")</f>
        <v>5892.8571428571504</v>
      </c>
      <c r="Q110" s="146"/>
      <c r="R110" s="146"/>
      <c r="S110" s="146"/>
    </row>
    <row r="111" spans="1:19" ht="17.25" thickBot="1">
      <c r="A111" s="109" t="s">
        <v>68</v>
      </c>
      <c r="B111" s="110">
        <v>575</v>
      </c>
      <c r="C111" s="70">
        <v>4.3557168799999997E-2</v>
      </c>
      <c r="D111" s="15">
        <v>605</v>
      </c>
      <c r="E111" s="32">
        <f t="shared" si="54"/>
        <v>5.2173913043478258E-2</v>
      </c>
      <c r="F111" s="18">
        <f>IF(ISNUMBER(D111), $B118 * E111, "")</f>
        <v>7826.086956521739</v>
      </c>
      <c r="G111" s="31">
        <v>607</v>
      </c>
      <c r="H111" s="32">
        <f t="shared" si="55"/>
        <v>5.565217391304348E-2</v>
      </c>
      <c r="I111" s="91">
        <f>IF(ISNUMBER(G111), $B118 * H111, "")</f>
        <v>8347.826086956522</v>
      </c>
      <c r="J111" s="15">
        <v>609</v>
      </c>
      <c r="K111" s="32">
        <f t="shared" si="56"/>
        <v>5.9130434782608696E-2</v>
      </c>
      <c r="L111" s="18">
        <f>IF(ISNUMBER(J111), $B118 * K111, "")</f>
        <v>8869.565217391304</v>
      </c>
      <c r="M111" s="31">
        <v>621</v>
      </c>
      <c r="N111" s="32">
        <f t="shared" si="57"/>
        <v>0.08</v>
      </c>
      <c r="O111" s="18">
        <f>IF(ISNUMBER(M111), $B118 * N111, "")</f>
        <v>12000</v>
      </c>
      <c r="Q111" s="156"/>
      <c r="R111" s="156"/>
      <c r="S111" s="156"/>
    </row>
    <row r="112" spans="1:19" ht="17.25" thickBot="1">
      <c r="A112" s="111" t="s">
        <v>116</v>
      </c>
      <c r="B112" s="112">
        <v>1135</v>
      </c>
      <c r="C112" s="71">
        <v>3.65296804E-2</v>
      </c>
      <c r="D112" s="20">
        <v>1125</v>
      </c>
      <c r="E112" s="21">
        <f t="shared" si="54"/>
        <v>-8.8105726872246704E-3</v>
      </c>
      <c r="F112" s="22">
        <f>IF(ISNUMBER(D112), $B118 * E112, "")</f>
        <v>-1321.5859030837005</v>
      </c>
      <c r="G112" s="30">
        <v>1120</v>
      </c>
      <c r="H112" s="21">
        <f t="shared" si="55"/>
        <v>-1.3215859030837005E-2</v>
      </c>
      <c r="I112" s="95">
        <f>IF(ISNUMBER(G112), $B118 * H112, "")</f>
        <v>-1982.3788546255507</v>
      </c>
      <c r="J112" s="20">
        <v>1125</v>
      </c>
      <c r="K112" s="21">
        <f t="shared" si="56"/>
        <v>-8.8105726872246704E-3</v>
      </c>
      <c r="L112" s="22">
        <f>IF(ISNUMBER(J112), $B118 * K112, "")</f>
        <v>-1321.5859030837005</v>
      </c>
      <c r="M112" s="30">
        <v>1125</v>
      </c>
      <c r="N112" s="21">
        <f t="shared" si="57"/>
        <v>-8.8105726872246704E-3</v>
      </c>
      <c r="O112" s="22">
        <f>IF(ISNUMBER(M112), $B118 * N112, "")</f>
        <v>-1321.5859030837005</v>
      </c>
      <c r="Q112" s="156"/>
      <c r="R112" s="156"/>
      <c r="S112" s="156"/>
    </row>
    <row r="113" spans="1:19" ht="17.25" thickBot="1">
      <c r="A113" s="109" t="s">
        <v>153</v>
      </c>
      <c r="B113" s="113">
        <v>410</v>
      </c>
      <c r="C113" s="73">
        <v>3.2745591900000003E-2</v>
      </c>
      <c r="D113" s="96">
        <v>415</v>
      </c>
      <c r="E113" s="97">
        <f>IF(ISNUMBER(D113), (D113 - $B113) / $B113, "")</f>
        <v>1.2195121951219513E-2</v>
      </c>
      <c r="F113" s="98">
        <f>IF(ISNUMBER(D113), $B118 * E113, "")</f>
        <v>1829.2682926829268</v>
      </c>
      <c r="G113" s="99">
        <v>417</v>
      </c>
      <c r="H113" s="97">
        <f>IF(ISNUMBER(G113), (G113 - $B113) / $B113, "")</f>
        <v>1.7073170731707318E-2</v>
      </c>
      <c r="I113" s="100">
        <f>IF(ISNUMBER(G113), $B118 * H113, "")</f>
        <v>2560.9756097560976</v>
      </c>
      <c r="J113" s="96">
        <v>415</v>
      </c>
      <c r="K113" s="97">
        <f>IF(ISNUMBER(J113), (J113 - $B113) / $B113, "")</f>
        <v>1.2195121951219513E-2</v>
      </c>
      <c r="L113" s="98">
        <f>IF(ISNUMBER(J113), $B118 * K113, "")</f>
        <v>1829.2682926829268</v>
      </c>
      <c r="M113" s="99">
        <v>419</v>
      </c>
      <c r="N113" s="97">
        <f>IF(ISNUMBER(M113), (M113 - $B113) / $B113, "")</f>
        <v>2.1951219512195121E-2</v>
      </c>
      <c r="O113" s="98">
        <f>IF(ISNUMBER(M113), $B118 * N113, "")</f>
        <v>3292.6829268292681</v>
      </c>
      <c r="Q113" s="146"/>
      <c r="R113" s="146"/>
      <c r="S113" s="146"/>
    </row>
    <row r="114" spans="1:19" ht="17.25" thickBot="1">
      <c r="A114" s="109" t="s">
        <v>209</v>
      </c>
      <c r="B114" s="110">
        <v>88.8</v>
      </c>
      <c r="C114" s="70">
        <v>3.25581395E-2</v>
      </c>
      <c r="D114" s="15">
        <v>98.6</v>
      </c>
      <c r="E114" s="32">
        <f t="shared" ref="E114:E117" si="58">IF(ISNUMBER(D114), (D114 - $B114) / $B114, "")</f>
        <v>0.11036036036036033</v>
      </c>
      <c r="F114" s="18">
        <f>IF(ISNUMBER(D114), $B118 * E114, "")</f>
        <v>16554.05405405405</v>
      </c>
      <c r="G114" s="31">
        <v>97.4</v>
      </c>
      <c r="H114" s="32">
        <f t="shared" ref="H114:H117" si="59">IF(ISNUMBER(G114), (G114 - $B114) / $B114, "")</f>
        <v>9.684684684684694E-2</v>
      </c>
      <c r="I114" s="91">
        <f>IF(ISNUMBER(G114), $B118 * H114, "")</f>
        <v>14527.027027027041</v>
      </c>
      <c r="J114" s="15">
        <v>98.1</v>
      </c>
      <c r="K114" s="32">
        <f t="shared" ref="K114:K117" si="60">IF(ISNUMBER(J114), (J114 - $B114) / $B114, "")</f>
        <v>0.1047297297297297</v>
      </c>
      <c r="L114" s="18">
        <f>IF(ISNUMBER(J114), $B118 * K114, "")</f>
        <v>15709.459459459455</v>
      </c>
      <c r="M114" s="31">
        <v>97.3</v>
      </c>
      <c r="N114" s="32">
        <f t="shared" ref="N114:N117" si="61">IF(ISNUMBER(M114), (M114 - $B114) / $B114, "")</f>
        <v>9.5720720720720728E-2</v>
      </c>
      <c r="O114" s="18">
        <f>IF(ISNUMBER(M114), $B118 * N114, "")</f>
        <v>14358.108108108108</v>
      </c>
      <c r="Q114" s="146"/>
      <c r="R114" s="146"/>
      <c r="S114" s="146"/>
    </row>
    <row r="115" spans="1:19" ht="17.25" thickBot="1">
      <c r="A115" s="109" t="s">
        <v>167</v>
      </c>
      <c r="B115" s="110">
        <v>196</v>
      </c>
      <c r="C115" s="70">
        <v>3.1578947400000001E-2</v>
      </c>
      <c r="D115" s="15">
        <v>203</v>
      </c>
      <c r="E115" s="32">
        <f t="shared" si="58"/>
        <v>3.5714285714285712E-2</v>
      </c>
      <c r="F115" s="18">
        <f>IF(ISNUMBER(D115), $B118 * E115, "")</f>
        <v>5357.1428571428569</v>
      </c>
      <c r="G115" s="31">
        <v>212</v>
      </c>
      <c r="H115" s="32">
        <f t="shared" si="59"/>
        <v>8.1632653061224483E-2</v>
      </c>
      <c r="I115" s="91">
        <f>IF(ISNUMBER(G115), $B118 * H115, "")</f>
        <v>12244.897959183672</v>
      </c>
      <c r="J115" s="15">
        <v>210</v>
      </c>
      <c r="K115" s="32">
        <f t="shared" si="60"/>
        <v>7.1428571428571425E-2</v>
      </c>
      <c r="L115" s="18">
        <f>IF(ISNUMBER(J115), $B118 * K115, "")</f>
        <v>10714.285714285714</v>
      </c>
      <c r="M115" s="31">
        <v>209</v>
      </c>
      <c r="N115" s="32">
        <f t="shared" si="61"/>
        <v>6.6326530612244902E-2</v>
      </c>
      <c r="O115" s="18">
        <f>IF(ISNUMBER(M115), $B118 * N115, "")</f>
        <v>9948.9795918367345</v>
      </c>
      <c r="Q115" s="146"/>
      <c r="R115" s="146"/>
      <c r="S115" s="146"/>
    </row>
    <row r="116" spans="1:19">
      <c r="A116" s="109" t="s">
        <v>332</v>
      </c>
      <c r="B116" s="110">
        <v>575</v>
      </c>
      <c r="C116" s="70">
        <v>3.0465949799999999E-2</v>
      </c>
      <c r="D116" s="15">
        <v>573</v>
      </c>
      <c r="E116" s="32">
        <f t="shared" si="58"/>
        <v>-3.4782608695652175E-3</v>
      </c>
      <c r="F116" s="18">
        <f>IF(ISNUMBER(D116), $B118 * E116, "")</f>
        <v>-521.73913043478262</v>
      </c>
      <c r="G116" s="31">
        <v>570</v>
      </c>
      <c r="H116" s="32">
        <f t="shared" si="59"/>
        <v>-8.6956521739130436E-3</v>
      </c>
      <c r="I116" s="91">
        <f>IF(ISNUMBER(G116), $B118 * H116, "")</f>
        <v>-1304.3478260869565</v>
      </c>
      <c r="J116" s="15">
        <v>571</v>
      </c>
      <c r="K116" s="32">
        <f t="shared" si="60"/>
        <v>-6.956521739130435E-3</v>
      </c>
      <c r="L116" s="18">
        <f>IF(ISNUMBER(J116), $B118 * K116, "")</f>
        <v>-1043.4782608695652</v>
      </c>
      <c r="M116" s="31">
        <v>575</v>
      </c>
      <c r="N116" s="32">
        <f t="shared" si="61"/>
        <v>0</v>
      </c>
      <c r="O116" s="18">
        <f>IF(ISNUMBER(M116), $B118 * N116, "")</f>
        <v>0</v>
      </c>
      <c r="Q116" s="135"/>
      <c r="R116" s="136"/>
      <c r="S116" s="137"/>
    </row>
    <row r="117" spans="1:19" ht="17.25" thickBot="1">
      <c r="A117" s="114" t="s">
        <v>73</v>
      </c>
      <c r="B117" s="115">
        <v>14790</v>
      </c>
      <c r="C117" s="72">
        <v>2.92275574E-2</v>
      </c>
      <c r="D117" s="24">
        <v>15090</v>
      </c>
      <c r="E117" s="25">
        <f t="shared" si="58"/>
        <v>2.0283975659229209E-2</v>
      </c>
      <c r="F117" s="94">
        <f>IF(ISNUMBER(D117), $B118 * E117, "")</f>
        <v>3042.5963488843813</v>
      </c>
      <c r="G117" s="92">
        <v>15130</v>
      </c>
      <c r="H117" s="25">
        <f t="shared" si="59"/>
        <v>2.2988505747126436E-2</v>
      </c>
      <c r="I117" s="93">
        <f>IF(ISNUMBER(G117), $B118 * H117, "")</f>
        <v>3448.2758620689656</v>
      </c>
      <c r="J117" s="24">
        <v>15320</v>
      </c>
      <c r="K117" s="25">
        <f t="shared" si="60"/>
        <v>3.5835023664638269E-2</v>
      </c>
      <c r="L117" s="94">
        <f>IF(ISNUMBER(J117), $B118 * K117, "")</f>
        <v>5375.2535496957407</v>
      </c>
      <c r="M117" s="92">
        <v>15400</v>
      </c>
      <c r="N117" s="25">
        <f t="shared" si="61"/>
        <v>4.1244083840432724E-2</v>
      </c>
      <c r="O117" s="94">
        <f>IF(ISNUMBER(M117), $B118 * N117, "")</f>
        <v>6186.6125760649084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2.7773586800309176E-2</v>
      </c>
      <c r="F118" s="28">
        <f>SUM(F98:F117)</f>
        <v>83320.760400927524</v>
      </c>
      <c r="G118" s="26" t="s">
        <v>258</v>
      </c>
      <c r="H118" s="27">
        <f>IF(COUNT(H98:H117), SUM(H98:H117) / COUNT(H98:H117), 0)</f>
        <v>2.956470852321939E-2</v>
      </c>
      <c r="I118" s="28">
        <f>SUM(I98:I117)</f>
        <v>88694.125569658165</v>
      </c>
      <c r="J118" s="26" t="s">
        <v>258</v>
      </c>
      <c r="K118" s="27">
        <f>IF(COUNT(K98:K117), SUM(K98:K117) / COUNT(K98:K117), 0)</f>
        <v>3.4481159715230948E-2</v>
      </c>
      <c r="L118" s="28">
        <f>SUM(L98:L117)</f>
        <v>103443.47914569284</v>
      </c>
      <c r="M118" s="26" t="s">
        <v>258</v>
      </c>
      <c r="N118" s="27">
        <f>IF(COUNT(N98:N117), SUM(N98:N117) / COUNT(N98:N117), 0)</f>
        <v>3.7057120410524919E-2</v>
      </c>
      <c r="O118" s="28">
        <f>SUM(O98:O117)</f>
        <v>111171.36123157473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2023-01-20(금) 오전 00:00</v>
      </c>
      <c r="C123" s="198"/>
      <c r="D123" s="170" t="str">
        <f>TEXT($G$1, "[$-ko-KR]yyyy-mm-dd(ddd) ") &amp; "오후 14:00"</f>
        <v>2023-01-20(금) 오후 14:00</v>
      </c>
      <c r="E123" s="171"/>
      <c r="F123" s="172"/>
      <c r="G123" s="170" t="str">
        <f>TEXT($G$1, "[$-ko-KR]yyyy-mm-dd(ddd) ") &amp; "오후 19:00"</f>
        <v>2023-01-20(금) 오후 19:00</v>
      </c>
      <c r="H123" s="171"/>
      <c r="I123" s="172"/>
      <c r="J123" s="170" t="str">
        <f>TEXT($G$1, "[$-ko-KR]yyyy-mm-dd(ddd) ") &amp; "오후 21:00"</f>
        <v>2023-01-20(금) 오후 21:00</v>
      </c>
      <c r="K123" s="171"/>
      <c r="L123" s="172"/>
      <c r="M123" s="170" t="str">
        <f>TEXT($G$1+1, "[$-ko-KR]yyyy-mm-dd(ddd) ") &amp; "오전 00:00"</f>
        <v>2023-01-21(토)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333</v>
      </c>
      <c r="B125" s="108">
        <v>4.78</v>
      </c>
      <c r="C125" s="69">
        <v>1.27118644E-2</v>
      </c>
      <c r="D125" s="13">
        <v>4.83</v>
      </c>
      <c r="E125" s="14">
        <f>IF(ISNUMBER(D125), (D125 - $B125) / $B125, "")</f>
        <v>1.0460251046025068E-2</v>
      </c>
      <c r="F125" s="16">
        <f>IF(ISNUMBER(D125), $B145 * E125, "")</f>
        <v>1569.0376569037601</v>
      </c>
      <c r="G125" s="29">
        <v>4.88</v>
      </c>
      <c r="H125" s="14">
        <f>IF(ISNUMBER(G125), (G125 - $B125) / $B125, "")</f>
        <v>2.0920502092050135E-2</v>
      </c>
      <c r="I125" s="90">
        <f>IF(ISNUMBER(G125), $B145 * H125, "")</f>
        <v>3138.0753138075202</v>
      </c>
      <c r="J125" s="13">
        <v>4.84</v>
      </c>
      <c r="K125" s="14">
        <f>IF(ISNUMBER(J125), (J125 - $B125) / $B125, "")</f>
        <v>1.2552301255230044E-2</v>
      </c>
      <c r="L125" s="16">
        <f>IF(ISNUMBER(J125), $B145 * K125, "")</f>
        <v>1882.8451882845065</v>
      </c>
      <c r="M125" s="29">
        <v>4.88</v>
      </c>
      <c r="N125" s="14">
        <f>IF(ISNUMBER(M125), (M125 - $B125) / $B125, "")</f>
        <v>2.0920502092050135E-2</v>
      </c>
      <c r="O125" s="16">
        <f>IF(ISNUMBER(M125), $B145 * N125, "")</f>
        <v>3138.0753138075202</v>
      </c>
      <c r="Q125" s="156"/>
      <c r="R125" s="156"/>
      <c r="S125" s="156"/>
    </row>
    <row r="126" spans="1:19" ht="17.25" thickBot="1">
      <c r="A126" s="109" t="s">
        <v>195</v>
      </c>
      <c r="B126" s="110">
        <v>6.4</v>
      </c>
      <c r="C126" s="70">
        <v>1.26582278E-2</v>
      </c>
      <c r="D126" s="15">
        <v>6.43</v>
      </c>
      <c r="E126" s="32">
        <f t="shared" ref="E126:E129" si="62">IF(ISNUMBER(D126), (D126 - $B126) / $B126, "")</f>
        <v>4.6874999999999001E-3</v>
      </c>
      <c r="F126" s="18">
        <f>IF(ISNUMBER(D126), $B145 * E126, "")</f>
        <v>703.12499999998499</v>
      </c>
      <c r="G126" s="31">
        <v>6.43</v>
      </c>
      <c r="H126" s="32">
        <f t="shared" ref="H126:H129" si="63">IF(ISNUMBER(G126), (G126 - $B126) / $B126, "")</f>
        <v>4.6874999999999001E-3</v>
      </c>
      <c r="I126" s="91">
        <f>IF(ISNUMBER(G126), $B145 * H126, "")</f>
        <v>703.12499999998499</v>
      </c>
      <c r="J126" s="15">
        <v>6.46</v>
      </c>
      <c r="K126" s="32">
        <f t="shared" ref="K126:K129" si="64">IF(ISNUMBER(J126), (J126 - $B126) / $B126, "")</f>
        <v>9.3749999999999389E-3</v>
      </c>
      <c r="L126" s="18">
        <f>IF(ISNUMBER(J126), $B145 * K126, "")</f>
        <v>1406.2499999999909</v>
      </c>
      <c r="M126" s="31">
        <v>6.51</v>
      </c>
      <c r="N126" s="32">
        <f t="shared" ref="N126:N129" si="65">IF(ISNUMBER(M126), (M126 - $B126) / $B126, "")</f>
        <v>1.7187499999999911E-2</v>
      </c>
      <c r="O126" s="18">
        <f>IF(ISNUMBER(M126), $B145 * N126, "")</f>
        <v>2578.1249999999868</v>
      </c>
      <c r="Q126" s="156"/>
      <c r="R126" s="156"/>
      <c r="S126" s="156"/>
    </row>
    <row r="127" spans="1:19" ht="17.25" thickBot="1">
      <c r="A127" s="109" t="s">
        <v>350</v>
      </c>
      <c r="B127" s="110">
        <v>7.19</v>
      </c>
      <c r="C127" s="70">
        <v>1.12517581E-2</v>
      </c>
      <c r="D127" s="15">
        <v>7.25</v>
      </c>
      <c r="E127" s="32">
        <f t="shared" si="62"/>
        <v>8.3449235048678166E-3</v>
      </c>
      <c r="F127" s="18">
        <f>IF(ISNUMBER(D127), $B145 * E127, "")</f>
        <v>1251.7385257301726</v>
      </c>
      <c r="G127" s="31">
        <v>7.24</v>
      </c>
      <c r="H127" s="32">
        <f t="shared" si="63"/>
        <v>6.9541029207232019E-3</v>
      </c>
      <c r="I127" s="91">
        <f>IF(ISNUMBER(G127), $B145 * H127, "")</f>
        <v>1043.1154381084802</v>
      </c>
      <c r="J127" s="15">
        <v>7.22</v>
      </c>
      <c r="K127" s="32">
        <f t="shared" si="64"/>
        <v>4.1724617524338467E-3</v>
      </c>
      <c r="L127" s="18">
        <f>IF(ISNUMBER(J127), $B145 * K127, "")</f>
        <v>625.86926286507696</v>
      </c>
      <c r="M127" s="31">
        <v>7.28</v>
      </c>
      <c r="N127" s="32">
        <f t="shared" si="65"/>
        <v>1.2517385257301788E-2</v>
      </c>
      <c r="O127" s="18">
        <f>IF(ISNUMBER(M127), $B145 * N127, "")</f>
        <v>1877.6077885952682</v>
      </c>
      <c r="Q127" s="146"/>
      <c r="R127" s="146"/>
      <c r="S127" s="146"/>
    </row>
    <row r="128" spans="1:19" ht="17.25" thickBot="1">
      <c r="A128" s="109" t="s">
        <v>181</v>
      </c>
      <c r="B128" s="110">
        <v>4.5199999999999996</v>
      </c>
      <c r="C128" s="70">
        <v>1.1185682299999999E-2</v>
      </c>
      <c r="D128" s="15">
        <v>4.55</v>
      </c>
      <c r="E128" s="32">
        <f t="shared" si="62"/>
        <v>6.6371681415929758E-3</v>
      </c>
      <c r="F128" s="18">
        <f>IF(ISNUMBER(D128), $B145 * E128, "")</f>
        <v>995.57522123894637</v>
      </c>
      <c r="G128" s="31">
        <v>4.54</v>
      </c>
      <c r="H128" s="32">
        <f t="shared" si="63"/>
        <v>4.4247787610620492E-3</v>
      </c>
      <c r="I128" s="91">
        <f>IF(ISNUMBER(G128), $B145 * H128, "")</f>
        <v>663.71681415930743</v>
      </c>
      <c r="J128" s="15">
        <v>4.53</v>
      </c>
      <c r="K128" s="32">
        <f t="shared" si="64"/>
        <v>2.212389380531123E-3</v>
      </c>
      <c r="L128" s="18">
        <f>IF(ISNUMBER(J128), $B145 * K128, "")</f>
        <v>331.85840707966844</v>
      </c>
      <c r="M128" s="31">
        <v>4.58</v>
      </c>
      <c r="N128" s="32">
        <f t="shared" si="65"/>
        <v>1.3274336283185952E-2</v>
      </c>
      <c r="O128" s="18">
        <f>IF(ISNUMBER(M128), $B145 * N128, "")</f>
        <v>1991.1504424778927</v>
      </c>
      <c r="Q128" s="146"/>
      <c r="R128" s="146"/>
      <c r="S128" s="146"/>
    </row>
    <row r="129" spans="1:19" ht="17.25" thickBot="1">
      <c r="A129" s="111" t="s">
        <v>145</v>
      </c>
      <c r="B129" s="112">
        <v>74.099999999999994</v>
      </c>
      <c r="C129" s="71">
        <v>1.09140518E-2</v>
      </c>
      <c r="D129" s="20">
        <v>75.2</v>
      </c>
      <c r="E129" s="21">
        <f t="shared" si="62"/>
        <v>1.4844804318488645E-2</v>
      </c>
      <c r="F129" s="22">
        <f>IF(ISNUMBER(D129), $B145 * E129, "")</f>
        <v>2226.7206477732966</v>
      </c>
      <c r="G129" s="30">
        <v>75.8</v>
      </c>
      <c r="H129" s="21">
        <f t="shared" si="63"/>
        <v>2.2941970310391403E-2</v>
      </c>
      <c r="I129" s="95">
        <f>IF(ISNUMBER(G129), $B145 * H129, "")</f>
        <v>3441.2955465587106</v>
      </c>
      <c r="J129" s="20">
        <v>75.8</v>
      </c>
      <c r="K129" s="21">
        <f t="shared" si="64"/>
        <v>2.2941970310391403E-2</v>
      </c>
      <c r="L129" s="22">
        <f>IF(ISNUMBER(J129), $B145 * K129, "")</f>
        <v>3441.2955465587106</v>
      </c>
      <c r="M129" s="30">
        <v>76.2</v>
      </c>
      <c r="N129" s="21">
        <f t="shared" si="65"/>
        <v>2.8340080971660037E-2</v>
      </c>
      <c r="O129" s="22">
        <f>IF(ISNUMBER(M129), $B145 * N129, "")</f>
        <v>4251.0121457490059</v>
      </c>
      <c r="Q129" s="146"/>
      <c r="R129" s="146"/>
      <c r="S129" s="146"/>
    </row>
    <row r="130" spans="1:19" ht="17.25" thickBot="1">
      <c r="A130" s="109" t="s">
        <v>64</v>
      </c>
      <c r="B130" s="113">
        <v>11.1</v>
      </c>
      <c r="C130" s="73">
        <v>9.0909091000000008E-3</v>
      </c>
      <c r="D130" s="96">
        <v>11.2</v>
      </c>
      <c r="E130" s="97">
        <f>IF(ISNUMBER(D130), (D130 - $B130) / $B130, "")</f>
        <v>9.0090090090089777E-3</v>
      </c>
      <c r="F130" s="98">
        <f>IF(ISNUMBER(D130), $B145 * E130, "")</f>
        <v>1351.3513513513467</v>
      </c>
      <c r="G130" s="99">
        <v>11.3</v>
      </c>
      <c r="H130" s="97">
        <f>IF(ISNUMBER(G130), (G130 - $B130) / $B130, "")</f>
        <v>1.8018018018018115E-2</v>
      </c>
      <c r="I130" s="100">
        <f>IF(ISNUMBER(G130), $B145 * H130, "")</f>
        <v>2702.702702702717</v>
      </c>
      <c r="J130" s="96">
        <v>11.2</v>
      </c>
      <c r="K130" s="97">
        <f>IF(ISNUMBER(J130), (J130 - $B130) / $B130, "")</f>
        <v>9.0090090090089777E-3</v>
      </c>
      <c r="L130" s="98">
        <f>IF(ISNUMBER(J130), $B145 * K130, "")</f>
        <v>1351.3513513513467</v>
      </c>
      <c r="M130" s="99">
        <v>11.2</v>
      </c>
      <c r="N130" s="97">
        <f>IF(ISNUMBER(M130), (M130 - $B130) / $B130, "")</f>
        <v>9.0090090090089777E-3</v>
      </c>
      <c r="O130" s="98">
        <f>IF(ISNUMBER(M130), $B145 * N130, "")</f>
        <v>1351.3513513513467</v>
      </c>
      <c r="Q130" s="146"/>
      <c r="R130" s="146"/>
      <c r="S130" s="146"/>
    </row>
    <row r="131" spans="1:19" ht="17.25" thickBot="1">
      <c r="A131" s="109" t="s">
        <v>141</v>
      </c>
      <c r="B131" s="110">
        <v>3.47</v>
      </c>
      <c r="C131" s="70">
        <v>8.7209301999999992E-3</v>
      </c>
      <c r="D131" s="15">
        <v>3.51</v>
      </c>
      <c r="E131" s="32">
        <f t="shared" ref="E131:E134" si="66">IF(ISNUMBER(D131), (D131 - $B131) / $B131, "")</f>
        <v>1.1527377521613714E-2</v>
      </c>
      <c r="F131" s="18">
        <f>IF(ISNUMBER(D131), $B145 * E131, "")</f>
        <v>1729.106628242057</v>
      </c>
      <c r="G131" s="31">
        <v>3.51</v>
      </c>
      <c r="H131" s="32">
        <f t="shared" ref="H131:H134" si="67">IF(ISNUMBER(G131), (G131 - $B131) / $B131, "")</f>
        <v>1.1527377521613714E-2</v>
      </c>
      <c r="I131" s="91">
        <f>IF(ISNUMBER(G131), $B145 * H131, "")</f>
        <v>1729.106628242057</v>
      </c>
      <c r="J131" s="15">
        <v>3.51</v>
      </c>
      <c r="K131" s="32">
        <f t="shared" ref="K131:K134" si="68">IF(ISNUMBER(J131), (J131 - $B131) / $B131, "")</f>
        <v>1.1527377521613714E-2</v>
      </c>
      <c r="L131" s="18">
        <f>IF(ISNUMBER(J131), $B145 * K131, "")</f>
        <v>1729.106628242057</v>
      </c>
      <c r="M131" s="31">
        <v>3.55</v>
      </c>
      <c r="N131" s="32">
        <f t="shared" ref="N131:N134" si="69">IF(ISNUMBER(M131), (M131 - $B131) / $B131, "")</f>
        <v>2.3054755043227557E-2</v>
      </c>
      <c r="O131" s="18">
        <f>IF(ISNUMBER(M131), $B145 * N131, "")</f>
        <v>3458.2132564841336</v>
      </c>
      <c r="Q131" s="146"/>
      <c r="R131" s="146"/>
      <c r="S131" s="146"/>
    </row>
    <row r="132" spans="1:19" ht="17.25" thickBot="1">
      <c r="A132" s="109" t="s">
        <v>132</v>
      </c>
      <c r="B132" s="110">
        <v>51.7</v>
      </c>
      <c r="C132" s="70">
        <v>7.7972709999999997E-3</v>
      </c>
      <c r="D132" s="15">
        <v>53.4</v>
      </c>
      <c r="E132" s="32">
        <f t="shared" si="66"/>
        <v>3.2882011605415776E-2</v>
      </c>
      <c r="F132" s="18">
        <f>IF(ISNUMBER(D132), $B145 * E132, "")</f>
        <v>4932.301740812366</v>
      </c>
      <c r="G132" s="31">
        <v>53.5</v>
      </c>
      <c r="H132" s="32">
        <f t="shared" si="67"/>
        <v>3.4816247582204973E-2</v>
      </c>
      <c r="I132" s="91">
        <f>IF(ISNUMBER(G132), $B145 * H132, "")</f>
        <v>5222.4371373307458</v>
      </c>
      <c r="J132" s="15">
        <v>53.7</v>
      </c>
      <c r="K132" s="32">
        <f t="shared" si="68"/>
        <v>3.8684719535783361E-2</v>
      </c>
      <c r="L132" s="18">
        <f>IF(ISNUMBER(J132), $B145 * K132, "")</f>
        <v>5802.7079303675046</v>
      </c>
      <c r="M132" s="31">
        <v>53.9</v>
      </c>
      <c r="N132" s="32">
        <f t="shared" si="69"/>
        <v>4.2553191489361618E-2</v>
      </c>
      <c r="O132" s="18">
        <f>IF(ISNUMBER(M132), $B145 * N132, "")</f>
        <v>6382.9787234042424</v>
      </c>
      <c r="Q132" s="146"/>
      <c r="R132" s="146"/>
      <c r="S132" s="146"/>
    </row>
    <row r="133" spans="1:19" ht="17.25" thickBot="1">
      <c r="A133" s="109" t="s">
        <v>352</v>
      </c>
      <c r="B133" s="110">
        <v>1.4E-2</v>
      </c>
      <c r="C133" s="70">
        <v>7.1942446E-3</v>
      </c>
      <c r="D133" s="15">
        <v>1.4200000000000001E-2</v>
      </c>
      <c r="E133" s="32">
        <f t="shared" si="66"/>
        <v>1.4285714285714323E-2</v>
      </c>
      <c r="F133" s="18">
        <f>IF(ISNUMBER(D133), $B145 * E133, "")</f>
        <v>2142.8571428571486</v>
      </c>
      <c r="G133" s="31">
        <v>1.43E-2</v>
      </c>
      <c r="H133" s="32">
        <f t="shared" si="67"/>
        <v>2.1428571428571422E-2</v>
      </c>
      <c r="I133" s="91">
        <f>IF(ISNUMBER(G133), $B145 * H133, "")</f>
        <v>3214.2857142857133</v>
      </c>
      <c r="J133" s="15">
        <v>1.4200000000000001E-2</v>
      </c>
      <c r="K133" s="32">
        <f t="shared" si="68"/>
        <v>1.4285714285714323E-2</v>
      </c>
      <c r="L133" s="18">
        <f>IF(ISNUMBER(J133), $B145 * K133, "")</f>
        <v>2142.8571428571486</v>
      </c>
      <c r="M133" s="31">
        <v>1.43E-2</v>
      </c>
      <c r="N133" s="32">
        <f t="shared" si="69"/>
        <v>2.1428571428571422E-2</v>
      </c>
      <c r="O133" s="18">
        <f>IF(ISNUMBER(M133), $B145 * N133, "")</f>
        <v>3214.2857142857133</v>
      </c>
      <c r="Q133" s="33"/>
      <c r="R133" s="33"/>
    </row>
    <row r="134" spans="1:19" ht="17.25" thickBot="1">
      <c r="A134" s="114" t="s">
        <v>203</v>
      </c>
      <c r="B134" s="115">
        <v>3.47</v>
      </c>
      <c r="C134" s="72">
        <v>5.7971014E-3</v>
      </c>
      <c r="D134" s="24">
        <v>3.51</v>
      </c>
      <c r="E134" s="25">
        <f t="shared" si="66"/>
        <v>1.1527377521613714E-2</v>
      </c>
      <c r="F134" s="94">
        <f>IF(ISNUMBER(D134), $B145 * E134, "")</f>
        <v>1729.106628242057</v>
      </c>
      <c r="G134" s="92">
        <v>3.54</v>
      </c>
      <c r="H134" s="25">
        <f t="shared" si="67"/>
        <v>2.0172910662824159E-2</v>
      </c>
      <c r="I134" s="93">
        <f>IF(ISNUMBER(G134), $B145 * H134, "")</f>
        <v>3025.9365994236236</v>
      </c>
      <c r="J134" s="24">
        <v>3.52</v>
      </c>
      <c r="K134" s="25">
        <f t="shared" si="68"/>
        <v>1.4409221902017239E-2</v>
      </c>
      <c r="L134" s="94">
        <f>IF(ISNUMBER(J134), $B145 * K134, "")</f>
        <v>2161.3832853025856</v>
      </c>
      <c r="M134" s="92">
        <v>3.55</v>
      </c>
      <c r="N134" s="25">
        <f t="shared" si="69"/>
        <v>2.3054755043227557E-2</v>
      </c>
      <c r="O134" s="94">
        <f>IF(ISNUMBER(M134), $B145 * N134, "")</f>
        <v>3458.2132564841336</v>
      </c>
      <c r="Q134" s="147"/>
      <c r="R134" s="148"/>
      <c r="S134" s="149"/>
    </row>
    <row r="135" spans="1:19">
      <c r="A135" s="107" t="s">
        <v>193</v>
      </c>
      <c r="B135" s="108">
        <v>18.8</v>
      </c>
      <c r="C135" s="69">
        <v>5.3475935999999996E-3</v>
      </c>
      <c r="D135" s="13">
        <v>19</v>
      </c>
      <c r="E135" s="14">
        <f>IF(ISNUMBER(D135), (D135 - $B135) / $B135, "")</f>
        <v>1.0638297872340387E-2</v>
      </c>
      <c r="F135" s="16">
        <f>IF(ISNUMBER(D135), $B145 * E135, "")</f>
        <v>1595.7446808510581</v>
      </c>
      <c r="G135" s="29">
        <v>19</v>
      </c>
      <c r="H135" s="14">
        <f>IF(ISNUMBER(G135), (G135 - $B135) / $B135, "")</f>
        <v>1.0638297872340387E-2</v>
      </c>
      <c r="I135" s="90">
        <f>IF(ISNUMBER(G135), $B145 * H135, "")</f>
        <v>1595.7446808510581</v>
      </c>
      <c r="J135" s="13">
        <v>19</v>
      </c>
      <c r="K135" s="14">
        <f>IF(ISNUMBER(J135), (J135 - $B135) / $B135, "")</f>
        <v>1.0638297872340387E-2</v>
      </c>
      <c r="L135" s="16">
        <f>IF(ISNUMBER(J135), $B145 * K135, "")</f>
        <v>1595.7446808510581</v>
      </c>
      <c r="M135" s="29">
        <v>19.100000000000001</v>
      </c>
      <c r="N135" s="14">
        <f>IF(ISNUMBER(M135), (M135 - $B135) / $B135, "")</f>
        <v>1.5957446808510675E-2</v>
      </c>
      <c r="O135" s="16">
        <f>IF(ISNUMBER(M135), $B145 * N135, "")</f>
        <v>2393.6170212766015</v>
      </c>
      <c r="Q135" s="150"/>
      <c r="R135" s="151"/>
      <c r="S135" s="152"/>
    </row>
    <row r="136" spans="1:19" ht="17.25" thickBot="1">
      <c r="A136" s="109" t="s">
        <v>221</v>
      </c>
      <c r="B136" s="110">
        <v>21.3</v>
      </c>
      <c r="C136" s="70">
        <v>4.7169810999999999E-3</v>
      </c>
      <c r="D136" s="15">
        <v>21.5</v>
      </c>
      <c r="E136" s="32">
        <f t="shared" ref="E136:E139" si="70">IF(ISNUMBER(D136), (D136 - $B136) / $B136, "")</f>
        <v>9.3896713615023129E-3</v>
      </c>
      <c r="F136" s="18">
        <f>IF(ISNUMBER(D136), $B145 * E136, "")</f>
        <v>1408.450704225347</v>
      </c>
      <c r="G136" s="31">
        <v>21.4</v>
      </c>
      <c r="H136" s="32">
        <f t="shared" ref="H136:H139" si="71">IF(ISNUMBER(G136), (G136 - $B136) / $B136, "")</f>
        <v>4.6948356807510732E-3</v>
      </c>
      <c r="I136" s="91">
        <f>IF(ISNUMBER(G136), $B145 * H136, "")</f>
        <v>704.22535211266097</v>
      </c>
      <c r="J136" s="15">
        <v>21.5</v>
      </c>
      <c r="K136" s="32">
        <f t="shared" ref="K136:K139" si="72">IF(ISNUMBER(J136), (J136 - $B136) / $B136, "")</f>
        <v>9.3896713615023129E-3</v>
      </c>
      <c r="L136" s="18">
        <f>IF(ISNUMBER(J136), $B145 * K136, "")</f>
        <v>1408.450704225347</v>
      </c>
      <c r="M136" s="31">
        <v>21.7</v>
      </c>
      <c r="N136" s="32">
        <f t="shared" ref="N136:N139" si="73">IF(ISNUMBER(M136), (M136 - $B136) / $B136, "")</f>
        <v>1.8779342723004626E-2</v>
      </c>
      <c r="O136" s="18">
        <f>IF(ISNUMBER(M136), $B145 * N136, "")</f>
        <v>2816.9014084506939</v>
      </c>
      <c r="Q136" s="153"/>
      <c r="R136" s="154"/>
      <c r="S136" s="155"/>
    </row>
    <row r="137" spans="1:19" ht="17.25" thickBot="1">
      <c r="A137" s="109" t="s">
        <v>349</v>
      </c>
      <c r="B137" s="110">
        <v>25.7</v>
      </c>
      <c r="C137" s="70">
        <v>3.90625E-3</v>
      </c>
      <c r="D137" s="15">
        <v>27.6</v>
      </c>
      <c r="E137" s="32">
        <f t="shared" si="70"/>
        <v>7.3929961089494248E-2</v>
      </c>
      <c r="F137" s="18">
        <f>IF(ISNUMBER(D137), $B145 * E137, "")</f>
        <v>11089.494163424137</v>
      </c>
      <c r="G137" s="31">
        <v>27.5</v>
      </c>
      <c r="H137" s="32">
        <f t="shared" si="71"/>
        <v>7.0038910505836605E-2</v>
      </c>
      <c r="I137" s="91">
        <f>IF(ISNUMBER(G137), $B145 * H137, "")</f>
        <v>10505.83657587549</v>
      </c>
      <c r="J137" s="15">
        <v>27.7</v>
      </c>
      <c r="K137" s="32">
        <f t="shared" si="72"/>
        <v>7.7821011673151752E-2</v>
      </c>
      <c r="L137" s="18">
        <f>IF(ISNUMBER(J137), $B145 * K137, "")</f>
        <v>11673.151750972764</v>
      </c>
      <c r="M137" s="31">
        <v>27.6</v>
      </c>
      <c r="N137" s="32">
        <f t="shared" si="73"/>
        <v>7.3929961089494248E-2</v>
      </c>
      <c r="O137" s="18">
        <f>IF(ISNUMBER(M137), $B145 * N137, "")</f>
        <v>11089.494163424137</v>
      </c>
      <c r="Q137" s="146"/>
      <c r="R137" s="146"/>
      <c r="S137" s="146"/>
    </row>
    <row r="138" spans="1:19" ht="17.25" thickBot="1">
      <c r="A138" s="109" t="s">
        <v>237</v>
      </c>
      <c r="B138" s="110">
        <v>28.8</v>
      </c>
      <c r="C138" s="70">
        <v>3.4843206000000002E-3</v>
      </c>
      <c r="D138" s="15">
        <v>29.1</v>
      </c>
      <c r="E138" s="32">
        <f t="shared" si="70"/>
        <v>1.041666666666669E-2</v>
      </c>
      <c r="F138" s="18">
        <f>IF(ISNUMBER(D138), $B145 * E138, "")</f>
        <v>1562.5000000000036</v>
      </c>
      <c r="G138" s="31">
        <v>29.3</v>
      </c>
      <c r="H138" s="32">
        <f t="shared" si="71"/>
        <v>1.7361111111111112E-2</v>
      </c>
      <c r="I138" s="91">
        <f>IF(ISNUMBER(G138), $B145 * H138, "")</f>
        <v>2604.166666666667</v>
      </c>
      <c r="J138" s="15">
        <v>29.2</v>
      </c>
      <c r="K138" s="32">
        <f t="shared" si="72"/>
        <v>1.388888888888884E-2</v>
      </c>
      <c r="L138" s="18">
        <f>IF(ISNUMBER(J138), $B145 * K138, "")</f>
        <v>2083.3333333333258</v>
      </c>
      <c r="M138" s="31">
        <v>29.4</v>
      </c>
      <c r="N138" s="32">
        <f t="shared" si="73"/>
        <v>2.0833333333333259E-2</v>
      </c>
      <c r="O138" s="18">
        <f>IF(ISNUMBER(M138), $B145 * N138, "")</f>
        <v>3124.9999999999891</v>
      </c>
      <c r="Q138" s="156"/>
      <c r="R138" s="156"/>
      <c r="S138" s="156"/>
    </row>
    <row r="139" spans="1:19" ht="17.25" thickBot="1">
      <c r="A139" s="111" t="s">
        <v>143</v>
      </c>
      <c r="B139" s="112">
        <v>3.98</v>
      </c>
      <c r="C139" s="71">
        <v>2.5188916999999999E-3</v>
      </c>
      <c r="D139" s="20">
        <v>4.12</v>
      </c>
      <c r="E139" s="21">
        <f t="shared" si="70"/>
        <v>3.5175879396984959E-2</v>
      </c>
      <c r="F139" s="22">
        <f>IF(ISNUMBER(D139), $B145 * E139, "")</f>
        <v>5276.3819095477438</v>
      </c>
      <c r="G139" s="30">
        <v>4.16</v>
      </c>
      <c r="H139" s="21">
        <f t="shared" si="71"/>
        <v>4.5226130653266375E-2</v>
      </c>
      <c r="I139" s="95">
        <f>IF(ISNUMBER(G139), $B145 * H139, "")</f>
        <v>6783.9195979899559</v>
      </c>
      <c r="J139" s="20">
        <v>4.13</v>
      </c>
      <c r="K139" s="21">
        <f t="shared" si="72"/>
        <v>3.7688442211055252E-2</v>
      </c>
      <c r="L139" s="22">
        <f>IF(ISNUMBER(J139), $B145 * K139, "")</f>
        <v>5653.2663316582875</v>
      </c>
      <c r="M139" s="30">
        <v>4.1500000000000004</v>
      </c>
      <c r="N139" s="21">
        <f t="shared" si="73"/>
        <v>4.2713567839196075E-2</v>
      </c>
      <c r="O139" s="22">
        <f>IF(ISNUMBER(M139), $B145 * N139, "")</f>
        <v>6407.0351758794113</v>
      </c>
      <c r="Q139" s="156"/>
      <c r="R139" s="156"/>
      <c r="S139" s="156"/>
    </row>
    <row r="140" spans="1:19" ht="17.25" thickBot="1">
      <c r="A140" s="109" t="s">
        <v>107</v>
      </c>
      <c r="B140" s="113">
        <v>42.4</v>
      </c>
      <c r="C140" s="73">
        <v>0</v>
      </c>
      <c r="D140" s="96">
        <v>43.6</v>
      </c>
      <c r="E140" s="97">
        <f>IF(ISNUMBER(D140), (D140 - $B140) / $B140, "")</f>
        <v>2.8301886792452897E-2</v>
      </c>
      <c r="F140" s="98">
        <f>IF(ISNUMBER(D140), $B145 * E140, "")</f>
        <v>4245.2830188679345</v>
      </c>
      <c r="G140" s="99">
        <v>43.6</v>
      </c>
      <c r="H140" s="97">
        <f>IF(ISNUMBER(G140), (G140 - $B140) / $B140, "")</f>
        <v>2.8301886792452897E-2</v>
      </c>
      <c r="I140" s="100">
        <f>IF(ISNUMBER(G140), $B145 * H140, "")</f>
        <v>4245.2830188679345</v>
      </c>
      <c r="J140" s="96">
        <v>43.7</v>
      </c>
      <c r="K140" s="97">
        <f>IF(ISNUMBER(J140), (J140 - $B140) / $B140, "")</f>
        <v>3.0660377358490667E-2</v>
      </c>
      <c r="L140" s="98">
        <f>IF(ISNUMBER(J140), $B145 * K140, "")</f>
        <v>4599.0566037735998</v>
      </c>
      <c r="M140" s="99">
        <v>43.8</v>
      </c>
      <c r="N140" s="97">
        <f>IF(ISNUMBER(M140), (M140 - $B140) / $B140, "")</f>
        <v>3.3018867924528267E-2</v>
      </c>
      <c r="O140" s="98">
        <f>IF(ISNUMBER(M140), $B145 * N140, "")</f>
        <v>4952.8301886792397</v>
      </c>
      <c r="Q140" s="146"/>
      <c r="R140" s="146"/>
      <c r="S140" s="146"/>
    </row>
    <row r="141" spans="1:19" ht="17.25" thickBot="1">
      <c r="A141" s="109" t="s">
        <v>71</v>
      </c>
      <c r="B141" s="110">
        <v>11.6</v>
      </c>
      <c r="C141" s="70">
        <v>0</v>
      </c>
      <c r="D141" s="15">
        <v>11.8</v>
      </c>
      <c r="E141" s="32">
        <f t="shared" ref="E141:E144" si="74">IF(ISNUMBER(D141), (D141 - $B141) / $B141, "")</f>
        <v>1.7241379310344921E-2</v>
      </c>
      <c r="F141" s="18">
        <f>IF(ISNUMBER(D141), $B145 * E141, "")</f>
        <v>2586.2068965517383</v>
      </c>
      <c r="G141" s="31">
        <v>11.8</v>
      </c>
      <c r="H141" s="32">
        <f t="shared" ref="H141:H144" si="75">IF(ISNUMBER(G141), (G141 - $B141) / $B141, "")</f>
        <v>1.7241379310344921E-2</v>
      </c>
      <c r="I141" s="91">
        <f>IF(ISNUMBER(G141), $B145 * H141, "")</f>
        <v>2586.2068965517383</v>
      </c>
      <c r="J141" s="15">
        <v>11.8</v>
      </c>
      <c r="K141" s="32">
        <f t="shared" ref="K141:K144" si="76">IF(ISNUMBER(J141), (J141 - $B141) / $B141, "")</f>
        <v>1.7241379310344921E-2</v>
      </c>
      <c r="L141" s="18">
        <f>IF(ISNUMBER(J141), $B145 * K141, "")</f>
        <v>2586.2068965517383</v>
      </c>
      <c r="M141" s="31">
        <v>11.9</v>
      </c>
      <c r="N141" s="32">
        <f t="shared" ref="N141:N144" si="77">IF(ISNUMBER(M141), (M141 - $B141) / $B141, "")</f>
        <v>2.5862068965517303E-2</v>
      </c>
      <c r="O141" s="18">
        <f>IF(ISNUMBER(M141), $B145 * N141, "")</f>
        <v>3879.3103448275956</v>
      </c>
      <c r="Q141" s="146"/>
      <c r="R141" s="146"/>
      <c r="S141" s="146"/>
    </row>
    <row r="142" spans="1:19" ht="17.25" thickBot="1">
      <c r="A142" s="109" t="s">
        <v>225</v>
      </c>
      <c r="B142" s="110">
        <v>61.4</v>
      </c>
      <c r="C142" s="70">
        <v>-2.6941362900000002E-2</v>
      </c>
      <c r="D142" s="15">
        <v>62.8</v>
      </c>
      <c r="E142" s="32">
        <f t="shared" si="74"/>
        <v>2.280130293159607E-2</v>
      </c>
      <c r="F142" s="18">
        <f>IF(ISNUMBER(D142), $B145 * E142, "")</f>
        <v>3420.1954397394106</v>
      </c>
      <c r="G142" s="31">
        <v>62.8</v>
      </c>
      <c r="H142" s="32">
        <f t="shared" si="75"/>
        <v>2.280130293159607E-2</v>
      </c>
      <c r="I142" s="91">
        <f>IF(ISNUMBER(G142), $B145 * H142, "")</f>
        <v>3420.1954397394106</v>
      </c>
      <c r="J142" s="15">
        <v>63</v>
      </c>
      <c r="K142" s="32">
        <f t="shared" si="76"/>
        <v>2.605863192182413E-2</v>
      </c>
      <c r="L142" s="18">
        <f>IF(ISNUMBER(J142), $B145 * K142, "")</f>
        <v>3908.7947882736194</v>
      </c>
      <c r="M142" s="31">
        <v>63.2</v>
      </c>
      <c r="N142" s="32">
        <f t="shared" si="77"/>
        <v>2.9315960912052186E-2</v>
      </c>
      <c r="O142" s="18">
        <f>IF(ISNUMBER(M142), $B145 * N142, "")</f>
        <v>4397.3941368078276</v>
      </c>
      <c r="Q142" s="146"/>
      <c r="R142" s="146"/>
      <c r="S142" s="146"/>
    </row>
    <row r="143" spans="1:19">
      <c r="A143" s="109" t="s">
        <v>185</v>
      </c>
      <c r="B143" s="110">
        <v>34.9</v>
      </c>
      <c r="C143" s="70">
        <v>-3.5911602199999997E-2</v>
      </c>
      <c r="D143" s="15">
        <v>35.200000000000003</v>
      </c>
      <c r="E143" s="32">
        <f t="shared" si="74"/>
        <v>8.5959885386820718E-3</v>
      </c>
      <c r="F143" s="18">
        <f>IF(ISNUMBER(D143), $B145 * E143, "")</f>
        <v>1289.3982808023109</v>
      </c>
      <c r="G143" s="31">
        <v>34.9</v>
      </c>
      <c r="H143" s="32">
        <f t="shared" si="75"/>
        <v>0</v>
      </c>
      <c r="I143" s="91">
        <f>IF(ISNUMBER(G143), $B145 * H143, "")</f>
        <v>0</v>
      </c>
      <c r="J143" s="15">
        <v>35.1</v>
      </c>
      <c r="K143" s="32">
        <f t="shared" si="76"/>
        <v>5.730659025788047E-3</v>
      </c>
      <c r="L143" s="18">
        <f>IF(ISNUMBER(J143), $B145 * K143, "")</f>
        <v>859.59885386820702</v>
      </c>
      <c r="M143" s="31">
        <v>35.5</v>
      </c>
      <c r="N143" s="32">
        <f t="shared" si="77"/>
        <v>1.7191977077363939E-2</v>
      </c>
      <c r="O143" s="18">
        <f>IF(ISNUMBER(M143), $B145 * N143, "")</f>
        <v>2578.7965616045908</v>
      </c>
      <c r="Q143" s="135"/>
      <c r="R143" s="136"/>
      <c r="S143" s="137"/>
    </row>
    <row r="144" spans="1:19" ht="17.25" thickBot="1">
      <c r="A144" s="114" t="s">
        <v>97</v>
      </c>
      <c r="B144" s="115">
        <v>8.9999999999999998E-4</v>
      </c>
      <c r="C144" s="72">
        <v>-0.1</v>
      </c>
      <c r="D144" s="24">
        <v>8.9999999999999998E-4</v>
      </c>
      <c r="E144" s="25">
        <f t="shared" si="74"/>
        <v>0</v>
      </c>
      <c r="F144" s="94">
        <f>IF(ISNUMBER(D144), $B145 * E144, "")</f>
        <v>0</v>
      </c>
      <c r="G144" s="92">
        <v>8.9999999999999998E-4</v>
      </c>
      <c r="H144" s="25">
        <f t="shared" si="75"/>
        <v>0</v>
      </c>
      <c r="I144" s="93">
        <f>IF(ISNUMBER(G144), $B145 * H144, "")</f>
        <v>0</v>
      </c>
      <c r="J144" s="24">
        <v>8.9999999999999998E-4</v>
      </c>
      <c r="K144" s="25">
        <f t="shared" si="76"/>
        <v>0</v>
      </c>
      <c r="L144" s="94">
        <f>IF(ISNUMBER(J144), $B145 * K144, "")</f>
        <v>0</v>
      </c>
      <c r="M144" s="92">
        <v>8.9999999999999998E-4</v>
      </c>
      <c r="N144" s="25">
        <f t="shared" si="77"/>
        <v>0</v>
      </c>
      <c r="O144" s="94">
        <f>IF(ISNUMBER(M144), $B145 * N144, "")</f>
        <v>0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1.7034858545720271E-2</v>
      </c>
      <c r="F145" s="28">
        <f>SUM(F125:F144)</f>
        <v>51104.575637160822</v>
      </c>
      <c r="G145" s="26" t="s">
        <v>258</v>
      </c>
      <c r="H145" s="27">
        <f>IF(COUNT(H125:H144), SUM(H125:H144) / COUNT(H125:H144), 0)</f>
        <v>1.9109791707757923E-2</v>
      </c>
      <c r="I145" s="28">
        <f>SUM(I125:I144)</f>
        <v>57329.375123273778</v>
      </c>
      <c r="J145" s="26" t="s">
        <v>258</v>
      </c>
      <c r="K145" s="27">
        <f>IF(COUNT(K125:K144), SUM(K125:K144) / COUNT(K125:K144), 0)</f>
        <v>1.8414376228805512E-2</v>
      </c>
      <c r="L145" s="28">
        <f>SUM(L125:L144)</f>
        <v>55243.128686416552</v>
      </c>
      <c r="M145" s="26" t="s">
        <v>258</v>
      </c>
      <c r="N145" s="27">
        <f>IF(COUNT(N125:N144), SUM(N125:N144) / COUNT(N125:N144), 0)</f>
        <v>2.4447130664529772E-2</v>
      </c>
      <c r="O145" s="28">
        <f>SUM(O125:O144)</f>
        <v>73341.391993589321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2023-01-20(금) 오전 00:00</v>
      </c>
      <c r="C150" s="198"/>
      <c r="D150" s="170" t="str">
        <f>TEXT($G$1, "[$-ko-KR]yyyy-mm-dd(ddd) ") &amp; "오후 14:00"</f>
        <v>2023-01-20(금) 오후 14:00</v>
      </c>
      <c r="E150" s="171"/>
      <c r="F150" s="172"/>
      <c r="G150" s="170" t="str">
        <f>TEXT($G$1, "[$-ko-KR]yyyy-mm-dd(ddd) ") &amp; "오후 19:00"</f>
        <v>2023-01-20(금) 오후 19:00</v>
      </c>
      <c r="H150" s="171"/>
      <c r="I150" s="172"/>
      <c r="J150" s="170" t="str">
        <f>TEXT($G$1, "[$-ko-KR]yyyy-mm-dd(ddd) ") &amp; "오후 21:00"</f>
        <v>2023-01-20(금) 오후 21:00</v>
      </c>
      <c r="K150" s="171"/>
      <c r="L150" s="172"/>
      <c r="M150" s="170" t="str">
        <f>TEXT($G$1+1, "[$-ko-KR]yyyy-mm-dd(ddd) ") &amp; "오전 00:00"</f>
        <v>2023-01-21(토)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120</v>
      </c>
      <c r="B152" s="108">
        <v>123</v>
      </c>
      <c r="C152" s="69">
        <v>1.6528925600000001E-2</v>
      </c>
      <c r="D152" s="13">
        <v>125</v>
      </c>
      <c r="E152" s="14">
        <f>IF(ISNUMBER(D152), (D152 - $B152) / $B152, "")</f>
        <v>1.6260162601626018E-2</v>
      </c>
      <c r="F152" s="16">
        <f>IF(ISNUMBER(D152), $B172 * E152, "")</f>
        <v>2439.0243902439029</v>
      </c>
      <c r="G152" s="29">
        <v>127</v>
      </c>
      <c r="H152" s="14">
        <f>IF(ISNUMBER(G152), (G152 - $B152) / $B152, "")</f>
        <v>3.2520325203252036E-2</v>
      </c>
      <c r="I152" s="90">
        <f>IF(ISNUMBER(G152), $B172 * H152, "")</f>
        <v>4878.0487804878057</v>
      </c>
      <c r="J152" s="13">
        <v>126</v>
      </c>
      <c r="K152" s="14">
        <f>IF(ISNUMBER(J152), (J152 - $B152) / $B152, "")</f>
        <v>2.4390243902439025E-2</v>
      </c>
      <c r="L152" s="16">
        <f>IF(ISNUMBER(J152), $B172 * K152, "")</f>
        <v>3658.5365853658536</v>
      </c>
      <c r="M152" s="29">
        <v>127</v>
      </c>
      <c r="N152" s="14">
        <f>IF(ISNUMBER(M152), (M152 - $B152) / $B152, "")</f>
        <v>3.2520325203252036E-2</v>
      </c>
      <c r="O152" s="16">
        <f>IF(ISNUMBER(M152), $B172 * N152, "")</f>
        <v>4878.0487804878057</v>
      </c>
      <c r="Q152" s="156"/>
      <c r="R152" s="156"/>
      <c r="S152" s="156"/>
    </row>
    <row r="153" spans="1:19" ht="17.25" thickBot="1">
      <c r="A153" s="109" t="s">
        <v>235</v>
      </c>
      <c r="B153" s="110">
        <v>594</v>
      </c>
      <c r="C153" s="70">
        <v>1.5384615399999999E-2</v>
      </c>
      <c r="D153" s="15">
        <v>599</v>
      </c>
      <c r="E153" s="32">
        <f t="shared" ref="E153:E156" si="78">IF(ISNUMBER(D153), (D153 - $B153) / $B153, "")</f>
        <v>8.4175084175084174E-3</v>
      </c>
      <c r="F153" s="18">
        <f>IF(ISNUMBER(D153), $B172 * E153, "")</f>
        <v>1262.6262626262626</v>
      </c>
      <c r="G153" s="31">
        <v>600</v>
      </c>
      <c r="H153" s="32">
        <f t="shared" ref="H153:H156" si="79">IF(ISNUMBER(G153), (G153 - $B153) / $B153, "")</f>
        <v>1.0101010101010102E-2</v>
      </c>
      <c r="I153" s="91">
        <f>IF(ISNUMBER(G153), $B172 * H153, "")</f>
        <v>1515.1515151515152</v>
      </c>
      <c r="J153" s="15">
        <v>599</v>
      </c>
      <c r="K153" s="32">
        <f t="shared" ref="K153:K156" si="80">IF(ISNUMBER(J153), (J153 - $B153) / $B153, "")</f>
        <v>8.4175084175084174E-3</v>
      </c>
      <c r="L153" s="18">
        <f>IF(ISNUMBER(J153), $B172 * K153, "")</f>
        <v>1262.6262626262626</v>
      </c>
      <c r="M153" s="31">
        <v>603</v>
      </c>
      <c r="N153" s="32">
        <f t="shared" ref="N153:N156" si="81">IF(ISNUMBER(M153), (M153 - $B153) / $B153, "")</f>
        <v>1.5151515151515152E-2</v>
      </c>
      <c r="O153" s="18">
        <f>IF(ISNUMBER(M153), $B172 * N153, "")</f>
        <v>2272.727272727273</v>
      </c>
      <c r="Q153" s="156"/>
      <c r="R153" s="156"/>
      <c r="S153" s="156"/>
    </row>
    <row r="154" spans="1:19" ht="17.25" thickBot="1">
      <c r="A154" s="109" t="s">
        <v>326</v>
      </c>
      <c r="B154" s="110">
        <v>265</v>
      </c>
      <c r="C154" s="70">
        <v>1.5325670499999999E-2</v>
      </c>
      <c r="D154" s="15">
        <v>271</v>
      </c>
      <c r="E154" s="32">
        <f t="shared" si="78"/>
        <v>2.2641509433962263E-2</v>
      </c>
      <c r="F154" s="18">
        <f>IF(ISNUMBER(D154), $B172 * E154, "")</f>
        <v>3396.2264150943392</v>
      </c>
      <c r="G154" s="31">
        <v>272</v>
      </c>
      <c r="H154" s="32">
        <f t="shared" si="79"/>
        <v>2.6415094339622643E-2</v>
      </c>
      <c r="I154" s="91">
        <f>IF(ISNUMBER(G154), $B172 * H154, "")</f>
        <v>3962.2641509433965</v>
      </c>
      <c r="J154" s="15">
        <v>274</v>
      </c>
      <c r="K154" s="32">
        <f t="shared" si="80"/>
        <v>3.3962264150943396E-2</v>
      </c>
      <c r="L154" s="18">
        <f>IF(ISNUMBER(J154), $B172 * K154, "")</f>
        <v>5094.3396226415098</v>
      </c>
      <c r="M154" s="31">
        <v>278</v>
      </c>
      <c r="N154" s="32">
        <f t="shared" si="81"/>
        <v>4.9056603773584909E-2</v>
      </c>
      <c r="O154" s="18">
        <f>IF(ISNUMBER(M154), $B172 * N154, "")</f>
        <v>7358.4905660377362</v>
      </c>
      <c r="Q154" s="146"/>
      <c r="R154" s="146"/>
      <c r="S154" s="146"/>
    </row>
    <row r="155" spans="1:19" ht="17.25" thickBot="1">
      <c r="A155" s="109" t="s">
        <v>215</v>
      </c>
      <c r="B155" s="110">
        <v>348</v>
      </c>
      <c r="C155" s="70">
        <v>1.45772595E-2</v>
      </c>
      <c r="D155" s="15">
        <v>353</v>
      </c>
      <c r="E155" s="32">
        <f t="shared" si="78"/>
        <v>1.4367816091954023E-2</v>
      </c>
      <c r="F155" s="18">
        <f>IF(ISNUMBER(D155), $B172 * E155, "")</f>
        <v>2155.1724137931033</v>
      </c>
      <c r="G155" s="31">
        <v>357</v>
      </c>
      <c r="H155" s="32">
        <f t="shared" si="79"/>
        <v>2.5862068965517241E-2</v>
      </c>
      <c r="I155" s="91">
        <f>IF(ISNUMBER(G155), $B172 * H155, "")</f>
        <v>3879.3103448275861</v>
      </c>
      <c r="J155" s="15">
        <v>357</v>
      </c>
      <c r="K155" s="32">
        <f t="shared" si="80"/>
        <v>2.5862068965517241E-2</v>
      </c>
      <c r="L155" s="18">
        <f>IF(ISNUMBER(J155), $B172 * K155, "")</f>
        <v>3879.3103448275861</v>
      </c>
      <c r="M155" s="31">
        <v>356</v>
      </c>
      <c r="N155" s="32">
        <f t="shared" si="81"/>
        <v>2.2988505747126436E-2</v>
      </c>
      <c r="O155" s="18">
        <f>IF(ISNUMBER(M155), $B172 * N155, "")</f>
        <v>3448.2758620689656</v>
      </c>
      <c r="Q155" s="146"/>
      <c r="R155" s="146"/>
      <c r="S155" s="146"/>
    </row>
    <row r="156" spans="1:19" ht="17.25" thickBot="1">
      <c r="A156" s="111" t="s">
        <v>253</v>
      </c>
      <c r="B156" s="112">
        <v>101</v>
      </c>
      <c r="C156" s="71">
        <v>1.30391174E-2</v>
      </c>
      <c r="D156" s="20">
        <v>101</v>
      </c>
      <c r="E156" s="21">
        <f t="shared" si="78"/>
        <v>0</v>
      </c>
      <c r="F156" s="22">
        <f>IF(ISNUMBER(D156), $B172 * E156, "")</f>
        <v>0</v>
      </c>
      <c r="G156" s="30">
        <v>101</v>
      </c>
      <c r="H156" s="21">
        <f t="shared" si="79"/>
        <v>0</v>
      </c>
      <c r="I156" s="95">
        <f>IF(ISNUMBER(G156), $B172 * H156, "")</f>
        <v>0</v>
      </c>
      <c r="J156" s="20">
        <v>101</v>
      </c>
      <c r="K156" s="21">
        <f t="shared" si="80"/>
        <v>0</v>
      </c>
      <c r="L156" s="22">
        <f>IF(ISNUMBER(J156), $B172 * K156, "")</f>
        <v>0</v>
      </c>
      <c r="M156" s="30">
        <v>102</v>
      </c>
      <c r="N156" s="21">
        <f t="shared" si="81"/>
        <v>9.9009900990099011E-3</v>
      </c>
      <c r="O156" s="22">
        <f>IF(ISNUMBER(M156), $B172 * N156, "")</f>
        <v>1485.1485148514851</v>
      </c>
      <c r="Q156" s="146"/>
      <c r="R156" s="146"/>
      <c r="S156" s="146"/>
    </row>
    <row r="157" spans="1:19" ht="17.25" thickBot="1">
      <c r="A157" s="109" t="s">
        <v>60</v>
      </c>
      <c r="B157" s="113">
        <v>801</v>
      </c>
      <c r="C157" s="73">
        <v>1.2642225E-2</v>
      </c>
      <c r="D157" s="96">
        <v>793</v>
      </c>
      <c r="E157" s="97">
        <f>IF(ISNUMBER(D157), (D157 - $B157) / $B157, "")</f>
        <v>-9.9875156054931337E-3</v>
      </c>
      <c r="F157" s="98">
        <f>IF(ISNUMBER(D157), $B172 * E157, "")</f>
        <v>-1498.1273408239701</v>
      </c>
      <c r="G157" s="99">
        <v>782</v>
      </c>
      <c r="H157" s="97">
        <f>IF(ISNUMBER(G157), (G157 - $B157) / $B157, "")</f>
        <v>-2.3720349563046191E-2</v>
      </c>
      <c r="I157" s="100">
        <f>IF(ISNUMBER(G157), $B172 * H157, "")</f>
        <v>-3558.0524344569285</v>
      </c>
      <c r="J157" s="96">
        <v>780</v>
      </c>
      <c r="K157" s="97">
        <f>IF(ISNUMBER(J157), (J157 - $B157) / $B157, "")</f>
        <v>-2.6217228464419477E-2</v>
      </c>
      <c r="L157" s="98">
        <f>IF(ISNUMBER(J157), $B172 * K157, "")</f>
        <v>-3932.5842696629215</v>
      </c>
      <c r="M157" s="99">
        <v>794</v>
      </c>
      <c r="N157" s="97">
        <f>IF(ISNUMBER(M157), (M157 - $B157) / $B157, "")</f>
        <v>-8.7390761548064924E-3</v>
      </c>
      <c r="O157" s="98">
        <f>IF(ISNUMBER(M157), $B172 * N157, "")</f>
        <v>-1310.8614232209738</v>
      </c>
      <c r="Q157" s="146"/>
      <c r="R157" s="146"/>
      <c r="S157" s="146"/>
    </row>
    <row r="158" spans="1:19" ht="17.25" thickBot="1">
      <c r="A158" s="109" t="s">
        <v>199</v>
      </c>
      <c r="B158" s="110">
        <v>321</v>
      </c>
      <c r="C158" s="70">
        <v>1.2618296500000001E-2</v>
      </c>
      <c r="D158" s="15">
        <v>332</v>
      </c>
      <c r="E158" s="32">
        <f t="shared" ref="E158:E161" si="82">IF(ISNUMBER(D158), (D158 - $B158) / $B158, "")</f>
        <v>3.4267912772585667E-2</v>
      </c>
      <c r="F158" s="18">
        <f>IF(ISNUMBER(D158), $B172 * E158, "")</f>
        <v>5140.1869158878499</v>
      </c>
      <c r="G158" s="31">
        <v>333</v>
      </c>
      <c r="H158" s="32">
        <f t="shared" ref="H158:H161" si="83">IF(ISNUMBER(G158), (G158 - $B158) / $B158, "")</f>
        <v>3.7383177570093455E-2</v>
      </c>
      <c r="I158" s="91">
        <f>IF(ISNUMBER(G158), $B172 * H158, "")</f>
        <v>5607.4766355140182</v>
      </c>
      <c r="J158" s="15">
        <v>335</v>
      </c>
      <c r="K158" s="32">
        <f t="shared" ref="K158:K161" si="84">IF(ISNUMBER(J158), (J158 - $B158) / $B158, "")</f>
        <v>4.3613707165109032E-2</v>
      </c>
      <c r="L158" s="18">
        <f>IF(ISNUMBER(J158), $B172 * K158, "")</f>
        <v>6542.0560747663549</v>
      </c>
      <c r="M158" s="31">
        <v>338</v>
      </c>
      <c r="N158" s="32">
        <f t="shared" ref="N158:N161" si="85">IF(ISNUMBER(M158), (M158 - $B158) / $B158, "")</f>
        <v>5.2959501557632398E-2</v>
      </c>
      <c r="O158" s="18">
        <f>IF(ISNUMBER(M158), $B172 * N158, "")</f>
        <v>7943.9252336448599</v>
      </c>
      <c r="Q158" s="146"/>
      <c r="R158" s="146"/>
      <c r="S158" s="146"/>
    </row>
    <row r="159" spans="1:19" ht="17.25" thickBot="1">
      <c r="A159" s="109" t="s">
        <v>187</v>
      </c>
      <c r="B159" s="110">
        <v>827</v>
      </c>
      <c r="C159" s="70">
        <v>1.22399021E-2</v>
      </c>
      <c r="D159" s="15">
        <v>833</v>
      </c>
      <c r="E159" s="32">
        <f t="shared" si="82"/>
        <v>7.2551390568319227E-3</v>
      </c>
      <c r="F159" s="18">
        <f>IF(ISNUMBER(D159), $B172 * E159, "")</f>
        <v>1088.2708585247883</v>
      </c>
      <c r="G159" s="31">
        <v>831</v>
      </c>
      <c r="H159" s="32">
        <f t="shared" si="83"/>
        <v>4.8367593712212815E-3</v>
      </c>
      <c r="I159" s="91">
        <f>IF(ISNUMBER(G159), $B172 * H159, "")</f>
        <v>725.51390568319221</v>
      </c>
      <c r="J159" s="15">
        <v>834</v>
      </c>
      <c r="K159" s="32">
        <f t="shared" si="84"/>
        <v>8.4643288996372433E-3</v>
      </c>
      <c r="L159" s="18">
        <f>IF(ISNUMBER(J159), $B172 * K159, "")</f>
        <v>1269.6493349455866</v>
      </c>
      <c r="M159" s="31">
        <v>835</v>
      </c>
      <c r="N159" s="32">
        <f t="shared" si="85"/>
        <v>9.673518742442563E-3</v>
      </c>
      <c r="O159" s="18">
        <f>IF(ISNUMBER(M159), $B172 * N159, "")</f>
        <v>1451.0278113663844</v>
      </c>
      <c r="Q159" s="146"/>
      <c r="R159" s="146"/>
      <c r="S159" s="146"/>
    </row>
    <row r="160" spans="1:19" ht="17.25" thickBot="1">
      <c r="A160" s="109" t="s">
        <v>231</v>
      </c>
      <c r="B160" s="110">
        <v>367</v>
      </c>
      <c r="C160" s="70">
        <v>1.10192837E-2</v>
      </c>
      <c r="D160" s="15">
        <v>372</v>
      </c>
      <c r="E160" s="32">
        <f t="shared" si="82"/>
        <v>1.3623978201634877E-2</v>
      </c>
      <c r="F160" s="18">
        <f>IF(ISNUMBER(D160), $B172 * E160, "")</f>
        <v>2043.5967302452316</v>
      </c>
      <c r="G160" s="31">
        <v>372</v>
      </c>
      <c r="H160" s="32">
        <f t="shared" si="83"/>
        <v>1.3623978201634877E-2</v>
      </c>
      <c r="I160" s="91">
        <f>IF(ISNUMBER(G160), $B172 * H160, "")</f>
        <v>2043.5967302452316</v>
      </c>
      <c r="J160" s="15">
        <v>372</v>
      </c>
      <c r="K160" s="32">
        <f t="shared" si="84"/>
        <v>1.3623978201634877E-2</v>
      </c>
      <c r="L160" s="18">
        <f>IF(ISNUMBER(J160), $B172 * K160, "")</f>
        <v>2043.5967302452316</v>
      </c>
      <c r="M160" s="31">
        <v>373</v>
      </c>
      <c r="N160" s="32">
        <f t="shared" si="85"/>
        <v>1.6348773841961851E-2</v>
      </c>
      <c r="O160" s="18">
        <f>IF(ISNUMBER(M160), $B172 * N160, "")</f>
        <v>2452.3160762942775</v>
      </c>
      <c r="Q160" s="33"/>
      <c r="R160" s="33"/>
    </row>
    <row r="161" spans="1:19" ht="17.25" thickBot="1">
      <c r="A161" s="114" t="s">
        <v>205</v>
      </c>
      <c r="B161" s="115">
        <v>111</v>
      </c>
      <c r="C161" s="72">
        <v>9.0909091000000008E-3</v>
      </c>
      <c r="D161" s="24">
        <v>112</v>
      </c>
      <c r="E161" s="25">
        <f t="shared" si="82"/>
        <v>9.0090090090090089E-3</v>
      </c>
      <c r="F161" s="94">
        <f>IF(ISNUMBER(D161), $B172 * E161, "")</f>
        <v>1351.3513513513512</v>
      </c>
      <c r="G161" s="92">
        <v>114</v>
      </c>
      <c r="H161" s="25">
        <f t="shared" si="83"/>
        <v>2.7027027027027029E-2</v>
      </c>
      <c r="I161" s="93">
        <f>IF(ISNUMBER(G161), $B172 * H161, "")</f>
        <v>4054.0540540540542</v>
      </c>
      <c r="J161" s="24">
        <v>114</v>
      </c>
      <c r="K161" s="25">
        <f t="shared" si="84"/>
        <v>2.7027027027027029E-2</v>
      </c>
      <c r="L161" s="94">
        <f>IF(ISNUMBER(J161), $B172 * K161, "")</f>
        <v>4054.0540540540542</v>
      </c>
      <c r="M161" s="92">
        <v>114</v>
      </c>
      <c r="N161" s="25">
        <f t="shared" si="85"/>
        <v>2.7027027027027029E-2</v>
      </c>
      <c r="O161" s="94">
        <f>IF(ISNUMBER(M161), $B172 * N161, "")</f>
        <v>4054.0540540540542</v>
      </c>
      <c r="Q161" s="147"/>
      <c r="R161" s="148"/>
      <c r="S161" s="149"/>
    </row>
    <row r="162" spans="1:19">
      <c r="A162" s="107" t="s">
        <v>176</v>
      </c>
      <c r="B162" s="108">
        <v>341</v>
      </c>
      <c r="C162" s="69">
        <v>8.8757395999999999E-3</v>
      </c>
      <c r="D162" s="13">
        <v>343</v>
      </c>
      <c r="E162" s="14">
        <f>IF(ISNUMBER(D162), (D162 - $B162) / $B162, "")</f>
        <v>5.8651026392961877E-3</v>
      </c>
      <c r="F162" s="16">
        <f>IF(ISNUMBER(D162), $B172 * E162, "")</f>
        <v>879.76539589442814</v>
      </c>
      <c r="G162" s="29">
        <v>344</v>
      </c>
      <c r="H162" s="14">
        <f>IF(ISNUMBER(G162), (G162 - $B162) / $B162, "")</f>
        <v>8.7976539589442824E-3</v>
      </c>
      <c r="I162" s="90">
        <f>IF(ISNUMBER(G162), $B172 * H162, "")</f>
        <v>1319.6480938416423</v>
      </c>
      <c r="J162" s="13">
        <v>344</v>
      </c>
      <c r="K162" s="14">
        <f>IF(ISNUMBER(J162), (J162 - $B162) / $B162, "")</f>
        <v>8.7976539589442824E-3</v>
      </c>
      <c r="L162" s="16">
        <f>IF(ISNUMBER(J162), $B172 * K162, "")</f>
        <v>1319.6480938416423</v>
      </c>
      <c r="M162" s="29">
        <v>347</v>
      </c>
      <c r="N162" s="14">
        <f>IF(ISNUMBER(M162), (M162 - $B162) / $B162, "")</f>
        <v>1.7595307917888565E-2</v>
      </c>
      <c r="O162" s="16">
        <f>IF(ISNUMBER(M162), $B172 * N162, "")</f>
        <v>2639.2961876832846</v>
      </c>
      <c r="Q162" s="150"/>
      <c r="R162" s="151"/>
      <c r="S162" s="152"/>
    </row>
    <row r="163" spans="1:19" ht="17.25" thickBot="1">
      <c r="A163" s="109" t="s">
        <v>239</v>
      </c>
      <c r="B163" s="110">
        <v>462</v>
      </c>
      <c r="C163" s="70">
        <v>8.7336245000000003E-3</v>
      </c>
      <c r="D163" s="15">
        <v>466</v>
      </c>
      <c r="E163" s="32">
        <f t="shared" ref="E163:E166" si="86">IF(ISNUMBER(D163), (D163 - $B163) / $B163, "")</f>
        <v>8.658008658008658E-3</v>
      </c>
      <c r="F163" s="18">
        <f>IF(ISNUMBER(D163), $B172 * E163, "")</f>
        <v>1298.7012987012988</v>
      </c>
      <c r="G163" s="31">
        <v>466</v>
      </c>
      <c r="H163" s="32">
        <f t="shared" ref="H163:H166" si="87">IF(ISNUMBER(G163), (G163 - $B163) / $B163, "")</f>
        <v>8.658008658008658E-3</v>
      </c>
      <c r="I163" s="91">
        <f>IF(ISNUMBER(G163), $B172 * H163, "")</f>
        <v>1298.7012987012988</v>
      </c>
      <c r="J163" s="15">
        <v>468</v>
      </c>
      <c r="K163" s="32">
        <f t="shared" ref="K163:K166" si="88">IF(ISNUMBER(J163), (J163 - $B163) / $B163, "")</f>
        <v>1.2987012987012988E-2</v>
      </c>
      <c r="L163" s="18">
        <f>IF(ISNUMBER(J163), $B172 * K163, "")</f>
        <v>1948.0519480519481</v>
      </c>
      <c r="M163" s="31">
        <v>468</v>
      </c>
      <c r="N163" s="32">
        <f t="shared" ref="N163:N166" si="89">IF(ISNUMBER(M163), (M163 - $B163) / $B163, "")</f>
        <v>1.2987012987012988E-2</v>
      </c>
      <c r="O163" s="18">
        <f>IF(ISNUMBER(M163), $B172 * N163, "")</f>
        <v>1948.0519480519481</v>
      </c>
      <c r="Q163" s="153"/>
      <c r="R163" s="154"/>
      <c r="S163" s="155"/>
    </row>
    <row r="164" spans="1:19" ht="17.25" thickBot="1">
      <c r="A164" s="109" t="s">
        <v>169</v>
      </c>
      <c r="B164" s="110">
        <v>252</v>
      </c>
      <c r="C164" s="70">
        <v>8.0000000000000002E-3</v>
      </c>
      <c r="D164" s="15">
        <v>256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257</v>
      </c>
      <c r="H164" s="32">
        <f t="shared" si="87"/>
        <v>1.984126984126984E-2</v>
      </c>
      <c r="I164" s="91">
        <f>IF(ISNUMBER(G164), $B172 * H164, "")</f>
        <v>2976.1904761904761</v>
      </c>
      <c r="J164" s="15">
        <v>257</v>
      </c>
      <c r="K164" s="32">
        <f t="shared" si="88"/>
        <v>1.984126984126984E-2</v>
      </c>
      <c r="L164" s="18">
        <f>IF(ISNUMBER(J164), $B172 * K164, "")</f>
        <v>2976.1904761904761</v>
      </c>
      <c r="M164" s="31">
        <v>259</v>
      </c>
      <c r="N164" s="32">
        <f t="shared" si="89"/>
        <v>2.7777777777777776E-2</v>
      </c>
      <c r="O164" s="18">
        <f>IF(ISNUMBER(M164), $B172 * N164, "")</f>
        <v>4166.6666666666661</v>
      </c>
      <c r="Q164" s="146"/>
      <c r="R164" s="146"/>
      <c r="S164" s="146"/>
    </row>
    <row r="165" spans="1:19" ht="17.25" thickBot="1">
      <c r="A165" s="109" t="s">
        <v>183</v>
      </c>
      <c r="B165" s="110">
        <v>136</v>
      </c>
      <c r="C165" s="70">
        <v>7.4074073999999997E-3</v>
      </c>
      <c r="D165" s="15">
        <v>139</v>
      </c>
      <c r="E165" s="32">
        <f t="shared" si="86"/>
        <v>2.2058823529411766E-2</v>
      </c>
      <c r="F165" s="18">
        <f>IF(ISNUMBER(D165), $B172 * E165, "")</f>
        <v>3308.8235294117649</v>
      </c>
      <c r="G165" s="31">
        <v>142</v>
      </c>
      <c r="H165" s="32">
        <f t="shared" si="87"/>
        <v>4.4117647058823532E-2</v>
      </c>
      <c r="I165" s="91">
        <f>IF(ISNUMBER(G165), $B172 * H165, "")</f>
        <v>6617.6470588235297</v>
      </c>
      <c r="J165" s="15">
        <v>142</v>
      </c>
      <c r="K165" s="32">
        <f t="shared" si="88"/>
        <v>4.4117647058823532E-2</v>
      </c>
      <c r="L165" s="18">
        <f>IF(ISNUMBER(J165), $B172 * K165, "")</f>
        <v>6617.6470588235297</v>
      </c>
      <c r="M165" s="31">
        <v>143</v>
      </c>
      <c r="N165" s="32">
        <f t="shared" si="89"/>
        <v>5.1470588235294115E-2</v>
      </c>
      <c r="O165" s="18">
        <f>IF(ISNUMBER(M165), $B172 * N165, "")</f>
        <v>7720.5882352941171</v>
      </c>
      <c r="Q165" s="156"/>
      <c r="R165" s="156"/>
      <c r="S165" s="156"/>
    </row>
    <row r="166" spans="1:19" ht="17.25" thickBot="1">
      <c r="A166" s="111" t="s">
        <v>317</v>
      </c>
      <c r="B166" s="112">
        <v>606</v>
      </c>
      <c r="C166" s="71">
        <v>4.9751244000000002E-3</v>
      </c>
      <c r="D166" s="20">
        <v>609</v>
      </c>
      <c r="E166" s="21">
        <f t="shared" si="86"/>
        <v>4.9504950495049506E-3</v>
      </c>
      <c r="F166" s="22">
        <f>IF(ISNUMBER(D166), $B172 * E166, "")</f>
        <v>742.57425742574253</v>
      </c>
      <c r="G166" s="30">
        <v>614</v>
      </c>
      <c r="H166" s="21">
        <f t="shared" si="87"/>
        <v>1.3201320132013201E-2</v>
      </c>
      <c r="I166" s="95">
        <f>IF(ISNUMBER(G166), $B172 * H166, "")</f>
        <v>1980.1980198019803</v>
      </c>
      <c r="J166" s="20">
        <v>610</v>
      </c>
      <c r="K166" s="21">
        <f t="shared" si="88"/>
        <v>6.6006600660066007E-3</v>
      </c>
      <c r="L166" s="22">
        <f>IF(ISNUMBER(J166), $B172 * K166, "")</f>
        <v>990.09900990099015</v>
      </c>
      <c r="M166" s="30">
        <v>615</v>
      </c>
      <c r="N166" s="21">
        <f t="shared" si="89"/>
        <v>1.4851485148514851E-2</v>
      </c>
      <c r="O166" s="22">
        <f>IF(ISNUMBER(M166), $B172 * N166, "")</f>
        <v>2227.7227722772277</v>
      </c>
      <c r="Q166" s="156"/>
      <c r="R166" s="156"/>
      <c r="S166" s="156"/>
    </row>
    <row r="167" spans="1:19" ht="17.25" thickBot="1">
      <c r="A167" s="109" t="s">
        <v>66</v>
      </c>
      <c r="B167" s="113">
        <v>742</v>
      </c>
      <c r="C167" s="73">
        <v>2.7027027000000002E-3</v>
      </c>
      <c r="D167" s="96">
        <v>744</v>
      </c>
      <c r="E167" s="97">
        <f>IF(ISNUMBER(D167), (D167 - $B167) / $B167, "")</f>
        <v>2.6954177897574125E-3</v>
      </c>
      <c r="F167" s="98">
        <f>IF(ISNUMBER(D167), $B172 * E167, "")</f>
        <v>404.31266846361189</v>
      </c>
      <c r="G167" s="99">
        <v>745</v>
      </c>
      <c r="H167" s="97">
        <f>IF(ISNUMBER(G167), (G167 - $B167) / $B167, "")</f>
        <v>4.0431266846361188E-3</v>
      </c>
      <c r="I167" s="100">
        <f>IF(ISNUMBER(G167), $B172 * H167, "")</f>
        <v>606.46900269541777</v>
      </c>
      <c r="J167" s="96">
        <v>749</v>
      </c>
      <c r="K167" s="97">
        <f>IF(ISNUMBER(J167), (J167 - $B167) / $B167, "")</f>
        <v>9.433962264150943E-3</v>
      </c>
      <c r="L167" s="98">
        <f>IF(ISNUMBER(J167), $B172 * K167, "")</f>
        <v>1415.0943396226414</v>
      </c>
      <c r="M167" s="99">
        <v>757</v>
      </c>
      <c r="N167" s="97">
        <f>IF(ISNUMBER(M167), (M167 - $B167) / $B167, "")</f>
        <v>2.0215633423180591E-2</v>
      </c>
      <c r="O167" s="98">
        <f>IF(ISNUMBER(M167), $B172 * N167, "")</f>
        <v>3032.3450134770887</v>
      </c>
      <c r="Q167" s="146"/>
      <c r="R167" s="146"/>
      <c r="S167" s="146"/>
    </row>
    <row r="168" spans="1:19" ht="17.25" thickBot="1">
      <c r="A168" s="109" t="s">
        <v>341</v>
      </c>
      <c r="B168" s="110">
        <v>771</v>
      </c>
      <c r="C168" s="70">
        <v>-6.4432990000000004E-3</v>
      </c>
      <c r="D168" s="15">
        <v>784</v>
      </c>
      <c r="E168" s="32">
        <f t="shared" ref="E168:E171" si="90">IF(ISNUMBER(D168), (D168 - $B168) / $B168, "")</f>
        <v>1.6861219195849545E-2</v>
      </c>
      <c r="F168" s="18">
        <f>IF(ISNUMBER(D168), $B172 * E168, "")</f>
        <v>2529.1828793774316</v>
      </c>
      <c r="G168" s="31">
        <v>785</v>
      </c>
      <c r="H168" s="32">
        <f t="shared" ref="H168:H171" si="91">IF(ISNUMBER(G168), (G168 - $B168) / $B168, "")</f>
        <v>1.8158236057068743E-2</v>
      </c>
      <c r="I168" s="91">
        <f>IF(ISNUMBER(G168), $B172 * H168, "")</f>
        <v>2723.7354085603115</v>
      </c>
      <c r="J168" s="15">
        <v>779</v>
      </c>
      <c r="K168" s="32">
        <f t="shared" ref="K168:K171" si="92">IF(ISNUMBER(J168), (J168 - $B168) / $B168, "")</f>
        <v>1.0376134889753566E-2</v>
      </c>
      <c r="L168" s="18">
        <f>IF(ISNUMBER(J168), $B172 * K168, "")</f>
        <v>1556.4202334630349</v>
      </c>
      <c r="M168" s="31">
        <v>784</v>
      </c>
      <c r="N168" s="32">
        <f t="shared" ref="N168:N171" si="93">IF(ISNUMBER(M168), (M168 - $B168) / $B168, "")</f>
        <v>1.6861219195849545E-2</v>
      </c>
      <c r="O168" s="18">
        <f>IF(ISNUMBER(M168), $B172 * N168, "")</f>
        <v>2529.1828793774316</v>
      </c>
      <c r="Q168" s="146"/>
      <c r="R168" s="146"/>
      <c r="S168" s="146"/>
    </row>
    <row r="169" spans="1:19" ht="17.25" thickBot="1">
      <c r="A169" s="109" t="s">
        <v>219</v>
      </c>
      <c r="B169" s="110">
        <v>443</v>
      </c>
      <c r="C169" s="70">
        <v>-8.9485459000000003E-3</v>
      </c>
      <c r="D169" s="15">
        <v>447</v>
      </c>
      <c r="E169" s="32">
        <f t="shared" si="90"/>
        <v>9.0293453724604959E-3</v>
      </c>
      <c r="F169" s="18">
        <f>IF(ISNUMBER(D169), $B172 * E169, "")</f>
        <v>1354.4018058690745</v>
      </c>
      <c r="G169" s="31">
        <v>452</v>
      </c>
      <c r="H169" s="32">
        <f t="shared" si="91"/>
        <v>2.0316027088036117E-2</v>
      </c>
      <c r="I169" s="91">
        <f>IF(ISNUMBER(G169), $B172 * H169, "")</f>
        <v>3047.4040632054175</v>
      </c>
      <c r="J169" s="15">
        <v>450</v>
      </c>
      <c r="K169" s="32">
        <f t="shared" si="92"/>
        <v>1.580135440180587E-2</v>
      </c>
      <c r="L169" s="18">
        <f>IF(ISNUMBER(J169), $B172 * K169, "")</f>
        <v>2370.2031602708803</v>
      </c>
      <c r="M169" s="31">
        <v>453</v>
      </c>
      <c r="N169" s="32">
        <f t="shared" si="93"/>
        <v>2.2573363431151242E-2</v>
      </c>
      <c r="O169" s="18">
        <f>IF(ISNUMBER(M169), $B172 * N169, "")</f>
        <v>3386.0045146726861</v>
      </c>
      <c r="Q169" s="146"/>
      <c r="R169" s="146"/>
      <c r="S169" s="146"/>
    </row>
    <row r="170" spans="1:19">
      <c r="A170" s="109" t="s">
        <v>223</v>
      </c>
      <c r="B170" s="110">
        <v>232</v>
      </c>
      <c r="C170" s="70">
        <v>-1.6949152499999998E-2</v>
      </c>
      <c r="D170" s="15">
        <v>234</v>
      </c>
      <c r="E170" s="32">
        <f t="shared" si="90"/>
        <v>8.6206896551724137E-3</v>
      </c>
      <c r="F170" s="18">
        <f>IF(ISNUMBER(D170), $B172 * E170, "")</f>
        <v>1293.1034482758621</v>
      </c>
      <c r="G170" s="31">
        <v>233</v>
      </c>
      <c r="H170" s="32">
        <f t="shared" si="91"/>
        <v>4.3103448275862068E-3</v>
      </c>
      <c r="I170" s="91">
        <f>IF(ISNUMBER(G170), $B172 * H170, "")</f>
        <v>646.55172413793105</v>
      </c>
      <c r="J170" s="15">
        <v>232</v>
      </c>
      <c r="K170" s="32">
        <f t="shared" si="92"/>
        <v>0</v>
      </c>
      <c r="L170" s="18">
        <f>IF(ISNUMBER(J170), $B172 * K170, "")</f>
        <v>0</v>
      </c>
      <c r="M170" s="31">
        <v>235</v>
      </c>
      <c r="N170" s="32">
        <f t="shared" si="93"/>
        <v>1.2931034482758621E-2</v>
      </c>
      <c r="O170" s="18">
        <f>IF(ISNUMBER(M170), $B172 * N170, "")</f>
        <v>1939.655172413793</v>
      </c>
      <c r="Q170" s="135"/>
      <c r="R170" s="136"/>
      <c r="S170" s="137"/>
    </row>
    <row r="171" spans="1:19" ht="17.25" thickBot="1">
      <c r="A171" s="114" t="s">
        <v>345</v>
      </c>
      <c r="B171" s="115">
        <v>162</v>
      </c>
      <c r="C171" s="72">
        <v>-2.9940119800000001E-2</v>
      </c>
      <c r="D171" s="24">
        <v>167</v>
      </c>
      <c r="E171" s="25">
        <f t="shared" si="90"/>
        <v>3.0864197530864196E-2</v>
      </c>
      <c r="F171" s="94">
        <f>IF(ISNUMBER(D171), $B172 * E171, "")</f>
        <v>4629.6296296296296</v>
      </c>
      <c r="G171" s="92">
        <v>166</v>
      </c>
      <c r="H171" s="25">
        <f t="shared" si="91"/>
        <v>2.4691358024691357E-2</v>
      </c>
      <c r="I171" s="93">
        <f>IF(ISNUMBER(G171), $B172 * H171, "")</f>
        <v>3703.7037037037035</v>
      </c>
      <c r="J171" s="24">
        <v>167</v>
      </c>
      <c r="K171" s="25">
        <f t="shared" si="92"/>
        <v>3.0864197530864196E-2</v>
      </c>
      <c r="L171" s="94">
        <f>IF(ISNUMBER(J171), $B172 * K171, "")</f>
        <v>4629.6296296296296</v>
      </c>
      <c r="M171" s="92">
        <v>168</v>
      </c>
      <c r="N171" s="25">
        <f t="shared" si="93"/>
        <v>3.7037037037037035E-2</v>
      </c>
      <c r="O171" s="94">
        <f>IF(ISNUMBER(M171), $B172 * N171, "")</f>
        <v>5555.5555555555557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1.2066591763648028E-2</v>
      </c>
      <c r="F172" s="28">
        <f>SUM(F152:F171)</f>
        <v>36199.77529094409</v>
      </c>
      <c r="G172" s="26" t="s">
        <v>258</v>
      </c>
      <c r="H172" s="27">
        <f>IF(COUNT(H152:H171), SUM(H152:H171) / COUNT(H152:H171), 0)</f>
        <v>1.6009204177370527E-2</v>
      </c>
      <c r="I172" s="28">
        <f>SUM(I152:I171)</f>
        <v>48027.612532111576</v>
      </c>
      <c r="J172" s="26" t="s">
        <v>258</v>
      </c>
      <c r="K172" s="27">
        <f>IF(COUNT(K152:K171), SUM(K152:K171) / COUNT(K152:K171), 0)</f>
        <v>1.589818956320143E-2</v>
      </c>
      <c r="L172" s="28">
        <f>SUM(L152:L171)</f>
        <v>47694.568689604283</v>
      </c>
      <c r="M172" s="26" t="s">
        <v>258</v>
      </c>
      <c r="N172" s="27">
        <f>IF(COUNT(N152:N171), SUM(N152:N171) / COUNT(N152:N171), 0)</f>
        <v>2.305940723126056E-2</v>
      </c>
      <c r="O172" s="28">
        <f>SUM(O152:O171)</f>
        <v>69178.22169378167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2023-01-20(금) 오전 00:00</v>
      </c>
      <c r="C177" s="198"/>
      <c r="D177" s="170" t="str">
        <f>TEXT($G$1, "[$-ko-KR]yyyy-mm-dd(ddd) ") &amp; "오후 14:00"</f>
        <v>2023-01-20(금) 오후 14:00</v>
      </c>
      <c r="E177" s="171"/>
      <c r="F177" s="172"/>
      <c r="G177" s="170" t="str">
        <f>TEXT($G$1, "[$-ko-KR]yyyy-mm-dd(ddd) ") &amp; "오후 19:00"</f>
        <v>2023-01-20(금) 오후 19:00</v>
      </c>
      <c r="H177" s="171"/>
      <c r="I177" s="172"/>
      <c r="J177" s="170" t="str">
        <f>TEXT($G$1, "[$-ko-KR]yyyy-mm-dd(ddd) ") &amp; "오후 21:00"</f>
        <v>2023-01-20(금) 오후 21:00</v>
      </c>
      <c r="K177" s="171"/>
      <c r="L177" s="172"/>
      <c r="M177" s="170" t="str">
        <f>TEXT($G$1+1, "[$-ko-KR]yyyy-mm-dd(ddd) ") &amp; "오전 00:00"</f>
        <v>2023-01-21(토)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317</v>
      </c>
      <c r="B179" s="108">
        <v>606</v>
      </c>
      <c r="C179" s="69">
        <v>4.9751244000000002E-3</v>
      </c>
      <c r="D179" s="13">
        <v>609</v>
      </c>
      <c r="E179" s="14">
        <f>IF(ISNUMBER(D179), (D179 - $B179) / $B179, "")</f>
        <v>4.9504950495049506E-3</v>
      </c>
      <c r="F179" s="16">
        <f>IF(ISNUMBER(D179), $B199 * E179, "")</f>
        <v>742.57425742574253</v>
      </c>
      <c r="G179" s="29">
        <v>614</v>
      </c>
      <c r="H179" s="14">
        <f>IF(ISNUMBER(G179), (G179 - $B179) / $B179, "")</f>
        <v>1.3201320132013201E-2</v>
      </c>
      <c r="I179" s="90">
        <f>IF(ISNUMBER(G179), $B199 * H179, "")</f>
        <v>1980.1980198019803</v>
      </c>
      <c r="J179" s="13">
        <v>610</v>
      </c>
      <c r="K179" s="14">
        <f>IF(ISNUMBER(J179), (J179 - $B179) / $B179, "")</f>
        <v>6.6006600660066007E-3</v>
      </c>
      <c r="L179" s="16">
        <f>IF(ISNUMBER(J179), $B199 * K179, "")</f>
        <v>990.09900990099015</v>
      </c>
      <c r="M179" s="29">
        <v>615</v>
      </c>
      <c r="N179" s="14">
        <f>IF(ISNUMBER(M179), (M179 - $B179) / $B179, "")</f>
        <v>1.4851485148514851E-2</v>
      </c>
      <c r="O179" s="16">
        <f>IF(ISNUMBER(M179), $B199 * N179, "")</f>
        <v>2227.7227722772277</v>
      </c>
      <c r="Q179" s="156"/>
      <c r="R179" s="156"/>
      <c r="S179" s="156"/>
    </row>
    <row r="180" spans="1:19" ht="17.25" thickBot="1">
      <c r="A180" s="109" t="s">
        <v>221</v>
      </c>
      <c r="B180" s="110">
        <v>21.3</v>
      </c>
      <c r="C180" s="70">
        <v>4.7169810999999999E-3</v>
      </c>
      <c r="D180" s="15">
        <v>21.5</v>
      </c>
      <c r="E180" s="32">
        <f t="shared" ref="E180:E183" si="94">IF(ISNUMBER(D180), (D180 - $B180) / $B180, "")</f>
        <v>9.3896713615023129E-3</v>
      </c>
      <c r="F180" s="18">
        <f>IF(ISNUMBER(D180), $B199 * E180, "")</f>
        <v>1408.450704225347</v>
      </c>
      <c r="G180" s="31">
        <v>21.4</v>
      </c>
      <c r="H180" s="32">
        <f t="shared" ref="H180:H183" si="95">IF(ISNUMBER(G180), (G180 - $B180) / $B180, "")</f>
        <v>4.6948356807510732E-3</v>
      </c>
      <c r="I180" s="91">
        <f>IF(ISNUMBER(G180), $B199 * H180, "")</f>
        <v>704.22535211266097</v>
      </c>
      <c r="J180" s="15">
        <v>21.5</v>
      </c>
      <c r="K180" s="32">
        <f t="shared" ref="K180:K183" si="96">IF(ISNUMBER(J180), (J180 - $B180) / $B180, "")</f>
        <v>9.3896713615023129E-3</v>
      </c>
      <c r="L180" s="18">
        <f>IF(ISNUMBER(J180), $B199 * K180, "")</f>
        <v>1408.450704225347</v>
      </c>
      <c r="M180" s="31">
        <v>21.7</v>
      </c>
      <c r="N180" s="32">
        <f t="shared" ref="N180:N183" si="97">IF(ISNUMBER(M180), (M180 - $B180) / $B180, "")</f>
        <v>1.8779342723004626E-2</v>
      </c>
      <c r="O180" s="18">
        <f>IF(ISNUMBER(M180), $B199 * N180, "")</f>
        <v>2816.9014084506939</v>
      </c>
      <c r="Q180" s="156"/>
      <c r="R180" s="156"/>
      <c r="S180" s="156"/>
    </row>
    <row r="181" spans="1:19" ht="17.25" thickBot="1">
      <c r="A181" s="109" t="s">
        <v>349</v>
      </c>
      <c r="B181" s="110">
        <v>25.7</v>
      </c>
      <c r="C181" s="70">
        <v>3.90625E-3</v>
      </c>
      <c r="D181" s="15">
        <v>27.6</v>
      </c>
      <c r="E181" s="32">
        <f t="shared" si="94"/>
        <v>7.3929961089494248E-2</v>
      </c>
      <c r="F181" s="18">
        <f>IF(ISNUMBER(D181), $B199 * E181, "")</f>
        <v>11089.494163424137</v>
      </c>
      <c r="G181" s="31">
        <v>27.5</v>
      </c>
      <c r="H181" s="32">
        <f t="shared" si="95"/>
        <v>7.0038910505836605E-2</v>
      </c>
      <c r="I181" s="91">
        <f>IF(ISNUMBER(G181), $B199 * H181, "")</f>
        <v>10505.83657587549</v>
      </c>
      <c r="J181" s="15">
        <v>27.7</v>
      </c>
      <c r="K181" s="32">
        <f t="shared" si="96"/>
        <v>7.7821011673151752E-2</v>
      </c>
      <c r="L181" s="18">
        <f>IF(ISNUMBER(J181), $B199 * K181, "")</f>
        <v>11673.151750972764</v>
      </c>
      <c r="M181" s="31">
        <v>27.6</v>
      </c>
      <c r="N181" s="32">
        <f t="shared" si="97"/>
        <v>7.3929961089494248E-2</v>
      </c>
      <c r="O181" s="18">
        <f>IF(ISNUMBER(M181), $B199 * N181, "")</f>
        <v>11089.494163424137</v>
      </c>
      <c r="Q181" s="146"/>
      <c r="R181" s="146"/>
      <c r="S181" s="146"/>
    </row>
    <row r="182" spans="1:19" ht="17.25" thickBot="1">
      <c r="A182" s="109" t="s">
        <v>237</v>
      </c>
      <c r="B182" s="110">
        <v>28.8</v>
      </c>
      <c r="C182" s="70">
        <v>3.4843206000000002E-3</v>
      </c>
      <c r="D182" s="15">
        <v>29.1</v>
      </c>
      <c r="E182" s="32">
        <f t="shared" si="94"/>
        <v>1.041666666666669E-2</v>
      </c>
      <c r="F182" s="18">
        <f>IF(ISNUMBER(D182), $B199 * E182, "")</f>
        <v>1562.5000000000036</v>
      </c>
      <c r="G182" s="31">
        <v>29.3</v>
      </c>
      <c r="H182" s="32">
        <f t="shared" si="95"/>
        <v>1.7361111111111112E-2</v>
      </c>
      <c r="I182" s="91">
        <f>IF(ISNUMBER(G182), $B199 * H182, "")</f>
        <v>2604.166666666667</v>
      </c>
      <c r="J182" s="15">
        <v>29.2</v>
      </c>
      <c r="K182" s="32">
        <f t="shared" si="96"/>
        <v>1.388888888888884E-2</v>
      </c>
      <c r="L182" s="18">
        <f>IF(ISNUMBER(J182), $B199 * K182, "")</f>
        <v>2083.3333333333258</v>
      </c>
      <c r="M182" s="31">
        <v>29.4</v>
      </c>
      <c r="N182" s="32">
        <f t="shared" si="97"/>
        <v>2.0833333333333259E-2</v>
      </c>
      <c r="O182" s="18">
        <f>IF(ISNUMBER(M182), $B199 * N182, "")</f>
        <v>3124.9999999999891</v>
      </c>
      <c r="Q182" s="146"/>
      <c r="R182" s="146"/>
      <c r="S182" s="146"/>
    </row>
    <row r="183" spans="1:19" ht="17.25" thickBot="1">
      <c r="A183" s="111" t="s">
        <v>66</v>
      </c>
      <c r="B183" s="112">
        <v>742</v>
      </c>
      <c r="C183" s="71">
        <v>2.7027027000000002E-3</v>
      </c>
      <c r="D183" s="20">
        <v>744</v>
      </c>
      <c r="E183" s="21">
        <f t="shared" si="94"/>
        <v>2.6954177897574125E-3</v>
      </c>
      <c r="F183" s="22">
        <f>IF(ISNUMBER(D183), $B199 * E183, "")</f>
        <v>404.31266846361189</v>
      </c>
      <c r="G183" s="30">
        <v>745</v>
      </c>
      <c r="H183" s="21">
        <f t="shared" si="95"/>
        <v>4.0431266846361188E-3</v>
      </c>
      <c r="I183" s="95">
        <f>IF(ISNUMBER(G183), $B199 * H183, "")</f>
        <v>606.46900269541777</v>
      </c>
      <c r="J183" s="20">
        <v>749</v>
      </c>
      <c r="K183" s="21">
        <f t="shared" si="96"/>
        <v>9.433962264150943E-3</v>
      </c>
      <c r="L183" s="22">
        <f>IF(ISNUMBER(J183), $B199 * K183, "")</f>
        <v>1415.0943396226414</v>
      </c>
      <c r="M183" s="30">
        <v>757</v>
      </c>
      <c r="N183" s="21">
        <f t="shared" si="97"/>
        <v>2.0215633423180591E-2</v>
      </c>
      <c r="O183" s="22">
        <f>IF(ISNUMBER(M183), $B199 * N183, "")</f>
        <v>3032.3450134770887</v>
      </c>
      <c r="Q183" s="146"/>
      <c r="R183" s="146"/>
      <c r="S183" s="146"/>
    </row>
    <row r="184" spans="1:19" ht="17.25" thickBot="1">
      <c r="A184" s="109" t="s">
        <v>143</v>
      </c>
      <c r="B184" s="113">
        <v>3.98</v>
      </c>
      <c r="C184" s="73">
        <v>2.5188916999999999E-3</v>
      </c>
      <c r="D184" s="96">
        <v>4.12</v>
      </c>
      <c r="E184" s="97">
        <f>IF(ISNUMBER(D184), (D184 - $B184) / $B184, "")</f>
        <v>3.5175879396984959E-2</v>
      </c>
      <c r="F184" s="98">
        <f>IF(ISNUMBER(D184), $B199 * E184, "")</f>
        <v>5276.3819095477438</v>
      </c>
      <c r="G184" s="99">
        <v>4.16</v>
      </c>
      <c r="H184" s="97">
        <f>IF(ISNUMBER(G184), (G184 - $B184) / $B184, "")</f>
        <v>4.5226130653266375E-2</v>
      </c>
      <c r="I184" s="100">
        <f>IF(ISNUMBER(G184), $B199 * H184, "")</f>
        <v>6783.9195979899559</v>
      </c>
      <c r="J184" s="96">
        <v>4.13</v>
      </c>
      <c r="K184" s="97">
        <f>IF(ISNUMBER(J184), (J184 - $B184) / $B184, "")</f>
        <v>3.7688442211055252E-2</v>
      </c>
      <c r="L184" s="98">
        <f>IF(ISNUMBER(J184), $B199 * K184, "")</f>
        <v>5653.2663316582875</v>
      </c>
      <c r="M184" s="99">
        <v>4.1500000000000004</v>
      </c>
      <c r="N184" s="97">
        <f>IF(ISNUMBER(M184), (M184 - $B184) / $B184, "")</f>
        <v>4.2713567839196075E-2</v>
      </c>
      <c r="O184" s="98">
        <f>IF(ISNUMBER(M184), $B199 * N184, "")</f>
        <v>6407.0351758794113</v>
      </c>
      <c r="Q184" s="146"/>
      <c r="R184" s="146"/>
      <c r="S184" s="146"/>
    </row>
    <row r="185" spans="1:19" ht="17.25" thickBot="1">
      <c r="A185" s="109" t="s">
        <v>91</v>
      </c>
      <c r="B185" s="110">
        <v>18860</v>
      </c>
      <c r="C185" s="70">
        <v>1.0615710999999999E-3</v>
      </c>
      <c r="D185" s="15">
        <v>19350</v>
      </c>
      <c r="E185" s="32">
        <f t="shared" ref="E185:E188" si="98">IF(ISNUMBER(D185), (D185 - $B185) / $B185, "")</f>
        <v>2.5980911983032873E-2</v>
      </c>
      <c r="F185" s="18">
        <f>IF(ISNUMBER(D185), $B199 * E185, "")</f>
        <v>3897.1367974549307</v>
      </c>
      <c r="G185" s="31">
        <v>19400</v>
      </c>
      <c r="H185" s="32">
        <f t="shared" ref="H185:H188" si="99">IF(ISNUMBER(G185), (G185 - $B185) / $B185, "")</f>
        <v>2.863202545068929E-2</v>
      </c>
      <c r="I185" s="91">
        <f>IF(ISNUMBER(G185), $B199 * H185, "")</f>
        <v>4294.8038176033933</v>
      </c>
      <c r="J185" s="15">
        <v>19400</v>
      </c>
      <c r="K185" s="32">
        <f t="shared" ref="K185:K188" si="100">IF(ISNUMBER(J185), (J185 - $B185) / $B185, "")</f>
        <v>2.863202545068929E-2</v>
      </c>
      <c r="L185" s="18">
        <f>IF(ISNUMBER(J185), $B199 * K185, "")</f>
        <v>4294.8038176033933</v>
      </c>
      <c r="M185" s="31">
        <v>19400</v>
      </c>
      <c r="N185" s="32">
        <f t="shared" ref="N185:N188" si="101">IF(ISNUMBER(M185), (M185 - $B185) / $B185, "")</f>
        <v>2.863202545068929E-2</v>
      </c>
      <c r="O185" s="18">
        <f>IF(ISNUMBER(M185), $B199 * N185, "")</f>
        <v>4294.8038176033933</v>
      </c>
      <c r="Q185" s="146"/>
      <c r="R185" s="146"/>
      <c r="S185" s="146"/>
    </row>
    <row r="186" spans="1:19" ht="17.25" thickBot="1">
      <c r="A186" s="109" t="s">
        <v>174</v>
      </c>
      <c r="B186" s="110">
        <v>14860</v>
      </c>
      <c r="C186" s="70">
        <v>6.7340070000000002E-4</v>
      </c>
      <c r="D186" s="15">
        <v>14980</v>
      </c>
      <c r="E186" s="32">
        <f t="shared" si="98"/>
        <v>8.0753701211305519E-3</v>
      </c>
      <c r="F186" s="18">
        <f>IF(ISNUMBER(D186), $B199 * E186, "")</f>
        <v>1211.3055181695827</v>
      </c>
      <c r="G186" s="31">
        <v>15000</v>
      </c>
      <c r="H186" s="32">
        <f t="shared" si="99"/>
        <v>9.4212651413189772E-3</v>
      </c>
      <c r="I186" s="91">
        <f>IF(ISNUMBER(G186), $B199 * H186, "")</f>
        <v>1413.1897711978465</v>
      </c>
      <c r="J186" s="15">
        <v>14990</v>
      </c>
      <c r="K186" s="32">
        <f t="shared" si="100"/>
        <v>8.7483176312247637E-3</v>
      </c>
      <c r="L186" s="18">
        <f>IF(ISNUMBER(J186), $B199 * K186, "")</f>
        <v>1312.2476446837145</v>
      </c>
      <c r="M186" s="31">
        <v>15140</v>
      </c>
      <c r="N186" s="32">
        <f t="shared" si="101"/>
        <v>1.8842530282637954E-2</v>
      </c>
      <c r="O186" s="18">
        <f>IF(ISNUMBER(M186), $B199 * N186, "")</f>
        <v>2826.3795423956931</v>
      </c>
      <c r="Q186" s="146"/>
      <c r="R186" s="146"/>
      <c r="S186" s="146"/>
    </row>
    <row r="187" spans="1:19" ht="17.25" thickBot="1">
      <c r="A187" s="109" t="s">
        <v>107</v>
      </c>
      <c r="B187" s="110">
        <v>42.4</v>
      </c>
      <c r="C187" s="70">
        <v>0</v>
      </c>
      <c r="D187" s="15">
        <v>43.6</v>
      </c>
      <c r="E187" s="32">
        <f t="shared" si="98"/>
        <v>2.8301886792452897E-2</v>
      </c>
      <c r="F187" s="18">
        <f>IF(ISNUMBER(D187), $B199 * E187, "")</f>
        <v>4245.2830188679345</v>
      </c>
      <c r="G187" s="31">
        <v>43.6</v>
      </c>
      <c r="H187" s="32">
        <f t="shared" si="99"/>
        <v>2.8301886792452897E-2</v>
      </c>
      <c r="I187" s="91">
        <f>IF(ISNUMBER(G187), $B199 * H187, "")</f>
        <v>4245.2830188679345</v>
      </c>
      <c r="J187" s="15">
        <v>43.7</v>
      </c>
      <c r="K187" s="32">
        <f t="shared" si="100"/>
        <v>3.0660377358490667E-2</v>
      </c>
      <c r="L187" s="18">
        <f>IF(ISNUMBER(J187), $B199 * K187, "")</f>
        <v>4599.0566037735998</v>
      </c>
      <c r="M187" s="31">
        <v>43.8</v>
      </c>
      <c r="N187" s="32">
        <f t="shared" si="101"/>
        <v>3.3018867924528267E-2</v>
      </c>
      <c r="O187" s="18">
        <f>IF(ISNUMBER(M187), $B199 * N187, "")</f>
        <v>4952.8301886792397</v>
      </c>
      <c r="Q187" s="33"/>
      <c r="R187" s="33"/>
    </row>
    <row r="188" spans="1:19" ht="17.25" thickBot="1">
      <c r="A188" s="114" t="s">
        <v>136</v>
      </c>
      <c r="B188" s="115">
        <v>2970</v>
      </c>
      <c r="C188" s="72">
        <v>0</v>
      </c>
      <c r="D188" s="24">
        <v>2985</v>
      </c>
      <c r="E188" s="25">
        <f t="shared" si="98"/>
        <v>5.0505050505050509E-3</v>
      </c>
      <c r="F188" s="94">
        <f>IF(ISNUMBER(D188), $B199 * E188, "")</f>
        <v>757.57575757575762</v>
      </c>
      <c r="G188" s="92">
        <v>3020</v>
      </c>
      <c r="H188" s="25">
        <f t="shared" si="99"/>
        <v>1.6835016835016835E-2</v>
      </c>
      <c r="I188" s="93">
        <f>IF(ISNUMBER(G188), $B199 * H188, "")</f>
        <v>2525.2525252525252</v>
      </c>
      <c r="J188" s="24">
        <v>3030</v>
      </c>
      <c r="K188" s="25">
        <f t="shared" si="100"/>
        <v>2.0202020202020204E-2</v>
      </c>
      <c r="L188" s="94">
        <f>IF(ISNUMBER(J188), $B199 * K188, "")</f>
        <v>3030.3030303030305</v>
      </c>
      <c r="M188" s="92">
        <v>3050</v>
      </c>
      <c r="N188" s="25">
        <f t="shared" si="101"/>
        <v>2.6936026936026935E-2</v>
      </c>
      <c r="O188" s="94">
        <f>IF(ISNUMBER(M188), $B199 * N188, "")</f>
        <v>4040.4040404040402</v>
      </c>
      <c r="Q188" s="147"/>
      <c r="R188" s="148"/>
      <c r="S188" s="149"/>
    </row>
    <row r="189" spans="1:19">
      <c r="A189" s="107" t="s">
        <v>339</v>
      </c>
      <c r="B189" s="108">
        <v>1165</v>
      </c>
      <c r="C189" s="69">
        <v>0</v>
      </c>
      <c r="D189" s="13">
        <v>1185</v>
      </c>
      <c r="E189" s="14">
        <f>IF(ISNUMBER(D189), (D189 - $B189) / $B189, "")</f>
        <v>1.7167381974248927E-2</v>
      </c>
      <c r="F189" s="16">
        <f>IF(ISNUMBER(D189), $B199 * E189, "")</f>
        <v>2575.1072961373388</v>
      </c>
      <c r="G189" s="29">
        <v>1180</v>
      </c>
      <c r="H189" s="14">
        <f>IF(ISNUMBER(G189), (G189 - $B189) / $B189, "")</f>
        <v>1.2875536480686695E-2</v>
      </c>
      <c r="I189" s="90">
        <f>IF(ISNUMBER(G189), $B199 * H189, "")</f>
        <v>1931.3304721030042</v>
      </c>
      <c r="J189" s="13">
        <v>1185</v>
      </c>
      <c r="K189" s="14">
        <f>IF(ISNUMBER(J189), (J189 - $B189) / $B189, "")</f>
        <v>1.7167381974248927E-2</v>
      </c>
      <c r="L189" s="16">
        <f>IF(ISNUMBER(J189), $B199 * K189, "")</f>
        <v>2575.1072961373388</v>
      </c>
      <c r="M189" s="29">
        <v>1195</v>
      </c>
      <c r="N189" s="14">
        <f>IF(ISNUMBER(M189), (M189 - $B189) / $B189, "")</f>
        <v>2.575107296137339E-2</v>
      </c>
      <c r="O189" s="16">
        <f>IF(ISNUMBER(M189), $B199 * N189, "")</f>
        <v>3862.6609442060085</v>
      </c>
      <c r="Q189" s="150"/>
      <c r="R189" s="151"/>
      <c r="S189" s="152"/>
    </row>
    <row r="190" spans="1:19" ht="17.25" thickBot="1">
      <c r="A190" s="109" t="s">
        <v>71</v>
      </c>
      <c r="B190" s="110">
        <v>11.6</v>
      </c>
      <c r="C190" s="70">
        <v>0</v>
      </c>
      <c r="D190" s="15">
        <v>11.8</v>
      </c>
      <c r="E190" s="32">
        <f t="shared" ref="E190:E193" si="102">IF(ISNUMBER(D190), (D190 - $B190) / $B190, "")</f>
        <v>1.7241379310344921E-2</v>
      </c>
      <c r="F190" s="18">
        <f>IF(ISNUMBER(D190), $B199 * E190, "")</f>
        <v>2586.2068965517383</v>
      </c>
      <c r="G190" s="31">
        <v>11.8</v>
      </c>
      <c r="H190" s="32">
        <f t="shared" ref="H190:H193" si="103">IF(ISNUMBER(G190), (G190 - $B190) / $B190, "")</f>
        <v>1.7241379310344921E-2</v>
      </c>
      <c r="I190" s="91">
        <f>IF(ISNUMBER(G190), $B199 * H190, "")</f>
        <v>2586.2068965517383</v>
      </c>
      <c r="J190" s="15">
        <v>11.8</v>
      </c>
      <c r="K190" s="32">
        <f t="shared" ref="K190:K193" si="104">IF(ISNUMBER(J190), (J190 - $B190) / $B190, "")</f>
        <v>1.7241379310344921E-2</v>
      </c>
      <c r="L190" s="18">
        <f>IF(ISNUMBER(J190), $B199 * K190, "")</f>
        <v>2586.2068965517383</v>
      </c>
      <c r="M190" s="31">
        <v>11.9</v>
      </c>
      <c r="N190" s="32">
        <f t="shared" ref="N190:N193" si="105">IF(ISNUMBER(M190), (M190 - $B190) / $B190, "")</f>
        <v>2.5862068965517303E-2</v>
      </c>
      <c r="O190" s="18">
        <f>IF(ISNUMBER(M190), $B199 * N190, "")</f>
        <v>3879.3103448275956</v>
      </c>
      <c r="Q190" s="153"/>
      <c r="R190" s="154"/>
      <c r="S190" s="155"/>
    </row>
    <row r="191" spans="1:19" ht="17.25" thickBot="1">
      <c r="A191" s="109" t="s">
        <v>341</v>
      </c>
      <c r="B191" s="110">
        <v>771</v>
      </c>
      <c r="C191" s="70">
        <v>-6.4432990000000004E-3</v>
      </c>
      <c r="D191" s="15">
        <v>784</v>
      </c>
      <c r="E191" s="32">
        <f t="shared" si="102"/>
        <v>1.6861219195849545E-2</v>
      </c>
      <c r="F191" s="18">
        <f>IF(ISNUMBER(D191), $B199 * E191, "")</f>
        <v>2529.1828793774316</v>
      </c>
      <c r="G191" s="31">
        <v>785</v>
      </c>
      <c r="H191" s="32">
        <f t="shared" si="103"/>
        <v>1.8158236057068743E-2</v>
      </c>
      <c r="I191" s="91">
        <f>IF(ISNUMBER(G191), $B199 * H191, "")</f>
        <v>2723.7354085603115</v>
      </c>
      <c r="J191" s="15">
        <v>779</v>
      </c>
      <c r="K191" s="32">
        <f t="shared" si="104"/>
        <v>1.0376134889753566E-2</v>
      </c>
      <c r="L191" s="18">
        <f>IF(ISNUMBER(J191), $B199 * K191, "")</f>
        <v>1556.4202334630349</v>
      </c>
      <c r="M191" s="31">
        <v>784</v>
      </c>
      <c r="N191" s="32">
        <f t="shared" si="105"/>
        <v>1.6861219195849545E-2</v>
      </c>
      <c r="O191" s="18">
        <f>IF(ISNUMBER(M191), $B199 * N191, "")</f>
        <v>2529.1828793774316</v>
      </c>
      <c r="Q191" s="146"/>
      <c r="R191" s="146"/>
      <c r="S191" s="146"/>
    </row>
    <row r="192" spans="1:19" ht="17.25" thickBot="1">
      <c r="A192" s="109" t="s">
        <v>219</v>
      </c>
      <c r="B192" s="110">
        <v>443</v>
      </c>
      <c r="C192" s="70">
        <v>-8.9485459000000003E-3</v>
      </c>
      <c r="D192" s="15">
        <v>447</v>
      </c>
      <c r="E192" s="32">
        <f t="shared" si="102"/>
        <v>9.0293453724604959E-3</v>
      </c>
      <c r="F192" s="18">
        <f>IF(ISNUMBER(D192), $B199 * E192, "")</f>
        <v>1354.4018058690745</v>
      </c>
      <c r="G192" s="31">
        <v>452</v>
      </c>
      <c r="H192" s="32">
        <f t="shared" si="103"/>
        <v>2.0316027088036117E-2</v>
      </c>
      <c r="I192" s="91">
        <f>IF(ISNUMBER(G192), $B199 * H192, "")</f>
        <v>3047.4040632054175</v>
      </c>
      <c r="J192" s="15">
        <v>450</v>
      </c>
      <c r="K192" s="32">
        <f t="shared" si="104"/>
        <v>1.580135440180587E-2</v>
      </c>
      <c r="L192" s="18">
        <f>IF(ISNUMBER(J192), $B199 * K192, "")</f>
        <v>2370.2031602708803</v>
      </c>
      <c r="M192" s="31">
        <v>453</v>
      </c>
      <c r="N192" s="32">
        <f t="shared" si="105"/>
        <v>2.2573363431151242E-2</v>
      </c>
      <c r="O192" s="18">
        <f>IF(ISNUMBER(M192), $B199 * N192, "")</f>
        <v>3386.0045146726861</v>
      </c>
      <c r="Q192" s="156"/>
      <c r="R192" s="156"/>
      <c r="S192" s="156"/>
    </row>
    <row r="193" spans="1:19" ht="17.25" thickBot="1">
      <c r="A193" s="111" t="s">
        <v>223</v>
      </c>
      <c r="B193" s="112">
        <v>232</v>
      </c>
      <c r="C193" s="71">
        <v>-1.6949152499999998E-2</v>
      </c>
      <c r="D193" s="20">
        <v>234</v>
      </c>
      <c r="E193" s="21">
        <f t="shared" si="102"/>
        <v>8.6206896551724137E-3</v>
      </c>
      <c r="F193" s="22">
        <f>IF(ISNUMBER(D193), $B199 * E193, "")</f>
        <v>1293.1034482758621</v>
      </c>
      <c r="G193" s="30">
        <v>233</v>
      </c>
      <c r="H193" s="21">
        <f t="shared" si="103"/>
        <v>4.3103448275862068E-3</v>
      </c>
      <c r="I193" s="95">
        <f>IF(ISNUMBER(G193), $B199 * H193, "")</f>
        <v>646.55172413793105</v>
      </c>
      <c r="J193" s="20">
        <v>232</v>
      </c>
      <c r="K193" s="21">
        <f t="shared" si="104"/>
        <v>0</v>
      </c>
      <c r="L193" s="22">
        <f>IF(ISNUMBER(J193), $B199 * K193, "")</f>
        <v>0</v>
      </c>
      <c r="M193" s="30">
        <v>235</v>
      </c>
      <c r="N193" s="21">
        <f t="shared" si="105"/>
        <v>1.2931034482758621E-2</v>
      </c>
      <c r="O193" s="22">
        <f>IF(ISNUMBER(M193), $B199 * N193, "")</f>
        <v>1939.655172413793</v>
      </c>
      <c r="Q193" s="156"/>
      <c r="R193" s="156"/>
      <c r="S193" s="156"/>
    </row>
    <row r="194" spans="1:19" ht="17.25" thickBot="1">
      <c r="A194" s="109" t="s">
        <v>225</v>
      </c>
      <c r="B194" s="113">
        <v>61.4</v>
      </c>
      <c r="C194" s="73">
        <v>-2.6941362900000002E-2</v>
      </c>
      <c r="D194" s="96">
        <v>62.8</v>
      </c>
      <c r="E194" s="97">
        <f>IF(ISNUMBER(D194), (D194 - $B194) / $B194, "")</f>
        <v>2.280130293159607E-2</v>
      </c>
      <c r="F194" s="98">
        <f>IF(ISNUMBER(D194), $B199 * E194, "")</f>
        <v>3420.1954397394106</v>
      </c>
      <c r="G194" s="99">
        <v>62.8</v>
      </c>
      <c r="H194" s="97">
        <f>IF(ISNUMBER(G194), (G194 - $B194) / $B194, "")</f>
        <v>2.280130293159607E-2</v>
      </c>
      <c r="I194" s="100">
        <f>IF(ISNUMBER(G194), $B199 * H194, "")</f>
        <v>3420.1954397394106</v>
      </c>
      <c r="J194" s="96">
        <v>63</v>
      </c>
      <c r="K194" s="97">
        <f>IF(ISNUMBER(J194), (J194 - $B194) / $B194, "")</f>
        <v>2.605863192182413E-2</v>
      </c>
      <c r="L194" s="98">
        <f>IF(ISNUMBER(J194), $B199 * K194, "")</f>
        <v>3908.7947882736194</v>
      </c>
      <c r="M194" s="99">
        <v>63.2</v>
      </c>
      <c r="N194" s="97">
        <f>IF(ISNUMBER(M194), (M194 - $B194) / $B194, "")</f>
        <v>2.9315960912052186E-2</v>
      </c>
      <c r="O194" s="98">
        <f>IF(ISNUMBER(M194), $B199 * N194, "")</f>
        <v>4397.3941368078276</v>
      </c>
      <c r="Q194" s="146"/>
      <c r="R194" s="146"/>
      <c r="S194" s="146"/>
    </row>
    <row r="195" spans="1:19" ht="17.25" thickBot="1">
      <c r="A195" s="109" t="s">
        <v>345</v>
      </c>
      <c r="B195" s="110">
        <v>162</v>
      </c>
      <c r="C195" s="70">
        <v>-2.9940119800000001E-2</v>
      </c>
      <c r="D195" s="15">
        <v>167</v>
      </c>
      <c r="E195" s="32">
        <f t="shared" ref="E195:E198" si="106">IF(ISNUMBER(D195), (D195 - $B195) / $B195, "")</f>
        <v>3.0864197530864196E-2</v>
      </c>
      <c r="F195" s="18">
        <f>IF(ISNUMBER(D195), $B199 * E195, "")</f>
        <v>4629.6296296296296</v>
      </c>
      <c r="G195" s="31">
        <v>166</v>
      </c>
      <c r="H195" s="32">
        <f t="shared" ref="H195:H198" si="107">IF(ISNUMBER(G195), (G195 - $B195) / $B195, "")</f>
        <v>2.4691358024691357E-2</v>
      </c>
      <c r="I195" s="91">
        <f>IF(ISNUMBER(G195), $B199 * H195, "")</f>
        <v>3703.7037037037035</v>
      </c>
      <c r="J195" s="15">
        <v>167</v>
      </c>
      <c r="K195" s="32">
        <f t="shared" ref="K195:K198" si="108">IF(ISNUMBER(J195), (J195 - $B195) / $B195, "")</f>
        <v>3.0864197530864196E-2</v>
      </c>
      <c r="L195" s="18">
        <f>IF(ISNUMBER(J195), $B199 * K195, "")</f>
        <v>4629.6296296296296</v>
      </c>
      <c r="M195" s="31">
        <v>168</v>
      </c>
      <c r="N195" s="32">
        <f t="shared" ref="N195:N198" si="109">IF(ISNUMBER(M195), (M195 - $B195) / $B195, "")</f>
        <v>3.7037037037037035E-2</v>
      </c>
      <c r="O195" s="18">
        <f>IF(ISNUMBER(M195), $B199 * N195, "")</f>
        <v>5555.5555555555557</v>
      </c>
      <c r="Q195" s="146"/>
      <c r="R195" s="146"/>
      <c r="S195" s="146"/>
    </row>
    <row r="196" spans="1:19" ht="17.25" thickBot="1">
      <c r="A196" s="109" t="s">
        <v>337</v>
      </c>
      <c r="B196" s="110">
        <v>98720</v>
      </c>
      <c r="C196" s="70">
        <v>-3.2156862699999997E-2</v>
      </c>
      <c r="D196" s="15">
        <v>100350</v>
      </c>
      <c r="E196" s="32">
        <f t="shared" si="106"/>
        <v>1.6511345218800648E-2</v>
      </c>
      <c r="F196" s="18">
        <f>IF(ISNUMBER(D196), $B199 * E196, "")</f>
        <v>2476.7017828200974</v>
      </c>
      <c r="G196" s="31">
        <v>102000</v>
      </c>
      <c r="H196" s="32">
        <f t="shared" si="107"/>
        <v>3.3225283630470018E-2</v>
      </c>
      <c r="I196" s="91">
        <f>IF(ISNUMBER(G196), $B199 * H196, "")</f>
        <v>4983.7925445705023</v>
      </c>
      <c r="J196" s="15">
        <v>101250</v>
      </c>
      <c r="K196" s="32">
        <f t="shared" si="108"/>
        <v>2.562803889789303E-2</v>
      </c>
      <c r="L196" s="18">
        <f>IF(ISNUMBER(J196), $B199 * K196, "")</f>
        <v>3844.2058346839544</v>
      </c>
      <c r="M196" s="31">
        <v>102000</v>
      </c>
      <c r="N196" s="32">
        <f t="shared" si="109"/>
        <v>3.3225283630470018E-2</v>
      </c>
      <c r="O196" s="18">
        <f>IF(ISNUMBER(M196), $B199 * N196, "")</f>
        <v>4983.7925445705023</v>
      </c>
      <c r="Q196" s="146"/>
      <c r="R196" s="146"/>
      <c r="S196" s="146"/>
    </row>
    <row r="197" spans="1:19">
      <c r="A197" s="109" t="s">
        <v>185</v>
      </c>
      <c r="B197" s="110">
        <v>34.9</v>
      </c>
      <c r="C197" s="70">
        <v>-3.5911602199999997E-2</v>
      </c>
      <c r="D197" s="15">
        <v>35.200000000000003</v>
      </c>
      <c r="E197" s="32">
        <f t="shared" si="106"/>
        <v>8.5959885386820718E-3</v>
      </c>
      <c r="F197" s="18">
        <f>IF(ISNUMBER(D197), $B199 * E197, "")</f>
        <v>1289.3982808023109</v>
      </c>
      <c r="G197" s="31">
        <v>34.9</v>
      </c>
      <c r="H197" s="32">
        <f t="shared" si="107"/>
        <v>0</v>
      </c>
      <c r="I197" s="91">
        <f>IF(ISNUMBER(G197), $B199 * H197, "")</f>
        <v>0</v>
      </c>
      <c r="J197" s="15">
        <v>35.1</v>
      </c>
      <c r="K197" s="32">
        <f t="shared" si="108"/>
        <v>5.730659025788047E-3</v>
      </c>
      <c r="L197" s="18">
        <f>IF(ISNUMBER(J197), $B199 * K197, "")</f>
        <v>859.59885386820702</v>
      </c>
      <c r="M197" s="31">
        <v>35.5</v>
      </c>
      <c r="N197" s="32">
        <f t="shared" si="109"/>
        <v>1.7191977077363939E-2</v>
      </c>
      <c r="O197" s="18">
        <f>IF(ISNUMBER(M197), $B199 * N197, "")</f>
        <v>2578.7965616045908</v>
      </c>
      <c r="Q197" s="135"/>
      <c r="R197" s="136"/>
      <c r="S197" s="137"/>
    </row>
    <row r="198" spans="1:19" ht="17.25" thickBot="1">
      <c r="A198" s="114" t="s">
        <v>97</v>
      </c>
      <c r="B198" s="115">
        <v>8.9999999999999998E-4</v>
      </c>
      <c r="C198" s="72">
        <v>-0.1</v>
      </c>
      <c r="D198" s="24">
        <v>8.9999999999999998E-4</v>
      </c>
      <c r="E198" s="25">
        <f t="shared" si="106"/>
        <v>0</v>
      </c>
      <c r="F198" s="94">
        <f>IF(ISNUMBER(D198), $B199 * E198, "")</f>
        <v>0</v>
      </c>
      <c r="G198" s="92">
        <v>8.9999999999999998E-4</v>
      </c>
      <c r="H198" s="25">
        <f t="shared" si="107"/>
        <v>0</v>
      </c>
      <c r="I198" s="93">
        <f>IF(ISNUMBER(G198), $B199 * H198, "")</f>
        <v>0</v>
      </c>
      <c r="J198" s="24">
        <v>8.9999999999999998E-4</v>
      </c>
      <c r="K198" s="25">
        <f t="shared" si="108"/>
        <v>0</v>
      </c>
      <c r="L198" s="94">
        <f>IF(ISNUMBER(J198), $B199 * K198, "")</f>
        <v>0</v>
      </c>
      <c r="M198" s="92">
        <v>8.9999999999999998E-4</v>
      </c>
      <c r="N198" s="25">
        <f t="shared" si="109"/>
        <v>0</v>
      </c>
      <c r="O198" s="94">
        <f>IF(ISNUMBER(M198), $B199 * N198, "")</f>
        <v>0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1.7582980751452558E-2</v>
      </c>
      <c r="F199" s="28">
        <f>SUM(F179:F198)</f>
        <v>52748.94225435768</v>
      </c>
      <c r="G199" s="26" t="s">
        <v>258</v>
      </c>
      <c r="H199" s="27">
        <f>IF(COUNT(H179:H198), SUM(H179:H198) / COUNT(H179:H198), 0)</f>
        <v>1.9568754866878625E-2</v>
      </c>
      <c r="I199" s="28">
        <f>SUM(I179:I198)</f>
        <v>58706.264600635892</v>
      </c>
      <c r="J199" s="26" t="s">
        <v>258</v>
      </c>
      <c r="K199" s="27">
        <f>IF(COUNT(K179:K198), SUM(K179:K198) / COUNT(K179:K198), 0)</f>
        <v>1.9596657752985164E-2</v>
      </c>
      <c r="L199" s="28">
        <f>SUM(L179:L198)</f>
        <v>58789.973258955491</v>
      </c>
      <c r="M199" s="26" t="s">
        <v>258</v>
      </c>
      <c r="N199" s="27">
        <f>IF(COUNT(N179:N198), SUM(N179:N198) / COUNT(N179:N198), 0)</f>
        <v>2.5975089592208973E-2</v>
      </c>
      <c r="O199" s="28">
        <f>SUM(O179:O198)</f>
        <v>77925.268776626908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BF716-B332-4D1D-B7B8-FE619E9EAF9D}">
  <sheetPr codeName="Sheet2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44947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199,771 KRW (6.66%)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197,352 KRW (6.58%)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178,214 KRW (5.94%)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257,729 KRW (8.59%)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2023-01-21(토) 오전 00:00</v>
      </c>
      <c r="C15" s="196"/>
      <c r="D15" s="170" t="str">
        <f>TEXT($G$1, "[$-ko-KR]yyyy-mm-dd(ddd) ") &amp; "오후 14:00"</f>
        <v>2023-01-21(토) 오후 14:00</v>
      </c>
      <c r="E15" s="171"/>
      <c r="F15" s="172"/>
      <c r="G15" s="170" t="str">
        <f>TEXT($G$1, "[$-ko-KR]yyyy-mm-dd(ddd) ") &amp; "오후 19:00"</f>
        <v>2023-01-21(토) 오후 19:00</v>
      </c>
      <c r="H15" s="171"/>
      <c r="I15" s="172"/>
      <c r="J15" s="170" t="str">
        <f>TEXT($G$1, "[$-ko-KR]yyyy-mm-dd(ddd) ") &amp; "오후 21:00"</f>
        <v>2023-01-21(토) 오후 21:00</v>
      </c>
      <c r="K15" s="171"/>
      <c r="L15" s="172"/>
      <c r="M15" s="170" t="str">
        <f>TEXT($G$1+1, "[$-ko-KR]yyyy-mm-dd(ddd) ") &amp; "오전 00:00"</f>
        <v>2023-01-22(일)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2023-01-21(토) 오전 00:00</v>
      </c>
      <c r="C42" s="198"/>
      <c r="D42" s="170" t="str">
        <f>TEXT($G$1, "[$-ko-KR]yyyy-mm-dd(ddd) ") &amp; "오후 14:00"</f>
        <v>2023-01-21(토) 오후 14:00</v>
      </c>
      <c r="E42" s="171"/>
      <c r="F42" s="172"/>
      <c r="G42" s="170" t="str">
        <f>TEXT($G$1, "[$-ko-KR]yyyy-mm-dd(ddd) ") &amp; "오후 19:00"</f>
        <v>2023-01-21(토) 오후 19:00</v>
      </c>
      <c r="H42" s="171"/>
      <c r="I42" s="172"/>
      <c r="J42" s="170" t="str">
        <f>TEXT($G$1, "[$-ko-KR]yyyy-mm-dd(ddd) ") &amp; "오후 21:00"</f>
        <v>2023-01-21(토) 오후 21:00</v>
      </c>
      <c r="K42" s="171"/>
      <c r="L42" s="172"/>
      <c r="M42" s="170" t="str">
        <f>TEXT($G$1+1, "[$-ko-KR]yyyy-mm-dd(ddd) ") &amp; "오전 00:00"</f>
        <v>2023-01-22(일)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217</v>
      </c>
      <c r="B44" s="108">
        <v>88.9</v>
      </c>
      <c r="C44" s="69">
        <v>0.172823219</v>
      </c>
      <c r="D44" s="13">
        <v>85.1</v>
      </c>
      <c r="E44" s="14">
        <f>IF(ISNUMBER(D44), (D44 - $B44) / $B44, "")</f>
        <v>-4.2744656917885392E-2</v>
      </c>
      <c r="F44" s="16">
        <f>IF(ISNUMBER(D44), $B64 * E44, "")</f>
        <v>-6411.6985376828088</v>
      </c>
      <c r="G44" s="29">
        <v>85.6</v>
      </c>
      <c r="H44" s="14">
        <f>IF(ISNUMBER(G44), (G44 - $B44) / $B44, "")</f>
        <v>-3.7120359955005747E-2</v>
      </c>
      <c r="I44" s="90">
        <f>IF(ISNUMBER(G44), $B64 * H44, "")</f>
        <v>-5568.0539932508618</v>
      </c>
      <c r="J44" s="13">
        <v>85.2</v>
      </c>
      <c r="K44" s="14">
        <f>IF(ISNUMBER(J44), (J44 - $B44) / $B44, "")</f>
        <v>-4.1619797525309365E-2</v>
      </c>
      <c r="L44" s="16">
        <f>IF(ISNUMBER(J44), $B64 * K44, "")</f>
        <v>-6242.9696287964052</v>
      </c>
      <c r="M44" s="29">
        <v>85.1</v>
      </c>
      <c r="N44" s="14">
        <f>IF(ISNUMBER(M44), (M44 - $B44) / $B44, "")</f>
        <v>-4.2744656917885392E-2</v>
      </c>
      <c r="O44" s="16">
        <f>IF(ISNUMBER(M44), $B64 * N44, "")</f>
        <v>-6411.6985376828088</v>
      </c>
      <c r="Q44" s="156"/>
      <c r="R44" s="156"/>
      <c r="S44" s="156"/>
    </row>
    <row r="45" spans="1:19" ht="17.25" customHeight="1" thickBot="1">
      <c r="A45" s="109" t="s">
        <v>209</v>
      </c>
      <c r="B45" s="110">
        <v>97.3</v>
      </c>
      <c r="C45" s="70">
        <v>8.3518931000000005E-2</v>
      </c>
      <c r="D45" s="15">
        <v>95.2</v>
      </c>
      <c r="E45" s="32">
        <f t="shared" ref="E45:E48" si="14">IF(ISNUMBER(D45), (D45 - $B45) / $B45, "")</f>
        <v>-2.1582733812949582E-2</v>
      </c>
      <c r="F45" s="18">
        <f>IF(ISNUMBER(D45), $B64 * E45, "")</f>
        <v>-3237.4100719424373</v>
      </c>
      <c r="G45" s="31">
        <v>95.4</v>
      </c>
      <c r="H45" s="32">
        <f t="shared" ref="H45:H48" si="15">IF(ISNUMBER(G45), (G45 - $B45) / $B45, "")</f>
        <v>-1.9527235354573395E-2</v>
      </c>
      <c r="I45" s="91">
        <f>IF(ISNUMBER(G45), $B64 * H45, "")</f>
        <v>-2929.0853031860092</v>
      </c>
      <c r="J45" s="15">
        <v>94.7</v>
      </c>
      <c r="K45" s="32">
        <f t="shared" ref="K45:K48" si="16">IF(ISNUMBER(J45), (J45 - $B45) / $B45, "")</f>
        <v>-2.6721479958889974E-2</v>
      </c>
      <c r="L45" s="18">
        <f>IF(ISNUMBER(J45), $B64 * K45, "")</f>
        <v>-4008.2219938334961</v>
      </c>
      <c r="M45" s="31">
        <v>95.4</v>
      </c>
      <c r="N45" s="32">
        <f t="shared" ref="N45:N48" si="17">IF(ISNUMBER(M45), (M45 - $B45) / $B45, "")</f>
        <v>-1.9527235354573395E-2</v>
      </c>
      <c r="O45" s="18">
        <f>IF(ISNUMBER(M45), $B64 * N45, "")</f>
        <v>-2929.0853031860092</v>
      </c>
      <c r="Q45" s="156"/>
      <c r="R45" s="156"/>
      <c r="S45" s="156"/>
    </row>
    <row r="46" spans="1:19" ht="17.25" customHeight="1" thickBot="1">
      <c r="A46" s="109" t="s">
        <v>349</v>
      </c>
      <c r="B46" s="110">
        <v>27.6</v>
      </c>
      <c r="C46" s="70">
        <v>3.3707865199999999E-2</v>
      </c>
      <c r="D46" s="15">
        <v>29.8</v>
      </c>
      <c r="E46" s="32">
        <f t="shared" si="14"/>
        <v>7.9710144927536197E-2</v>
      </c>
      <c r="F46" s="18">
        <f>IF(ISNUMBER(D46), $B64 * E46, "")</f>
        <v>11956.52173913043</v>
      </c>
      <c r="G46" s="31">
        <v>29.9</v>
      </c>
      <c r="H46" s="32">
        <f t="shared" si="15"/>
        <v>8.3333333333333232E-2</v>
      </c>
      <c r="I46" s="91">
        <f>IF(ISNUMBER(G46), $B64 * H46, "")</f>
        <v>12499.999999999985</v>
      </c>
      <c r="J46" s="15">
        <v>29.9</v>
      </c>
      <c r="K46" s="32">
        <f t="shared" si="16"/>
        <v>8.3333333333333232E-2</v>
      </c>
      <c r="L46" s="18">
        <f>IF(ISNUMBER(J46), $B64 * K46, "")</f>
        <v>12499.999999999985</v>
      </c>
      <c r="M46" s="31">
        <v>29.9</v>
      </c>
      <c r="N46" s="32">
        <f t="shared" si="17"/>
        <v>8.3333333333333232E-2</v>
      </c>
      <c r="O46" s="18">
        <f>IF(ISNUMBER(M46), $B64 * N46, "")</f>
        <v>12499.999999999985</v>
      </c>
      <c r="Q46" s="146"/>
      <c r="R46" s="146"/>
      <c r="S46" s="146"/>
    </row>
    <row r="47" spans="1:19" ht="17.25" customHeight="1" thickBot="1">
      <c r="A47" s="109" t="s">
        <v>138</v>
      </c>
      <c r="B47" s="110">
        <v>29.1</v>
      </c>
      <c r="C47" s="70">
        <v>3.1914893600000001E-2</v>
      </c>
      <c r="D47" s="15">
        <v>30.4</v>
      </c>
      <c r="E47" s="32">
        <f t="shared" si="14"/>
        <v>4.467353951890024E-2</v>
      </c>
      <c r="F47" s="18">
        <f>IF(ISNUMBER(D47), $B64 * E47, "")</f>
        <v>6701.030927835036</v>
      </c>
      <c r="G47" s="31">
        <v>30.8</v>
      </c>
      <c r="H47" s="32">
        <f t="shared" si="15"/>
        <v>5.8419243986254268E-2</v>
      </c>
      <c r="I47" s="91">
        <f>IF(ISNUMBER(G47), $B64 * H47, "")</f>
        <v>8762.8865979381408</v>
      </c>
      <c r="J47" s="15">
        <v>30.6</v>
      </c>
      <c r="K47" s="32">
        <f t="shared" si="16"/>
        <v>5.1546391752577317E-2</v>
      </c>
      <c r="L47" s="18">
        <f>IF(ISNUMBER(J47), $B64 * K47, "")</f>
        <v>7731.9587628865975</v>
      </c>
      <c r="M47" s="31">
        <v>31.2</v>
      </c>
      <c r="N47" s="32">
        <f t="shared" si="17"/>
        <v>7.2164948453608171E-2</v>
      </c>
      <c r="O47" s="18">
        <f>IF(ISNUMBER(M47), $B64 * N47, "")</f>
        <v>10824.742268041226</v>
      </c>
      <c r="Q47" s="146"/>
      <c r="R47" s="146"/>
      <c r="S47" s="146"/>
    </row>
    <row r="48" spans="1:19" ht="17.25" customHeight="1" thickBot="1">
      <c r="A48" s="111" t="s">
        <v>155</v>
      </c>
      <c r="B48" s="112">
        <v>30.7</v>
      </c>
      <c r="C48" s="71">
        <v>3.02013423E-2</v>
      </c>
      <c r="D48" s="20">
        <v>32.700000000000003</v>
      </c>
      <c r="E48" s="21">
        <f t="shared" si="14"/>
        <v>6.5146579804560373E-2</v>
      </c>
      <c r="F48" s="22">
        <f>IF(ISNUMBER(D48), $B64 * E48, "")</f>
        <v>9771.9869706840564</v>
      </c>
      <c r="G48" s="30">
        <v>32.5</v>
      </c>
      <c r="H48" s="21">
        <f t="shared" si="15"/>
        <v>5.8631921824104261E-2</v>
      </c>
      <c r="I48" s="95">
        <f>IF(ISNUMBER(G48), $B64 * H48, "")</f>
        <v>8794.7882736156389</v>
      </c>
      <c r="J48" s="20">
        <v>32.299999999999997</v>
      </c>
      <c r="K48" s="21">
        <f t="shared" si="16"/>
        <v>5.2117263843648141E-2</v>
      </c>
      <c r="L48" s="22">
        <f>IF(ISNUMBER(J48), $B64 * K48, "")</f>
        <v>7817.5895765472214</v>
      </c>
      <c r="M48" s="30">
        <v>32.799999999999997</v>
      </c>
      <c r="N48" s="21">
        <f t="shared" si="17"/>
        <v>6.8403908794788207E-2</v>
      </c>
      <c r="O48" s="22">
        <f>IF(ISNUMBER(M48), $B64 * N48, "")</f>
        <v>10260.586319218231</v>
      </c>
      <c r="Q48" s="146"/>
      <c r="R48" s="146"/>
      <c r="S48" s="146"/>
    </row>
    <row r="49" spans="1:19" ht="17.25" customHeight="1" thickBot="1">
      <c r="A49" s="109" t="s">
        <v>124</v>
      </c>
      <c r="B49" s="113">
        <v>34.700000000000003</v>
      </c>
      <c r="C49" s="73">
        <v>2.9673590499999999E-2</v>
      </c>
      <c r="D49" s="96">
        <v>35.200000000000003</v>
      </c>
      <c r="E49" s="97">
        <f>IF(ISNUMBER(D49), (D49 - $B49) / $B49, "")</f>
        <v>1.4409221902017291E-2</v>
      </c>
      <c r="F49" s="98">
        <f>IF(ISNUMBER(D49), $B64 * E49, "")</f>
        <v>2161.3832853025938</v>
      </c>
      <c r="G49" s="99">
        <v>35.6</v>
      </c>
      <c r="H49" s="97">
        <f>IF(ISNUMBER(G49), (G49 - $B49) / $B49, "")</f>
        <v>2.5936599423631079E-2</v>
      </c>
      <c r="I49" s="100">
        <f>IF(ISNUMBER(G49), $B64 * H49, "")</f>
        <v>3890.4899135446617</v>
      </c>
      <c r="J49" s="96">
        <v>35.200000000000003</v>
      </c>
      <c r="K49" s="97">
        <f>IF(ISNUMBER(J49), (J49 - $B49) / $B49, "")</f>
        <v>1.4409221902017291E-2</v>
      </c>
      <c r="L49" s="98">
        <f>IF(ISNUMBER(J49), $B64 * K49, "")</f>
        <v>2161.3832853025938</v>
      </c>
      <c r="M49" s="99">
        <v>35.9</v>
      </c>
      <c r="N49" s="97">
        <f>IF(ISNUMBER(M49), (M49 - $B49) / $B49, "")</f>
        <v>3.458213256484137E-2</v>
      </c>
      <c r="O49" s="98">
        <f>IF(ISNUMBER(M49), $B64 * N49, "")</f>
        <v>5187.3198847262056</v>
      </c>
      <c r="Q49" s="146"/>
      <c r="R49" s="146"/>
      <c r="S49" s="146"/>
    </row>
    <row r="50" spans="1:19" ht="17.25" customHeight="1" thickBot="1">
      <c r="A50" s="109" t="s">
        <v>227</v>
      </c>
      <c r="B50" s="110">
        <v>43.5</v>
      </c>
      <c r="C50" s="70">
        <v>2.35294118E-2</v>
      </c>
      <c r="D50" s="15">
        <v>47.6</v>
      </c>
      <c r="E50" s="32">
        <f t="shared" ref="E50:E53" si="18">IF(ISNUMBER(D50), (D50 - $B50) / $B50, "")</f>
        <v>9.4252873563218417E-2</v>
      </c>
      <c r="F50" s="18">
        <f>IF(ISNUMBER(D50), $B64 * E50, "")</f>
        <v>14137.931034482763</v>
      </c>
      <c r="G50" s="31">
        <v>48.1</v>
      </c>
      <c r="H50" s="32">
        <f t="shared" ref="H50:H53" si="19">IF(ISNUMBER(G50), (G50 - $B50) / $B50, "")</f>
        <v>0.10574712643678164</v>
      </c>
      <c r="I50" s="91">
        <f>IF(ISNUMBER(G50), $B64 * H50, "")</f>
        <v>15862.068965517245</v>
      </c>
      <c r="J50" s="15">
        <v>47.6</v>
      </c>
      <c r="K50" s="32">
        <f t="shared" ref="K50:K53" si="20">IF(ISNUMBER(J50), (J50 - $B50) / $B50, "")</f>
        <v>9.4252873563218417E-2</v>
      </c>
      <c r="L50" s="18">
        <f>IF(ISNUMBER(J50), $B64 * K50, "")</f>
        <v>14137.931034482763</v>
      </c>
      <c r="M50" s="31">
        <v>48</v>
      </c>
      <c r="N50" s="32">
        <f t="shared" ref="N50:N53" si="21">IF(ISNUMBER(M50), (M50 - $B50) / $B50, "")</f>
        <v>0.10344827586206896</v>
      </c>
      <c r="O50" s="18">
        <f>IF(ISNUMBER(M50), $B64 * N50, "")</f>
        <v>15517.241379310344</v>
      </c>
      <c r="Q50" s="146"/>
      <c r="R50" s="146"/>
      <c r="S50" s="146"/>
    </row>
    <row r="51" spans="1:19" ht="17.25" customHeight="1" thickBot="1">
      <c r="A51" s="109" t="s">
        <v>145</v>
      </c>
      <c r="B51" s="110">
        <v>76.2</v>
      </c>
      <c r="C51" s="70">
        <v>1.8716577500000001E-2</v>
      </c>
      <c r="D51" s="15">
        <v>77.099999999999994</v>
      </c>
      <c r="E51" s="32">
        <f t="shared" si="18"/>
        <v>1.1811023622047131E-2</v>
      </c>
      <c r="F51" s="18">
        <f>IF(ISNUMBER(D51), $B64 * E51, "")</f>
        <v>1771.6535433070696</v>
      </c>
      <c r="G51" s="31">
        <v>78.099999999999994</v>
      </c>
      <c r="H51" s="32">
        <f t="shared" si="19"/>
        <v>2.4934383202099626E-2</v>
      </c>
      <c r="I51" s="91">
        <f>IF(ISNUMBER(G51), $B64 * H51, "")</f>
        <v>3740.1574803149438</v>
      </c>
      <c r="J51" s="15">
        <v>77.8</v>
      </c>
      <c r="K51" s="32">
        <f t="shared" si="20"/>
        <v>2.0997375328083913E-2</v>
      </c>
      <c r="L51" s="18">
        <f>IF(ISNUMBER(J51), $B64 * K51, "")</f>
        <v>3149.6062992125871</v>
      </c>
      <c r="M51" s="31">
        <v>77.7</v>
      </c>
      <c r="N51" s="32">
        <f t="shared" si="21"/>
        <v>1.968503937007874E-2</v>
      </c>
      <c r="O51" s="18">
        <f>IF(ISNUMBER(M51), $B64 * N51, "")</f>
        <v>2952.7559055118109</v>
      </c>
      <c r="Q51" s="146"/>
      <c r="R51" s="146"/>
      <c r="S51" s="146"/>
    </row>
    <row r="52" spans="1:19" ht="17.25" customHeight="1" thickBot="1">
      <c r="A52" s="109" t="s">
        <v>132</v>
      </c>
      <c r="B52" s="110">
        <v>53.9</v>
      </c>
      <c r="C52" s="70">
        <v>1.50659134E-2</v>
      </c>
      <c r="D52" s="15">
        <v>59.1</v>
      </c>
      <c r="E52" s="32">
        <f t="shared" si="18"/>
        <v>9.6474953617810819E-2</v>
      </c>
      <c r="F52" s="18">
        <f>IF(ISNUMBER(D52), $B64 * E52, "")</f>
        <v>14471.243042671622</v>
      </c>
      <c r="G52" s="31">
        <v>59.4</v>
      </c>
      <c r="H52" s="32">
        <f t="shared" si="19"/>
        <v>0.10204081632653061</v>
      </c>
      <c r="I52" s="91">
        <f>IF(ISNUMBER(G52), $B64 * H52, "")</f>
        <v>15306.122448979591</v>
      </c>
      <c r="J52" s="15">
        <v>59.1</v>
      </c>
      <c r="K52" s="32">
        <f t="shared" si="20"/>
        <v>9.6474953617810819E-2</v>
      </c>
      <c r="L52" s="18">
        <f>IF(ISNUMBER(J52), $B64 * K52, "")</f>
        <v>14471.243042671622</v>
      </c>
      <c r="M52" s="31">
        <v>59.5</v>
      </c>
      <c r="N52" s="32">
        <f t="shared" si="21"/>
        <v>0.10389610389610393</v>
      </c>
      <c r="O52" s="18">
        <f>IF(ISNUMBER(M52), $B64 * N52, "")</f>
        <v>15584.41558441559</v>
      </c>
      <c r="Q52" s="33"/>
      <c r="R52" s="33"/>
    </row>
    <row r="53" spans="1:19" ht="17.25" customHeight="1" thickBot="1">
      <c r="A53" s="114" t="s">
        <v>56</v>
      </c>
      <c r="B53" s="115">
        <v>44.2</v>
      </c>
      <c r="C53" s="72">
        <v>1.14416476E-2</v>
      </c>
      <c r="D53" s="24">
        <v>46</v>
      </c>
      <c r="E53" s="25">
        <f t="shared" si="18"/>
        <v>4.072398190045242E-2</v>
      </c>
      <c r="F53" s="94">
        <f>IF(ISNUMBER(D53), $B64 * E53, "")</f>
        <v>6108.5972850678627</v>
      </c>
      <c r="G53" s="92">
        <v>46.1</v>
      </c>
      <c r="H53" s="25">
        <f t="shared" si="19"/>
        <v>4.2986425339366481E-2</v>
      </c>
      <c r="I53" s="93">
        <f>IF(ISNUMBER(G53), $B64 * H53, "")</f>
        <v>6447.9638009049722</v>
      </c>
      <c r="J53" s="24">
        <v>45.6</v>
      </c>
      <c r="K53" s="25">
        <f t="shared" si="20"/>
        <v>3.1674208144796344E-2</v>
      </c>
      <c r="L53" s="94">
        <f>IF(ISNUMBER(J53), $B64 * K53, "")</f>
        <v>4751.1312217194518</v>
      </c>
      <c r="M53" s="92">
        <v>46.2</v>
      </c>
      <c r="N53" s="25">
        <f t="shared" si="21"/>
        <v>4.5248868778280542E-2</v>
      </c>
      <c r="O53" s="94">
        <f>IF(ISNUMBER(M53), $B64 * N53, "")</f>
        <v>6787.3303167420809</v>
      </c>
      <c r="Q53" s="147"/>
      <c r="R53" s="148"/>
      <c r="S53" s="149"/>
    </row>
    <row r="54" spans="1:19" ht="17.25" customHeight="1">
      <c r="A54" s="107" t="s">
        <v>143</v>
      </c>
      <c r="B54" s="108">
        <v>4.1500000000000004</v>
      </c>
      <c r="C54" s="69">
        <v>9.7323601000000003E-3</v>
      </c>
      <c r="D54" s="13">
        <v>4.34</v>
      </c>
      <c r="E54" s="14">
        <f>IF(ISNUMBER(D54), (D54 - $B54) / $B54, "")</f>
        <v>4.5783132530120361E-2</v>
      </c>
      <c r="F54" s="16">
        <f>IF(ISNUMBER(D54), $B64 * E54, "")</f>
        <v>6867.4698795180539</v>
      </c>
      <c r="G54" s="29">
        <v>4.37</v>
      </c>
      <c r="H54" s="14">
        <f>IF(ISNUMBER(G54), (G54 - $B54) / $B54, "")</f>
        <v>5.301204819277102E-2</v>
      </c>
      <c r="I54" s="90">
        <f>IF(ISNUMBER(G54), $B64 * H54, "")</f>
        <v>7951.8072289156535</v>
      </c>
      <c r="J54" s="13">
        <v>4.29</v>
      </c>
      <c r="K54" s="14">
        <f>IF(ISNUMBER(J54), (J54 - $B54) / $B54, "")</f>
        <v>3.3734939759036062E-2</v>
      </c>
      <c r="L54" s="16">
        <f>IF(ISNUMBER(J54), $B64 * K54, "")</f>
        <v>5060.2409638554091</v>
      </c>
      <c r="M54" s="29">
        <v>4.37</v>
      </c>
      <c r="N54" s="14">
        <f>IF(ISNUMBER(M54), (M54 - $B54) / $B54, "")</f>
        <v>5.301204819277102E-2</v>
      </c>
      <c r="O54" s="16">
        <f>IF(ISNUMBER(M54), $B64 * N54, "")</f>
        <v>7951.8072289156535</v>
      </c>
      <c r="Q54" s="150"/>
      <c r="R54" s="151"/>
      <c r="S54" s="152"/>
    </row>
    <row r="55" spans="1:19" ht="17.25" customHeight="1" thickBot="1">
      <c r="A55" s="109" t="s">
        <v>107</v>
      </c>
      <c r="B55" s="110">
        <v>43.8</v>
      </c>
      <c r="C55" s="70">
        <v>9.2165899000000006E-3</v>
      </c>
      <c r="D55" s="15">
        <v>46.5</v>
      </c>
      <c r="E55" s="32">
        <f t="shared" ref="E55:E58" si="22">IF(ISNUMBER(D55), (D55 - $B55) / $B55, "")</f>
        <v>6.1643835616438422E-2</v>
      </c>
      <c r="F55" s="18">
        <f>IF(ISNUMBER(D55), $B64 * E55, "")</f>
        <v>9246.5753424657632</v>
      </c>
      <c r="G55" s="31">
        <v>46.8</v>
      </c>
      <c r="H55" s="32">
        <f t="shared" ref="H55:H58" si="23">IF(ISNUMBER(G55), (G55 - $B55) / $B55, "")</f>
        <v>6.8493150684931517E-2</v>
      </c>
      <c r="I55" s="91">
        <f>IF(ISNUMBER(G55), $B64 * H55, "")</f>
        <v>10273.972602739728</v>
      </c>
      <c r="J55" s="15">
        <v>46</v>
      </c>
      <c r="K55" s="32">
        <f t="shared" ref="K55:K58" si="24">IF(ISNUMBER(J55), (J55 - $B55) / $B55, "")</f>
        <v>5.0228310502283172E-2</v>
      </c>
      <c r="L55" s="18">
        <f>IF(ISNUMBER(J55), $B64 * K55, "")</f>
        <v>7534.2465753424758</v>
      </c>
      <c r="M55" s="31">
        <v>46</v>
      </c>
      <c r="N55" s="32">
        <f t="shared" ref="N55:N58" si="25">IF(ISNUMBER(M55), (M55 - $B55) / $B55, "")</f>
        <v>5.0228310502283172E-2</v>
      </c>
      <c r="O55" s="18">
        <f>IF(ISNUMBER(M55), $B64 * N55, "")</f>
        <v>7534.2465753424758</v>
      </c>
      <c r="Q55" s="153"/>
      <c r="R55" s="154"/>
      <c r="S55" s="155"/>
    </row>
    <row r="56" spans="1:19" ht="17.25" customHeight="1" thickBot="1">
      <c r="A56" s="109" t="s">
        <v>197</v>
      </c>
      <c r="B56" s="110">
        <v>6.95</v>
      </c>
      <c r="C56" s="70">
        <v>5.7887119999999997E-3</v>
      </c>
      <c r="D56" s="15">
        <v>7.43</v>
      </c>
      <c r="E56" s="32">
        <f t="shared" si="22"/>
        <v>6.9064748201438778E-2</v>
      </c>
      <c r="F56" s="18">
        <f>IF(ISNUMBER(D56), $B64 * E56, "")</f>
        <v>10359.712230215817</v>
      </c>
      <c r="G56" s="31">
        <v>7.39</v>
      </c>
      <c r="H56" s="32">
        <f t="shared" si="23"/>
        <v>6.3309352517985543E-2</v>
      </c>
      <c r="I56" s="91">
        <f>IF(ISNUMBER(G56), $B64 * H56, "")</f>
        <v>9496.4028776978321</v>
      </c>
      <c r="J56" s="15">
        <v>7.37</v>
      </c>
      <c r="K56" s="32">
        <f t="shared" si="24"/>
        <v>6.0431654676258981E-2</v>
      </c>
      <c r="L56" s="18">
        <f>IF(ISNUMBER(J56), $B64 * K56, "")</f>
        <v>9064.7482014388479</v>
      </c>
      <c r="M56" s="31">
        <v>7.6</v>
      </c>
      <c r="N56" s="32">
        <f t="shared" si="25"/>
        <v>9.3525179856115026E-2</v>
      </c>
      <c r="O56" s="18">
        <f>IF(ISNUMBER(M56), $B64 * N56, "")</f>
        <v>14028.776978417254</v>
      </c>
      <c r="Q56" s="146"/>
      <c r="R56" s="146"/>
      <c r="S56" s="146"/>
    </row>
    <row r="57" spans="1:19" ht="17.25" customHeight="1" thickBot="1">
      <c r="A57" s="109" t="s">
        <v>329</v>
      </c>
      <c r="B57" s="110">
        <v>76.2</v>
      </c>
      <c r="C57" s="70">
        <v>5.2770448999999997E-3</v>
      </c>
      <c r="D57" s="15">
        <v>89.2</v>
      </c>
      <c r="E57" s="32">
        <f t="shared" si="22"/>
        <v>0.1706036745406824</v>
      </c>
      <c r="F57" s="18">
        <f>IF(ISNUMBER(D57), $B64 * E57, "")</f>
        <v>25590.551181102361</v>
      </c>
      <c r="G57" s="31">
        <v>90.1</v>
      </c>
      <c r="H57" s="32">
        <f t="shared" si="23"/>
        <v>0.18241469816272954</v>
      </c>
      <c r="I57" s="91">
        <f>IF(ISNUMBER(G57), $B64 * H57, "")</f>
        <v>27362.204724409432</v>
      </c>
      <c r="J57" s="15">
        <v>88.8</v>
      </c>
      <c r="K57" s="32">
        <f t="shared" si="24"/>
        <v>0.16535433070866135</v>
      </c>
      <c r="L57" s="18">
        <f>IF(ISNUMBER(J57), $B64 * K57, "")</f>
        <v>24803.149606299201</v>
      </c>
      <c r="M57" s="31">
        <v>89.6</v>
      </c>
      <c r="N57" s="32">
        <f t="shared" si="25"/>
        <v>0.17585301837270328</v>
      </c>
      <c r="O57" s="18">
        <f>IF(ISNUMBER(M57), $B64 * N57, "")</f>
        <v>26377.952755905491</v>
      </c>
      <c r="Q57" s="156"/>
      <c r="R57" s="156"/>
      <c r="S57" s="156"/>
    </row>
    <row r="58" spans="1:19" ht="17.25" customHeight="1" thickBot="1">
      <c r="A58" s="111" t="s">
        <v>122</v>
      </c>
      <c r="B58" s="112">
        <v>25.4</v>
      </c>
      <c r="C58" s="71">
        <v>3.9525691999999996E-3</v>
      </c>
      <c r="D58" s="20">
        <v>27.3</v>
      </c>
      <c r="E58" s="21">
        <f t="shared" si="22"/>
        <v>7.4803149606299302E-2</v>
      </c>
      <c r="F58" s="22">
        <f>IF(ISNUMBER(D58), $B64 * E58, "")</f>
        <v>11220.472440944895</v>
      </c>
      <c r="G58" s="30">
        <v>27.8</v>
      </c>
      <c r="H58" s="21">
        <f t="shared" si="23"/>
        <v>9.4488188976378049E-2</v>
      </c>
      <c r="I58" s="95">
        <f>IF(ISNUMBER(G58), $B64 * H58, "")</f>
        <v>14173.228346456708</v>
      </c>
      <c r="J58" s="20">
        <v>27.4</v>
      </c>
      <c r="K58" s="21">
        <f t="shared" si="24"/>
        <v>7.874015748031496E-2</v>
      </c>
      <c r="L58" s="22">
        <f>IF(ISNUMBER(J58), $B64 * K58, "")</f>
        <v>11811.023622047243</v>
      </c>
      <c r="M58" s="30">
        <v>27.5</v>
      </c>
      <c r="N58" s="21">
        <f t="shared" si="25"/>
        <v>8.267716535433077E-2</v>
      </c>
      <c r="O58" s="22">
        <f>IF(ISNUMBER(M58), $B64 * N58, "")</f>
        <v>12401.574803149615</v>
      </c>
      <c r="Q58" s="156"/>
      <c r="R58" s="156"/>
      <c r="S58" s="156"/>
    </row>
    <row r="59" spans="1:19" ht="17.25" customHeight="1" thickBot="1">
      <c r="A59" s="109" t="s">
        <v>126</v>
      </c>
      <c r="B59" s="113">
        <v>31.8</v>
      </c>
      <c r="C59" s="73">
        <v>3.1545740999999999E-3</v>
      </c>
      <c r="D59" s="96">
        <v>34.6</v>
      </c>
      <c r="E59" s="97">
        <f>IF(ISNUMBER(D59), (D59 - $B59) / $B59, "")</f>
        <v>8.8050314465408827E-2</v>
      </c>
      <c r="F59" s="98">
        <f>IF(ISNUMBER(D59), $B64 * E59, "")</f>
        <v>13207.547169811323</v>
      </c>
      <c r="G59" s="99">
        <v>35</v>
      </c>
      <c r="H59" s="97">
        <f>IF(ISNUMBER(G59), (G59 - $B59) / $B59, "")</f>
        <v>0.10062893081761004</v>
      </c>
      <c r="I59" s="100">
        <f>IF(ISNUMBER(G59), $B64 * H59, "")</f>
        <v>15094.339622641506</v>
      </c>
      <c r="J59" s="96">
        <v>34.4</v>
      </c>
      <c r="K59" s="97">
        <f>IF(ISNUMBER(J59), (J59 - $B59) / $B59, "")</f>
        <v>8.1761006289308102E-2</v>
      </c>
      <c r="L59" s="98">
        <f>IF(ISNUMBER(J59), $B64 * K59, "")</f>
        <v>12264.150943396215</v>
      </c>
      <c r="M59" s="99">
        <v>34.299999999999997</v>
      </c>
      <c r="N59" s="97">
        <f>IF(ISNUMBER(M59), (M59 - $B59) / $B59, "")</f>
        <v>7.8616352201257747E-2</v>
      </c>
      <c r="O59" s="98">
        <f>IF(ISNUMBER(M59), $B64 * N59, "")</f>
        <v>11792.452830188662</v>
      </c>
      <c r="Q59" s="146"/>
      <c r="R59" s="146"/>
      <c r="S59" s="146"/>
    </row>
    <row r="60" spans="1:19" ht="17.25" customHeight="1" thickBot="1">
      <c r="A60" s="109" t="s">
        <v>195</v>
      </c>
      <c r="B60" s="110">
        <v>6.51</v>
      </c>
      <c r="C60" s="70">
        <v>3.0816641000000001E-3</v>
      </c>
      <c r="D60" s="15">
        <v>6.94</v>
      </c>
      <c r="E60" s="32">
        <f t="shared" ref="E60:E63" si="26">IF(ISNUMBER(D60), (D60 - $B60) / $B60, "")</f>
        <v>6.6052227342550021E-2</v>
      </c>
      <c r="F60" s="18">
        <f>IF(ISNUMBER(D60), $B64 * E60, "")</f>
        <v>9907.8341013825029</v>
      </c>
      <c r="G60" s="31">
        <v>6.97</v>
      </c>
      <c r="H60" s="32">
        <f t="shared" ref="H60:H63" si="27">IF(ISNUMBER(G60), (G60 - $B60) / $B60, "")</f>
        <v>7.0660522273425494E-2</v>
      </c>
      <c r="I60" s="91">
        <f>IF(ISNUMBER(G60), $B64 * H60, "")</f>
        <v>10599.078341013825</v>
      </c>
      <c r="J60" s="15">
        <v>6.88</v>
      </c>
      <c r="K60" s="32">
        <f t="shared" ref="K60:K63" si="28">IF(ISNUMBER(J60), (J60 - $B60) / $B60, "")</f>
        <v>5.6835637480798791E-2</v>
      </c>
      <c r="L60" s="18">
        <f>IF(ISNUMBER(J60), $B64 * K60, "")</f>
        <v>8525.3456221198194</v>
      </c>
      <c r="M60" s="31">
        <v>6.97</v>
      </c>
      <c r="N60" s="32">
        <f t="shared" ref="N60:N63" si="29">IF(ISNUMBER(M60), (M60 - $B60) / $B60, "")</f>
        <v>7.0660522273425494E-2</v>
      </c>
      <c r="O60" s="18">
        <f>IF(ISNUMBER(M60), $B64 * N60, "")</f>
        <v>10599.078341013825</v>
      </c>
      <c r="Q60" s="146"/>
      <c r="R60" s="146"/>
      <c r="S60" s="146"/>
    </row>
    <row r="61" spans="1:19" ht="17.25" customHeight="1" thickBot="1">
      <c r="A61" s="109" t="s">
        <v>333</v>
      </c>
      <c r="B61" s="110">
        <v>4.88</v>
      </c>
      <c r="C61" s="70">
        <v>2.0533881000000002E-3</v>
      </c>
      <c r="D61" s="15">
        <v>5.14</v>
      </c>
      <c r="E61" s="32">
        <f t="shared" si="26"/>
        <v>5.3278688524590119E-2</v>
      </c>
      <c r="F61" s="18">
        <f>IF(ISNUMBER(D61), $B64 * E61, "")</f>
        <v>7991.8032786885178</v>
      </c>
      <c r="G61" s="31">
        <v>5.16</v>
      </c>
      <c r="H61" s="32">
        <f t="shared" si="27"/>
        <v>5.7377049180327919E-2</v>
      </c>
      <c r="I61" s="91">
        <f>IF(ISNUMBER(G61), $B64 * H61, "")</f>
        <v>8606.5573770491883</v>
      </c>
      <c r="J61" s="15">
        <v>5.09</v>
      </c>
      <c r="K61" s="32">
        <f t="shared" si="28"/>
        <v>4.3032786885245894E-2</v>
      </c>
      <c r="L61" s="18">
        <f>IF(ISNUMBER(J61), $B64 * K61, "")</f>
        <v>6454.9180327868844</v>
      </c>
      <c r="M61" s="31">
        <v>5.2</v>
      </c>
      <c r="N61" s="32">
        <f t="shared" si="29"/>
        <v>6.5573770491803338E-2</v>
      </c>
      <c r="O61" s="18">
        <f>IF(ISNUMBER(M61), $B64 * N61, "")</f>
        <v>9836.0655737705001</v>
      </c>
      <c r="Q61" s="146"/>
      <c r="R61" s="146"/>
      <c r="S61" s="146"/>
    </row>
    <row r="62" spans="1:19" ht="17.25" customHeight="1">
      <c r="A62" s="109" t="s">
        <v>207</v>
      </c>
      <c r="B62" s="110">
        <v>70.900000000000006</v>
      </c>
      <c r="C62" s="70">
        <v>1.4124293999999999E-3</v>
      </c>
      <c r="D62" s="15">
        <v>83.7</v>
      </c>
      <c r="E62" s="32">
        <f t="shared" si="26"/>
        <v>0.18053596614950629</v>
      </c>
      <c r="F62" s="18">
        <f>IF(ISNUMBER(D62), $B64 * E62, "")</f>
        <v>27080.394922425945</v>
      </c>
      <c r="G62" s="31">
        <v>83.4</v>
      </c>
      <c r="H62" s="32">
        <f t="shared" si="27"/>
        <v>0.17630465444287727</v>
      </c>
      <c r="I62" s="91">
        <f>IF(ISNUMBER(G62), $B64 * H62, "")</f>
        <v>26445.69816643159</v>
      </c>
      <c r="J62" s="15">
        <v>83</v>
      </c>
      <c r="K62" s="32">
        <f t="shared" si="28"/>
        <v>0.17066290550070512</v>
      </c>
      <c r="L62" s="18">
        <f>IF(ISNUMBER(J62), $B64 * K62, "")</f>
        <v>25599.435825105767</v>
      </c>
      <c r="M62" s="31">
        <v>79.3</v>
      </c>
      <c r="N62" s="32">
        <f t="shared" si="29"/>
        <v>0.11847672778561341</v>
      </c>
      <c r="O62" s="18">
        <f>IF(ISNUMBER(M62), $B64 * N62, "")</f>
        <v>17771.50916784201</v>
      </c>
      <c r="Q62" s="135"/>
      <c r="R62" s="136"/>
      <c r="S62" s="137"/>
    </row>
    <row r="63" spans="1:19" ht="17.25" customHeight="1" thickBot="1">
      <c r="A63" s="114" t="s">
        <v>324</v>
      </c>
      <c r="B63" s="115">
        <v>92.2</v>
      </c>
      <c r="C63" s="72">
        <v>1.0857763E-3</v>
      </c>
      <c r="D63" s="24">
        <v>96.2</v>
      </c>
      <c r="E63" s="25">
        <f t="shared" si="26"/>
        <v>4.3383947939262472E-2</v>
      </c>
      <c r="F63" s="94">
        <f>IF(ISNUMBER(D63), $B64 * E63, "")</f>
        <v>6507.5921908893706</v>
      </c>
      <c r="G63" s="92">
        <v>98</v>
      </c>
      <c r="H63" s="25">
        <f t="shared" si="27"/>
        <v>6.2906724511930551E-2</v>
      </c>
      <c r="I63" s="93">
        <f>IF(ISNUMBER(G63), $B64 * H63, "")</f>
        <v>9436.0086767895828</v>
      </c>
      <c r="J63" s="24">
        <v>97</v>
      </c>
      <c r="K63" s="25">
        <f t="shared" si="28"/>
        <v>5.2060737527114938E-2</v>
      </c>
      <c r="L63" s="94">
        <f>IF(ISNUMBER(J63), $B64 * K63, "")</f>
        <v>7809.1106290672406</v>
      </c>
      <c r="M63" s="92">
        <v>97.6</v>
      </c>
      <c r="N63" s="25">
        <f t="shared" si="29"/>
        <v>5.8568329718004242E-2</v>
      </c>
      <c r="O63" s="94">
        <f>IF(ISNUMBER(M63), $B64 * N63, "")</f>
        <v>8785.2494577006364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6.1803730652100229E-2</v>
      </c>
      <c r="F64" s="28">
        <f>SUM(F44:F63)</f>
        <v>185411.19195630072</v>
      </c>
      <c r="G64" s="26" t="s">
        <v>258</v>
      </c>
      <c r="H64" s="27">
        <f>IF(COUNT(H44:H63), SUM(H44:H63) / COUNT(H44:H63), 0)</f>
        <v>6.8748878716174439E-2</v>
      </c>
      <c r="I64" s="28">
        <f>SUM(I44:I63)</f>
        <v>206246.63614852334</v>
      </c>
      <c r="J64" s="26" t="s">
        <v>258</v>
      </c>
      <c r="K64" s="27">
        <f>IF(COUNT(K44:K63), SUM(K44:K63) / COUNT(K44:K63), 0)</f>
        <v>5.8465340540550671E-2</v>
      </c>
      <c r="L64" s="28">
        <f>SUM(L44:L63)</f>
        <v>175396.02162165203</v>
      </c>
      <c r="M64" s="26" t="s">
        <v>258</v>
      </c>
      <c r="N64" s="27">
        <f>IF(COUNT(N44:N63), SUM(N44:N63) / COUNT(N44:N63), 0)</f>
        <v>6.5784107176447601E-2</v>
      </c>
      <c r="O64" s="28">
        <f>SUM(O44:O63)</f>
        <v>197352.32152934282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2023-01-21(토) 오전 00:00</v>
      </c>
      <c r="C69" s="198"/>
      <c r="D69" s="170" t="str">
        <f>TEXT($G$1, "[$-ko-KR]yyyy-mm-dd(ddd) ") &amp; "오후 14:00"</f>
        <v>2023-01-21(토) 오후 14:00</v>
      </c>
      <c r="E69" s="171"/>
      <c r="F69" s="172"/>
      <c r="G69" s="170" t="str">
        <f>TEXT($G$1, "[$-ko-KR]yyyy-mm-dd(ddd) ") &amp; "오후 19:00"</f>
        <v>2023-01-21(토) 오후 19:00</v>
      </c>
      <c r="H69" s="171"/>
      <c r="I69" s="172"/>
      <c r="J69" s="170" t="str">
        <f>TEXT($G$1, "[$-ko-KR]yyyy-mm-dd(ddd) ") &amp; "오후 21:00"</f>
        <v>2023-01-21(토) 오후 21:00</v>
      </c>
      <c r="K69" s="171"/>
      <c r="L69" s="172"/>
      <c r="M69" s="170" t="str">
        <f>TEXT($G$1+1, "[$-ko-KR]yyyy-mm-dd(ddd) ") &amp; "오전 00:00"</f>
        <v>2023-01-22(일)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159</v>
      </c>
      <c r="B71" s="108">
        <v>223</v>
      </c>
      <c r="C71" s="69">
        <v>7.7294686000000001E-2</v>
      </c>
      <c r="D71" s="13">
        <v>222</v>
      </c>
      <c r="E71" s="14">
        <f>IF(ISNUMBER(D71), (D71 - $B71) / $B71, "")</f>
        <v>-4.4843049327354259E-3</v>
      </c>
      <c r="F71" s="16">
        <f>IF(ISNUMBER(D71), $B91 * E71, "")</f>
        <v>-672.64573991031386</v>
      </c>
      <c r="G71" s="29">
        <v>225</v>
      </c>
      <c r="H71" s="14">
        <f>IF(ISNUMBER(G71), (G71 - $B71) / $B71, "")</f>
        <v>8.9686098654708519E-3</v>
      </c>
      <c r="I71" s="90">
        <f>IF(ISNUMBER(G71), $B91 * H71, "")</f>
        <v>1345.2914798206277</v>
      </c>
      <c r="J71" s="13">
        <v>226</v>
      </c>
      <c r="K71" s="14">
        <f>IF(ISNUMBER(J71), (J71 - $B71) / $B71, "")</f>
        <v>1.3452914798206279E-2</v>
      </c>
      <c r="L71" s="16">
        <f>IF(ISNUMBER(J71), $B91 * K71, "")</f>
        <v>2017.9372197309417</v>
      </c>
      <c r="M71" s="29">
        <v>224</v>
      </c>
      <c r="N71" s="14">
        <f>IF(ISNUMBER(M71), (M71 - $B71) / $B71, "")</f>
        <v>4.4843049327354259E-3</v>
      </c>
      <c r="O71" s="16">
        <f>IF(ISNUMBER(M71), $B91 * N71, "")</f>
        <v>672.64573991031386</v>
      </c>
      <c r="Q71" s="156"/>
      <c r="R71" s="156"/>
      <c r="S71" s="156"/>
    </row>
    <row r="72" spans="1:19" ht="17.25" thickBot="1">
      <c r="A72" s="109" t="s">
        <v>321</v>
      </c>
      <c r="B72" s="110">
        <v>227</v>
      </c>
      <c r="C72" s="70">
        <v>5.0925925900000002E-2</v>
      </c>
      <c r="D72" s="15">
        <v>237</v>
      </c>
      <c r="E72" s="32">
        <f t="shared" ref="E72:E75" si="30">IF(ISNUMBER(D72), (D72 - $B72) / $B72, "")</f>
        <v>4.405286343612335E-2</v>
      </c>
      <c r="F72" s="18">
        <f>IF(ISNUMBER(D72), $B91 * E72, "")</f>
        <v>6607.9295154185029</v>
      </c>
      <c r="G72" s="31">
        <v>237</v>
      </c>
      <c r="H72" s="32">
        <f t="shared" ref="H72:H75" si="31">IF(ISNUMBER(G72), (G72 - $B72) / $B72, "")</f>
        <v>4.405286343612335E-2</v>
      </c>
      <c r="I72" s="91">
        <f>IF(ISNUMBER(G72), $B91 * H72, "")</f>
        <v>6607.9295154185029</v>
      </c>
      <c r="J72" s="15">
        <v>233</v>
      </c>
      <c r="K72" s="32">
        <f t="shared" ref="K72:K75" si="32">IF(ISNUMBER(J72), (J72 - $B72) / $B72, "")</f>
        <v>2.643171806167401E-2</v>
      </c>
      <c r="L72" s="18">
        <f>IF(ISNUMBER(J72), $B91 * K72, "")</f>
        <v>3964.7577092511015</v>
      </c>
      <c r="M72" s="31">
        <v>243</v>
      </c>
      <c r="N72" s="32">
        <f t="shared" ref="N72:N75" si="33">IF(ISNUMBER(M72), (M72 - $B72) / $B72, "")</f>
        <v>7.0484581497797363E-2</v>
      </c>
      <c r="O72" s="18">
        <f>IF(ISNUMBER(M72), $B91 * N72, "")</f>
        <v>10572.687224669604</v>
      </c>
      <c r="Q72" s="156"/>
      <c r="R72" s="156"/>
      <c r="S72" s="156"/>
    </row>
    <row r="73" spans="1:19" ht="17.25" thickBot="1">
      <c r="A73" s="109" t="s">
        <v>201</v>
      </c>
      <c r="B73" s="110">
        <v>269</v>
      </c>
      <c r="C73" s="70">
        <v>5.078125E-2</v>
      </c>
      <c r="D73" s="15">
        <v>285</v>
      </c>
      <c r="E73" s="32">
        <f t="shared" si="30"/>
        <v>5.9479553903345722E-2</v>
      </c>
      <c r="F73" s="18">
        <f>IF(ISNUMBER(D73), $B91 * E73, "")</f>
        <v>8921.9330855018579</v>
      </c>
      <c r="G73" s="31">
        <v>287</v>
      </c>
      <c r="H73" s="32">
        <f t="shared" si="31"/>
        <v>6.6914498141263934E-2</v>
      </c>
      <c r="I73" s="91">
        <f>IF(ISNUMBER(G73), $B91 * H73, "")</f>
        <v>10037.174721189591</v>
      </c>
      <c r="J73" s="15">
        <v>288</v>
      </c>
      <c r="K73" s="32">
        <f t="shared" si="32"/>
        <v>7.0631970260223054E-2</v>
      </c>
      <c r="L73" s="18">
        <f>IF(ISNUMBER(J73), $B91 * K73, "")</f>
        <v>10594.795539033457</v>
      </c>
      <c r="M73" s="31">
        <v>285</v>
      </c>
      <c r="N73" s="32">
        <f t="shared" si="33"/>
        <v>5.9479553903345722E-2</v>
      </c>
      <c r="O73" s="18">
        <f>IF(ISNUMBER(M73), $B91 * N73, "")</f>
        <v>8921.9330855018579</v>
      </c>
      <c r="Q73" s="146"/>
      <c r="R73" s="146"/>
      <c r="S73" s="146"/>
    </row>
    <row r="74" spans="1:19" ht="17.25" thickBot="1">
      <c r="A74" s="109" t="s">
        <v>199</v>
      </c>
      <c r="B74" s="110">
        <v>338</v>
      </c>
      <c r="C74" s="70">
        <v>3.0487804899999998E-2</v>
      </c>
      <c r="D74" s="15">
        <v>350</v>
      </c>
      <c r="E74" s="32">
        <f t="shared" si="30"/>
        <v>3.5502958579881658E-2</v>
      </c>
      <c r="F74" s="18">
        <f>IF(ISNUMBER(D74), $B91 * E74, "")</f>
        <v>5325.4437869822486</v>
      </c>
      <c r="G74" s="31">
        <v>350</v>
      </c>
      <c r="H74" s="32">
        <f t="shared" si="31"/>
        <v>3.5502958579881658E-2</v>
      </c>
      <c r="I74" s="91">
        <f>IF(ISNUMBER(G74), $B91 * H74, "")</f>
        <v>5325.4437869822486</v>
      </c>
      <c r="J74" s="15">
        <v>345</v>
      </c>
      <c r="K74" s="32">
        <f t="shared" si="32"/>
        <v>2.0710059171597635E-2</v>
      </c>
      <c r="L74" s="18">
        <f>IF(ISNUMBER(J74), $B91 * K74, "")</f>
        <v>3106.5088757396452</v>
      </c>
      <c r="M74" s="31">
        <v>349</v>
      </c>
      <c r="N74" s="32">
        <f t="shared" si="33"/>
        <v>3.2544378698224852E-2</v>
      </c>
      <c r="O74" s="18">
        <f>IF(ISNUMBER(M74), $B91 * N74, "")</f>
        <v>4881.6568047337278</v>
      </c>
      <c r="Q74" s="146"/>
      <c r="R74" s="146"/>
      <c r="S74" s="146"/>
    </row>
    <row r="75" spans="1:19" ht="17.25" thickBot="1">
      <c r="A75" s="111" t="s">
        <v>183</v>
      </c>
      <c r="B75" s="112">
        <v>143</v>
      </c>
      <c r="C75" s="71">
        <v>2.87769784E-2</v>
      </c>
      <c r="D75" s="20">
        <v>148</v>
      </c>
      <c r="E75" s="21">
        <f t="shared" si="30"/>
        <v>3.4965034965034968E-2</v>
      </c>
      <c r="F75" s="22">
        <f>IF(ISNUMBER(D75), $B91 * E75, "")</f>
        <v>5244.7552447552453</v>
      </c>
      <c r="G75" s="30">
        <v>149</v>
      </c>
      <c r="H75" s="21">
        <f t="shared" si="31"/>
        <v>4.195804195804196E-2</v>
      </c>
      <c r="I75" s="95">
        <f>IF(ISNUMBER(G75), $B91 * H75, "")</f>
        <v>6293.7062937062938</v>
      </c>
      <c r="J75" s="20">
        <v>147</v>
      </c>
      <c r="K75" s="21">
        <f t="shared" si="32"/>
        <v>2.7972027972027972E-2</v>
      </c>
      <c r="L75" s="22">
        <f>IF(ISNUMBER(J75), $B91 * K75, "")</f>
        <v>4195.8041958041958</v>
      </c>
      <c r="M75" s="30">
        <v>150</v>
      </c>
      <c r="N75" s="21">
        <f t="shared" si="33"/>
        <v>4.8951048951048952E-2</v>
      </c>
      <c r="O75" s="22">
        <f>IF(ISNUMBER(M75), $B91 * N75, "")</f>
        <v>7342.6573426573432</v>
      </c>
      <c r="Q75" s="146"/>
      <c r="R75" s="146"/>
      <c r="S75" s="146"/>
    </row>
    <row r="76" spans="1:19" ht="17.25" thickBot="1">
      <c r="A76" s="109" t="s">
        <v>326</v>
      </c>
      <c r="B76" s="113">
        <v>278</v>
      </c>
      <c r="C76" s="73">
        <v>2.5830258299999999E-2</v>
      </c>
      <c r="D76" s="96">
        <v>297</v>
      </c>
      <c r="E76" s="97">
        <f>IF(ISNUMBER(D76), (D76 - $B76) / $B76, "")</f>
        <v>6.83453237410072E-2</v>
      </c>
      <c r="F76" s="98">
        <f>IF(ISNUMBER(D76), $B91 * E76, "")</f>
        <v>10251.798561151079</v>
      </c>
      <c r="G76" s="99">
        <v>297</v>
      </c>
      <c r="H76" s="97">
        <f>IF(ISNUMBER(G76), (G76 - $B76) / $B76, "")</f>
        <v>6.83453237410072E-2</v>
      </c>
      <c r="I76" s="100">
        <f>IF(ISNUMBER(G76), $B91 * H76, "")</f>
        <v>10251.798561151079</v>
      </c>
      <c r="J76" s="96">
        <v>294</v>
      </c>
      <c r="K76" s="97">
        <f>IF(ISNUMBER(J76), (J76 - $B76) / $B76, "")</f>
        <v>5.7553956834532377E-2</v>
      </c>
      <c r="L76" s="98">
        <f>IF(ISNUMBER(J76), $B91 * K76, "")</f>
        <v>8633.0935251798564</v>
      </c>
      <c r="M76" s="99">
        <v>295</v>
      </c>
      <c r="N76" s="97">
        <f>IF(ISNUMBER(M76), (M76 - $B76) / $B76, "")</f>
        <v>6.1151079136690649E-2</v>
      </c>
      <c r="O76" s="98">
        <f>IF(ISNUMBER(M76), $B91 * N76, "")</f>
        <v>9172.661870503598</v>
      </c>
      <c r="Q76" s="146"/>
      <c r="R76" s="146"/>
      <c r="S76" s="146"/>
    </row>
    <row r="77" spans="1:19" ht="17.25" thickBot="1">
      <c r="A77" s="109" t="s">
        <v>167</v>
      </c>
      <c r="B77" s="110">
        <v>209</v>
      </c>
      <c r="C77" s="70">
        <v>1.9512195100000001E-2</v>
      </c>
      <c r="D77" s="15">
        <v>220</v>
      </c>
      <c r="E77" s="32">
        <f t="shared" ref="E77:E80" si="34">IF(ISNUMBER(D77), (D77 - $B77) / $B77, "")</f>
        <v>5.2631578947368418E-2</v>
      </c>
      <c r="F77" s="18">
        <f>IF(ISNUMBER(D77), $B91 * E77, "")</f>
        <v>7894.7368421052624</v>
      </c>
      <c r="G77" s="31">
        <v>219</v>
      </c>
      <c r="H77" s="32">
        <f t="shared" ref="H77:H80" si="35">IF(ISNUMBER(G77), (G77 - $B77) / $B77, "")</f>
        <v>4.784688995215311E-2</v>
      </c>
      <c r="I77" s="91">
        <f>IF(ISNUMBER(G77), $B91 * H77, "")</f>
        <v>7177.0334928229668</v>
      </c>
      <c r="J77" s="15">
        <v>216</v>
      </c>
      <c r="K77" s="32">
        <f t="shared" ref="K77:K80" si="36">IF(ISNUMBER(J77), (J77 - $B77) / $B77, "")</f>
        <v>3.3492822966507178E-2</v>
      </c>
      <c r="L77" s="18">
        <f>IF(ISNUMBER(J77), $B91 * K77, "")</f>
        <v>5023.923444976077</v>
      </c>
      <c r="M77" s="31">
        <v>218</v>
      </c>
      <c r="N77" s="32">
        <f t="shared" ref="N77:N80" si="37">IF(ISNUMBER(M77), (M77 - $B77) / $B77, "")</f>
        <v>4.3062200956937802E-2</v>
      </c>
      <c r="O77" s="18">
        <f>IF(ISNUMBER(M77), $B91 * N77, "")</f>
        <v>6459.3301435406702</v>
      </c>
      <c r="Q77" s="146"/>
      <c r="R77" s="146"/>
      <c r="S77" s="146"/>
    </row>
    <row r="78" spans="1:19" ht="17.25" thickBot="1">
      <c r="A78" s="109" t="s">
        <v>85</v>
      </c>
      <c r="B78" s="110">
        <v>162</v>
      </c>
      <c r="C78" s="70">
        <v>1.8867924500000001E-2</v>
      </c>
      <c r="D78" s="15">
        <v>171</v>
      </c>
      <c r="E78" s="32">
        <f t="shared" si="34"/>
        <v>5.5555555555555552E-2</v>
      </c>
      <c r="F78" s="18">
        <f>IF(ISNUMBER(D78), $B91 * E78, "")</f>
        <v>8333.3333333333321</v>
      </c>
      <c r="G78" s="31">
        <v>172</v>
      </c>
      <c r="H78" s="32">
        <f t="shared" si="35"/>
        <v>6.1728395061728392E-2</v>
      </c>
      <c r="I78" s="91">
        <f>IF(ISNUMBER(G78), $B91 * H78, "")</f>
        <v>9259.2592592592591</v>
      </c>
      <c r="J78" s="15">
        <v>169</v>
      </c>
      <c r="K78" s="32">
        <f t="shared" si="36"/>
        <v>4.3209876543209874E-2</v>
      </c>
      <c r="L78" s="18">
        <f>IF(ISNUMBER(J78), $B91 * K78, "")</f>
        <v>6481.4814814814808</v>
      </c>
      <c r="M78" s="31">
        <v>169</v>
      </c>
      <c r="N78" s="32">
        <f t="shared" si="37"/>
        <v>4.3209876543209874E-2</v>
      </c>
      <c r="O78" s="18">
        <f>IF(ISNUMBER(M78), $B91 * N78, "")</f>
        <v>6481.4814814814808</v>
      </c>
      <c r="Q78" s="146"/>
      <c r="R78" s="146"/>
      <c r="S78" s="146"/>
    </row>
    <row r="79" spans="1:19" ht="17.25" thickBot="1">
      <c r="A79" s="109" t="s">
        <v>120</v>
      </c>
      <c r="B79" s="110">
        <v>127</v>
      </c>
      <c r="C79" s="70">
        <v>1.6E-2</v>
      </c>
      <c r="D79" s="15">
        <v>134</v>
      </c>
      <c r="E79" s="32">
        <f t="shared" si="34"/>
        <v>5.5118110236220472E-2</v>
      </c>
      <c r="F79" s="18">
        <f>IF(ISNUMBER(D79), $B91 * E79, "")</f>
        <v>8267.71653543307</v>
      </c>
      <c r="G79" s="31">
        <v>133</v>
      </c>
      <c r="H79" s="32">
        <f t="shared" si="35"/>
        <v>4.7244094488188976E-2</v>
      </c>
      <c r="I79" s="91">
        <f>IF(ISNUMBER(G79), $B91 * H79, "")</f>
        <v>7086.6141732283468</v>
      </c>
      <c r="J79" s="15">
        <v>132</v>
      </c>
      <c r="K79" s="32">
        <f t="shared" si="36"/>
        <v>3.937007874015748E-2</v>
      </c>
      <c r="L79" s="18">
        <f>IF(ISNUMBER(J79), $B91 * K79, "")</f>
        <v>5905.5118110236217</v>
      </c>
      <c r="M79" s="31">
        <v>135</v>
      </c>
      <c r="N79" s="32">
        <f t="shared" si="37"/>
        <v>6.2992125984251968E-2</v>
      </c>
      <c r="O79" s="18">
        <f>IF(ISNUMBER(M79), $B91 * N79, "")</f>
        <v>9448.8188976377951</v>
      </c>
      <c r="Q79" s="33"/>
      <c r="R79" s="33"/>
    </row>
    <row r="80" spans="1:19" ht="17.25" thickBot="1">
      <c r="A80" s="114" t="s">
        <v>149</v>
      </c>
      <c r="B80" s="115">
        <v>519</v>
      </c>
      <c r="C80" s="72">
        <v>1.5655577300000001E-2</v>
      </c>
      <c r="D80" s="24">
        <v>541</v>
      </c>
      <c r="E80" s="25">
        <f t="shared" si="34"/>
        <v>4.238921001926782E-2</v>
      </c>
      <c r="F80" s="94">
        <f>IF(ISNUMBER(D80), $B91 * E80, "")</f>
        <v>6358.3815028901727</v>
      </c>
      <c r="G80" s="92">
        <v>548</v>
      </c>
      <c r="H80" s="25">
        <f t="shared" si="35"/>
        <v>5.5876685934489405E-2</v>
      </c>
      <c r="I80" s="93">
        <f>IF(ISNUMBER(G80), $B91 * H80, "")</f>
        <v>8381.5028901734113</v>
      </c>
      <c r="J80" s="24">
        <v>549</v>
      </c>
      <c r="K80" s="25">
        <f t="shared" si="36"/>
        <v>5.7803468208092484E-2</v>
      </c>
      <c r="L80" s="94">
        <f>IF(ISNUMBER(J80), $B91 * K80, "")</f>
        <v>8670.5202312138736</v>
      </c>
      <c r="M80" s="92">
        <v>541</v>
      </c>
      <c r="N80" s="25">
        <f t="shared" si="37"/>
        <v>4.238921001926782E-2</v>
      </c>
      <c r="O80" s="94">
        <f>IF(ISNUMBER(M80), $B91 * N80, "")</f>
        <v>6358.3815028901727</v>
      </c>
      <c r="Q80" s="147"/>
      <c r="R80" s="148"/>
      <c r="S80" s="149"/>
    </row>
    <row r="81" spans="1:19">
      <c r="A81" s="107" t="s">
        <v>101</v>
      </c>
      <c r="B81" s="108">
        <v>245</v>
      </c>
      <c r="C81" s="69">
        <v>1.2396694200000001E-2</v>
      </c>
      <c r="D81" s="13">
        <v>257</v>
      </c>
      <c r="E81" s="14">
        <f>IF(ISNUMBER(D81), (D81 - $B81) / $B81, "")</f>
        <v>4.8979591836734691E-2</v>
      </c>
      <c r="F81" s="16">
        <f>IF(ISNUMBER(D81), $B91 * E81, "")</f>
        <v>7346.9387755102034</v>
      </c>
      <c r="G81" s="29">
        <v>258</v>
      </c>
      <c r="H81" s="14">
        <f>IF(ISNUMBER(G81), (G81 - $B81) / $B81, "")</f>
        <v>5.3061224489795916E-2</v>
      </c>
      <c r="I81" s="90">
        <f>IF(ISNUMBER(G81), $B91 * H81, "")</f>
        <v>7959.183673469387</v>
      </c>
      <c r="J81" s="13">
        <v>252</v>
      </c>
      <c r="K81" s="14">
        <f>IF(ISNUMBER(J81), (J81 - $B81) / $B81, "")</f>
        <v>2.8571428571428571E-2</v>
      </c>
      <c r="L81" s="16">
        <f>IF(ISNUMBER(J81), $B91 * K81, "")</f>
        <v>4285.7142857142853</v>
      </c>
      <c r="M81" s="29">
        <v>254</v>
      </c>
      <c r="N81" s="14">
        <f>IF(ISNUMBER(M81), (M81 - $B81) / $B81, "")</f>
        <v>3.6734693877551024E-2</v>
      </c>
      <c r="O81" s="16">
        <f>IF(ISNUMBER(M81), $B91 * N81, "")</f>
        <v>5510.2040816326535</v>
      </c>
      <c r="Q81" s="150"/>
      <c r="R81" s="151"/>
      <c r="S81" s="152"/>
    </row>
    <row r="82" spans="1:19" ht="17.25" thickBot="1">
      <c r="A82" s="109" t="s">
        <v>81</v>
      </c>
      <c r="B82" s="110">
        <v>424</v>
      </c>
      <c r="C82" s="70">
        <v>1.19331742E-2</v>
      </c>
      <c r="D82" s="15">
        <v>449</v>
      </c>
      <c r="E82" s="32">
        <f t="shared" ref="E82:E85" si="38">IF(ISNUMBER(D82), (D82 - $B82) / $B82, "")</f>
        <v>5.8962264150943397E-2</v>
      </c>
      <c r="F82" s="18">
        <f>IF(ISNUMBER(D82), $B91 * E82, "")</f>
        <v>8844.3396226415098</v>
      </c>
      <c r="G82" s="31">
        <v>458</v>
      </c>
      <c r="H82" s="32">
        <f t="shared" ref="H82:H85" si="39">IF(ISNUMBER(G82), (G82 - $B82) / $B82, "")</f>
        <v>8.0188679245283015E-2</v>
      </c>
      <c r="I82" s="91">
        <f>IF(ISNUMBER(G82), $B91 * H82, "")</f>
        <v>12028.301886792453</v>
      </c>
      <c r="J82" s="15">
        <v>452</v>
      </c>
      <c r="K82" s="32">
        <f t="shared" ref="K82:K85" si="40">IF(ISNUMBER(J82), (J82 - $B82) / $B82, "")</f>
        <v>6.6037735849056603E-2</v>
      </c>
      <c r="L82" s="18">
        <f>IF(ISNUMBER(J82), $B91 * K82, "")</f>
        <v>9905.6603773584902</v>
      </c>
      <c r="M82" s="31">
        <v>456</v>
      </c>
      <c r="N82" s="32">
        <f t="shared" ref="N82:N85" si="41">IF(ISNUMBER(M82), (M82 - $B82) / $B82, "")</f>
        <v>7.5471698113207544E-2</v>
      </c>
      <c r="O82" s="18">
        <f>IF(ISNUMBER(M82), $B91 * N82, "")</f>
        <v>11320.754716981131</v>
      </c>
      <c r="Q82" s="153"/>
      <c r="R82" s="154"/>
      <c r="S82" s="155"/>
    </row>
    <row r="83" spans="1:19" ht="17.25" thickBot="1">
      <c r="A83" s="109" t="s">
        <v>169</v>
      </c>
      <c r="B83" s="110">
        <v>259</v>
      </c>
      <c r="C83" s="70">
        <v>1.171875E-2</v>
      </c>
      <c r="D83" s="15">
        <v>275</v>
      </c>
      <c r="E83" s="32">
        <f t="shared" si="38"/>
        <v>6.1776061776061778E-2</v>
      </c>
      <c r="F83" s="18">
        <f>IF(ISNUMBER(D83), $B91 * E83, "")</f>
        <v>9266.4092664092659</v>
      </c>
      <c r="G83" s="31">
        <v>274</v>
      </c>
      <c r="H83" s="32">
        <f t="shared" si="39"/>
        <v>5.7915057915057917E-2</v>
      </c>
      <c r="I83" s="91">
        <f>IF(ISNUMBER(G83), $B91 * H83, "")</f>
        <v>8687.2586872586871</v>
      </c>
      <c r="J83" s="15">
        <v>273</v>
      </c>
      <c r="K83" s="32">
        <f t="shared" si="40"/>
        <v>5.4054054054054057E-2</v>
      </c>
      <c r="L83" s="18">
        <f>IF(ISNUMBER(J83), $B91 * K83, "")</f>
        <v>8108.1081081081084</v>
      </c>
      <c r="M83" s="31">
        <v>272</v>
      </c>
      <c r="N83" s="32">
        <f t="shared" si="41"/>
        <v>5.019305019305019E-2</v>
      </c>
      <c r="O83" s="18">
        <f>IF(ISNUMBER(M83), $B91 * N83, "")</f>
        <v>7528.9575289575287</v>
      </c>
      <c r="Q83" s="146"/>
      <c r="R83" s="146"/>
      <c r="S83" s="146"/>
    </row>
    <row r="84" spans="1:19" ht="17.25" thickBot="1">
      <c r="A84" s="109" t="s">
        <v>253</v>
      </c>
      <c r="B84" s="110">
        <v>102</v>
      </c>
      <c r="C84" s="70">
        <v>9.9009900999999997E-3</v>
      </c>
      <c r="D84" s="15">
        <v>106</v>
      </c>
      <c r="E84" s="32">
        <f t="shared" si="38"/>
        <v>3.9215686274509803E-2</v>
      </c>
      <c r="F84" s="18">
        <f>IF(ISNUMBER(D84), $B91 * E84, "")</f>
        <v>5882.3529411764703</v>
      </c>
      <c r="G84" s="31">
        <v>109</v>
      </c>
      <c r="H84" s="32">
        <f t="shared" si="39"/>
        <v>6.8627450980392163E-2</v>
      </c>
      <c r="I84" s="91">
        <f>IF(ISNUMBER(G84), $B91 * H84, "")</f>
        <v>10294.117647058825</v>
      </c>
      <c r="J84" s="15">
        <v>108</v>
      </c>
      <c r="K84" s="32">
        <f t="shared" si="40"/>
        <v>5.8823529411764705E-2</v>
      </c>
      <c r="L84" s="18">
        <f>IF(ISNUMBER(J84), $B91 * K84, "")</f>
        <v>8823.5294117647063</v>
      </c>
      <c r="M84" s="31">
        <v>108</v>
      </c>
      <c r="N84" s="32">
        <f t="shared" si="41"/>
        <v>5.8823529411764705E-2</v>
      </c>
      <c r="O84" s="18">
        <f>IF(ISNUMBER(M84), $B91 * N84, "")</f>
        <v>8823.5294117647063</v>
      </c>
      <c r="Q84" s="156"/>
      <c r="R84" s="156"/>
      <c r="S84" s="156"/>
    </row>
    <row r="85" spans="1:19" ht="17.25" thickBot="1">
      <c r="A85" s="111" t="s">
        <v>103</v>
      </c>
      <c r="B85" s="112">
        <v>256</v>
      </c>
      <c r="C85" s="71">
        <v>7.8740157000000005E-3</v>
      </c>
      <c r="D85" s="20">
        <v>278</v>
      </c>
      <c r="E85" s="21">
        <f t="shared" si="38"/>
        <v>8.59375E-2</v>
      </c>
      <c r="F85" s="22">
        <f>IF(ISNUMBER(D85), $B91 * E85, "")</f>
        <v>12890.625</v>
      </c>
      <c r="G85" s="30">
        <v>277</v>
      </c>
      <c r="H85" s="21">
        <f t="shared" si="39"/>
        <v>8.203125E-2</v>
      </c>
      <c r="I85" s="95">
        <f>IF(ISNUMBER(G85), $B91 * H85, "")</f>
        <v>12304.6875</v>
      </c>
      <c r="J85" s="20">
        <v>279</v>
      </c>
      <c r="K85" s="21">
        <f t="shared" si="40"/>
        <v>8.984375E-2</v>
      </c>
      <c r="L85" s="22">
        <f>IF(ISNUMBER(J85), $B91 * K85, "")</f>
        <v>13476.5625</v>
      </c>
      <c r="M85" s="30">
        <v>278</v>
      </c>
      <c r="N85" s="21">
        <f t="shared" si="41"/>
        <v>8.59375E-2</v>
      </c>
      <c r="O85" s="22">
        <f>IF(ISNUMBER(M85), $B91 * N85, "")</f>
        <v>12890.625</v>
      </c>
      <c r="Q85" s="156"/>
      <c r="R85" s="156"/>
      <c r="S85" s="156"/>
    </row>
    <row r="86" spans="1:19" ht="17.25" thickBot="1">
      <c r="A86" s="109" t="s">
        <v>68</v>
      </c>
      <c r="B86" s="113">
        <v>621</v>
      </c>
      <c r="C86" s="73">
        <v>6.4829822E-3</v>
      </c>
      <c r="D86" s="96">
        <v>740</v>
      </c>
      <c r="E86" s="97">
        <f>IF(ISNUMBER(D86), (D86 - $B86) / $B86, "")</f>
        <v>0.19162640901771336</v>
      </c>
      <c r="F86" s="98">
        <f>IF(ISNUMBER(D86), $B91 * E86, "")</f>
        <v>28743.961352657003</v>
      </c>
      <c r="G86" s="99">
        <v>774</v>
      </c>
      <c r="H86" s="97">
        <f>IF(ISNUMBER(G86), (G86 - $B86) / $B86, "")</f>
        <v>0.24637681159420291</v>
      </c>
      <c r="I86" s="100">
        <f>IF(ISNUMBER(G86), $B91 * H86, "")</f>
        <v>36956.52173913044</v>
      </c>
      <c r="J86" s="96">
        <v>750</v>
      </c>
      <c r="K86" s="97">
        <f>IF(ISNUMBER(J86), (J86 - $B86) / $B86, "")</f>
        <v>0.20772946859903382</v>
      </c>
      <c r="L86" s="98">
        <f>IF(ISNUMBER(J86), $B91 * K86, "")</f>
        <v>31159.420289855072</v>
      </c>
      <c r="M86" s="99">
        <v>736</v>
      </c>
      <c r="N86" s="97">
        <f>IF(ISNUMBER(M86), (M86 - $B86) / $B86, "")</f>
        <v>0.18518518518518517</v>
      </c>
      <c r="O86" s="98">
        <f>IF(ISNUMBER(M86), $B91 * N86, "")</f>
        <v>27777.777777777777</v>
      </c>
      <c r="Q86" s="146"/>
      <c r="R86" s="146"/>
      <c r="S86" s="146"/>
    </row>
    <row r="87" spans="1:19" ht="17.25" thickBot="1">
      <c r="A87" s="109" t="s">
        <v>89</v>
      </c>
      <c r="B87" s="110">
        <v>492</v>
      </c>
      <c r="C87" s="70">
        <v>6.1349693000000002E-3</v>
      </c>
      <c r="D87" s="15">
        <v>508</v>
      </c>
      <c r="E87" s="32">
        <f t="shared" ref="E87:E90" si="42">IF(ISNUMBER(D87), (D87 - $B87) / $B87, "")</f>
        <v>3.2520325203252036E-2</v>
      </c>
      <c r="F87" s="18">
        <f>IF(ISNUMBER(D87), $B91 * E87, "")</f>
        <v>4878.0487804878057</v>
      </c>
      <c r="G87" s="31">
        <v>515</v>
      </c>
      <c r="H87" s="32">
        <f t="shared" ref="H87:H90" si="43">IF(ISNUMBER(G87), (G87 - $B87) / $B87, "")</f>
        <v>4.6747967479674794E-2</v>
      </c>
      <c r="I87" s="91">
        <f>IF(ISNUMBER(G87), $B91 * H87, "")</f>
        <v>7012.1951219512193</v>
      </c>
      <c r="J87" s="15">
        <v>509</v>
      </c>
      <c r="K87" s="32">
        <f t="shared" ref="K87:K90" si="44">IF(ISNUMBER(J87), (J87 - $B87) / $B87, "")</f>
        <v>3.4552845528455285E-2</v>
      </c>
      <c r="L87" s="18">
        <f>IF(ISNUMBER(J87), $B91 * K87, "")</f>
        <v>5182.9268292682927</v>
      </c>
      <c r="M87" s="31">
        <v>511</v>
      </c>
      <c r="N87" s="32">
        <f t="shared" ref="N87:N90" si="45">IF(ISNUMBER(M87), (M87 - $B87) / $B87, "")</f>
        <v>3.8617886178861791E-2</v>
      </c>
      <c r="O87" s="18">
        <f>IF(ISNUMBER(M87), $B91 * N87, "")</f>
        <v>5792.6829268292686</v>
      </c>
      <c r="Q87" s="146"/>
      <c r="R87" s="146"/>
      <c r="S87" s="146"/>
    </row>
    <row r="88" spans="1:19" ht="17.25" thickBot="1">
      <c r="A88" s="109" t="s">
        <v>157</v>
      </c>
      <c r="B88" s="110">
        <v>225</v>
      </c>
      <c r="C88" s="70">
        <v>4.4642856999999999E-3</v>
      </c>
      <c r="D88" s="15">
        <v>231</v>
      </c>
      <c r="E88" s="32">
        <f t="shared" si="42"/>
        <v>2.6666666666666668E-2</v>
      </c>
      <c r="F88" s="18">
        <f>IF(ISNUMBER(D88), $B91 * E88, "")</f>
        <v>4000.0000000000005</v>
      </c>
      <c r="G88" s="31">
        <v>231</v>
      </c>
      <c r="H88" s="32">
        <f t="shared" si="43"/>
        <v>2.6666666666666668E-2</v>
      </c>
      <c r="I88" s="91">
        <f>IF(ISNUMBER(G88), $B91 * H88, "")</f>
        <v>4000.0000000000005</v>
      </c>
      <c r="J88" s="15">
        <v>228</v>
      </c>
      <c r="K88" s="32">
        <f t="shared" si="44"/>
        <v>1.3333333333333334E-2</v>
      </c>
      <c r="L88" s="18">
        <f>IF(ISNUMBER(J88), $B91 * K88, "")</f>
        <v>2000.0000000000002</v>
      </c>
      <c r="M88" s="31">
        <v>230</v>
      </c>
      <c r="N88" s="32">
        <f t="shared" si="45"/>
        <v>2.2222222222222223E-2</v>
      </c>
      <c r="O88" s="18">
        <f>IF(ISNUMBER(M88), $B91 * N88, "")</f>
        <v>3333.3333333333335</v>
      </c>
      <c r="Q88" s="146"/>
      <c r="R88" s="146"/>
      <c r="S88" s="146"/>
    </row>
    <row r="89" spans="1:19">
      <c r="A89" s="109" t="s">
        <v>105</v>
      </c>
      <c r="B89" s="110">
        <v>236</v>
      </c>
      <c r="C89" s="70">
        <v>4.2553191000000001E-3</v>
      </c>
      <c r="D89" s="15">
        <v>247</v>
      </c>
      <c r="E89" s="32">
        <f t="shared" si="42"/>
        <v>4.6610169491525424E-2</v>
      </c>
      <c r="F89" s="18">
        <f>IF(ISNUMBER(D89), $B91 * E89, "")</f>
        <v>6991.5254237288136</v>
      </c>
      <c r="G89" s="31">
        <v>252</v>
      </c>
      <c r="H89" s="32">
        <f t="shared" si="43"/>
        <v>6.7796610169491525E-2</v>
      </c>
      <c r="I89" s="91">
        <f>IF(ISNUMBER(G89), $B91 * H89, "")</f>
        <v>10169.491525423729</v>
      </c>
      <c r="J89" s="15">
        <v>249</v>
      </c>
      <c r="K89" s="32">
        <f t="shared" si="44"/>
        <v>5.5084745762711863E-2</v>
      </c>
      <c r="L89" s="18">
        <f>IF(ISNUMBER(J89), $B91 * K89, "")</f>
        <v>8262.7118644067796</v>
      </c>
      <c r="M89" s="31">
        <v>254</v>
      </c>
      <c r="N89" s="32">
        <f t="shared" si="45"/>
        <v>7.6271186440677971E-2</v>
      </c>
      <c r="O89" s="18">
        <f>IF(ISNUMBER(M89), $B91 * N89, "")</f>
        <v>11440.677966101695</v>
      </c>
      <c r="Q89" s="135"/>
      <c r="R89" s="136"/>
      <c r="S89" s="137"/>
    </row>
    <row r="90" spans="1:19" ht="17.25" thickBot="1">
      <c r="A90" s="114" t="s">
        <v>215</v>
      </c>
      <c r="B90" s="115">
        <v>356</v>
      </c>
      <c r="C90" s="72">
        <v>2.8169013999999998E-3</v>
      </c>
      <c r="D90" s="24">
        <v>377</v>
      </c>
      <c r="E90" s="25">
        <f t="shared" si="42"/>
        <v>5.8988764044943819E-2</v>
      </c>
      <c r="F90" s="94">
        <f>IF(ISNUMBER(D90), $B91 * E90, "")</f>
        <v>8848.3146067415728</v>
      </c>
      <c r="G90" s="92">
        <v>381</v>
      </c>
      <c r="H90" s="25">
        <f t="shared" si="43"/>
        <v>7.02247191011236E-2</v>
      </c>
      <c r="I90" s="93">
        <f>IF(ISNUMBER(G90), $B91 * H90, "")</f>
        <v>10533.707865168541</v>
      </c>
      <c r="J90" s="24">
        <v>379</v>
      </c>
      <c r="K90" s="25">
        <f t="shared" si="44"/>
        <v>6.4606741573033713E-2</v>
      </c>
      <c r="L90" s="94">
        <f>IF(ISNUMBER(J90), $B91 * K90, "")</f>
        <v>9691.0112359550567</v>
      </c>
      <c r="M90" s="92">
        <v>388</v>
      </c>
      <c r="N90" s="25">
        <f t="shared" si="45"/>
        <v>8.98876404494382E-2</v>
      </c>
      <c r="O90" s="94">
        <f>IF(ISNUMBER(M90), $B91 * N90, "")</f>
        <v>13483.14606741573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5.4741966145671027E-2</v>
      </c>
      <c r="F91" s="28">
        <f>SUM(F71:F90)</f>
        <v>164225.89843701306</v>
      </c>
      <c r="G91" s="26" t="s">
        <v>258</v>
      </c>
      <c r="H91" s="27">
        <f>IF(COUNT(H71:H90), SUM(H71:H90) / COUNT(H71:H90), 0)</f>
        <v>6.3903739940001855E-2</v>
      </c>
      <c r="I91" s="28">
        <f>SUM(I71:I90)</f>
        <v>191711.21982000564</v>
      </c>
      <c r="J91" s="26" t="s">
        <v>258</v>
      </c>
      <c r="K91" s="27">
        <f>IF(COUNT(K71:K90), SUM(K71:K90) / COUNT(K71:K90), 0)</f>
        <v>5.3163326311955014E-2</v>
      </c>
      <c r="L91" s="28">
        <f>SUM(L71:L90)</f>
        <v>159489.97893586502</v>
      </c>
      <c r="M91" s="26" t="s">
        <v>258</v>
      </c>
      <c r="N91" s="27">
        <f>IF(COUNT(N71:N90), SUM(N71:N90) / COUNT(N71:N90), 0)</f>
        <v>5.9404647634773454E-2</v>
      </c>
      <c r="O91" s="28">
        <f>SUM(O71:O90)</f>
        <v>178213.9429043204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2023-01-21(토) 오전 00:00</v>
      </c>
      <c r="C96" s="198"/>
      <c r="D96" s="170" t="str">
        <f>TEXT($G$1, "[$-ko-KR]yyyy-mm-dd(ddd) ") &amp; "오후 14:00"</f>
        <v>2023-01-21(토) 오후 14:00</v>
      </c>
      <c r="E96" s="171"/>
      <c r="F96" s="172"/>
      <c r="G96" s="170" t="str">
        <f>TEXT($G$1, "[$-ko-KR]yyyy-mm-dd(ddd) ") &amp; "오후 19:00"</f>
        <v>2023-01-21(토) 오후 19:00</v>
      </c>
      <c r="H96" s="171"/>
      <c r="I96" s="172"/>
      <c r="J96" s="170" t="str">
        <f>TEXT($G$1, "[$-ko-KR]yyyy-mm-dd(ddd) ") &amp; "오후 21:00"</f>
        <v>2023-01-21(토) 오후 21:00</v>
      </c>
      <c r="K96" s="171"/>
      <c r="L96" s="172"/>
      <c r="M96" s="170" t="str">
        <f>TEXT($G$1+1, "[$-ko-KR]yyyy-mm-dd(ddd) ") &amp; "오전 00:00"</f>
        <v>2023-01-22(일)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217</v>
      </c>
      <c r="B98" s="108">
        <v>88.9</v>
      </c>
      <c r="C98" s="69">
        <v>0.172823219</v>
      </c>
      <c r="D98" s="13">
        <v>85.1</v>
      </c>
      <c r="E98" s="14">
        <f>IF(ISNUMBER(D98), (D98 - $B98) / $B98, "")</f>
        <v>-4.2744656917885392E-2</v>
      </c>
      <c r="F98" s="16">
        <f>IF(ISNUMBER(D98), $B118 * E98, "")</f>
        <v>-6411.6985376828088</v>
      </c>
      <c r="G98" s="29">
        <v>85.6</v>
      </c>
      <c r="H98" s="14">
        <f>IF(ISNUMBER(G98), (G98 - $B98) / $B98, "")</f>
        <v>-3.7120359955005747E-2</v>
      </c>
      <c r="I98" s="90">
        <f>IF(ISNUMBER(G98), $B118 * H98, "")</f>
        <v>-5568.0539932508618</v>
      </c>
      <c r="J98" s="13">
        <v>85.2</v>
      </c>
      <c r="K98" s="14">
        <f>IF(ISNUMBER(J98), (J98 - $B98) / $B98, "")</f>
        <v>-4.1619797525309365E-2</v>
      </c>
      <c r="L98" s="16">
        <f>IF(ISNUMBER(J98), $B118 * K98, "")</f>
        <v>-6242.9696287964052</v>
      </c>
      <c r="M98" s="29">
        <v>85.1</v>
      </c>
      <c r="N98" s="14">
        <f>IF(ISNUMBER(M98), (M98 - $B98) / $B98, "")</f>
        <v>-4.2744656917885392E-2</v>
      </c>
      <c r="O98" s="16">
        <f>IF(ISNUMBER(M98), $B118 * N98, "")</f>
        <v>-6411.6985376828088</v>
      </c>
      <c r="Q98" s="156"/>
      <c r="R98" s="156"/>
      <c r="S98" s="156"/>
    </row>
    <row r="99" spans="1:19" ht="17.25" thickBot="1">
      <c r="A99" s="109" t="s">
        <v>209</v>
      </c>
      <c r="B99" s="110">
        <v>97.3</v>
      </c>
      <c r="C99" s="70">
        <v>8.3518931000000005E-2</v>
      </c>
      <c r="D99" s="15">
        <v>95.2</v>
      </c>
      <c r="E99" s="32">
        <f t="shared" ref="E99:E102" si="46">IF(ISNUMBER(D99), (D99 - $B99) / $B99, "")</f>
        <v>-2.1582733812949582E-2</v>
      </c>
      <c r="F99" s="18">
        <f>IF(ISNUMBER(D99), $B118 * E99, "")</f>
        <v>-3237.4100719424373</v>
      </c>
      <c r="G99" s="31">
        <v>95.4</v>
      </c>
      <c r="H99" s="32">
        <f t="shared" ref="H99:H102" si="47">IF(ISNUMBER(G99), (G99 - $B99) / $B99, "")</f>
        <v>-1.9527235354573395E-2</v>
      </c>
      <c r="I99" s="91">
        <f>IF(ISNUMBER(G99), $B118 * H99, "")</f>
        <v>-2929.0853031860092</v>
      </c>
      <c r="J99" s="15">
        <v>94.7</v>
      </c>
      <c r="K99" s="32">
        <f t="shared" ref="K99:K102" si="48">IF(ISNUMBER(J99), (J99 - $B99) / $B99, "")</f>
        <v>-2.6721479958889974E-2</v>
      </c>
      <c r="L99" s="18">
        <f>IF(ISNUMBER(J99), $B118 * K99, "")</f>
        <v>-4008.2219938334961</v>
      </c>
      <c r="M99" s="31">
        <v>95.4</v>
      </c>
      <c r="N99" s="32">
        <f t="shared" ref="N99:N102" si="49">IF(ISNUMBER(M99), (M99 - $B99) / $B99, "")</f>
        <v>-1.9527235354573395E-2</v>
      </c>
      <c r="O99" s="18">
        <f>IF(ISNUMBER(M99), $B118 * N99, "")</f>
        <v>-2929.0853031860092</v>
      </c>
      <c r="Q99" s="156"/>
      <c r="R99" s="156"/>
      <c r="S99" s="156"/>
    </row>
    <row r="100" spans="1:19" ht="17.25" thickBot="1">
      <c r="A100" s="109" t="s">
        <v>159</v>
      </c>
      <c r="B100" s="110">
        <v>223</v>
      </c>
      <c r="C100" s="70">
        <v>7.7294686000000001E-2</v>
      </c>
      <c r="D100" s="15">
        <v>222</v>
      </c>
      <c r="E100" s="32">
        <f t="shared" si="46"/>
        <v>-4.4843049327354259E-3</v>
      </c>
      <c r="F100" s="18">
        <f>IF(ISNUMBER(D100), $B118 * E100, "")</f>
        <v>-672.64573991031386</v>
      </c>
      <c r="G100" s="31">
        <v>225</v>
      </c>
      <c r="H100" s="32">
        <f t="shared" si="47"/>
        <v>8.9686098654708519E-3</v>
      </c>
      <c r="I100" s="91">
        <f>IF(ISNUMBER(G100), $B118 * H100, "")</f>
        <v>1345.2914798206277</v>
      </c>
      <c r="J100" s="15">
        <v>226</v>
      </c>
      <c r="K100" s="32">
        <f t="shared" si="48"/>
        <v>1.3452914798206279E-2</v>
      </c>
      <c r="L100" s="18">
        <f>IF(ISNUMBER(J100), $B118 * K100, "")</f>
        <v>2017.9372197309417</v>
      </c>
      <c r="M100" s="31">
        <v>224</v>
      </c>
      <c r="N100" s="32">
        <f t="shared" si="49"/>
        <v>4.4843049327354259E-3</v>
      </c>
      <c r="O100" s="18">
        <f>IF(ISNUMBER(M100), $B118 * N100, "")</f>
        <v>672.64573991031386</v>
      </c>
      <c r="Q100" s="146"/>
      <c r="R100" s="146"/>
      <c r="S100" s="146"/>
    </row>
    <row r="101" spans="1:19" ht="17.25" thickBot="1">
      <c r="A101" s="109" t="s">
        <v>151</v>
      </c>
      <c r="B101" s="110">
        <v>2890</v>
      </c>
      <c r="C101" s="70">
        <v>7.6350093100000002E-2</v>
      </c>
      <c r="D101" s="15">
        <v>2970</v>
      </c>
      <c r="E101" s="32">
        <f t="shared" si="46"/>
        <v>2.768166089965398E-2</v>
      </c>
      <c r="F101" s="18">
        <f>IF(ISNUMBER(D101), $B118 * E101, "")</f>
        <v>4152.249134948097</v>
      </c>
      <c r="G101" s="31">
        <v>2980</v>
      </c>
      <c r="H101" s="32">
        <f t="shared" si="47"/>
        <v>3.1141868512110725E-2</v>
      </c>
      <c r="I101" s="91">
        <f>IF(ISNUMBER(G101), $B118 * H101, "")</f>
        <v>4671.2802768166084</v>
      </c>
      <c r="J101" s="15">
        <v>2960</v>
      </c>
      <c r="K101" s="32">
        <f t="shared" si="48"/>
        <v>2.4221453287197232E-2</v>
      </c>
      <c r="L101" s="18">
        <f>IF(ISNUMBER(J101), $B118 * K101, "")</f>
        <v>3633.2179930795846</v>
      </c>
      <c r="M101" s="31">
        <v>2930</v>
      </c>
      <c r="N101" s="32">
        <f t="shared" si="49"/>
        <v>1.384083044982699E-2</v>
      </c>
      <c r="O101" s="18">
        <f>IF(ISNUMBER(M101), $B118 * N101, "")</f>
        <v>2076.1245674740485</v>
      </c>
      <c r="Q101" s="146"/>
      <c r="R101" s="146"/>
      <c r="S101" s="146"/>
    </row>
    <row r="102" spans="1:19" ht="17.25" thickBot="1">
      <c r="A102" s="111" t="s">
        <v>321</v>
      </c>
      <c r="B102" s="112">
        <v>227</v>
      </c>
      <c r="C102" s="71">
        <v>5.0925925900000002E-2</v>
      </c>
      <c r="D102" s="20">
        <v>237</v>
      </c>
      <c r="E102" s="21">
        <f t="shared" si="46"/>
        <v>4.405286343612335E-2</v>
      </c>
      <c r="F102" s="22">
        <f>IF(ISNUMBER(D102), $B118 * E102, "")</f>
        <v>6607.9295154185029</v>
      </c>
      <c r="G102" s="30">
        <v>237</v>
      </c>
      <c r="H102" s="21">
        <f t="shared" si="47"/>
        <v>4.405286343612335E-2</v>
      </c>
      <c r="I102" s="95">
        <f>IF(ISNUMBER(G102), $B118 * H102, "")</f>
        <v>6607.9295154185029</v>
      </c>
      <c r="J102" s="20">
        <v>233</v>
      </c>
      <c r="K102" s="21">
        <f t="shared" si="48"/>
        <v>2.643171806167401E-2</v>
      </c>
      <c r="L102" s="22">
        <f>IF(ISNUMBER(J102), $B118 * K102, "")</f>
        <v>3964.7577092511015</v>
      </c>
      <c r="M102" s="30">
        <v>243</v>
      </c>
      <c r="N102" s="21">
        <f t="shared" si="49"/>
        <v>7.0484581497797363E-2</v>
      </c>
      <c r="O102" s="22">
        <f>IF(ISNUMBER(M102), $B118 * N102, "")</f>
        <v>10572.687224669604</v>
      </c>
      <c r="Q102" s="146"/>
      <c r="R102" s="146"/>
      <c r="S102" s="146"/>
    </row>
    <row r="103" spans="1:19" ht="17.25" thickBot="1">
      <c r="A103" s="109" t="s">
        <v>201</v>
      </c>
      <c r="B103" s="113">
        <v>269</v>
      </c>
      <c r="C103" s="73">
        <v>5.078125E-2</v>
      </c>
      <c r="D103" s="96">
        <v>285</v>
      </c>
      <c r="E103" s="97">
        <f>IF(ISNUMBER(D103), (D103 - $B103) / $B103, "")</f>
        <v>5.9479553903345722E-2</v>
      </c>
      <c r="F103" s="98">
        <f>IF(ISNUMBER(D103), $B118 * E103, "")</f>
        <v>8921.9330855018579</v>
      </c>
      <c r="G103" s="99">
        <v>287</v>
      </c>
      <c r="H103" s="97">
        <f>IF(ISNUMBER(G103), (G103 - $B103) / $B103, "")</f>
        <v>6.6914498141263934E-2</v>
      </c>
      <c r="I103" s="100">
        <f>IF(ISNUMBER(G103), $B118 * H103, "")</f>
        <v>10037.174721189591</v>
      </c>
      <c r="J103" s="96">
        <v>288</v>
      </c>
      <c r="K103" s="97">
        <f>IF(ISNUMBER(J103), (J103 - $B103) / $B103, "")</f>
        <v>7.0631970260223054E-2</v>
      </c>
      <c r="L103" s="98">
        <f>IF(ISNUMBER(J103), $B118 * K103, "")</f>
        <v>10594.795539033457</v>
      </c>
      <c r="M103" s="99">
        <v>285</v>
      </c>
      <c r="N103" s="97">
        <f>IF(ISNUMBER(M103), (M103 - $B103) / $B103, "")</f>
        <v>5.9479553903345722E-2</v>
      </c>
      <c r="O103" s="98">
        <f>IF(ISNUMBER(M103), $B118 * N103, "")</f>
        <v>8921.9330855018579</v>
      </c>
      <c r="Q103" s="146"/>
      <c r="R103" s="146"/>
      <c r="S103" s="146"/>
    </row>
    <row r="104" spans="1:19" ht="17.25" thickBot="1">
      <c r="A104" s="109" t="s">
        <v>328</v>
      </c>
      <c r="B104" s="110">
        <v>10220</v>
      </c>
      <c r="C104" s="70">
        <v>4.4989775099999997E-2</v>
      </c>
      <c r="D104" s="15">
        <v>14040</v>
      </c>
      <c r="E104" s="32">
        <f t="shared" ref="E104:E107" si="50">IF(ISNUMBER(D104), (D104 - $B104) / $B104, "")</f>
        <v>0.37377690802348335</v>
      </c>
      <c r="F104" s="18">
        <f>IF(ISNUMBER(D104), $B118 * E104, "")</f>
        <v>56066.536203522504</v>
      </c>
      <c r="G104" s="31">
        <v>15760</v>
      </c>
      <c r="H104" s="32">
        <f t="shared" ref="H104:H107" si="51">IF(ISNUMBER(G104), (G104 - $B104) / $B104, "")</f>
        <v>0.54207436399217224</v>
      </c>
      <c r="I104" s="91">
        <f>IF(ISNUMBER(G104), $B118 * H104, "")</f>
        <v>81311.154598825829</v>
      </c>
      <c r="J104" s="15">
        <v>15170</v>
      </c>
      <c r="K104" s="32">
        <f t="shared" ref="K104:K107" si="52">IF(ISNUMBER(J104), (J104 - $B104) / $B104, "")</f>
        <v>0.48434442270058709</v>
      </c>
      <c r="L104" s="18">
        <f>IF(ISNUMBER(J104), $B118 * K104, "")</f>
        <v>72651.663405088068</v>
      </c>
      <c r="M104" s="31">
        <v>15690</v>
      </c>
      <c r="N104" s="32">
        <f t="shared" ref="N104:N107" si="53">IF(ISNUMBER(M104), (M104 - $B104) / $B104, "")</f>
        <v>0.53522504892367906</v>
      </c>
      <c r="O104" s="18">
        <f>IF(ISNUMBER(M104), $B118 * N104, "")</f>
        <v>80283.757338551863</v>
      </c>
      <c r="Q104" s="146"/>
      <c r="R104" s="146"/>
      <c r="S104" s="146"/>
    </row>
    <row r="105" spans="1:19" ht="17.25" thickBot="1">
      <c r="A105" s="109" t="s">
        <v>349</v>
      </c>
      <c r="B105" s="110">
        <v>27.6</v>
      </c>
      <c r="C105" s="70">
        <v>3.3707865199999999E-2</v>
      </c>
      <c r="D105" s="15">
        <v>29.8</v>
      </c>
      <c r="E105" s="32">
        <f t="shared" si="50"/>
        <v>7.9710144927536197E-2</v>
      </c>
      <c r="F105" s="18">
        <f>IF(ISNUMBER(D105), $B118 * E105, "")</f>
        <v>11956.52173913043</v>
      </c>
      <c r="G105" s="31">
        <v>29.9</v>
      </c>
      <c r="H105" s="32">
        <f t="shared" si="51"/>
        <v>8.3333333333333232E-2</v>
      </c>
      <c r="I105" s="91">
        <f>IF(ISNUMBER(G105), $B118 * H105, "")</f>
        <v>12499.999999999985</v>
      </c>
      <c r="J105" s="15">
        <v>29.9</v>
      </c>
      <c r="K105" s="32">
        <f t="shared" si="52"/>
        <v>8.3333333333333232E-2</v>
      </c>
      <c r="L105" s="18">
        <f>IF(ISNUMBER(J105), $B118 * K105, "")</f>
        <v>12499.999999999985</v>
      </c>
      <c r="M105" s="31">
        <v>29.9</v>
      </c>
      <c r="N105" s="32">
        <f t="shared" si="53"/>
        <v>8.3333333333333232E-2</v>
      </c>
      <c r="O105" s="18">
        <f>IF(ISNUMBER(M105), $B118 * N105, "")</f>
        <v>12499.999999999985</v>
      </c>
      <c r="Q105" s="146"/>
      <c r="R105" s="146"/>
      <c r="S105" s="146"/>
    </row>
    <row r="106" spans="1:19" ht="17.25" thickBot="1">
      <c r="A106" s="109" t="s">
        <v>138</v>
      </c>
      <c r="B106" s="110">
        <v>29.1</v>
      </c>
      <c r="C106" s="70">
        <v>3.1914893600000001E-2</v>
      </c>
      <c r="D106" s="15">
        <v>30.4</v>
      </c>
      <c r="E106" s="32">
        <f t="shared" si="50"/>
        <v>4.467353951890024E-2</v>
      </c>
      <c r="F106" s="18">
        <f>IF(ISNUMBER(D106), $B118 * E106, "")</f>
        <v>6701.030927835036</v>
      </c>
      <c r="G106" s="31">
        <v>30.8</v>
      </c>
      <c r="H106" s="32">
        <f t="shared" si="51"/>
        <v>5.8419243986254268E-2</v>
      </c>
      <c r="I106" s="91">
        <f>IF(ISNUMBER(G106), $B118 * H106, "")</f>
        <v>8762.8865979381408</v>
      </c>
      <c r="J106" s="15">
        <v>30.6</v>
      </c>
      <c r="K106" s="32">
        <f t="shared" si="52"/>
        <v>5.1546391752577317E-2</v>
      </c>
      <c r="L106" s="18">
        <f>IF(ISNUMBER(J106), $B118 * K106, "")</f>
        <v>7731.9587628865975</v>
      </c>
      <c r="M106" s="31">
        <v>31.2</v>
      </c>
      <c r="N106" s="32">
        <f t="shared" si="53"/>
        <v>7.2164948453608171E-2</v>
      </c>
      <c r="O106" s="18">
        <f>IF(ISNUMBER(M106), $B118 * N106, "")</f>
        <v>10824.742268041226</v>
      </c>
      <c r="Q106" s="33"/>
      <c r="R106" s="33"/>
    </row>
    <row r="107" spans="1:19" ht="17.25" thickBot="1">
      <c r="A107" s="114" t="s">
        <v>199</v>
      </c>
      <c r="B107" s="115">
        <v>338</v>
      </c>
      <c r="C107" s="72">
        <v>3.0487804899999998E-2</v>
      </c>
      <c r="D107" s="24">
        <v>350</v>
      </c>
      <c r="E107" s="25">
        <f t="shared" si="50"/>
        <v>3.5502958579881658E-2</v>
      </c>
      <c r="F107" s="94">
        <f>IF(ISNUMBER(D107), $B118 * E107, "")</f>
        <v>5325.4437869822486</v>
      </c>
      <c r="G107" s="92">
        <v>350</v>
      </c>
      <c r="H107" s="25">
        <f t="shared" si="51"/>
        <v>3.5502958579881658E-2</v>
      </c>
      <c r="I107" s="93">
        <f>IF(ISNUMBER(G107), $B118 * H107, "")</f>
        <v>5325.4437869822486</v>
      </c>
      <c r="J107" s="24">
        <v>345</v>
      </c>
      <c r="K107" s="25">
        <f t="shared" si="52"/>
        <v>2.0710059171597635E-2</v>
      </c>
      <c r="L107" s="94">
        <f>IF(ISNUMBER(J107), $B118 * K107, "")</f>
        <v>3106.5088757396452</v>
      </c>
      <c r="M107" s="92">
        <v>349</v>
      </c>
      <c r="N107" s="25">
        <f t="shared" si="53"/>
        <v>3.2544378698224852E-2</v>
      </c>
      <c r="O107" s="94">
        <f>IF(ISNUMBER(M107), $B118 * N107, "")</f>
        <v>4881.6568047337278</v>
      </c>
      <c r="Q107" s="147"/>
      <c r="R107" s="148"/>
      <c r="S107" s="149"/>
    </row>
    <row r="108" spans="1:19">
      <c r="A108" s="107" t="s">
        <v>155</v>
      </c>
      <c r="B108" s="108">
        <v>30.7</v>
      </c>
      <c r="C108" s="69">
        <v>3.02013423E-2</v>
      </c>
      <c r="D108" s="13">
        <v>32.700000000000003</v>
      </c>
      <c r="E108" s="14">
        <f>IF(ISNUMBER(D108), (D108 - $B108) / $B108, "")</f>
        <v>6.5146579804560373E-2</v>
      </c>
      <c r="F108" s="16">
        <f>IF(ISNUMBER(D108), $B118 * E108, "")</f>
        <v>9771.9869706840564</v>
      </c>
      <c r="G108" s="29">
        <v>32.5</v>
      </c>
      <c r="H108" s="14">
        <f>IF(ISNUMBER(G108), (G108 - $B108) / $B108, "")</f>
        <v>5.8631921824104261E-2</v>
      </c>
      <c r="I108" s="90">
        <f>IF(ISNUMBER(G108), $B118 * H108, "")</f>
        <v>8794.7882736156389</v>
      </c>
      <c r="J108" s="13">
        <v>32.299999999999997</v>
      </c>
      <c r="K108" s="14">
        <f>IF(ISNUMBER(J108), (J108 - $B108) / $B108, "")</f>
        <v>5.2117263843648141E-2</v>
      </c>
      <c r="L108" s="16">
        <f>IF(ISNUMBER(J108), $B118 * K108, "")</f>
        <v>7817.5895765472214</v>
      </c>
      <c r="M108" s="29">
        <v>32.799999999999997</v>
      </c>
      <c r="N108" s="14">
        <f>IF(ISNUMBER(M108), (M108 - $B108) / $B108, "")</f>
        <v>6.8403908794788207E-2</v>
      </c>
      <c r="O108" s="16">
        <f>IF(ISNUMBER(M108), $B118 * N108, "")</f>
        <v>10260.586319218231</v>
      </c>
      <c r="Q108" s="150"/>
      <c r="R108" s="151"/>
      <c r="S108" s="152"/>
    </row>
    <row r="109" spans="1:19" ht="17.25" thickBot="1">
      <c r="A109" s="109" t="s">
        <v>73</v>
      </c>
      <c r="B109" s="110">
        <v>15400</v>
      </c>
      <c r="C109" s="70">
        <v>3.0100334400000001E-2</v>
      </c>
      <c r="D109" s="15">
        <v>16490</v>
      </c>
      <c r="E109" s="32">
        <f t="shared" ref="E109:E112" si="54">IF(ISNUMBER(D109), (D109 - $B109) / $B109, "")</f>
        <v>7.0779220779220775E-2</v>
      </c>
      <c r="F109" s="18">
        <f>IF(ISNUMBER(D109), $B118 * E109, "")</f>
        <v>10616.883116883117</v>
      </c>
      <c r="G109" s="31">
        <v>16620</v>
      </c>
      <c r="H109" s="32">
        <f t="shared" ref="H109:H112" si="55">IF(ISNUMBER(G109), (G109 - $B109) / $B109, "")</f>
        <v>7.9220779220779219E-2</v>
      </c>
      <c r="I109" s="91">
        <f>IF(ISNUMBER(G109), $B118 * H109, "")</f>
        <v>11883.116883116883</v>
      </c>
      <c r="J109" s="15">
        <v>16240</v>
      </c>
      <c r="K109" s="32">
        <f t="shared" ref="K109:K112" si="56">IF(ISNUMBER(J109), (J109 - $B109) / $B109, "")</f>
        <v>5.4545454545454543E-2</v>
      </c>
      <c r="L109" s="18">
        <f>IF(ISNUMBER(J109), $B118 * K109, "")</f>
        <v>8181.8181818181811</v>
      </c>
      <c r="M109" s="31">
        <v>16220</v>
      </c>
      <c r="N109" s="32">
        <f t="shared" ref="N109:N112" si="57">IF(ISNUMBER(M109), (M109 - $B109) / $B109, "")</f>
        <v>5.3246753246753244E-2</v>
      </c>
      <c r="O109" s="18">
        <f>IF(ISNUMBER(M109), $B118 * N109, "")</f>
        <v>7987.0129870129867</v>
      </c>
      <c r="Q109" s="153"/>
      <c r="R109" s="154"/>
      <c r="S109" s="155"/>
    </row>
    <row r="110" spans="1:19" ht="17.25" thickBot="1">
      <c r="A110" s="109" t="s">
        <v>124</v>
      </c>
      <c r="B110" s="110">
        <v>34.700000000000003</v>
      </c>
      <c r="C110" s="70">
        <v>2.9673590499999999E-2</v>
      </c>
      <c r="D110" s="15">
        <v>35.200000000000003</v>
      </c>
      <c r="E110" s="32">
        <f t="shared" si="54"/>
        <v>1.4409221902017291E-2</v>
      </c>
      <c r="F110" s="18">
        <f>IF(ISNUMBER(D110), $B118 * E110, "")</f>
        <v>2161.3832853025938</v>
      </c>
      <c r="G110" s="31">
        <v>35.6</v>
      </c>
      <c r="H110" s="32">
        <f t="shared" si="55"/>
        <v>2.5936599423631079E-2</v>
      </c>
      <c r="I110" s="91">
        <f>IF(ISNUMBER(G110), $B118 * H110, "")</f>
        <v>3890.4899135446617</v>
      </c>
      <c r="J110" s="15">
        <v>35.200000000000003</v>
      </c>
      <c r="K110" s="32">
        <f t="shared" si="56"/>
        <v>1.4409221902017291E-2</v>
      </c>
      <c r="L110" s="18">
        <f>IF(ISNUMBER(J110), $B118 * K110, "")</f>
        <v>2161.3832853025938</v>
      </c>
      <c r="M110" s="31">
        <v>35.9</v>
      </c>
      <c r="N110" s="32">
        <f t="shared" si="57"/>
        <v>3.458213256484137E-2</v>
      </c>
      <c r="O110" s="18">
        <f>IF(ISNUMBER(M110), $B118 * N110, "")</f>
        <v>5187.3198847262056</v>
      </c>
      <c r="Q110" s="146"/>
      <c r="R110" s="146"/>
      <c r="S110" s="146"/>
    </row>
    <row r="111" spans="1:19" ht="17.25" thickBot="1">
      <c r="A111" s="109" t="s">
        <v>183</v>
      </c>
      <c r="B111" s="110">
        <v>143</v>
      </c>
      <c r="C111" s="70">
        <v>2.87769784E-2</v>
      </c>
      <c r="D111" s="15">
        <v>148</v>
      </c>
      <c r="E111" s="32">
        <f t="shared" si="54"/>
        <v>3.4965034965034968E-2</v>
      </c>
      <c r="F111" s="18">
        <f>IF(ISNUMBER(D111), $B118 * E111, "")</f>
        <v>5244.7552447552453</v>
      </c>
      <c r="G111" s="31">
        <v>149</v>
      </c>
      <c r="H111" s="32">
        <f t="shared" si="55"/>
        <v>4.195804195804196E-2</v>
      </c>
      <c r="I111" s="91">
        <f>IF(ISNUMBER(G111), $B118 * H111, "")</f>
        <v>6293.7062937062938</v>
      </c>
      <c r="J111" s="15">
        <v>147</v>
      </c>
      <c r="K111" s="32">
        <f t="shared" si="56"/>
        <v>2.7972027972027972E-2</v>
      </c>
      <c r="L111" s="18">
        <f>IF(ISNUMBER(J111), $B118 * K111, "")</f>
        <v>4195.8041958041958</v>
      </c>
      <c r="M111" s="31">
        <v>150</v>
      </c>
      <c r="N111" s="32">
        <f t="shared" si="57"/>
        <v>4.8951048951048952E-2</v>
      </c>
      <c r="O111" s="18">
        <f>IF(ISNUMBER(M111), $B118 * N111, "")</f>
        <v>7342.6573426573432</v>
      </c>
      <c r="Q111" s="156"/>
      <c r="R111" s="156"/>
      <c r="S111" s="156"/>
    </row>
    <row r="112" spans="1:19" ht="17.25" thickBot="1">
      <c r="A112" s="111" t="s">
        <v>109</v>
      </c>
      <c r="B112" s="112">
        <v>1140</v>
      </c>
      <c r="C112" s="71">
        <v>2.7027026999999999E-2</v>
      </c>
      <c r="D112" s="20">
        <v>1265</v>
      </c>
      <c r="E112" s="21">
        <f t="shared" si="54"/>
        <v>0.10964912280701754</v>
      </c>
      <c r="F112" s="22">
        <f>IF(ISNUMBER(D112), $B118 * E112, "")</f>
        <v>16447.36842105263</v>
      </c>
      <c r="G112" s="30">
        <v>1270</v>
      </c>
      <c r="H112" s="21">
        <f t="shared" si="55"/>
        <v>0.11403508771929824</v>
      </c>
      <c r="I112" s="95">
        <f>IF(ISNUMBER(G112), $B118 * H112, "")</f>
        <v>17105.263157894737</v>
      </c>
      <c r="J112" s="20">
        <v>1255</v>
      </c>
      <c r="K112" s="21">
        <f t="shared" si="56"/>
        <v>0.10087719298245613</v>
      </c>
      <c r="L112" s="22">
        <f>IF(ISNUMBER(J112), $B118 * K112, "")</f>
        <v>15131.57894736842</v>
      </c>
      <c r="M112" s="30">
        <v>1255</v>
      </c>
      <c r="N112" s="21">
        <f t="shared" si="57"/>
        <v>0.10087719298245613</v>
      </c>
      <c r="O112" s="22">
        <f>IF(ISNUMBER(M112), $B118 * N112, "")</f>
        <v>15131.57894736842</v>
      </c>
      <c r="Q112" s="156"/>
      <c r="R112" s="156"/>
      <c r="S112" s="156"/>
    </row>
    <row r="113" spans="1:19" ht="17.25" thickBot="1">
      <c r="A113" s="109" t="s">
        <v>113</v>
      </c>
      <c r="B113" s="113">
        <v>2325</v>
      </c>
      <c r="C113" s="73">
        <v>2.6490066199999999E-2</v>
      </c>
      <c r="D113" s="96">
        <v>2265</v>
      </c>
      <c r="E113" s="97">
        <f>IF(ISNUMBER(D113), (D113 - $B113) / $B113, "")</f>
        <v>-2.5806451612903226E-2</v>
      </c>
      <c r="F113" s="98">
        <f>IF(ISNUMBER(D113), $B118 * E113, "")</f>
        <v>-3870.9677419354839</v>
      </c>
      <c r="G113" s="99">
        <v>2285</v>
      </c>
      <c r="H113" s="97">
        <f>IF(ISNUMBER(G113), (G113 - $B113) / $B113, "")</f>
        <v>-1.7204301075268817E-2</v>
      </c>
      <c r="I113" s="100">
        <f>IF(ISNUMBER(G113), $B118 * H113, "")</f>
        <v>-2580.6451612903224</v>
      </c>
      <c r="J113" s="96">
        <v>2255</v>
      </c>
      <c r="K113" s="97">
        <f>IF(ISNUMBER(J113), (J113 - $B113) / $B113, "")</f>
        <v>-3.0107526881720432E-2</v>
      </c>
      <c r="L113" s="98">
        <f>IF(ISNUMBER(J113), $B118 * K113, "")</f>
        <v>-4516.1290322580644</v>
      </c>
      <c r="M113" s="99">
        <v>2245</v>
      </c>
      <c r="N113" s="97">
        <f>IF(ISNUMBER(M113), (M113 - $B113) / $B113, "")</f>
        <v>-3.4408602150537634E-2</v>
      </c>
      <c r="O113" s="98">
        <f>IF(ISNUMBER(M113), $B118 * N113, "")</f>
        <v>-5161.2903225806449</v>
      </c>
      <c r="Q113" s="146"/>
      <c r="R113" s="146"/>
      <c r="S113" s="146"/>
    </row>
    <row r="114" spans="1:19" ht="17.25" thickBot="1">
      <c r="A114" s="109" t="s">
        <v>326</v>
      </c>
      <c r="B114" s="110">
        <v>278</v>
      </c>
      <c r="C114" s="70">
        <v>2.5830258299999999E-2</v>
      </c>
      <c r="D114" s="15">
        <v>297</v>
      </c>
      <c r="E114" s="32">
        <f t="shared" ref="E114:E117" si="58">IF(ISNUMBER(D114), (D114 - $B114) / $B114, "")</f>
        <v>6.83453237410072E-2</v>
      </c>
      <c r="F114" s="18">
        <f>IF(ISNUMBER(D114), $B118 * E114, "")</f>
        <v>10251.798561151079</v>
      </c>
      <c r="G114" s="31">
        <v>297</v>
      </c>
      <c r="H114" s="32">
        <f t="shared" ref="H114:H117" si="59">IF(ISNUMBER(G114), (G114 - $B114) / $B114, "")</f>
        <v>6.83453237410072E-2</v>
      </c>
      <c r="I114" s="91">
        <f>IF(ISNUMBER(G114), $B118 * H114, "")</f>
        <v>10251.798561151079</v>
      </c>
      <c r="J114" s="15">
        <v>294</v>
      </c>
      <c r="K114" s="32">
        <f t="shared" ref="K114:K117" si="60">IF(ISNUMBER(J114), (J114 - $B114) / $B114, "")</f>
        <v>5.7553956834532377E-2</v>
      </c>
      <c r="L114" s="18">
        <f>IF(ISNUMBER(J114), $B118 * K114, "")</f>
        <v>8633.0935251798564</v>
      </c>
      <c r="M114" s="31">
        <v>295</v>
      </c>
      <c r="N114" s="32">
        <f t="shared" ref="N114:N117" si="61">IF(ISNUMBER(M114), (M114 - $B114) / $B114, "")</f>
        <v>6.1151079136690649E-2</v>
      </c>
      <c r="O114" s="18">
        <f>IF(ISNUMBER(M114), $B118 * N114, "")</f>
        <v>9172.661870503598</v>
      </c>
      <c r="Q114" s="146"/>
      <c r="R114" s="146"/>
      <c r="S114" s="146"/>
    </row>
    <row r="115" spans="1:19" ht="17.25" thickBot="1">
      <c r="A115" s="109" t="s">
        <v>227</v>
      </c>
      <c r="B115" s="110">
        <v>43.5</v>
      </c>
      <c r="C115" s="70">
        <v>2.35294118E-2</v>
      </c>
      <c r="D115" s="15">
        <v>47.6</v>
      </c>
      <c r="E115" s="32">
        <f t="shared" si="58"/>
        <v>9.4252873563218417E-2</v>
      </c>
      <c r="F115" s="18">
        <f>IF(ISNUMBER(D115), $B118 * E115, "")</f>
        <v>14137.931034482763</v>
      </c>
      <c r="G115" s="31">
        <v>48.1</v>
      </c>
      <c r="H115" s="32">
        <f t="shared" si="59"/>
        <v>0.10574712643678164</v>
      </c>
      <c r="I115" s="91">
        <f>IF(ISNUMBER(G115), $B118 * H115, "")</f>
        <v>15862.068965517245</v>
      </c>
      <c r="J115" s="15">
        <v>47.6</v>
      </c>
      <c r="K115" s="32">
        <f t="shared" si="60"/>
        <v>9.4252873563218417E-2</v>
      </c>
      <c r="L115" s="18">
        <f>IF(ISNUMBER(J115), $B118 * K115, "")</f>
        <v>14137.931034482763</v>
      </c>
      <c r="M115" s="31">
        <v>48</v>
      </c>
      <c r="N115" s="32">
        <f t="shared" si="61"/>
        <v>0.10344827586206896</v>
      </c>
      <c r="O115" s="18">
        <f>IF(ISNUMBER(M115), $B118 * N115, "")</f>
        <v>15517.241379310344</v>
      </c>
      <c r="Q115" s="146"/>
      <c r="R115" s="146"/>
      <c r="S115" s="146"/>
    </row>
    <row r="116" spans="1:19">
      <c r="A116" s="109" t="s">
        <v>167</v>
      </c>
      <c r="B116" s="110">
        <v>209</v>
      </c>
      <c r="C116" s="70">
        <v>1.9512195100000001E-2</v>
      </c>
      <c r="D116" s="15">
        <v>220</v>
      </c>
      <c r="E116" s="32">
        <f t="shared" si="58"/>
        <v>5.2631578947368418E-2</v>
      </c>
      <c r="F116" s="18">
        <f>IF(ISNUMBER(D116), $B118 * E116, "")</f>
        <v>7894.7368421052624</v>
      </c>
      <c r="G116" s="31">
        <v>219</v>
      </c>
      <c r="H116" s="32">
        <f t="shared" si="59"/>
        <v>4.784688995215311E-2</v>
      </c>
      <c r="I116" s="91">
        <f>IF(ISNUMBER(G116), $B118 * H116, "")</f>
        <v>7177.0334928229668</v>
      </c>
      <c r="J116" s="15">
        <v>216</v>
      </c>
      <c r="K116" s="32">
        <f t="shared" si="60"/>
        <v>3.3492822966507178E-2</v>
      </c>
      <c r="L116" s="18">
        <f>IF(ISNUMBER(J116), $B118 * K116, "")</f>
        <v>5023.923444976077</v>
      </c>
      <c r="M116" s="31">
        <v>218</v>
      </c>
      <c r="N116" s="32">
        <f t="shared" si="61"/>
        <v>4.3062200956937802E-2</v>
      </c>
      <c r="O116" s="18">
        <f>IF(ISNUMBER(M116), $B118 * N116, "")</f>
        <v>6459.3301435406702</v>
      </c>
      <c r="Q116" s="135"/>
      <c r="R116" s="136"/>
      <c r="S116" s="137"/>
    </row>
    <row r="117" spans="1:19" ht="17.25" thickBot="1">
      <c r="A117" s="114" t="s">
        <v>85</v>
      </c>
      <c r="B117" s="115">
        <v>162</v>
      </c>
      <c r="C117" s="72">
        <v>1.8867924500000001E-2</v>
      </c>
      <c r="D117" s="24">
        <v>171</v>
      </c>
      <c r="E117" s="25">
        <f t="shared" si="58"/>
        <v>5.5555555555555552E-2</v>
      </c>
      <c r="F117" s="94">
        <f>IF(ISNUMBER(D117), $B118 * E117, "")</f>
        <v>8333.3333333333321</v>
      </c>
      <c r="G117" s="92">
        <v>172</v>
      </c>
      <c r="H117" s="25">
        <f t="shared" si="59"/>
        <v>6.1728395061728392E-2</v>
      </c>
      <c r="I117" s="93">
        <f>IF(ISNUMBER(G117), $B118 * H117, "")</f>
        <v>9259.2592592592591</v>
      </c>
      <c r="J117" s="24">
        <v>169</v>
      </c>
      <c r="K117" s="25">
        <f t="shared" si="60"/>
        <v>4.3209876543209874E-2</v>
      </c>
      <c r="L117" s="94">
        <f>IF(ISNUMBER(J117), $B118 * K117, "")</f>
        <v>6481.4814814814808</v>
      </c>
      <c r="M117" s="92">
        <v>169</v>
      </c>
      <c r="N117" s="25">
        <f t="shared" si="61"/>
        <v>4.3209876543209874E-2</v>
      </c>
      <c r="O117" s="94">
        <f>IF(ISNUMBER(M117), $B118 * N117, "")</f>
        <v>6481.4814814814808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5.6799699703872567E-2</v>
      </c>
      <c r="F118" s="28">
        <f>SUM(F98:F117)</f>
        <v>170399.09911161769</v>
      </c>
      <c r="G118" s="26" t="s">
        <v>258</v>
      </c>
      <c r="H118" s="27">
        <f>IF(COUNT(H98:H117), SUM(H98:H117) / COUNT(H98:H117), 0)</f>
        <v>7.0000300439964386E-2</v>
      </c>
      <c r="I118" s="28">
        <f>SUM(I98:I117)</f>
        <v>210000.90131989311</v>
      </c>
      <c r="J118" s="26" t="s">
        <v>258</v>
      </c>
      <c r="K118" s="27">
        <f>IF(COUNT(K98:K117), SUM(K98:K117) / COUNT(K98:K117), 0)</f>
        <v>5.77327075076274E-2</v>
      </c>
      <c r="L118" s="28">
        <f>SUM(L98:L117)</f>
        <v>173198.12252288221</v>
      </c>
      <c r="M118" s="26" t="s">
        <v>258</v>
      </c>
      <c r="N118" s="27">
        <f>IF(COUNT(N98:N117), SUM(N98:N117) / COUNT(N98:N117), 0)</f>
        <v>6.6590447740417474E-2</v>
      </c>
      <c r="O118" s="28">
        <f>SUM(O98:O117)</f>
        <v>199771.34322125243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2023-01-21(토) 오전 00:00</v>
      </c>
      <c r="C123" s="198"/>
      <c r="D123" s="170" t="str">
        <f>TEXT($G$1, "[$-ko-KR]yyyy-mm-dd(ddd) ") &amp; "오후 14:00"</f>
        <v>2023-01-21(토) 오후 14:00</v>
      </c>
      <c r="E123" s="171"/>
      <c r="F123" s="172"/>
      <c r="G123" s="170" t="str">
        <f>TEXT($G$1, "[$-ko-KR]yyyy-mm-dd(ddd) ") &amp; "오후 19:00"</f>
        <v>2023-01-21(토) 오후 19:00</v>
      </c>
      <c r="H123" s="171"/>
      <c r="I123" s="172"/>
      <c r="J123" s="170" t="str">
        <f>TEXT($G$1, "[$-ko-KR]yyyy-mm-dd(ddd) ") &amp; "오후 21:00"</f>
        <v>2023-01-21(토) 오후 21:00</v>
      </c>
      <c r="K123" s="171"/>
      <c r="L123" s="172"/>
      <c r="M123" s="170" t="str">
        <f>TEXT($G$1+1, "[$-ko-KR]yyyy-mm-dd(ddd) ") &amp; "오전 00:00"</f>
        <v>2023-01-22(일)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195</v>
      </c>
      <c r="B125" s="108">
        <v>6.51</v>
      </c>
      <c r="C125" s="69">
        <v>3.0816641000000001E-3</v>
      </c>
      <c r="D125" s="13">
        <v>6.94</v>
      </c>
      <c r="E125" s="14">
        <f>IF(ISNUMBER(D125), (D125 - $B125) / $B125, "")</f>
        <v>6.6052227342550021E-2</v>
      </c>
      <c r="F125" s="16">
        <f>IF(ISNUMBER(D125), $B145 * E125, "")</f>
        <v>9907.8341013825029</v>
      </c>
      <c r="G125" s="29">
        <v>6.97</v>
      </c>
      <c r="H125" s="14">
        <f>IF(ISNUMBER(G125), (G125 - $B125) / $B125, "")</f>
        <v>7.0660522273425494E-2</v>
      </c>
      <c r="I125" s="90">
        <f>IF(ISNUMBER(G125), $B145 * H125, "")</f>
        <v>10599.078341013825</v>
      </c>
      <c r="J125" s="13">
        <v>6.88</v>
      </c>
      <c r="K125" s="14">
        <f>IF(ISNUMBER(J125), (J125 - $B125) / $B125, "")</f>
        <v>5.6835637480798791E-2</v>
      </c>
      <c r="L125" s="16">
        <f>IF(ISNUMBER(J125), $B145 * K125, "")</f>
        <v>8525.3456221198194</v>
      </c>
      <c r="M125" s="29">
        <v>6.97</v>
      </c>
      <c r="N125" s="14">
        <f>IF(ISNUMBER(M125), (M125 - $B125) / $B125, "")</f>
        <v>7.0660522273425494E-2</v>
      </c>
      <c r="O125" s="16">
        <f>IF(ISNUMBER(M125), $B145 * N125, "")</f>
        <v>10599.078341013825</v>
      </c>
      <c r="Q125" s="156"/>
      <c r="R125" s="156"/>
      <c r="S125" s="156"/>
    </row>
    <row r="126" spans="1:19" ht="17.25" thickBot="1">
      <c r="A126" s="109" t="s">
        <v>333</v>
      </c>
      <c r="B126" s="110">
        <v>4.88</v>
      </c>
      <c r="C126" s="70">
        <v>2.0533881000000002E-3</v>
      </c>
      <c r="D126" s="15">
        <v>5.14</v>
      </c>
      <c r="E126" s="32">
        <f t="shared" ref="E126:E129" si="62">IF(ISNUMBER(D126), (D126 - $B126) / $B126, "")</f>
        <v>5.3278688524590119E-2</v>
      </c>
      <c r="F126" s="18">
        <f>IF(ISNUMBER(D126), $B145 * E126, "")</f>
        <v>7991.8032786885178</v>
      </c>
      <c r="G126" s="31">
        <v>5.16</v>
      </c>
      <c r="H126" s="32">
        <f t="shared" ref="H126:H129" si="63">IF(ISNUMBER(G126), (G126 - $B126) / $B126, "")</f>
        <v>5.7377049180327919E-2</v>
      </c>
      <c r="I126" s="91">
        <f>IF(ISNUMBER(G126), $B145 * H126, "")</f>
        <v>8606.5573770491883</v>
      </c>
      <c r="J126" s="15">
        <v>5.09</v>
      </c>
      <c r="K126" s="32">
        <f t="shared" ref="K126:K129" si="64">IF(ISNUMBER(J126), (J126 - $B126) / $B126, "")</f>
        <v>4.3032786885245894E-2</v>
      </c>
      <c r="L126" s="18">
        <f>IF(ISNUMBER(J126), $B145 * K126, "")</f>
        <v>6454.9180327868844</v>
      </c>
      <c r="M126" s="31">
        <v>5.2</v>
      </c>
      <c r="N126" s="32">
        <f t="shared" ref="N126:N129" si="65">IF(ISNUMBER(M126), (M126 - $B126) / $B126, "")</f>
        <v>6.5573770491803338E-2</v>
      </c>
      <c r="O126" s="18">
        <f>IF(ISNUMBER(M126), $B145 * N126, "")</f>
        <v>9836.0655737705001</v>
      </c>
      <c r="Q126" s="156"/>
      <c r="R126" s="156"/>
      <c r="S126" s="156"/>
    </row>
    <row r="127" spans="1:19" ht="17.25" thickBot="1">
      <c r="A127" s="109" t="s">
        <v>207</v>
      </c>
      <c r="B127" s="110">
        <v>70.900000000000006</v>
      </c>
      <c r="C127" s="70">
        <v>1.4124293999999999E-3</v>
      </c>
      <c r="D127" s="15">
        <v>83.7</v>
      </c>
      <c r="E127" s="32">
        <f t="shared" si="62"/>
        <v>0.18053596614950629</v>
      </c>
      <c r="F127" s="18">
        <f>IF(ISNUMBER(D127), $B145 * E127, "")</f>
        <v>27080.394922425945</v>
      </c>
      <c r="G127" s="31">
        <v>83.4</v>
      </c>
      <c r="H127" s="32">
        <f t="shared" si="63"/>
        <v>0.17630465444287727</v>
      </c>
      <c r="I127" s="91">
        <f>IF(ISNUMBER(G127), $B145 * H127, "")</f>
        <v>26445.69816643159</v>
      </c>
      <c r="J127" s="15">
        <v>83</v>
      </c>
      <c r="K127" s="32">
        <f t="shared" si="64"/>
        <v>0.17066290550070512</v>
      </c>
      <c r="L127" s="18">
        <f>IF(ISNUMBER(J127), $B145 * K127, "")</f>
        <v>25599.435825105767</v>
      </c>
      <c r="M127" s="31">
        <v>79.3</v>
      </c>
      <c r="N127" s="32">
        <f t="shared" si="65"/>
        <v>0.11847672778561341</v>
      </c>
      <c r="O127" s="18">
        <f>IF(ISNUMBER(M127), $B145 * N127, "")</f>
        <v>17771.50916784201</v>
      </c>
      <c r="Q127" s="146"/>
      <c r="R127" s="146"/>
      <c r="S127" s="146"/>
    </row>
    <row r="128" spans="1:19" ht="17.25" thickBot="1">
      <c r="A128" s="109" t="s">
        <v>324</v>
      </c>
      <c r="B128" s="110">
        <v>92.2</v>
      </c>
      <c r="C128" s="70">
        <v>1.0857763E-3</v>
      </c>
      <c r="D128" s="15">
        <v>96.2</v>
      </c>
      <c r="E128" s="32">
        <f t="shared" si="62"/>
        <v>4.3383947939262472E-2</v>
      </c>
      <c r="F128" s="18">
        <f>IF(ISNUMBER(D128), $B145 * E128, "")</f>
        <v>6507.5921908893706</v>
      </c>
      <c r="G128" s="31">
        <v>98</v>
      </c>
      <c r="H128" s="32">
        <f t="shared" si="63"/>
        <v>6.2906724511930551E-2</v>
      </c>
      <c r="I128" s="91">
        <f>IF(ISNUMBER(G128), $B145 * H128, "")</f>
        <v>9436.0086767895828</v>
      </c>
      <c r="J128" s="15">
        <v>97</v>
      </c>
      <c r="K128" s="32">
        <f t="shared" si="64"/>
        <v>5.2060737527114938E-2</v>
      </c>
      <c r="L128" s="18">
        <f>IF(ISNUMBER(J128), $B145 * K128, "")</f>
        <v>7809.1106290672406</v>
      </c>
      <c r="M128" s="31">
        <v>97.6</v>
      </c>
      <c r="N128" s="32">
        <f t="shared" si="65"/>
        <v>5.8568329718004242E-2</v>
      </c>
      <c r="O128" s="18">
        <f>IF(ISNUMBER(M128), $B145 * N128, "")</f>
        <v>8785.2494577006364</v>
      </c>
      <c r="Q128" s="146"/>
      <c r="R128" s="146"/>
      <c r="S128" s="146"/>
    </row>
    <row r="129" spans="1:19" ht="17.25" thickBot="1">
      <c r="A129" s="111" t="s">
        <v>97</v>
      </c>
      <c r="B129" s="112">
        <v>8.9999999999999998E-4</v>
      </c>
      <c r="C129" s="71">
        <v>0</v>
      </c>
      <c r="D129" s="20">
        <v>8.9999999999999998E-4</v>
      </c>
      <c r="E129" s="21">
        <f t="shared" si="62"/>
        <v>0</v>
      </c>
      <c r="F129" s="22">
        <f>IF(ISNUMBER(D129), $B145 * E129, "")</f>
        <v>0</v>
      </c>
      <c r="G129" s="30">
        <v>8.9999999999999998E-4</v>
      </c>
      <c r="H129" s="21">
        <f t="shared" si="63"/>
        <v>0</v>
      </c>
      <c r="I129" s="95">
        <f>IF(ISNUMBER(G129), $B145 * H129, "")</f>
        <v>0</v>
      </c>
      <c r="J129" s="20">
        <v>8.9999999999999998E-4</v>
      </c>
      <c r="K129" s="21">
        <f t="shared" si="64"/>
        <v>0</v>
      </c>
      <c r="L129" s="22">
        <f>IF(ISNUMBER(J129), $B145 * K129, "")</f>
        <v>0</v>
      </c>
      <c r="M129" s="30">
        <v>1E-3</v>
      </c>
      <c r="N129" s="21">
        <f t="shared" si="65"/>
        <v>0.11111111111111116</v>
      </c>
      <c r="O129" s="22">
        <f>IF(ISNUMBER(M129), $B145 * N129, "")</f>
        <v>16666.666666666675</v>
      </c>
      <c r="Q129" s="146"/>
      <c r="R129" s="146"/>
      <c r="S129" s="146"/>
    </row>
    <row r="130" spans="1:19" ht="17.25" thickBot="1">
      <c r="A130" s="109" t="s">
        <v>191</v>
      </c>
      <c r="B130" s="113">
        <v>58</v>
      </c>
      <c r="C130" s="73">
        <v>0</v>
      </c>
      <c r="D130" s="96">
        <v>63</v>
      </c>
      <c r="E130" s="97">
        <f>IF(ISNUMBER(D130), (D130 - $B130) / $B130, "")</f>
        <v>8.6206896551724144E-2</v>
      </c>
      <c r="F130" s="98">
        <f>IF(ISNUMBER(D130), $B145 * E130, "")</f>
        <v>12931.034482758621</v>
      </c>
      <c r="G130" s="99">
        <v>62.9</v>
      </c>
      <c r="H130" s="97">
        <f>IF(ISNUMBER(G130), (G130 - $B130) / $B130, "")</f>
        <v>8.448275862068963E-2</v>
      </c>
      <c r="I130" s="100">
        <f>IF(ISNUMBER(G130), $B145 * H130, "")</f>
        <v>12672.413793103444</v>
      </c>
      <c r="J130" s="96">
        <v>62.4</v>
      </c>
      <c r="K130" s="97">
        <f>IF(ISNUMBER(J130), (J130 - $B130) / $B130, "")</f>
        <v>7.5862068965517213E-2</v>
      </c>
      <c r="L130" s="98">
        <f>IF(ISNUMBER(J130), $B145 * K130, "")</f>
        <v>11379.310344827582</v>
      </c>
      <c r="M130" s="99">
        <v>63.5</v>
      </c>
      <c r="N130" s="97">
        <f>IF(ISNUMBER(M130), (M130 - $B130) / $B130, "")</f>
        <v>9.4827586206896547E-2</v>
      </c>
      <c r="O130" s="98">
        <f>IF(ISNUMBER(M130), $B145 * N130, "")</f>
        <v>14224.137931034482</v>
      </c>
      <c r="Q130" s="146"/>
      <c r="R130" s="146"/>
      <c r="S130" s="146"/>
    </row>
    <row r="131" spans="1:19" ht="17.25" thickBot="1">
      <c r="A131" s="109" t="s">
        <v>237</v>
      </c>
      <c r="B131" s="110">
        <v>29.4</v>
      </c>
      <c r="C131" s="70">
        <v>0</v>
      </c>
      <c r="D131" s="15">
        <v>30.4</v>
      </c>
      <c r="E131" s="32">
        <f t="shared" ref="E131:E134" si="66">IF(ISNUMBER(D131), (D131 - $B131) / $B131, "")</f>
        <v>3.4013605442176874E-2</v>
      </c>
      <c r="F131" s="18">
        <f>IF(ISNUMBER(D131), $B145 * E131, "")</f>
        <v>5102.0408163265311</v>
      </c>
      <c r="G131" s="31">
        <v>30.6</v>
      </c>
      <c r="H131" s="32">
        <f t="shared" ref="H131:H134" si="67">IF(ISNUMBER(G131), (G131 - $B131) / $B131, "")</f>
        <v>4.0816326530612346E-2</v>
      </c>
      <c r="I131" s="91">
        <f>IF(ISNUMBER(G131), $B145 * H131, "")</f>
        <v>6122.4489795918516</v>
      </c>
      <c r="J131" s="15">
        <v>30.4</v>
      </c>
      <c r="K131" s="32">
        <f t="shared" ref="K131:K134" si="68">IF(ISNUMBER(J131), (J131 - $B131) / $B131, "")</f>
        <v>3.4013605442176874E-2</v>
      </c>
      <c r="L131" s="18">
        <f>IF(ISNUMBER(J131), $B145 * K131, "")</f>
        <v>5102.0408163265311</v>
      </c>
      <c r="M131" s="31">
        <v>30.8</v>
      </c>
      <c r="N131" s="32">
        <f t="shared" ref="N131:N134" si="69">IF(ISNUMBER(M131), (M131 - $B131) / $B131, "")</f>
        <v>4.7619047619047693E-2</v>
      </c>
      <c r="O131" s="18">
        <f>IF(ISNUMBER(M131), $B145 * N131, "")</f>
        <v>7142.857142857154</v>
      </c>
      <c r="Q131" s="146"/>
      <c r="R131" s="146"/>
      <c r="S131" s="146"/>
    </row>
    <row r="132" spans="1:19" ht="17.25" thickBot="1">
      <c r="A132" s="109" t="s">
        <v>203</v>
      </c>
      <c r="B132" s="110">
        <v>3.55</v>
      </c>
      <c r="C132" s="70">
        <v>0</v>
      </c>
      <c r="D132" s="15">
        <v>3.75</v>
      </c>
      <c r="E132" s="32">
        <f t="shared" si="66"/>
        <v>5.6338028169014134E-2</v>
      </c>
      <c r="F132" s="18">
        <f>IF(ISNUMBER(D132), $B145 * E132, "")</f>
        <v>8450.7042253521195</v>
      </c>
      <c r="G132" s="31">
        <v>3.78</v>
      </c>
      <c r="H132" s="32">
        <f t="shared" si="67"/>
        <v>6.4788732394366194E-2</v>
      </c>
      <c r="I132" s="91">
        <f>IF(ISNUMBER(G132), $B145 * H132, "")</f>
        <v>9718.3098591549297</v>
      </c>
      <c r="J132" s="15">
        <v>3.73</v>
      </c>
      <c r="K132" s="32">
        <f t="shared" si="68"/>
        <v>5.0704225352112726E-2</v>
      </c>
      <c r="L132" s="18">
        <f>IF(ISNUMBER(J132), $B145 * K132, "")</f>
        <v>7605.6338028169093</v>
      </c>
      <c r="M132" s="31">
        <v>3.78</v>
      </c>
      <c r="N132" s="32">
        <f t="shared" si="69"/>
        <v>6.4788732394366194E-2</v>
      </c>
      <c r="O132" s="18">
        <f>IF(ISNUMBER(M132), $B145 * N132, "")</f>
        <v>9718.3098591549297</v>
      </c>
      <c r="Q132" s="146"/>
      <c r="R132" s="146"/>
      <c r="S132" s="146"/>
    </row>
    <row r="133" spans="1:19" ht="17.25" thickBot="1">
      <c r="A133" s="109" t="s">
        <v>141</v>
      </c>
      <c r="B133" s="110">
        <v>3.55</v>
      </c>
      <c r="C133" s="70">
        <v>0</v>
      </c>
      <c r="D133" s="15">
        <v>3.73</v>
      </c>
      <c r="E133" s="32">
        <f t="shared" si="66"/>
        <v>5.0704225352112726E-2</v>
      </c>
      <c r="F133" s="18">
        <f>IF(ISNUMBER(D133), $B145 * E133, "")</f>
        <v>7605.6338028169093</v>
      </c>
      <c r="G133" s="31">
        <v>3.75</v>
      </c>
      <c r="H133" s="32">
        <f t="shared" si="67"/>
        <v>5.6338028169014134E-2</v>
      </c>
      <c r="I133" s="91">
        <f>IF(ISNUMBER(G133), $B145 * H133, "")</f>
        <v>8450.7042253521195</v>
      </c>
      <c r="J133" s="15">
        <v>3.7</v>
      </c>
      <c r="K133" s="32">
        <f t="shared" si="68"/>
        <v>4.2253521126760667E-2</v>
      </c>
      <c r="L133" s="18">
        <f>IF(ISNUMBER(J133), $B145 * K133, "")</f>
        <v>6338.0281690141001</v>
      </c>
      <c r="M133" s="31">
        <v>3.76</v>
      </c>
      <c r="N133" s="32">
        <f t="shared" si="69"/>
        <v>5.9154929577464779E-2</v>
      </c>
      <c r="O133" s="18">
        <f>IF(ISNUMBER(M133), $B145 * N133, "")</f>
        <v>8873.2394366197168</v>
      </c>
      <c r="Q133" s="33"/>
      <c r="R133" s="33"/>
    </row>
    <row r="134" spans="1:19" ht="17.25" thickBot="1">
      <c r="A134" s="114" t="s">
        <v>352</v>
      </c>
      <c r="B134" s="115">
        <v>1.43E-2</v>
      </c>
      <c r="C134" s="72">
        <v>0</v>
      </c>
      <c r="D134" s="24">
        <v>1.49E-2</v>
      </c>
      <c r="E134" s="25">
        <f t="shared" si="66"/>
        <v>4.1958041958041946E-2</v>
      </c>
      <c r="F134" s="94">
        <f>IF(ISNUMBER(D134), $B145 * E134, "")</f>
        <v>6293.7062937062919</v>
      </c>
      <c r="G134" s="92">
        <v>1.5299999999999999E-2</v>
      </c>
      <c r="H134" s="25">
        <f t="shared" si="67"/>
        <v>6.9930069930069866E-2</v>
      </c>
      <c r="I134" s="93">
        <f>IF(ISNUMBER(G134), $B145 * H134, "")</f>
        <v>10489.51048951048</v>
      </c>
      <c r="J134" s="24">
        <v>1.52E-2</v>
      </c>
      <c r="K134" s="25">
        <f t="shared" si="68"/>
        <v>6.2937062937062915E-2</v>
      </c>
      <c r="L134" s="94">
        <f>IF(ISNUMBER(J134), $B145 * K134, "")</f>
        <v>9440.5594405594366</v>
      </c>
      <c r="M134" s="92">
        <v>1.4999999999999999E-2</v>
      </c>
      <c r="N134" s="25">
        <f t="shared" si="69"/>
        <v>4.8951048951048896E-2</v>
      </c>
      <c r="O134" s="94">
        <f>IF(ISNUMBER(M134), $B145 * N134, "")</f>
        <v>7342.6573426573341</v>
      </c>
      <c r="Q134" s="147"/>
      <c r="R134" s="148"/>
      <c r="S134" s="149"/>
    </row>
    <row r="135" spans="1:19">
      <c r="A135" s="107" t="s">
        <v>221</v>
      </c>
      <c r="B135" s="108">
        <v>21.7</v>
      </c>
      <c r="C135" s="69">
        <v>0</v>
      </c>
      <c r="D135" s="13">
        <v>22.4</v>
      </c>
      <c r="E135" s="14">
        <f>IF(ISNUMBER(D135), (D135 - $B135) / $B135, "")</f>
        <v>3.2258064516129004E-2</v>
      </c>
      <c r="F135" s="16">
        <f>IF(ISNUMBER(D135), $B145 * E135, "")</f>
        <v>4838.7096774193506</v>
      </c>
      <c r="G135" s="29">
        <v>22.7</v>
      </c>
      <c r="H135" s="14">
        <f>IF(ISNUMBER(G135), (G135 - $B135) / $B135, "")</f>
        <v>4.6082949308755762E-2</v>
      </c>
      <c r="I135" s="90">
        <f>IF(ISNUMBER(G135), $B145 * H135, "")</f>
        <v>6912.442396313364</v>
      </c>
      <c r="J135" s="13">
        <v>22.4</v>
      </c>
      <c r="K135" s="14">
        <f>IF(ISNUMBER(J135), (J135 - $B135) / $B135, "")</f>
        <v>3.2258064516129004E-2</v>
      </c>
      <c r="L135" s="16">
        <f>IF(ISNUMBER(J135), $B145 * K135, "")</f>
        <v>4838.7096774193506</v>
      </c>
      <c r="M135" s="29">
        <v>22.8</v>
      </c>
      <c r="N135" s="14">
        <f>IF(ISNUMBER(M135), (M135 - $B135) / $B135, "")</f>
        <v>5.0691244239631401E-2</v>
      </c>
      <c r="O135" s="16">
        <f>IF(ISNUMBER(M135), $B145 * N135, "")</f>
        <v>7603.6866359447104</v>
      </c>
      <c r="Q135" s="150"/>
      <c r="R135" s="151"/>
      <c r="S135" s="152"/>
    </row>
    <row r="136" spans="1:19" ht="17.25" thickBot="1">
      <c r="A136" s="109" t="s">
        <v>323</v>
      </c>
      <c r="B136" s="110">
        <v>3.5900000000000001E-2</v>
      </c>
      <c r="C136" s="70">
        <v>0</v>
      </c>
      <c r="D136" s="15">
        <v>3.7900000000000003E-2</v>
      </c>
      <c r="E136" s="32">
        <f t="shared" ref="E136:E139" si="70">IF(ISNUMBER(D136), (D136 - $B136) / $B136, "")</f>
        <v>5.5710306406685284E-2</v>
      </c>
      <c r="F136" s="18">
        <f>IF(ISNUMBER(D136), $B145 * E136, "")</f>
        <v>8356.545961002792</v>
      </c>
      <c r="G136" s="31">
        <v>3.8100000000000002E-2</v>
      </c>
      <c r="H136" s="32">
        <f t="shared" ref="H136:H139" si="71">IF(ISNUMBER(G136), (G136 - $B136) / $B136, "")</f>
        <v>6.1281337047353772E-2</v>
      </c>
      <c r="I136" s="91">
        <f>IF(ISNUMBER(G136), $B145 * H136, "")</f>
        <v>9192.2005571030659</v>
      </c>
      <c r="J136" s="15">
        <v>3.78E-2</v>
      </c>
      <c r="K136" s="32">
        <f t="shared" ref="K136:K139" si="72">IF(ISNUMBER(J136), (J136 - $B136) / $B136, "")</f>
        <v>5.2924791086350946E-2</v>
      </c>
      <c r="L136" s="18">
        <f>IF(ISNUMBER(J136), $B145 * K136, "")</f>
        <v>7938.7186629526423</v>
      </c>
      <c r="M136" s="31">
        <v>3.7999999999999999E-2</v>
      </c>
      <c r="N136" s="32">
        <f t="shared" ref="N136:N139" si="73">IF(ISNUMBER(M136), (M136 - $B136) / $B136, "")</f>
        <v>5.8495821727019434E-2</v>
      </c>
      <c r="O136" s="18">
        <f>IF(ISNUMBER(M136), $B145 * N136, "")</f>
        <v>8774.3732590529144</v>
      </c>
      <c r="Q136" s="153"/>
      <c r="R136" s="154"/>
      <c r="S136" s="155"/>
    </row>
    <row r="137" spans="1:19" ht="17.25" thickBot="1">
      <c r="A137" s="109" t="s">
        <v>181</v>
      </c>
      <c r="B137" s="110">
        <v>4.58</v>
      </c>
      <c r="C137" s="70">
        <v>-2.1786492E-3</v>
      </c>
      <c r="D137" s="15">
        <v>4.8600000000000003</v>
      </c>
      <c r="E137" s="32">
        <f t="shared" si="70"/>
        <v>6.1135371179039354E-2</v>
      </c>
      <c r="F137" s="18">
        <f>IF(ISNUMBER(D137), $B145 * E137, "")</f>
        <v>9170.3056768559036</v>
      </c>
      <c r="G137" s="31">
        <v>4.8600000000000003</v>
      </c>
      <c r="H137" s="32">
        <f t="shared" si="71"/>
        <v>6.1135371179039354E-2</v>
      </c>
      <c r="I137" s="91">
        <f>IF(ISNUMBER(G137), $B145 * H137, "")</f>
        <v>9170.3056768559036</v>
      </c>
      <c r="J137" s="15">
        <v>4.82</v>
      </c>
      <c r="K137" s="32">
        <f t="shared" si="72"/>
        <v>5.2401746724890876E-2</v>
      </c>
      <c r="L137" s="18">
        <f>IF(ISNUMBER(J137), $B145 * K137, "")</f>
        <v>7860.2620087336318</v>
      </c>
      <c r="M137" s="31">
        <v>4.87</v>
      </c>
      <c r="N137" s="32">
        <f t="shared" si="73"/>
        <v>6.3318777292576428E-2</v>
      </c>
      <c r="O137" s="18">
        <f>IF(ISNUMBER(M137), $B145 * N137, "")</f>
        <v>9497.816593886464</v>
      </c>
      <c r="Q137" s="146"/>
      <c r="R137" s="146"/>
      <c r="S137" s="146"/>
    </row>
    <row r="138" spans="1:19" ht="17.25" thickBot="1">
      <c r="A138" s="109" t="s">
        <v>193</v>
      </c>
      <c r="B138" s="110">
        <v>19.100000000000001</v>
      </c>
      <c r="C138" s="70">
        <v>-5.2083333000000004E-3</v>
      </c>
      <c r="D138" s="15">
        <v>20.2</v>
      </c>
      <c r="E138" s="32">
        <f t="shared" si="70"/>
        <v>5.7591623036649102E-2</v>
      </c>
      <c r="F138" s="18">
        <f>IF(ISNUMBER(D138), $B145 * E138, "")</f>
        <v>8638.7434554973661</v>
      </c>
      <c r="G138" s="31">
        <v>20.2</v>
      </c>
      <c r="H138" s="32">
        <f t="shared" si="71"/>
        <v>5.7591623036649102E-2</v>
      </c>
      <c r="I138" s="91">
        <f>IF(ISNUMBER(G138), $B145 * H138, "")</f>
        <v>8638.7434554973661</v>
      </c>
      <c r="J138" s="15">
        <v>20.100000000000001</v>
      </c>
      <c r="K138" s="32">
        <f t="shared" si="72"/>
        <v>5.235602094240837E-2</v>
      </c>
      <c r="L138" s="18">
        <f>IF(ISNUMBER(J138), $B145 * K138, "")</f>
        <v>7853.4031413612556</v>
      </c>
      <c r="M138" s="31">
        <v>20.3</v>
      </c>
      <c r="N138" s="32">
        <f t="shared" si="73"/>
        <v>6.2827225130890008E-2</v>
      </c>
      <c r="O138" s="18">
        <f>IF(ISNUMBER(M138), $B145 * N138, "")</f>
        <v>9424.083769633502</v>
      </c>
      <c r="Q138" s="156"/>
      <c r="R138" s="156"/>
      <c r="S138" s="156"/>
    </row>
    <row r="139" spans="1:19" ht="17.25" thickBot="1">
      <c r="A139" s="111" t="s">
        <v>118</v>
      </c>
      <c r="B139" s="112">
        <v>6.17</v>
      </c>
      <c r="C139" s="71">
        <v>-8.0385852000000001E-3</v>
      </c>
      <c r="D139" s="20">
        <v>6.74</v>
      </c>
      <c r="E139" s="21">
        <f t="shared" si="70"/>
        <v>9.238249594813619E-2</v>
      </c>
      <c r="F139" s="22">
        <f>IF(ISNUMBER(D139), $B145 * E139, "")</f>
        <v>13857.374392220428</v>
      </c>
      <c r="G139" s="30">
        <v>6.69</v>
      </c>
      <c r="H139" s="21">
        <f t="shared" si="71"/>
        <v>8.4278768233387438E-2</v>
      </c>
      <c r="I139" s="95">
        <f>IF(ISNUMBER(G139), $B145 * H139, "")</f>
        <v>12641.815235008116</v>
      </c>
      <c r="J139" s="20">
        <v>6.58</v>
      </c>
      <c r="K139" s="21">
        <f t="shared" si="72"/>
        <v>6.6450567260940049E-2</v>
      </c>
      <c r="L139" s="22">
        <f>IF(ISNUMBER(J139), $B145 * K139, "")</f>
        <v>9967.5850891410082</v>
      </c>
      <c r="M139" s="30">
        <v>6.68</v>
      </c>
      <c r="N139" s="21">
        <f t="shared" si="73"/>
        <v>8.2658022690437566E-2</v>
      </c>
      <c r="O139" s="22">
        <f>IF(ISNUMBER(M139), $B145 * N139, "")</f>
        <v>12398.703403565634</v>
      </c>
      <c r="Q139" s="156"/>
      <c r="R139" s="156"/>
      <c r="S139" s="156"/>
    </row>
    <row r="140" spans="1:19" ht="17.25" thickBot="1">
      <c r="A140" s="109" t="s">
        <v>64</v>
      </c>
      <c r="B140" s="113">
        <v>11.2</v>
      </c>
      <c r="C140" s="73">
        <v>-8.8495575000000007E-3</v>
      </c>
      <c r="D140" s="96">
        <v>12.1</v>
      </c>
      <c r="E140" s="97">
        <f>IF(ISNUMBER(D140), (D140 - $B140) / $B140, "")</f>
        <v>8.0357142857142891E-2</v>
      </c>
      <c r="F140" s="98">
        <f>IF(ISNUMBER(D140), $B145 * E140, "")</f>
        <v>12053.571428571433</v>
      </c>
      <c r="G140" s="99">
        <v>12.1</v>
      </c>
      <c r="H140" s="97">
        <f>IF(ISNUMBER(G140), (G140 - $B140) / $B140, "")</f>
        <v>8.0357142857142891E-2</v>
      </c>
      <c r="I140" s="100">
        <f>IF(ISNUMBER(G140), $B145 * H140, "")</f>
        <v>12053.571428571433</v>
      </c>
      <c r="J140" s="96">
        <v>12</v>
      </c>
      <c r="K140" s="97">
        <f>IF(ISNUMBER(J140), (J140 - $B140) / $B140, "")</f>
        <v>7.1428571428571494E-2</v>
      </c>
      <c r="L140" s="98">
        <f>IF(ISNUMBER(J140), $B145 * K140, "")</f>
        <v>10714.285714285725</v>
      </c>
      <c r="M140" s="99">
        <v>12.2</v>
      </c>
      <c r="N140" s="97">
        <f>IF(ISNUMBER(M140), (M140 - $B140) / $B140, "")</f>
        <v>8.9285714285714288E-2</v>
      </c>
      <c r="O140" s="98">
        <f>IF(ISNUMBER(M140), $B145 * N140, "")</f>
        <v>13392.857142857143</v>
      </c>
      <c r="Q140" s="146"/>
      <c r="R140" s="146"/>
      <c r="S140" s="146"/>
    </row>
    <row r="141" spans="1:19" ht="17.25" thickBot="1">
      <c r="A141" s="109" t="s">
        <v>350</v>
      </c>
      <c r="B141" s="110">
        <v>7.28</v>
      </c>
      <c r="C141" s="70">
        <v>-1.08695652E-2</v>
      </c>
      <c r="D141" s="15">
        <v>7.81</v>
      </c>
      <c r="E141" s="32">
        <f t="shared" ref="E141:E144" si="74">IF(ISNUMBER(D141), (D141 - $B141) / $B141, "")</f>
        <v>7.280219780219771E-2</v>
      </c>
      <c r="F141" s="18">
        <f>IF(ISNUMBER(D141), $B145 * E141, "")</f>
        <v>10920.329670329656</v>
      </c>
      <c r="G141" s="31">
        <v>7.84</v>
      </c>
      <c r="H141" s="32">
        <f t="shared" ref="H141:H144" si="75">IF(ISNUMBER(G141), (G141 - $B141) / $B141, "")</f>
        <v>7.6923076923076872E-2</v>
      </c>
      <c r="I141" s="91">
        <f>IF(ISNUMBER(G141), $B145 * H141, "")</f>
        <v>11538.46153846153</v>
      </c>
      <c r="J141" s="15">
        <v>7.74</v>
      </c>
      <c r="K141" s="32">
        <f t="shared" ref="K141:K144" si="76">IF(ISNUMBER(J141), (J141 - $B141) / $B141, "")</f>
        <v>6.3186813186813184E-2</v>
      </c>
      <c r="L141" s="18">
        <f>IF(ISNUMBER(J141), $B145 * K141, "")</f>
        <v>9478.0219780219777</v>
      </c>
      <c r="M141" s="31">
        <v>7.78</v>
      </c>
      <c r="N141" s="32">
        <f t="shared" ref="N141:N144" si="77">IF(ISNUMBER(M141), (M141 - $B141) / $B141, "")</f>
        <v>6.8681318681318673E-2</v>
      </c>
      <c r="O141" s="18">
        <f>IF(ISNUMBER(M141), $B145 * N141, "")</f>
        <v>10302.197802197801</v>
      </c>
      <c r="Q141" s="146"/>
      <c r="R141" s="146"/>
      <c r="S141" s="146"/>
    </row>
    <row r="142" spans="1:19" ht="17.25" thickBot="1">
      <c r="A142" s="109" t="s">
        <v>71</v>
      </c>
      <c r="B142" s="110">
        <v>11.9</v>
      </c>
      <c r="C142" s="70">
        <v>-1.6528925600000001E-2</v>
      </c>
      <c r="D142" s="15">
        <v>12.6</v>
      </c>
      <c r="E142" s="32">
        <f t="shared" si="74"/>
        <v>5.8823529411764643E-2</v>
      </c>
      <c r="F142" s="18">
        <f>IF(ISNUMBER(D142), $B145 * E142, "")</f>
        <v>8823.5294117646972</v>
      </c>
      <c r="G142" s="31">
        <v>12.7</v>
      </c>
      <c r="H142" s="32">
        <f t="shared" si="75"/>
        <v>6.7226890756302435E-2</v>
      </c>
      <c r="I142" s="91">
        <f>IF(ISNUMBER(G142), $B145 * H142, "")</f>
        <v>10084.033613445365</v>
      </c>
      <c r="J142" s="15">
        <v>12.7</v>
      </c>
      <c r="K142" s="32">
        <f t="shared" si="76"/>
        <v>6.7226890756302435E-2</v>
      </c>
      <c r="L142" s="18">
        <f>IF(ISNUMBER(J142), $B145 * K142, "")</f>
        <v>10084.033613445365</v>
      </c>
      <c r="M142" s="31">
        <v>12.8</v>
      </c>
      <c r="N142" s="32">
        <f t="shared" si="77"/>
        <v>7.5630252100840359E-2</v>
      </c>
      <c r="O142" s="18">
        <f>IF(ISNUMBER(M142), $B145 * N142, "")</f>
        <v>11344.537815126054</v>
      </c>
      <c r="Q142" s="146"/>
      <c r="R142" s="146"/>
      <c r="S142" s="146"/>
    </row>
    <row r="143" spans="1:19">
      <c r="A143" s="109" t="s">
        <v>225</v>
      </c>
      <c r="B143" s="110">
        <v>63.2</v>
      </c>
      <c r="C143" s="70">
        <v>-1.8633540399999999E-2</v>
      </c>
      <c r="D143" s="15">
        <v>67</v>
      </c>
      <c r="E143" s="32">
        <f t="shared" si="74"/>
        <v>6.0126582278480965E-2</v>
      </c>
      <c r="F143" s="18">
        <f>IF(ISNUMBER(D143), $B145 * E143, "")</f>
        <v>9018.9873417721446</v>
      </c>
      <c r="G143" s="31">
        <v>68.8</v>
      </c>
      <c r="H143" s="32">
        <f t="shared" si="75"/>
        <v>8.8607594936708764E-2</v>
      </c>
      <c r="I143" s="91">
        <f>IF(ISNUMBER(G143), $B145 * H143, "")</f>
        <v>13291.139240506314</v>
      </c>
      <c r="J143" s="15">
        <v>68.099999999999994</v>
      </c>
      <c r="K143" s="32">
        <f t="shared" si="76"/>
        <v>7.7531645569620111E-2</v>
      </c>
      <c r="L143" s="18">
        <f>IF(ISNUMBER(J143), $B145 * K143, "")</f>
        <v>11629.746835443017</v>
      </c>
      <c r="M143" s="31">
        <v>75.8</v>
      </c>
      <c r="N143" s="32">
        <f t="shared" si="77"/>
        <v>0.19936708860759483</v>
      </c>
      <c r="O143" s="18">
        <f>IF(ISNUMBER(M143), $B145 * N143, "")</f>
        <v>29905.063291139224</v>
      </c>
      <c r="Q143" s="135"/>
      <c r="R143" s="136"/>
      <c r="S143" s="137"/>
    </row>
    <row r="144" spans="1:19" ht="17.25" thickBot="1">
      <c r="A144" s="114" t="s">
        <v>185</v>
      </c>
      <c r="B144" s="115">
        <v>35.5</v>
      </c>
      <c r="C144" s="72">
        <v>-2.4725274700000001E-2</v>
      </c>
      <c r="D144" s="24">
        <v>37.200000000000003</v>
      </c>
      <c r="E144" s="25">
        <f t="shared" si="74"/>
        <v>4.7887323943662054E-2</v>
      </c>
      <c r="F144" s="94">
        <f>IF(ISNUMBER(D144), $B145 * E144, "")</f>
        <v>7183.0985915493084</v>
      </c>
      <c r="G144" s="92">
        <v>37.6</v>
      </c>
      <c r="H144" s="25">
        <f t="shared" si="75"/>
        <v>5.9154929577464828E-2</v>
      </c>
      <c r="I144" s="93">
        <f>IF(ISNUMBER(G144), $B145 * H144, "")</f>
        <v>8873.2394366197241</v>
      </c>
      <c r="J144" s="24">
        <v>37.4</v>
      </c>
      <c r="K144" s="25">
        <f t="shared" si="76"/>
        <v>5.3521126760563344E-2</v>
      </c>
      <c r="L144" s="94">
        <f>IF(ISNUMBER(J144), $B145 * K144, "")</f>
        <v>8028.1690140845012</v>
      </c>
      <c r="M144" s="92">
        <v>37.5</v>
      </c>
      <c r="N144" s="25">
        <f t="shared" si="77"/>
        <v>5.6338028169014086E-2</v>
      </c>
      <c r="O144" s="94">
        <f>IF(ISNUMBER(M144), $B145 * N144, "")</f>
        <v>8450.7042253521122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6.1577313240443299E-2</v>
      </c>
      <c r="F145" s="28">
        <f>SUM(F125:F144)</f>
        <v>184731.93972132992</v>
      </c>
      <c r="G145" s="26" t="s">
        <v>258</v>
      </c>
      <c r="H145" s="27">
        <f>IF(COUNT(H125:H144), SUM(H125:H144) / COUNT(H125:H144), 0)</f>
        <v>6.8312227495459732E-2</v>
      </c>
      <c r="I145" s="28">
        <f>SUM(I125:I144)</f>
        <v>204936.68248637914</v>
      </c>
      <c r="J145" s="26" t="s">
        <v>258</v>
      </c>
      <c r="K145" s="27">
        <f>IF(COUNT(K125:K144), SUM(K125:K144) / COUNT(K125:K144), 0)</f>
        <v>5.8882439472504246E-2</v>
      </c>
      <c r="L145" s="28">
        <f>SUM(L125:L144)</f>
        <v>176647.31841751272</v>
      </c>
      <c r="M145" s="26" t="s">
        <v>258</v>
      </c>
      <c r="N145" s="27">
        <f>IF(COUNT(N125:N144), SUM(N125:N144) / COUNT(N125:N144), 0)</f>
        <v>7.7351264952690929E-2</v>
      </c>
      <c r="O145" s="28">
        <f>SUM(O125:O144)</f>
        <v>232053.79485807283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2023-01-21(토) 오전 00:00</v>
      </c>
      <c r="C150" s="198"/>
      <c r="D150" s="170" t="str">
        <f>TEXT($G$1, "[$-ko-KR]yyyy-mm-dd(ddd) ") &amp; "오후 14:00"</f>
        <v>2023-01-21(토) 오후 14:00</v>
      </c>
      <c r="E150" s="171"/>
      <c r="F150" s="172"/>
      <c r="G150" s="170" t="str">
        <f>TEXT($G$1, "[$-ko-KR]yyyy-mm-dd(ddd) ") &amp; "오후 19:00"</f>
        <v>2023-01-21(토) 오후 19:00</v>
      </c>
      <c r="H150" s="171"/>
      <c r="I150" s="172"/>
      <c r="J150" s="170" t="str">
        <f>TEXT($G$1, "[$-ko-KR]yyyy-mm-dd(ddd) ") &amp; "오후 21:00"</f>
        <v>2023-01-21(토) 오후 21:00</v>
      </c>
      <c r="K150" s="171"/>
      <c r="L150" s="172"/>
      <c r="M150" s="170" t="str">
        <f>TEXT($G$1+1, "[$-ko-KR]yyyy-mm-dd(ddd) ") &amp; "오전 00:00"</f>
        <v>2023-01-22(일)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330</v>
      </c>
      <c r="B152" s="108">
        <v>320</v>
      </c>
      <c r="C152" s="69">
        <v>0</v>
      </c>
      <c r="D152" s="13">
        <v>347</v>
      </c>
      <c r="E152" s="14">
        <f>IF(ISNUMBER(D152), (D152 - $B152) / $B152, "")</f>
        <v>8.4375000000000006E-2</v>
      </c>
      <c r="F152" s="16">
        <f>IF(ISNUMBER(D152), $B172 * E152, "")</f>
        <v>12656.25</v>
      </c>
      <c r="G152" s="29">
        <v>347</v>
      </c>
      <c r="H152" s="14">
        <f>IF(ISNUMBER(G152), (G152 - $B152) / $B152, "")</f>
        <v>8.4375000000000006E-2</v>
      </c>
      <c r="I152" s="90">
        <f>IF(ISNUMBER(G152), $B172 * H152, "")</f>
        <v>12656.25</v>
      </c>
      <c r="J152" s="13">
        <v>343</v>
      </c>
      <c r="K152" s="14">
        <f>IF(ISNUMBER(J152), (J152 - $B152) / $B152, "")</f>
        <v>7.1874999999999994E-2</v>
      </c>
      <c r="L152" s="16">
        <f>IF(ISNUMBER(J152), $B172 * K152, "")</f>
        <v>10781.25</v>
      </c>
      <c r="M152" s="29">
        <v>344</v>
      </c>
      <c r="N152" s="14">
        <f>IF(ISNUMBER(M152), (M152 - $B152) / $B152, "")</f>
        <v>7.4999999999999997E-2</v>
      </c>
      <c r="O152" s="16">
        <f>IF(ISNUMBER(M152), $B172 * N152, "")</f>
        <v>11250</v>
      </c>
      <c r="Q152" s="156"/>
      <c r="R152" s="156"/>
      <c r="S152" s="156"/>
    </row>
    <row r="153" spans="1:19" ht="17.25" thickBot="1">
      <c r="A153" s="109" t="s">
        <v>51</v>
      </c>
      <c r="B153" s="110">
        <v>105</v>
      </c>
      <c r="C153" s="70">
        <v>0</v>
      </c>
      <c r="D153" s="15">
        <v>111</v>
      </c>
      <c r="E153" s="32">
        <f t="shared" ref="E153:E156" si="78">IF(ISNUMBER(D153), (D153 - $B153) / $B153, "")</f>
        <v>5.7142857142857141E-2</v>
      </c>
      <c r="F153" s="18">
        <f>IF(ISNUMBER(D153), $B172 * E153, "")</f>
        <v>8571.4285714285706</v>
      </c>
      <c r="G153" s="31">
        <v>111</v>
      </c>
      <c r="H153" s="32">
        <f t="shared" ref="H153:H156" si="79">IF(ISNUMBER(G153), (G153 - $B153) / $B153, "")</f>
        <v>5.7142857142857141E-2</v>
      </c>
      <c r="I153" s="91">
        <f>IF(ISNUMBER(G153), $B172 * H153, "")</f>
        <v>8571.4285714285706</v>
      </c>
      <c r="J153" s="15">
        <v>111</v>
      </c>
      <c r="K153" s="32">
        <f t="shared" ref="K153:K156" si="80">IF(ISNUMBER(J153), (J153 - $B153) / $B153, "")</f>
        <v>5.7142857142857141E-2</v>
      </c>
      <c r="L153" s="18">
        <f>IF(ISNUMBER(J153), $B172 * K153, "")</f>
        <v>8571.4285714285706</v>
      </c>
      <c r="M153" s="31">
        <v>112</v>
      </c>
      <c r="N153" s="32">
        <f t="shared" ref="N153:N156" si="81">IF(ISNUMBER(M153), (M153 - $B153) / $B153, "")</f>
        <v>6.6666666666666666E-2</v>
      </c>
      <c r="O153" s="18">
        <f>IF(ISNUMBER(M153), $B172 * N153, "")</f>
        <v>10000</v>
      </c>
      <c r="Q153" s="156"/>
      <c r="R153" s="156"/>
      <c r="S153" s="156"/>
    </row>
    <row r="154" spans="1:19" ht="17.25" thickBot="1">
      <c r="A154" s="109" t="s">
        <v>161</v>
      </c>
      <c r="B154" s="110">
        <v>323</v>
      </c>
      <c r="C154" s="70">
        <v>-3.0864197999999998E-3</v>
      </c>
      <c r="D154" s="15">
        <v>343</v>
      </c>
      <c r="E154" s="32">
        <f t="shared" si="78"/>
        <v>6.1919504643962849E-2</v>
      </c>
      <c r="F154" s="18">
        <f>IF(ISNUMBER(D154), $B172 * E154, "")</f>
        <v>9287.9256965944278</v>
      </c>
      <c r="G154" s="31">
        <v>345</v>
      </c>
      <c r="H154" s="32">
        <f t="shared" si="79"/>
        <v>6.8111455108359129E-2</v>
      </c>
      <c r="I154" s="91">
        <f>IF(ISNUMBER(G154), $B172 * H154, "")</f>
        <v>10216.718266253869</v>
      </c>
      <c r="J154" s="15">
        <v>341</v>
      </c>
      <c r="K154" s="32">
        <f t="shared" si="80"/>
        <v>5.5727554179566562E-2</v>
      </c>
      <c r="L154" s="18">
        <f>IF(ISNUMBER(J154), $B172 * K154, "")</f>
        <v>8359.1331269349848</v>
      </c>
      <c r="M154" s="31">
        <v>342</v>
      </c>
      <c r="N154" s="32">
        <f t="shared" si="81"/>
        <v>5.8823529411764705E-2</v>
      </c>
      <c r="O154" s="18">
        <f>IF(ISNUMBER(M154), $B172 * N154, "")</f>
        <v>8823.5294117647063</v>
      </c>
      <c r="Q154" s="146"/>
      <c r="R154" s="146"/>
      <c r="S154" s="146"/>
    </row>
    <row r="155" spans="1:19" ht="17.25" thickBot="1">
      <c r="A155" s="109" t="s">
        <v>231</v>
      </c>
      <c r="B155" s="110">
        <v>373</v>
      </c>
      <c r="C155" s="70">
        <v>-5.3333332999999997E-3</v>
      </c>
      <c r="D155" s="15">
        <v>390</v>
      </c>
      <c r="E155" s="32">
        <f t="shared" si="78"/>
        <v>4.5576407506702415E-2</v>
      </c>
      <c r="F155" s="18">
        <f>IF(ISNUMBER(D155), $B172 * E155, "")</f>
        <v>6836.4611260053625</v>
      </c>
      <c r="G155" s="31">
        <v>392</v>
      </c>
      <c r="H155" s="32">
        <f t="shared" si="79"/>
        <v>5.0938337801608578E-2</v>
      </c>
      <c r="I155" s="91">
        <f>IF(ISNUMBER(G155), $B172 * H155, "")</f>
        <v>7640.7506702412866</v>
      </c>
      <c r="J155" s="15">
        <v>390</v>
      </c>
      <c r="K155" s="32">
        <f t="shared" si="80"/>
        <v>4.5576407506702415E-2</v>
      </c>
      <c r="L155" s="18">
        <f>IF(ISNUMBER(J155), $B172 * K155, "")</f>
        <v>6836.4611260053625</v>
      </c>
      <c r="M155" s="31">
        <v>396</v>
      </c>
      <c r="N155" s="32">
        <f t="shared" si="81"/>
        <v>6.1662198391420911E-2</v>
      </c>
      <c r="O155" s="18">
        <f>IF(ISNUMBER(M155), $B172 * N155, "")</f>
        <v>9249.3297587131365</v>
      </c>
      <c r="Q155" s="146"/>
      <c r="R155" s="146"/>
      <c r="S155" s="146"/>
    </row>
    <row r="156" spans="1:19" ht="17.25" thickBot="1">
      <c r="A156" s="111" t="s">
        <v>345</v>
      </c>
      <c r="B156" s="112">
        <v>168</v>
      </c>
      <c r="C156" s="71">
        <v>-5.9171598000000002E-3</v>
      </c>
      <c r="D156" s="20">
        <v>175</v>
      </c>
      <c r="E156" s="21">
        <f t="shared" si="78"/>
        <v>4.1666666666666664E-2</v>
      </c>
      <c r="F156" s="22">
        <f>IF(ISNUMBER(D156), $B172 * E156, "")</f>
        <v>6250</v>
      </c>
      <c r="G156" s="30">
        <v>177</v>
      </c>
      <c r="H156" s="21">
        <f t="shared" si="79"/>
        <v>5.3571428571428568E-2</v>
      </c>
      <c r="I156" s="95">
        <f>IF(ISNUMBER(G156), $B172 * H156, "")</f>
        <v>8035.7142857142853</v>
      </c>
      <c r="J156" s="20">
        <v>174</v>
      </c>
      <c r="K156" s="21">
        <f t="shared" si="80"/>
        <v>3.5714285714285712E-2</v>
      </c>
      <c r="L156" s="22">
        <f>IF(ISNUMBER(J156), $B172 * K156, "")</f>
        <v>5357.1428571428569</v>
      </c>
      <c r="M156" s="30">
        <v>176</v>
      </c>
      <c r="N156" s="21">
        <f t="shared" si="81"/>
        <v>4.7619047619047616E-2</v>
      </c>
      <c r="O156" s="22">
        <f>IF(ISNUMBER(M156), $B172 * N156, "")</f>
        <v>7142.8571428571422</v>
      </c>
      <c r="Q156" s="146"/>
      <c r="R156" s="146"/>
      <c r="S156" s="146"/>
    </row>
    <row r="157" spans="1:19" ht="17.25" thickBot="1">
      <c r="A157" s="109" t="s">
        <v>79</v>
      </c>
      <c r="B157" s="113">
        <v>299</v>
      </c>
      <c r="C157" s="73">
        <v>-6.6445183E-3</v>
      </c>
      <c r="D157" s="96">
        <v>312</v>
      </c>
      <c r="E157" s="97">
        <f>IF(ISNUMBER(D157), (D157 - $B157) / $B157, "")</f>
        <v>4.3478260869565216E-2</v>
      </c>
      <c r="F157" s="98">
        <f>IF(ISNUMBER(D157), $B172 * E157, "")</f>
        <v>6521.7391304347821</v>
      </c>
      <c r="G157" s="99">
        <v>313</v>
      </c>
      <c r="H157" s="97">
        <f>IF(ISNUMBER(G157), (G157 - $B157) / $B157, "")</f>
        <v>4.6822742474916385E-2</v>
      </c>
      <c r="I157" s="100">
        <f>IF(ISNUMBER(G157), $B172 * H157, "")</f>
        <v>7023.4113712374574</v>
      </c>
      <c r="J157" s="96">
        <v>308</v>
      </c>
      <c r="K157" s="97">
        <f>IF(ISNUMBER(J157), (J157 - $B157) / $B157, "")</f>
        <v>3.0100334448160536E-2</v>
      </c>
      <c r="L157" s="98">
        <f>IF(ISNUMBER(J157), $B172 * K157, "")</f>
        <v>4515.0501672240807</v>
      </c>
      <c r="M157" s="99">
        <v>310</v>
      </c>
      <c r="N157" s="97">
        <f>IF(ISNUMBER(M157), (M157 - $B157) / $B157, "")</f>
        <v>3.678929765886288E-2</v>
      </c>
      <c r="O157" s="98">
        <f>IF(ISNUMBER(M157), $B172 * N157, "")</f>
        <v>5518.3946488294323</v>
      </c>
      <c r="Q157" s="146"/>
      <c r="R157" s="146"/>
      <c r="S157" s="146"/>
    </row>
    <row r="158" spans="1:19" ht="17.25" thickBot="1">
      <c r="A158" s="109" t="s">
        <v>332</v>
      </c>
      <c r="B158" s="110">
        <v>575</v>
      </c>
      <c r="C158" s="70">
        <v>-6.9084628999999996E-3</v>
      </c>
      <c r="D158" s="15">
        <v>622</v>
      </c>
      <c r="E158" s="32">
        <f t="shared" ref="E158:E161" si="82">IF(ISNUMBER(D158), (D158 - $B158) / $B158, "")</f>
        <v>8.1739130434782606E-2</v>
      </c>
      <c r="F158" s="18">
        <f>IF(ISNUMBER(D158), $B172 * E158, "")</f>
        <v>12260.86956521739</v>
      </c>
      <c r="G158" s="31">
        <v>629</v>
      </c>
      <c r="H158" s="32">
        <f t="shared" ref="H158:H161" si="83">IF(ISNUMBER(G158), (G158 - $B158) / $B158, "")</f>
        <v>9.3913043478260863E-2</v>
      </c>
      <c r="I158" s="91">
        <f>IF(ISNUMBER(G158), $B172 * H158, "")</f>
        <v>14086.95652173913</v>
      </c>
      <c r="J158" s="15">
        <v>622</v>
      </c>
      <c r="K158" s="32">
        <f t="shared" ref="K158:K161" si="84">IF(ISNUMBER(J158), (J158 - $B158) / $B158, "")</f>
        <v>8.1739130434782606E-2</v>
      </c>
      <c r="L158" s="18">
        <f>IF(ISNUMBER(J158), $B172 * K158, "")</f>
        <v>12260.86956521739</v>
      </c>
      <c r="M158" s="31">
        <v>632</v>
      </c>
      <c r="N158" s="32">
        <f t="shared" ref="N158:N161" si="85">IF(ISNUMBER(M158), (M158 - $B158) / $B158, "")</f>
        <v>9.913043478260869E-2</v>
      </c>
      <c r="O158" s="18">
        <f>IF(ISNUMBER(M158), $B172 * N158, "")</f>
        <v>14869.565217391304</v>
      </c>
      <c r="Q158" s="146"/>
      <c r="R158" s="146"/>
      <c r="S158" s="146"/>
    </row>
    <row r="159" spans="1:19" ht="17.25" thickBot="1">
      <c r="A159" s="109" t="s">
        <v>187</v>
      </c>
      <c r="B159" s="110">
        <v>835</v>
      </c>
      <c r="C159" s="70">
        <v>-7.1343639000000002E-3</v>
      </c>
      <c r="D159" s="15">
        <v>876</v>
      </c>
      <c r="E159" s="32">
        <f t="shared" si="82"/>
        <v>4.9101796407185629E-2</v>
      </c>
      <c r="F159" s="18">
        <f>IF(ISNUMBER(D159), $B172 * E159, "")</f>
        <v>7365.2694610778444</v>
      </c>
      <c r="G159" s="31">
        <v>880</v>
      </c>
      <c r="H159" s="32">
        <f t="shared" si="83"/>
        <v>5.3892215568862277E-2</v>
      </c>
      <c r="I159" s="91">
        <f>IF(ISNUMBER(G159), $B172 * H159, "")</f>
        <v>8083.8323353293417</v>
      </c>
      <c r="J159" s="15">
        <v>873</v>
      </c>
      <c r="K159" s="32">
        <f t="shared" si="84"/>
        <v>4.5508982035928146E-2</v>
      </c>
      <c r="L159" s="18">
        <f>IF(ISNUMBER(J159), $B172 * K159, "")</f>
        <v>6826.3473053892221</v>
      </c>
      <c r="M159" s="31">
        <v>882</v>
      </c>
      <c r="N159" s="32">
        <f t="shared" si="85"/>
        <v>5.6287425149700601E-2</v>
      </c>
      <c r="O159" s="18">
        <f>IF(ISNUMBER(M159), $B172 * N159, "")</f>
        <v>8443.1137724550899</v>
      </c>
      <c r="Q159" s="146"/>
      <c r="R159" s="146"/>
      <c r="S159" s="146"/>
    </row>
    <row r="160" spans="1:19" ht="17.25" thickBot="1">
      <c r="A160" s="109" t="s">
        <v>229</v>
      </c>
      <c r="B160" s="110">
        <v>272</v>
      </c>
      <c r="C160" s="70">
        <v>-7.2992700999999997E-3</v>
      </c>
      <c r="D160" s="15">
        <v>285</v>
      </c>
      <c r="E160" s="32">
        <f t="shared" si="82"/>
        <v>4.779411764705882E-2</v>
      </c>
      <c r="F160" s="18">
        <f>IF(ISNUMBER(D160), $B172 * E160, "")</f>
        <v>7169.1176470588234</v>
      </c>
      <c r="G160" s="31">
        <v>288</v>
      </c>
      <c r="H160" s="32">
        <f t="shared" si="83"/>
        <v>5.8823529411764705E-2</v>
      </c>
      <c r="I160" s="91">
        <f>IF(ISNUMBER(G160), $B172 * H160, "")</f>
        <v>8823.5294117647063</v>
      </c>
      <c r="J160" s="15">
        <v>287</v>
      </c>
      <c r="K160" s="32">
        <f t="shared" si="84"/>
        <v>5.514705882352941E-2</v>
      </c>
      <c r="L160" s="18">
        <f>IF(ISNUMBER(J160), $B172 * K160, "")</f>
        <v>8272.0588235294108</v>
      </c>
      <c r="M160" s="31">
        <v>291</v>
      </c>
      <c r="N160" s="32">
        <f t="shared" si="85"/>
        <v>6.985294117647059E-2</v>
      </c>
      <c r="O160" s="18">
        <f>IF(ISNUMBER(M160), $B172 * N160, "")</f>
        <v>10477.941176470589</v>
      </c>
      <c r="Q160" s="33"/>
      <c r="R160" s="33"/>
    </row>
    <row r="161" spans="1:19" ht="17.25" thickBot="1">
      <c r="A161" s="114" t="s">
        <v>66</v>
      </c>
      <c r="B161" s="115">
        <v>757</v>
      </c>
      <c r="C161" s="72">
        <v>-7.8636959000000003E-3</v>
      </c>
      <c r="D161" s="24">
        <v>795</v>
      </c>
      <c r="E161" s="25">
        <f t="shared" si="82"/>
        <v>5.0198150594451783E-2</v>
      </c>
      <c r="F161" s="94">
        <f>IF(ISNUMBER(D161), $B172 * E161, "")</f>
        <v>7529.7225891677672</v>
      </c>
      <c r="G161" s="92">
        <v>795</v>
      </c>
      <c r="H161" s="25">
        <f t="shared" si="83"/>
        <v>5.0198150594451783E-2</v>
      </c>
      <c r="I161" s="93">
        <f>IF(ISNUMBER(G161), $B172 * H161, "")</f>
        <v>7529.7225891677672</v>
      </c>
      <c r="J161" s="24">
        <v>788</v>
      </c>
      <c r="K161" s="25">
        <f t="shared" si="84"/>
        <v>4.0951122853368563E-2</v>
      </c>
      <c r="L161" s="94">
        <f>IF(ISNUMBER(J161), $B172 * K161, "")</f>
        <v>6142.6684280052841</v>
      </c>
      <c r="M161" s="92">
        <v>801</v>
      </c>
      <c r="N161" s="25">
        <f t="shared" si="85"/>
        <v>5.8124174372523117E-2</v>
      </c>
      <c r="O161" s="94">
        <f>IF(ISNUMBER(M161), $B172 * N161, "")</f>
        <v>8718.6261558784681</v>
      </c>
      <c r="Q161" s="147"/>
      <c r="R161" s="148"/>
      <c r="S161" s="149"/>
    </row>
    <row r="162" spans="1:19">
      <c r="A162" s="107" t="s">
        <v>219</v>
      </c>
      <c r="B162" s="108">
        <v>453</v>
      </c>
      <c r="C162" s="69">
        <v>-8.7527352000000003E-3</v>
      </c>
      <c r="D162" s="13">
        <v>473</v>
      </c>
      <c r="E162" s="14">
        <f>IF(ISNUMBER(D162), (D162 - $B162) / $B162, "")</f>
        <v>4.4150110375275942E-2</v>
      </c>
      <c r="F162" s="16">
        <f>IF(ISNUMBER(D162), $B172 * E162, "")</f>
        <v>6622.5165562913917</v>
      </c>
      <c r="G162" s="29">
        <v>478</v>
      </c>
      <c r="H162" s="14">
        <f>IF(ISNUMBER(G162), (G162 - $B162) / $B162, "")</f>
        <v>5.518763796909492E-2</v>
      </c>
      <c r="I162" s="90">
        <f>IF(ISNUMBER(G162), $B172 * H162, "")</f>
        <v>8278.1456953642373</v>
      </c>
      <c r="J162" s="13">
        <v>476</v>
      </c>
      <c r="K162" s="14">
        <f>IF(ISNUMBER(J162), (J162 - $B162) / $B162, "")</f>
        <v>5.0772626931567331E-2</v>
      </c>
      <c r="L162" s="16">
        <f>IF(ISNUMBER(J162), $B172 * K162, "")</f>
        <v>7615.8940397350998</v>
      </c>
      <c r="M162" s="29">
        <v>478</v>
      </c>
      <c r="N162" s="14">
        <f>IF(ISNUMBER(M162), (M162 - $B162) / $B162, "")</f>
        <v>5.518763796909492E-2</v>
      </c>
      <c r="O162" s="16">
        <f>IF(ISNUMBER(M162), $B172 * N162, "")</f>
        <v>8278.1456953642373</v>
      </c>
      <c r="Q162" s="150"/>
      <c r="R162" s="151"/>
      <c r="S162" s="152"/>
    </row>
    <row r="163" spans="1:19" ht="17.25" thickBot="1">
      <c r="A163" s="109" t="s">
        <v>341</v>
      </c>
      <c r="B163" s="110">
        <v>784</v>
      </c>
      <c r="C163" s="70">
        <v>-8.8495575000000007E-3</v>
      </c>
      <c r="D163" s="15">
        <v>870</v>
      </c>
      <c r="E163" s="32">
        <f t="shared" ref="E163:E166" si="86">IF(ISNUMBER(D163), (D163 - $B163) / $B163, "")</f>
        <v>0.10969387755102041</v>
      </c>
      <c r="F163" s="18">
        <f>IF(ISNUMBER(D163), $B172 * E163, "")</f>
        <v>16454.081632653062</v>
      </c>
      <c r="G163" s="31">
        <v>881</v>
      </c>
      <c r="H163" s="32">
        <f t="shared" ref="H163:H166" si="87">IF(ISNUMBER(G163), (G163 - $B163) / $B163, "")</f>
        <v>0.12372448979591837</v>
      </c>
      <c r="I163" s="91">
        <f>IF(ISNUMBER(G163), $B172 * H163, "")</f>
        <v>18558.673469387755</v>
      </c>
      <c r="J163" s="15">
        <v>876</v>
      </c>
      <c r="K163" s="32">
        <f t="shared" ref="K163:K166" si="88">IF(ISNUMBER(J163), (J163 - $B163) / $B163, "")</f>
        <v>0.11734693877551021</v>
      </c>
      <c r="L163" s="18">
        <f>IF(ISNUMBER(J163), $B172 * K163, "")</f>
        <v>17602.040816326531</v>
      </c>
      <c r="M163" s="31">
        <v>876</v>
      </c>
      <c r="N163" s="32">
        <f t="shared" ref="N163:N166" si="89">IF(ISNUMBER(M163), (M163 - $B163) / $B163, "")</f>
        <v>0.11734693877551021</v>
      </c>
      <c r="O163" s="18">
        <f>IF(ISNUMBER(M163), $B172 * N163, "")</f>
        <v>17602.040816326531</v>
      </c>
      <c r="Q163" s="153"/>
      <c r="R163" s="154"/>
      <c r="S163" s="155"/>
    </row>
    <row r="164" spans="1:19" ht="17.25" thickBot="1">
      <c r="A164" s="109" t="s">
        <v>241</v>
      </c>
      <c r="B164" s="110">
        <v>102</v>
      </c>
      <c r="C164" s="70">
        <v>-9.7087379000000001E-3</v>
      </c>
      <c r="D164" s="15">
        <v>106</v>
      </c>
      <c r="E164" s="32">
        <f t="shared" si="86"/>
        <v>3.9215686274509803E-2</v>
      </c>
      <c r="F164" s="18">
        <f>IF(ISNUMBER(D164), $B172 * E164, "")</f>
        <v>5882.3529411764703</v>
      </c>
      <c r="G164" s="31">
        <v>109</v>
      </c>
      <c r="H164" s="32">
        <f t="shared" si="87"/>
        <v>6.8627450980392163E-2</v>
      </c>
      <c r="I164" s="91">
        <f>IF(ISNUMBER(G164), $B172 * H164, "")</f>
        <v>10294.117647058825</v>
      </c>
      <c r="J164" s="15">
        <v>107</v>
      </c>
      <c r="K164" s="32">
        <f t="shared" si="88"/>
        <v>4.9019607843137254E-2</v>
      </c>
      <c r="L164" s="18">
        <f>IF(ISNUMBER(J164), $B172 * K164, "")</f>
        <v>7352.9411764705883</v>
      </c>
      <c r="M164" s="31">
        <v>108</v>
      </c>
      <c r="N164" s="32">
        <f t="shared" si="89"/>
        <v>5.8823529411764705E-2</v>
      </c>
      <c r="O164" s="18">
        <f>IF(ISNUMBER(M164), $B172 * N164, "")</f>
        <v>8823.5294117647063</v>
      </c>
      <c r="Q164" s="146"/>
      <c r="R164" s="146"/>
      <c r="S164" s="146"/>
    </row>
    <row r="165" spans="1:19" ht="17.25" thickBot="1">
      <c r="A165" s="109" t="s">
        <v>239</v>
      </c>
      <c r="B165" s="110">
        <v>468</v>
      </c>
      <c r="C165" s="70">
        <v>-1.0570824499999999E-2</v>
      </c>
      <c r="D165" s="15">
        <v>494</v>
      </c>
      <c r="E165" s="32">
        <f t="shared" si="86"/>
        <v>5.5555555555555552E-2</v>
      </c>
      <c r="F165" s="18">
        <f>IF(ISNUMBER(D165), $B172 * E165, "")</f>
        <v>8333.3333333333321</v>
      </c>
      <c r="G165" s="31">
        <v>495</v>
      </c>
      <c r="H165" s="32">
        <f t="shared" si="87"/>
        <v>5.7692307692307696E-2</v>
      </c>
      <c r="I165" s="91">
        <f>IF(ISNUMBER(G165), $B172 * H165, "")</f>
        <v>8653.8461538461543</v>
      </c>
      <c r="J165" s="15">
        <v>489</v>
      </c>
      <c r="K165" s="32">
        <f t="shared" si="88"/>
        <v>4.4871794871794872E-2</v>
      </c>
      <c r="L165" s="18">
        <f>IF(ISNUMBER(J165), $B172 * K165, "")</f>
        <v>6730.7692307692305</v>
      </c>
      <c r="M165" s="31">
        <v>499</v>
      </c>
      <c r="N165" s="32">
        <f t="shared" si="89"/>
        <v>6.623931623931624E-2</v>
      </c>
      <c r="O165" s="18">
        <f>IF(ISNUMBER(M165), $B172 * N165, "")</f>
        <v>9935.8974358974356</v>
      </c>
      <c r="Q165" s="156"/>
      <c r="R165" s="156"/>
      <c r="S165" s="156"/>
    </row>
    <row r="166" spans="1:19" ht="17.25" thickBot="1">
      <c r="A166" s="111" t="s">
        <v>317</v>
      </c>
      <c r="B166" s="112">
        <v>615</v>
      </c>
      <c r="C166" s="71">
        <v>-1.1254019299999999E-2</v>
      </c>
      <c r="D166" s="20">
        <v>638</v>
      </c>
      <c r="E166" s="21">
        <f t="shared" si="86"/>
        <v>3.7398373983739838E-2</v>
      </c>
      <c r="F166" s="22">
        <f>IF(ISNUMBER(D166), $B172 * E166, "")</f>
        <v>5609.7560975609758</v>
      </c>
      <c r="G166" s="30">
        <v>642</v>
      </c>
      <c r="H166" s="21">
        <f t="shared" si="87"/>
        <v>4.3902439024390241E-2</v>
      </c>
      <c r="I166" s="95">
        <f>IF(ISNUMBER(G166), $B172 * H166, "")</f>
        <v>6585.3658536585363</v>
      </c>
      <c r="J166" s="20">
        <v>635</v>
      </c>
      <c r="K166" s="21">
        <f t="shared" si="88"/>
        <v>3.2520325203252036E-2</v>
      </c>
      <c r="L166" s="22">
        <f>IF(ISNUMBER(J166), $B172 * K166, "")</f>
        <v>4878.0487804878057</v>
      </c>
      <c r="M166" s="30">
        <v>644</v>
      </c>
      <c r="N166" s="21">
        <f t="shared" si="89"/>
        <v>4.715447154471545E-2</v>
      </c>
      <c r="O166" s="22">
        <f>IF(ISNUMBER(M166), $B172 * N166, "")</f>
        <v>7073.1707317073178</v>
      </c>
      <c r="Q166" s="156"/>
      <c r="R166" s="156"/>
      <c r="S166" s="156"/>
    </row>
    <row r="167" spans="1:19" ht="17.25" thickBot="1">
      <c r="A167" s="109" t="s">
        <v>176</v>
      </c>
      <c r="B167" s="113">
        <v>347</v>
      </c>
      <c r="C167" s="73">
        <v>-1.1396011399999999E-2</v>
      </c>
      <c r="D167" s="96">
        <v>365</v>
      </c>
      <c r="E167" s="97">
        <f>IF(ISNUMBER(D167), (D167 - $B167) / $B167, "")</f>
        <v>5.1873198847262249E-2</v>
      </c>
      <c r="F167" s="98">
        <f>IF(ISNUMBER(D167), $B172 * E167, "")</f>
        <v>7780.979827089337</v>
      </c>
      <c r="G167" s="99">
        <v>367</v>
      </c>
      <c r="H167" s="97">
        <f>IF(ISNUMBER(G167), (G167 - $B167) / $B167, "")</f>
        <v>5.7636887608069162E-2</v>
      </c>
      <c r="I167" s="100">
        <f>IF(ISNUMBER(G167), $B172 * H167, "")</f>
        <v>8645.5331412103751</v>
      </c>
      <c r="J167" s="96">
        <v>364</v>
      </c>
      <c r="K167" s="97">
        <f>IF(ISNUMBER(J167), (J167 - $B167) / $B167, "")</f>
        <v>4.8991354466858789E-2</v>
      </c>
      <c r="L167" s="98">
        <f>IF(ISNUMBER(J167), $B172 * K167, "")</f>
        <v>7348.703170028818</v>
      </c>
      <c r="M167" s="99">
        <v>366</v>
      </c>
      <c r="N167" s="97">
        <f>IF(ISNUMBER(M167), (M167 - $B167) / $B167, "")</f>
        <v>5.4755043227665709E-2</v>
      </c>
      <c r="O167" s="98">
        <f>IF(ISNUMBER(M167), $B172 * N167, "")</f>
        <v>8213.256484149857</v>
      </c>
      <c r="Q167" s="146"/>
      <c r="R167" s="146"/>
      <c r="S167" s="146"/>
    </row>
    <row r="168" spans="1:19" ht="17.25" thickBot="1">
      <c r="A168" s="109" t="s">
        <v>111</v>
      </c>
      <c r="B168" s="110">
        <v>867</v>
      </c>
      <c r="C168" s="70">
        <v>-1.25284738E-2</v>
      </c>
      <c r="D168" s="15">
        <v>983</v>
      </c>
      <c r="E168" s="32">
        <f t="shared" ref="E168:E171" si="90">IF(ISNUMBER(D168), (D168 - $B168) / $B168, "")</f>
        <v>0.13379469434832755</v>
      </c>
      <c r="F168" s="18">
        <f>IF(ISNUMBER(D168), $B172 * E168, "")</f>
        <v>20069.204152249134</v>
      </c>
      <c r="G168" s="31">
        <v>990</v>
      </c>
      <c r="H168" s="32">
        <f t="shared" ref="H168:H171" si="91">IF(ISNUMBER(G168), (G168 - $B168) / $B168, "")</f>
        <v>0.14186851211072665</v>
      </c>
      <c r="I168" s="91">
        <f>IF(ISNUMBER(G168), $B172 * H168, "")</f>
        <v>21280.276816608999</v>
      </c>
      <c r="J168" s="15">
        <v>1020</v>
      </c>
      <c r="K168" s="32">
        <f t="shared" ref="K168:K171" si="92">IF(ISNUMBER(J168), (J168 - $B168) / $B168, "")</f>
        <v>0.17647058823529413</v>
      </c>
      <c r="L168" s="18">
        <f>IF(ISNUMBER(J168), $B172 * K168, "")</f>
        <v>26470.588235294119</v>
      </c>
      <c r="M168" s="31">
        <v>1000</v>
      </c>
      <c r="N168" s="32">
        <f t="shared" ref="N168:N171" si="93">IF(ISNUMBER(M168), (M168 - $B168) / $B168, "")</f>
        <v>0.15340253748558247</v>
      </c>
      <c r="O168" s="18">
        <f>IF(ISNUMBER(M168), $B172 * N168, "")</f>
        <v>23010.380622837369</v>
      </c>
      <c r="Q168" s="146"/>
      <c r="R168" s="146"/>
      <c r="S168" s="146"/>
    </row>
    <row r="169" spans="1:19" ht="17.25" thickBot="1">
      <c r="A169" s="109" t="s">
        <v>60</v>
      </c>
      <c r="B169" s="110">
        <v>794</v>
      </c>
      <c r="C169" s="70">
        <v>-1.36645963E-2</v>
      </c>
      <c r="D169" s="15">
        <v>913</v>
      </c>
      <c r="E169" s="32">
        <f t="shared" si="90"/>
        <v>0.14987405541561713</v>
      </c>
      <c r="F169" s="18">
        <f>IF(ISNUMBER(D169), $B172 * E169, "")</f>
        <v>22481.108312342571</v>
      </c>
      <c r="G169" s="31">
        <v>930</v>
      </c>
      <c r="H169" s="32">
        <f t="shared" si="91"/>
        <v>0.1712846347607053</v>
      </c>
      <c r="I169" s="91">
        <f>IF(ISNUMBER(G169), $B172 * H169, "")</f>
        <v>25692.695214105795</v>
      </c>
      <c r="J169" s="15">
        <v>950</v>
      </c>
      <c r="K169" s="32">
        <f t="shared" si="92"/>
        <v>0.19647355163727959</v>
      </c>
      <c r="L169" s="18">
        <f>IF(ISNUMBER(J169), $B172 * K169, "")</f>
        <v>29471.03274559194</v>
      </c>
      <c r="M169" s="31">
        <v>922</v>
      </c>
      <c r="N169" s="32">
        <f t="shared" si="93"/>
        <v>0.16120906801007556</v>
      </c>
      <c r="O169" s="18">
        <f>IF(ISNUMBER(M169), $B172 * N169, "")</f>
        <v>24181.360201511336</v>
      </c>
      <c r="Q169" s="146"/>
      <c r="R169" s="146"/>
      <c r="S169" s="146"/>
    </row>
    <row r="170" spans="1:19">
      <c r="A170" s="109" t="s">
        <v>235</v>
      </c>
      <c r="B170" s="110">
        <v>603</v>
      </c>
      <c r="C170" s="70">
        <v>-1.47058824E-2</v>
      </c>
      <c r="D170" s="15">
        <v>656</v>
      </c>
      <c r="E170" s="32">
        <f t="shared" si="90"/>
        <v>8.7893864013267001E-2</v>
      </c>
      <c r="F170" s="18">
        <f>IF(ISNUMBER(D170), $B172 * E170, "")</f>
        <v>13184.07960199005</v>
      </c>
      <c r="G170" s="31">
        <v>656</v>
      </c>
      <c r="H170" s="32">
        <f t="shared" si="91"/>
        <v>8.7893864013267001E-2</v>
      </c>
      <c r="I170" s="91">
        <f>IF(ISNUMBER(G170), $B172 * H170, "")</f>
        <v>13184.07960199005</v>
      </c>
      <c r="J170" s="15">
        <v>651</v>
      </c>
      <c r="K170" s="32">
        <f t="shared" si="92"/>
        <v>7.9601990049751242E-2</v>
      </c>
      <c r="L170" s="18">
        <f>IF(ISNUMBER(J170), $B172 * K170, "")</f>
        <v>11940.298507462687</v>
      </c>
      <c r="M170" s="31">
        <v>660</v>
      </c>
      <c r="N170" s="32">
        <f t="shared" si="93"/>
        <v>9.4527363184079602E-2</v>
      </c>
      <c r="O170" s="18">
        <f>IF(ISNUMBER(M170), $B172 * N170, "")</f>
        <v>14179.10447761194</v>
      </c>
      <c r="Q170" s="135"/>
      <c r="R170" s="136"/>
      <c r="S170" s="137"/>
    </row>
    <row r="171" spans="1:19" ht="17.25" thickBot="1">
      <c r="A171" s="114" t="s">
        <v>223</v>
      </c>
      <c r="B171" s="115">
        <v>235</v>
      </c>
      <c r="C171" s="72">
        <v>-1.67364017E-2</v>
      </c>
      <c r="D171" s="24">
        <v>245</v>
      </c>
      <c r="E171" s="25">
        <f t="shared" si="90"/>
        <v>4.2553191489361701E-2</v>
      </c>
      <c r="F171" s="94">
        <f>IF(ISNUMBER(D171), $B172 * E171, "")</f>
        <v>6382.9787234042551</v>
      </c>
      <c r="G171" s="92">
        <v>247</v>
      </c>
      <c r="H171" s="25">
        <f t="shared" si="91"/>
        <v>5.106382978723404E-2</v>
      </c>
      <c r="I171" s="93">
        <f>IF(ISNUMBER(G171), $B172 * H171, "")</f>
        <v>7659.5744680851058</v>
      </c>
      <c r="J171" s="24">
        <v>246</v>
      </c>
      <c r="K171" s="25">
        <f t="shared" si="92"/>
        <v>4.6808510638297871E-2</v>
      </c>
      <c r="L171" s="94">
        <f>IF(ISNUMBER(J171), $B172 * K171, "")</f>
        <v>7021.2765957446809</v>
      </c>
      <c r="M171" s="92">
        <v>247</v>
      </c>
      <c r="N171" s="25">
        <f t="shared" si="93"/>
        <v>5.106382978723404E-2</v>
      </c>
      <c r="O171" s="94">
        <f>IF(ISNUMBER(M171), $B172 * N171, "")</f>
        <v>7659.5744680851058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6.5749724988358502E-2</v>
      </c>
      <c r="F172" s="28">
        <f>SUM(F152:F171)</f>
        <v>197249.17496507557</v>
      </c>
      <c r="G172" s="26" t="s">
        <v>258</v>
      </c>
      <c r="H172" s="27">
        <f>IF(COUNT(H152:H171), SUM(H152:H171) / COUNT(H152:H171), 0)</f>
        <v>7.3833540694730734E-2</v>
      </c>
      <c r="I172" s="28">
        <f>SUM(I152:I171)</f>
        <v>221500.62208419223</v>
      </c>
      <c r="J172" s="26" t="s">
        <v>258</v>
      </c>
      <c r="K172" s="27">
        <f>IF(COUNT(K152:K171), SUM(K152:K171) / COUNT(K152:K171), 0)</f>
        <v>6.8118001089596217E-2</v>
      </c>
      <c r="L172" s="28">
        <f>SUM(L152:L171)</f>
        <v>204354.00326878869</v>
      </c>
      <c r="M172" s="26" t="s">
        <v>258</v>
      </c>
      <c r="N172" s="27">
        <f>IF(COUNT(N152:N171), SUM(N152:N171) / COUNT(N152:N171), 0)</f>
        <v>7.448327254320522E-2</v>
      </c>
      <c r="O172" s="28">
        <f>SUM(O152:O171)</f>
        <v>223449.81762961572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2023-01-21(토) 오전 00:00</v>
      </c>
      <c r="C177" s="198"/>
      <c r="D177" s="170" t="str">
        <f>TEXT($G$1, "[$-ko-KR]yyyy-mm-dd(ddd) ") &amp; "오후 14:00"</f>
        <v>2023-01-21(토) 오후 14:00</v>
      </c>
      <c r="E177" s="171"/>
      <c r="F177" s="172"/>
      <c r="G177" s="170" t="str">
        <f>TEXT($G$1, "[$-ko-KR]yyyy-mm-dd(ddd) ") &amp; "오후 19:00"</f>
        <v>2023-01-21(토) 오후 19:00</v>
      </c>
      <c r="H177" s="171"/>
      <c r="I177" s="172"/>
      <c r="J177" s="170" t="str">
        <f>TEXT($G$1, "[$-ko-KR]yyyy-mm-dd(ddd) ") &amp; "오후 21:00"</f>
        <v>2023-01-21(토) 오후 21:00</v>
      </c>
      <c r="K177" s="171"/>
      <c r="L177" s="172"/>
      <c r="M177" s="170" t="str">
        <f>TEXT($G$1+1, "[$-ko-KR]yyyy-mm-dd(ddd) ") &amp; "오전 00:00"</f>
        <v>2023-01-22(일)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219</v>
      </c>
      <c r="B179" s="108">
        <v>453</v>
      </c>
      <c r="C179" s="69">
        <v>-8.7527352000000003E-3</v>
      </c>
      <c r="D179" s="13">
        <v>473</v>
      </c>
      <c r="E179" s="14">
        <f>IF(ISNUMBER(D179), (D179 - $B179) / $B179, "")</f>
        <v>4.4150110375275942E-2</v>
      </c>
      <c r="F179" s="16">
        <f>IF(ISNUMBER(D179), $B199 * E179, "")</f>
        <v>6622.5165562913917</v>
      </c>
      <c r="G179" s="29">
        <v>478</v>
      </c>
      <c r="H179" s="14">
        <f>IF(ISNUMBER(G179), (G179 - $B179) / $B179, "")</f>
        <v>5.518763796909492E-2</v>
      </c>
      <c r="I179" s="90">
        <f>IF(ISNUMBER(G179), $B199 * H179, "")</f>
        <v>8278.1456953642373</v>
      </c>
      <c r="J179" s="13">
        <v>476</v>
      </c>
      <c r="K179" s="14">
        <f>IF(ISNUMBER(J179), (J179 - $B179) / $B179, "")</f>
        <v>5.0772626931567331E-2</v>
      </c>
      <c r="L179" s="16">
        <f>IF(ISNUMBER(J179), $B199 * K179, "")</f>
        <v>7615.8940397350998</v>
      </c>
      <c r="M179" s="29">
        <v>478</v>
      </c>
      <c r="N179" s="14">
        <f>IF(ISNUMBER(M179), (M179 - $B179) / $B179, "")</f>
        <v>5.518763796909492E-2</v>
      </c>
      <c r="O179" s="16">
        <f>IF(ISNUMBER(M179), $B199 * N179, "")</f>
        <v>8278.1456953642373</v>
      </c>
      <c r="Q179" s="156"/>
      <c r="R179" s="156"/>
      <c r="S179" s="156"/>
    </row>
    <row r="180" spans="1:19" ht="17.25" thickBot="1">
      <c r="A180" s="109" t="s">
        <v>341</v>
      </c>
      <c r="B180" s="110">
        <v>784</v>
      </c>
      <c r="C180" s="70">
        <v>-8.8495575000000007E-3</v>
      </c>
      <c r="D180" s="15">
        <v>870</v>
      </c>
      <c r="E180" s="32">
        <f t="shared" ref="E180:E183" si="94">IF(ISNUMBER(D180), (D180 - $B180) / $B180, "")</f>
        <v>0.10969387755102041</v>
      </c>
      <c r="F180" s="18">
        <f>IF(ISNUMBER(D180), $B199 * E180, "")</f>
        <v>16454.081632653062</v>
      </c>
      <c r="G180" s="31">
        <v>881</v>
      </c>
      <c r="H180" s="32">
        <f t="shared" ref="H180:H183" si="95">IF(ISNUMBER(G180), (G180 - $B180) / $B180, "")</f>
        <v>0.12372448979591837</v>
      </c>
      <c r="I180" s="91">
        <f>IF(ISNUMBER(G180), $B199 * H180, "")</f>
        <v>18558.673469387755</v>
      </c>
      <c r="J180" s="15">
        <v>876</v>
      </c>
      <c r="K180" s="32">
        <f t="shared" ref="K180:K183" si="96">IF(ISNUMBER(J180), (J180 - $B180) / $B180, "")</f>
        <v>0.11734693877551021</v>
      </c>
      <c r="L180" s="18">
        <f>IF(ISNUMBER(J180), $B199 * K180, "")</f>
        <v>17602.040816326531</v>
      </c>
      <c r="M180" s="31">
        <v>876</v>
      </c>
      <c r="N180" s="32">
        <f t="shared" ref="N180:N183" si="97">IF(ISNUMBER(M180), (M180 - $B180) / $B180, "")</f>
        <v>0.11734693877551021</v>
      </c>
      <c r="O180" s="18">
        <f>IF(ISNUMBER(M180), $B199 * N180, "")</f>
        <v>17602.040816326531</v>
      </c>
      <c r="Q180" s="156"/>
      <c r="R180" s="156"/>
      <c r="S180" s="156"/>
    </row>
    <row r="181" spans="1:19" ht="17.25" thickBot="1">
      <c r="A181" s="109" t="s">
        <v>64</v>
      </c>
      <c r="B181" s="110">
        <v>11.2</v>
      </c>
      <c r="C181" s="70">
        <v>-8.8495575000000007E-3</v>
      </c>
      <c r="D181" s="15">
        <v>12.1</v>
      </c>
      <c r="E181" s="32">
        <f t="shared" si="94"/>
        <v>8.0357142857142891E-2</v>
      </c>
      <c r="F181" s="18">
        <f>IF(ISNUMBER(D181), $B199 * E181, "")</f>
        <v>12053.571428571433</v>
      </c>
      <c r="G181" s="31">
        <v>12.1</v>
      </c>
      <c r="H181" s="32">
        <f t="shared" si="95"/>
        <v>8.0357142857142891E-2</v>
      </c>
      <c r="I181" s="91">
        <f>IF(ISNUMBER(G181), $B199 * H181, "")</f>
        <v>12053.571428571433</v>
      </c>
      <c r="J181" s="15">
        <v>12</v>
      </c>
      <c r="K181" s="32">
        <f t="shared" si="96"/>
        <v>7.1428571428571494E-2</v>
      </c>
      <c r="L181" s="18">
        <f>IF(ISNUMBER(J181), $B199 * K181, "")</f>
        <v>10714.285714285725</v>
      </c>
      <c r="M181" s="31">
        <v>12.2</v>
      </c>
      <c r="N181" s="32">
        <f t="shared" si="97"/>
        <v>8.9285714285714288E-2</v>
      </c>
      <c r="O181" s="18">
        <f>IF(ISNUMBER(M181), $B199 * N181, "")</f>
        <v>13392.857142857143</v>
      </c>
      <c r="Q181" s="146"/>
      <c r="R181" s="146"/>
      <c r="S181" s="146"/>
    </row>
    <row r="182" spans="1:19" ht="17.25" thickBot="1">
      <c r="A182" s="109" t="s">
        <v>211</v>
      </c>
      <c r="B182" s="110">
        <v>1085</v>
      </c>
      <c r="C182" s="70">
        <v>-9.1324201000000001E-3</v>
      </c>
      <c r="D182" s="15">
        <v>1135</v>
      </c>
      <c r="E182" s="32">
        <f t="shared" si="94"/>
        <v>4.6082949308755762E-2</v>
      </c>
      <c r="F182" s="18">
        <f>IF(ISNUMBER(D182), $B199 * E182, "")</f>
        <v>6912.442396313364</v>
      </c>
      <c r="G182" s="31">
        <v>1135</v>
      </c>
      <c r="H182" s="32">
        <f t="shared" si="95"/>
        <v>4.6082949308755762E-2</v>
      </c>
      <c r="I182" s="91">
        <f>IF(ISNUMBER(G182), $B199 * H182, "")</f>
        <v>6912.442396313364</v>
      </c>
      <c r="J182" s="15">
        <v>1130</v>
      </c>
      <c r="K182" s="32">
        <f t="shared" si="96"/>
        <v>4.1474654377880185E-2</v>
      </c>
      <c r="L182" s="18">
        <f>IF(ISNUMBER(J182), $B199 * K182, "")</f>
        <v>6221.1981566820277</v>
      </c>
      <c r="M182" s="31">
        <v>1170</v>
      </c>
      <c r="N182" s="32">
        <f t="shared" si="97"/>
        <v>7.8341013824884786E-2</v>
      </c>
      <c r="O182" s="18">
        <f>IF(ISNUMBER(M182), $B199 * N182, "")</f>
        <v>11751.152073732717</v>
      </c>
      <c r="Q182" s="146"/>
      <c r="R182" s="146"/>
      <c r="S182" s="146"/>
    </row>
    <row r="183" spans="1:19" ht="17.25" thickBot="1">
      <c r="A183" s="111" t="s">
        <v>241</v>
      </c>
      <c r="B183" s="112">
        <v>102</v>
      </c>
      <c r="C183" s="71">
        <v>-9.7087379000000001E-3</v>
      </c>
      <c r="D183" s="20">
        <v>106</v>
      </c>
      <c r="E183" s="21">
        <f t="shared" si="94"/>
        <v>3.9215686274509803E-2</v>
      </c>
      <c r="F183" s="22">
        <f>IF(ISNUMBER(D183), $B199 * E183, "")</f>
        <v>5882.3529411764703</v>
      </c>
      <c r="G183" s="30">
        <v>109</v>
      </c>
      <c r="H183" s="21">
        <f t="shared" si="95"/>
        <v>6.8627450980392163E-2</v>
      </c>
      <c r="I183" s="95">
        <f>IF(ISNUMBER(G183), $B199 * H183, "")</f>
        <v>10294.117647058825</v>
      </c>
      <c r="J183" s="20">
        <v>107</v>
      </c>
      <c r="K183" s="21">
        <f t="shared" si="96"/>
        <v>4.9019607843137254E-2</v>
      </c>
      <c r="L183" s="22">
        <f>IF(ISNUMBER(J183), $B199 * K183, "")</f>
        <v>7352.9411764705883</v>
      </c>
      <c r="M183" s="30">
        <v>108</v>
      </c>
      <c r="N183" s="21">
        <f t="shared" si="97"/>
        <v>5.8823529411764705E-2</v>
      </c>
      <c r="O183" s="22">
        <f>IF(ISNUMBER(M183), $B199 * N183, "")</f>
        <v>8823.5294117647063</v>
      </c>
      <c r="Q183" s="146"/>
      <c r="R183" s="146"/>
      <c r="S183" s="146"/>
    </row>
    <row r="184" spans="1:19" ht="17.25" thickBot="1">
      <c r="A184" s="109" t="s">
        <v>239</v>
      </c>
      <c r="B184" s="113">
        <v>468</v>
      </c>
      <c r="C184" s="73">
        <v>-1.0570824499999999E-2</v>
      </c>
      <c r="D184" s="96">
        <v>494</v>
      </c>
      <c r="E184" s="97">
        <f>IF(ISNUMBER(D184), (D184 - $B184) / $B184, "")</f>
        <v>5.5555555555555552E-2</v>
      </c>
      <c r="F184" s="98">
        <f>IF(ISNUMBER(D184), $B199 * E184, "")</f>
        <v>8333.3333333333321</v>
      </c>
      <c r="G184" s="99">
        <v>495</v>
      </c>
      <c r="H184" s="97">
        <f>IF(ISNUMBER(G184), (G184 - $B184) / $B184, "")</f>
        <v>5.7692307692307696E-2</v>
      </c>
      <c r="I184" s="100">
        <f>IF(ISNUMBER(G184), $B199 * H184, "")</f>
        <v>8653.8461538461543</v>
      </c>
      <c r="J184" s="96">
        <v>489</v>
      </c>
      <c r="K184" s="97">
        <f>IF(ISNUMBER(J184), (J184 - $B184) / $B184, "")</f>
        <v>4.4871794871794872E-2</v>
      </c>
      <c r="L184" s="98">
        <f>IF(ISNUMBER(J184), $B199 * K184, "")</f>
        <v>6730.7692307692305</v>
      </c>
      <c r="M184" s="99">
        <v>499</v>
      </c>
      <c r="N184" s="97">
        <f>IF(ISNUMBER(M184), (M184 - $B184) / $B184, "")</f>
        <v>6.623931623931624E-2</v>
      </c>
      <c r="O184" s="98">
        <f>IF(ISNUMBER(M184), $B199 * N184, "")</f>
        <v>9935.8974358974356</v>
      </c>
      <c r="Q184" s="146"/>
      <c r="R184" s="146"/>
      <c r="S184" s="146"/>
    </row>
    <row r="185" spans="1:19" ht="17.25" thickBot="1">
      <c r="A185" s="109" t="s">
        <v>350</v>
      </c>
      <c r="B185" s="110">
        <v>7.28</v>
      </c>
      <c r="C185" s="70">
        <v>-1.08695652E-2</v>
      </c>
      <c r="D185" s="15">
        <v>7.81</v>
      </c>
      <c r="E185" s="32">
        <f t="shared" ref="E185:E188" si="98">IF(ISNUMBER(D185), (D185 - $B185) / $B185, "")</f>
        <v>7.280219780219771E-2</v>
      </c>
      <c r="F185" s="18">
        <f>IF(ISNUMBER(D185), $B199 * E185, "")</f>
        <v>10920.329670329656</v>
      </c>
      <c r="G185" s="31">
        <v>7.84</v>
      </c>
      <c r="H185" s="32">
        <f t="shared" ref="H185:H188" si="99">IF(ISNUMBER(G185), (G185 - $B185) / $B185, "")</f>
        <v>7.6923076923076872E-2</v>
      </c>
      <c r="I185" s="91">
        <f>IF(ISNUMBER(G185), $B199 * H185, "")</f>
        <v>11538.46153846153</v>
      </c>
      <c r="J185" s="15">
        <v>7.74</v>
      </c>
      <c r="K185" s="32">
        <f t="shared" ref="K185:K188" si="100">IF(ISNUMBER(J185), (J185 - $B185) / $B185, "")</f>
        <v>6.3186813186813184E-2</v>
      </c>
      <c r="L185" s="18">
        <f>IF(ISNUMBER(J185), $B199 * K185, "")</f>
        <v>9478.0219780219777</v>
      </c>
      <c r="M185" s="31">
        <v>7.78</v>
      </c>
      <c r="N185" s="32">
        <f t="shared" ref="N185:N188" si="101">IF(ISNUMBER(M185), (M185 - $B185) / $B185, "")</f>
        <v>6.8681318681318673E-2</v>
      </c>
      <c r="O185" s="18">
        <f>IF(ISNUMBER(M185), $B199 * N185, "")</f>
        <v>10302.197802197801</v>
      </c>
      <c r="Q185" s="146"/>
      <c r="R185" s="146"/>
      <c r="S185" s="146"/>
    </row>
    <row r="186" spans="1:19" ht="17.25" thickBot="1">
      <c r="A186" s="109" t="s">
        <v>174</v>
      </c>
      <c r="B186" s="110">
        <v>15140</v>
      </c>
      <c r="C186" s="70">
        <v>-1.1103853699999999E-2</v>
      </c>
      <c r="D186" s="15">
        <v>15880</v>
      </c>
      <c r="E186" s="32">
        <f t="shared" si="98"/>
        <v>4.8877146631439897E-2</v>
      </c>
      <c r="F186" s="18">
        <f>IF(ISNUMBER(D186), $B199 * E186, "")</f>
        <v>7331.5719947159841</v>
      </c>
      <c r="G186" s="31">
        <v>16120</v>
      </c>
      <c r="H186" s="32">
        <f t="shared" si="99"/>
        <v>6.4729194187582564E-2</v>
      </c>
      <c r="I186" s="91">
        <f>IF(ISNUMBER(G186), $B199 * H186, "")</f>
        <v>9709.3791281373851</v>
      </c>
      <c r="J186" s="15">
        <v>15870</v>
      </c>
      <c r="K186" s="32">
        <f t="shared" si="100"/>
        <v>4.821664464993395E-2</v>
      </c>
      <c r="L186" s="18">
        <f>IF(ISNUMBER(J186), $B199 * K186, "")</f>
        <v>7232.4966974900926</v>
      </c>
      <c r="M186" s="31">
        <v>16000</v>
      </c>
      <c r="N186" s="32">
        <f t="shared" si="101"/>
        <v>5.6803170409511231E-2</v>
      </c>
      <c r="O186" s="18">
        <f>IF(ISNUMBER(M186), $B199 * N186, "")</f>
        <v>8520.4755614266851</v>
      </c>
      <c r="Q186" s="146"/>
      <c r="R186" s="146"/>
      <c r="S186" s="146"/>
    </row>
    <row r="187" spans="1:19" ht="17.25" thickBot="1">
      <c r="A187" s="109" t="s">
        <v>317</v>
      </c>
      <c r="B187" s="110">
        <v>615</v>
      </c>
      <c r="C187" s="70">
        <v>-1.1254019299999999E-2</v>
      </c>
      <c r="D187" s="15">
        <v>638</v>
      </c>
      <c r="E187" s="32">
        <f t="shared" si="98"/>
        <v>3.7398373983739838E-2</v>
      </c>
      <c r="F187" s="18">
        <f>IF(ISNUMBER(D187), $B199 * E187, "")</f>
        <v>5609.7560975609758</v>
      </c>
      <c r="G187" s="31">
        <v>642</v>
      </c>
      <c r="H187" s="32">
        <f t="shared" si="99"/>
        <v>4.3902439024390241E-2</v>
      </c>
      <c r="I187" s="91">
        <f>IF(ISNUMBER(G187), $B199 * H187, "")</f>
        <v>6585.3658536585363</v>
      </c>
      <c r="J187" s="15">
        <v>635</v>
      </c>
      <c r="K187" s="32">
        <f t="shared" si="100"/>
        <v>3.2520325203252036E-2</v>
      </c>
      <c r="L187" s="18">
        <f>IF(ISNUMBER(J187), $B199 * K187, "")</f>
        <v>4878.0487804878057</v>
      </c>
      <c r="M187" s="31">
        <v>644</v>
      </c>
      <c r="N187" s="32">
        <f t="shared" si="101"/>
        <v>4.715447154471545E-2</v>
      </c>
      <c r="O187" s="18">
        <f>IF(ISNUMBER(M187), $B199 * N187, "")</f>
        <v>7073.1707317073178</v>
      </c>
      <c r="Q187" s="33"/>
      <c r="R187" s="33"/>
    </row>
    <row r="188" spans="1:19" ht="17.25" thickBot="1">
      <c r="A188" s="114" t="s">
        <v>176</v>
      </c>
      <c r="B188" s="115">
        <v>347</v>
      </c>
      <c r="C188" s="72">
        <v>-1.1396011399999999E-2</v>
      </c>
      <c r="D188" s="24">
        <v>365</v>
      </c>
      <c r="E188" s="25">
        <f t="shared" si="98"/>
        <v>5.1873198847262249E-2</v>
      </c>
      <c r="F188" s="94">
        <f>IF(ISNUMBER(D188), $B199 * E188, "")</f>
        <v>7780.979827089337</v>
      </c>
      <c r="G188" s="92">
        <v>367</v>
      </c>
      <c r="H188" s="25">
        <f t="shared" si="99"/>
        <v>5.7636887608069162E-2</v>
      </c>
      <c r="I188" s="93">
        <f>IF(ISNUMBER(G188), $B199 * H188, "")</f>
        <v>8645.5331412103751</v>
      </c>
      <c r="J188" s="24">
        <v>364</v>
      </c>
      <c r="K188" s="25">
        <f t="shared" si="100"/>
        <v>4.8991354466858789E-2</v>
      </c>
      <c r="L188" s="94">
        <f>IF(ISNUMBER(J188), $B199 * K188, "")</f>
        <v>7348.703170028818</v>
      </c>
      <c r="M188" s="92">
        <v>366</v>
      </c>
      <c r="N188" s="25">
        <f t="shared" si="101"/>
        <v>5.4755043227665709E-2</v>
      </c>
      <c r="O188" s="94">
        <f>IF(ISNUMBER(M188), $B199 * N188, "")</f>
        <v>8213.256484149857</v>
      </c>
      <c r="Q188" s="147"/>
      <c r="R188" s="148"/>
      <c r="S188" s="149"/>
    </row>
    <row r="189" spans="1:19">
      <c r="A189" s="107" t="s">
        <v>111</v>
      </c>
      <c r="B189" s="108">
        <v>867</v>
      </c>
      <c r="C189" s="69">
        <v>-1.25284738E-2</v>
      </c>
      <c r="D189" s="13">
        <v>983</v>
      </c>
      <c r="E189" s="14">
        <f>IF(ISNUMBER(D189), (D189 - $B189) / $B189, "")</f>
        <v>0.13379469434832755</v>
      </c>
      <c r="F189" s="16">
        <f>IF(ISNUMBER(D189), $B199 * E189, "")</f>
        <v>20069.204152249134</v>
      </c>
      <c r="G189" s="29">
        <v>990</v>
      </c>
      <c r="H189" s="14">
        <f>IF(ISNUMBER(G189), (G189 - $B189) / $B189, "")</f>
        <v>0.14186851211072665</v>
      </c>
      <c r="I189" s="90">
        <f>IF(ISNUMBER(G189), $B199 * H189, "")</f>
        <v>21280.276816608999</v>
      </c>
      <c r="J189" s="13">
        <v>1020</v>
      </c>
      <c r="K189" s="14">
        <f>IF(ISNUMBER(J189), (J189 - $B189) / $B189, "")</f>
        <v>0.17647058823529413</v>
      </c>
      <c r="L189" s="16">
        <f>IF(ISNUMBER(J189), $B199 * K189, "")</f>
        <v>26470.588235294119</v>
      </c>
      <c r="M189" s="29">
        <v>1000</v>
      </c>
      <c r="N189" s="14">
        <f>IF(ISNUMBER(M189), (M189 - $B189) / $B189, "")</f>
        <v>0.15340253748558247</v>
      </c>
      <c r="O189" s="16">
        <f>IF(ISNUMBER(M189), $B199 * N189, "")</f>
        <v>23010.380622837369</v>
      </c>
      <c r="Q189" s="150"/>
      <c r="R189" s="151"/>
      <c r="S189" s="152"/>
    </row>
    <row r="190" spans="1:19" ht="17.25" thickBot="1">
      <c r="A190" s="109" t="s">
        <v>165</v>
      </c>
      <c r="B190" s="110">
        <v>1090</v>
      </c>
      <c r="C190" s="70">
        <v>-1.35746606E-2</v>
      </c>
      <c r="D190" s="15">
        <v>1170</v>
      </c>
      <c r="E190" s="32">
        <f t="shared" ref="E190:E193" si="102">IF(ISNUMBER(D190), (D190 - $B190) / $B190, "")</f>
        <v>7.3394495412844041E-2</v>
      </c>
      <c r="F190" s="18">
        <f>IF(ISNUMBER(D190), $B199 * E190, "")</f>
        <v>11009.174311926607</v>
      </c>
      <c r="G190" s="31">
        <v>1170</v>
      </c>
      <c r="H190" s="32">
        <f t="shared" ref="H190:H193" si="103">IF(ISNUMBER(G190), (G190 - $B190) / $B190, "")</f>
        <v>7.3394495412844041E-2</v>
      </c>
      <c r="I190" s="91">
        <f>IF(ISNUMBER(G190), $B199 * H190, "")</f>
        <v>11009.174311926607</v>
      </c>
      <c r="J190" s="15">
        <v>1150</v>
      </c>
      <c r="K190" s="32">
        <f t="shared" ref="K190:K193" si="104">IF(ISNUMBER(J190), (J190 - $B190) / $B190, "")</f>
        <v>5.5045871559633031E-2</v>
      </c>
      <c r="L190" s="18">
        <f>IF(ISNUMBER(J190), $B199 * K190, "")</f>
        <v>8256.880733944954</v>
      </c>
      <c r="M190" s="31">
        <v>1165</v>
      </c>
      <c r="N190" s="32">
        <f t="shared" ref="N190:N193" si="105">IF(ISNUMBER(M190), (M190 - $B190) / $B190, "")</f>
        <v>6.8807339449541288E-2</v>
      </c>
      <c r="O190" s="18">
        <f>IF(ISNUMBER(M190), $B199 * N190, "")</f>
        <v>10321.100917431193</v>
      </c>
      <c r="Q190" s="153"/>
      <c r="R190" s="154"/>
      <c r="S190" s="155"/>
    </row>
    <row r="191" spans="1:19" ht="17.25" thickBot="1">
      <c r="A191" s="109" t="s">
        <v>60</v>
      </c>
      <c r="B191" s="110">
        <v>794</v>
      </c>
      <c r="C191" s="70">
        <v>-1.36645963E-2</v>
      </c>
      <c r="D191" s="15">
        <v>913</v>
      </c>
      <c r="E191" s="32">
        <f t="shared" si="102"/>
        <v>0.14987405541561713</v>
      </c>
      <c r="F191" s="18">
        <f>IF(ISNUMBER(D191), $B199 * E191, "")</f>
        <v>22481.108312342571</v>
      </c>
      <c r="G191" s="31">
        <v>930</v>
      </c>
      <c r="H191" s="32">
        <f t="shared" si="103"/>
        <v>0.1712846347607053</v>
      </c>
      <c r="I191" s="91">
        <f>IF(ISNUMBER(G191), $B199 * H191, "")</f>
        <v>25692.695214105795</v>
      </c>
      <c r="J191" s="15">
        <v>950</v>
      </c>
      <c r="K191" s="32">
        <f t="shared" si="104"/>
        <v>0.19647355163727959</v>
      </c>
      <c r="L191" s="18">
        <f>IF(ISNUMBER(J191), $B199 * K191, "")</f>
        <v>29471.03274559194</v>
      </c>
      <c r="M191" s="31">
        <v>922</v>
      </c>
      <c r="N191" s="32">
        <f t="shared" si="105"/>
        <v>0.16120906801007556</v>
      </c>
      <c r="O191" s="18">
        <f>IF(ISNUMBER(M191), $B199 * N191, "")</f>
        <v>24181.360201511336</v>
      </c>
      <c r="Q191" s="146"/>
      <c r="R191" s="146"/>
      <c r="S191" s="146"/>
    </row>
    <row r="192" spans="1:19" ht="17.25" thickBot="1">
      <c r="A192" s="109" t="s">
        <v>235</v>
      </c>
      <c r="B192" s="110">
        <v>603</v>
      </c>
      <c r="C192" s="70">
        <v>-1.47058824E-2</v>
      </c>
      <c r="D192" s="15">
        <v>656</v>
      </c>
      <c r="E192" s="32">
        <f t="shared" si="102"/>
        <v>8.7893864013267001E-2</v>
      </c>
      <c r="F192" s="18">
        <f>IF(ISNUMBER(D192), $B199 * E192, "")</f>
        <v>13184.07960199005</v>
      </c>
      <c r="G192" s="31">
        <v>656</v>
      </c>
      <c r="H192" s="32">
        <f t="shared" si="103"/>
        <v>8.7893864013267001E-2</v>
      </c>
      <c r="I192" s="91">
        <f>IF(ISNUMBER(G192), $B199 * H192, "")</f>
        <v>13184.07960199005</v>
      </c>
      <c r="J192" s="15">
        <v>651</v>
      </c>
      <c r="K192" s="32">
        <f t="shared" si="104"/>
        <v>7.9601990049751242E-2</v>
      </c>
      <c r="L192" s="18">
        <f>IF(ISNUMBER(J192), $B199 * K192, "")</f>
        <v>11940.298507462687</v>
      </c>
      <c r="M192" s="31">
        <v>660</v>
      </c>
      <c r="N192" s="32">
        <f t="shared" si="105"/>
        <v>9.4527363184079602E-2</v>
      </c>
      <c r="O192" s="18">
        <f>IF(ISNUMBER(M192), $B199 * N192, "")</f>
        <v>14179.10447761194</v>
      </c>
      <c r="Q192" s="156"/>
      <c r="R192" s="156"/>
      <c r="S192" s="156"/>
    </row>
    <row r="193" spans="1:19" ht="17.25" thickBot="1">
      <c r="A193" s="111" t="s">
        <v>189</v>
      </c>
      <c r="B193" s="112">
        <v>1275</v>
      </c>
      <c r="C193" s="71">
        <v>-1.54440154E-2</v>
      </c>
      <c r="D193" s="20">
        <v>1405</v>
      </c>
      <c r="E193" s="21">
        <f t="shared" si="102"/>
        <v>0.10196078431372549</v>
      </c>
      <c r="F193" s="22">
        <f>IF(ISNUMBER(D193), $B199 * E193, "")</f>
        <v>15294.117647058823</v>
      </c>
      <c r="G193" s="30">
        <v>1415</v>
      </c>
      <c r="H193" s="21">
        <f t="shared" si="103"/>
        <v>0.10980392156862745</v>
      </c>
      <c r="I193" s="95">
        <f>IF(ISNUMBER(G193), $B199 * H193, "")</f>
        <v>16470.588235294119</v>
      </c>
      <c r="J193" s="20">
        <v>1400</v>
      </c>
      <c r="K193" s="21">
        <f t="shared" si="104"/>
        <v>9.8039215686274508E-2</v>
      </c>
      <c r="L193" s="22">
        <f>IF(ISNUMBER(J193), $B199 * K193, "")</f>
        <v>14705.882352941177</v>
      </c>
      <c r="M193" s="30">
        <v>1395</v>
      </c>
      <c r="N193" s="21">
        <f t="shared" si="105"/>
        <v>9.4117647058823528E-2</v>
      </c>
      <c r="O193" s="22">
        <f>IF(ISNUMBER(M193), $B199 * N193, "")</f>
        <v>14117.64705882353</v>
      </c>
      <c r="Q193" s="156"/>
      <c r="R193" s="156"/>
      <c r="S193" s="156"/>
    </row>
    <row r="194" spans="1:19" ht="17.25" thickBot="1">
      <c r="A194" s="109" t="s">
        <v>71</v>
      </c>
      <c r="B194" s="113">
        <v>11.9</v>
      </c>
      <c r="C194" s="73">
        <v>-1.6528925600000001E-2</v>
      </c>
      <c r="D194" s="96">
        <v>12.6</v>
      </c>
      <c r="E194" s="97">
        <f>IF(ISNUMBER(D194), (D194 - $B194) / $B194, "")</f>
        <v>5.8823529411764643E-2</v>
      </c>
      <c r="F194" s="98">
        <f>IF(ISNUMBER(D194), $B199 * E194, "")</f>
        <v>8823.5294117646972</v>
      </c>
      <c r="G194" s="99">
        <v>12.7</v>
      </c>
      <c r="H194" s="97">
        <f>IF(ISNUMBER(G194), (G194 - $B194) / $B194, "")</f>
        <v>6.7226890756302435E-2</v>
      </c>
      <c r="I194" s="100">
        <f>IF(ISNUMBER(G194), $B199 * H194, "")</f>
        <v>10084.033613445365</v>
      </c>
      <c r="J194" s="96">
        <v>12.7</v>
      </c>
      <c r="K194" s="97">
        <f>IF(ISNUMBER(J194), (J194 - $B194) / $B194, "")</f>
        <v>6.7226890756302435E-2</v>
      </c>
      <c r="L194" s="98">
        <f>IF(ISNUMBER(J194), $B199 * K194, "")</f>
        <v>10084.033613445365</v>
      </c>
      <c r="M194" s="99">
        <v>12.8</v>
      </c>
      <c r="N194" s="97">
        <f>IF(ISNUMBER(M194), (M194 - $B194) / $B194, "")</f>
        <v>7.5630252100840359E-2</v>
      </c>
      <c r="O194" s="98">
        <f>IF(ISNUMBER(M194), $B199 * N194, "")</f>
        <v>11344.537815126054</v>
      </c>
      <c r="Q194" s="146"/>
      <c r="R194" s="146"/>
      <c r="S194" s="146"/>
    </row>
    <row r="195" spans="1:19" ht="17.25" thickBot="1">
      <c r="A195" s="109" t="s">
        <v>223</v>
      </c>
      <c r="B195" s="110">
        <v>235</v>
      </c>
      <c r="C195" s="70">
        <v>-1.67364017E-2</v>
      </c>
      <c r="D195" s="15">
        <v>245</v>
      </c>
      <c r="E195" s="32">
        <f t="shared" ref="E195:E198" si="106">IF(ISNUMBER(D195), (D195 - $B195) / $B195, "")</f>
        <v>4.2553191489361701E-2</v>
      </c>
      <c r="F195" s="18">
        <f>IF(ISNUMBER(D195), $B199 * E195, "")</f>
        <v>6382.9787234042551</v>
      </c>
      <c r="G195" s="31">
        <v>247</v>
      </c>
      <c r="H195" s="32">
        <f t="shared" ref="H195:H198" si="107">IF(ISNUMBER(G195), (G195 - $B195) / $B195, "")</f>
        <v>5.106382978723404E-2</v>
      </c>
      <c r="I195" s="91">
        <f>IF(ISNUMBER(G195), $B199 * H195, "")</f>
        <v>7659.5744680851058</v>
      </c>
      <c r="J195" s="15">
        <v>246</v>
      </c>
      <c r="K195" s="32">
        <f t="shared" ref="K195:K198" si="108">IF(ISNUMBER(J195), (J195 - $B195) / $B195, "")</f>
        <v>4.6808510638297871E-2</v>
      </c>
      <c r="L195" s="18">
        <f>IF(ISNUMBER(J195), $B199 * K195, "")</f>
        <v>7021.2765957446809</v>
      </c>
      <c r="M195" s="31">
        <v>247</v>
      </c>
      <c r="N195" s="32">
        <f t="shared" ref="N195:N198" si="109">IF(ISNUMBER(M195), (M195 - $B195) / $B195, "")</f>
        <v>5.106382978723404E-2</v>
      </c>
      <c r="O195" s="18">
        <f>IF(ISNUMBER(M195), $B199 * N195, "")</f>
        <v>7659.5744680851058</v>
      </c>
      <c r="Q195" s="146"/>
      <c r="R195" s="146"/>
      <c r="S195" s="146"/>
    </row>
    <row r="196" spans="1:19" ht="17.25" thickBot="1">
      <c r="A196" s="109" t="s">
        <v>116</v>
      </c>
      <c r="B196" s="110">
        <v>1125</v>
      </c>
      <c r="C196" s="70">
        <v>-1.7467248899999999E-2</v>
      </c>
      <c r="D196" s="15">
        <v>1195</v>
      </c>
      <c r="E196" s="32">
        <f t="shared" si="106"/>
        <v>6.222222222222222E-2</v>
      </c>
      <c r="F196" s="18">
        <f>IF(ISNUMBER(D196), $B199 * E196, "")</f>
        <v>9333.3333333333339</v>
      </c>
      <c r="G196" s="31">
        <v>1200</v>
      </c>
      <c r="H196" s="32">
        <f t="shared" si="107"/>
        <v>6.6666666666666666E-2</v>
      </c>
      <c r="I196" s="91">
        <f>IF(ISNUMBER(G196), $B199 * H196, "")</f>
        <v>10000</v>
      </c>
      <c r="J196" s="15">
        <v>1185</v>
      </c>
      <c r="K196" s="32">
        <f t="shared" si="108"/>
        <v>5.3333333333333337E-2</v>
      </c>
      <c r="L196" s="18">
        <f>IF(ISNUMBER(J196), $B199 * K196, "")</f>
        <v>8000.0000000000009</v>
      </c>
      <c r="M196" s="31">
        <v>1205</v>
      </c>
      <c r="N196" s="32">
        <f t="shared" si="109"/>
        <v>7.1111111111111111E-2</v>
      </c>
      <c r="O196" s="18">
        <f>IF(ISNUMBER(M196), $B199 * N196, "")</f>
        <v>10666.666666666666</v>
      </c>
      <c r="Q196" s="146"/>
      <c r="R196" s="146"/>
      <c r="S196" s="146"/>
    </row>
    <row r="197" spans="1:19">
      <c r="A197" s="109" t="s">
        <v>225</v>
      </c>
      <c r="B197" s="110">
        <v>63.2</v>
      </c>
      <c r="C197" s="70">
        <v>-1.8633540399999999E-2</v>
      </c>
      <c r="D197" s="15">
        <v>67</v>
      </c>
      <c r="E197" s="32">
        <f t="shared" si="106"/>
        <v>6.0126582278480965E-2</v>
      </c>
      <c r="F197" s="18">
        <f>IF(ISNUMBER(D197), $B199 * E197, "")</f>
        <v>9018.9873417721446</v>
      </c>
      <c r="G197" s="31">
        <v>68.8</v>
      </c>
      <c r="H197" s="32">
        <f t="shared" si="107"/>
        <v>8.8607594936708764E-2</v>
      </c>
      <c r="I197" s="91">
        <f>IF(ISNUMBER(G197), $B199 * H197, "")</f>
        <v>13291.139240506314</v>
      </c>
      <c r="J197" s="15">
        <v>68.099999999999994</v>
      </c>
      <c r="K197" s="32">
        <f t="shared" si="108"/>
        <v>7.7531645569620111E-2</v>
      </c>
      <c r="L197" s="18">
        <f>IF(ISNUMBER(J197), $B199 * K197, "")</f>
        <v>11629.746835443017</v>
      </c>
      <c r="M197" s="31">
        <v>75.8</v>
      </c>
      <c r="N197" s="32">
        <f t="shared" si="109"/>
        <v>0.19936708860759483</v>
      </c>
      <c r="O197" s="18">
        <f>IF(ISNUMBER(M197), $B199 * N197, "")</f>
        <v>29905.063291139224</v>
      </c>
      <c r="Q197" s="135"/>
      <c r="R197" s="136"/>
      <c r="S197" s="137"/>
    </row>
    <row r="198" spans="1:19" ht="17.25" thickBot="1">
      <c r="A198" s="114" t="s">
        <v>185</v>
      </c>
      <c r="B198" s="115">
        <v>35.5</v>
      </c>
      <c r="C198" s="72">
        <v>-2.4725274700000001E-2</v>
      </c>
      <c r="D198" s="24">
        <v>37.200000000000003</v>
      </c>
      <c r="E198" s="25">
        <f t="shared" si="106"/>
        <v>4.7887323943662054E-2</v>
      </c>
      <c r="F198" s="94">
        <f>IF(ISNUMBER(D198), $B199 * E198, "")</f>
        <v>7183.0985915493084</v>
      </c>
      <c r="G198" s="92">
        <v>37.6</v>
      </c>
      <c r="H198" s="25">
        <f t="shared" si="107"/>
        <v>5.9154929577464828E-2</v>
      </c>
      <c r="I198" s="93">
        <f>IF(ISNUMBER(G198), $B199 * H198, "")</f>
        <v>8873.2394366197241</v>
      </c>
      <c r="J198" s="24">
        <v>37.4</v>
      </c>
      <c r="K198" s="25">
        <f t="shared" si="108"/>
        <v>5.3521126760563344E-2</v>
      </c>
      <c r="L198" s="94">
        <f>IF(ISNUMBER(J198), $B199 * K198, "")</f>
        <v>8028.1690140845012</v>
      </c>
      <c r="M198" s="92">
        <v>37.5</v>
      </c>
      <c r="N198" s="25">
        <f t="shared" si="109"/>
        <v>5.6338028169014086E-2</v>
      </c>
      <c r="O198" s="94">
        <f>IF(ISNUMBER(M198), $B199 * N198, "")</f>
        <v>8450.7042253521122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7.0226849101808653E-2</v>
      </c>
      <c r="F199" s="28">
        <f>SUM(F179:F198)</f>
        <v>210680.54730542598</v>
      </c>
      <c r="G199" s="26" t="s">
        <v>258</v>
      </c>
      <c r="H199" s="27">
        <f>IF(COUNT(H179:H198), SUM(H179:H198) / COUNT(H179:H198), 0)</f>
        <v>7.9591445796863905E-2</v>
      </c>
      <c r="I199" s="28">
        <f>SUM(I179:I198)</f>
        <v>238774.33739059168</v>
      </c>
      <c r="J199" s="26" t="s">
        <v>258</v>
      </c>
      <c r="K199" s="27">
        <f>IF(COUNT(K179:K198), SUM(K179:K198) / COUNT(K179:K198), 0)</f>
        <v>7.3594102798083455E-2</v>
      </c>
      <c r="L199" s="28">
        <f>SUM(L179:L198)</f>
        <v>220782.30839425031</v>
      </c>
      <c r="M199" s="26" t="s">
        <v>258</v>
      </c>
      <c r="N199" s="27">
        <f>IF(COUNT(N179:N198), SUM(N179:N198) / COUNT(N179:N198), 0)</f>
        <v>8.5909620966669653E-2</v>
      </c>
      <c r="O199" s="28">
        <f>SUM(O179:O198)</f>
        <v>257728.86290000897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1A815-F507-4721-B3A9-044283639C87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44948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-13,920 KRW (-0.46%)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-18,484 KRW (-0.62%)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32,735 KRW (1.09%)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23,991 KRW (0.80%)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2023-01-22(일) 오전 00:00</v>
      </c>
      <c r="C15" s="196"/>
      <c r="D15" s="170" t="str">
        <f>TEXT($G$1, "[$-ko-KR]yyyy-mm-dd(ddd) ") &amp; "오후 14:00"</f>
        <v>2023-01-22(일) 오후 14:00</v>
      </c>
      <c r="E15" s="171"/>
      <c r="F15" s="172"/>
      <c r="G15" s="170" t="str">
        <f>TEXT($G$1, "[$-ko-KR]yyyy-mm-dd(ddd) ") &amp; "오후 19:00"</f>
        <v>2023-01-22(일) 오후 19:00</v>
      </c>
      <c r="H15" s="171"/>
      <c r="I15" s="172"/>
      <c r="J15" s="170" t="str">
        <f>TEXT($G$1, "[$-ko-KR]yyyy-mm-dd(ddd) ") &amp; "오후 21:00"</f>
        <v>2023-01-22(일) 오후 21:00</v>
      </c>
      <c r="K15" s="171"/>
      <c r="L15" s="172"/>
      <c r="M15" s="170" t="str">
        <f>TEXT($G$1+1, "[$-ko-KR]yyyy-mm-dd(ddd) ") &amp; "오전 00:00"</f>
        <v>2023-01-23(월)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2023-01-22(일) 오전 00:00</v>
      </c>
      <c r="C42" s="198"/>
      <c r="D42" s="170" t="str">
        <f>TEXT($G$1, "[$-ko-KR]yyyy-mm-dd(ddd) ") &amp; "오후 14:00"</f>
        <v>2023-01-22(일) 오후 14:00</v>
      </c>
      <c r="E42" s="171"/>
      <c r="F42" s="172"/>
      <c r="G42" s="170" t="str">
        <f>TEXT($G$1, "[$-ko-KR]yyyy-mm-dd(ddd) ") &amp; "오후 19:00"</f>
        <v>2023-01-22(일) 오후 19:00</v>
      </c>
      <c r="H42" s="171"/>
      <c r="I42" s="172"/>
      <c r="J42" s="170" t="str">
        <f>TEXT($G$1, "[$-ko-KR]yyyy-mm-dd(ddd) ") &amp; "오후 21:00"</f>
        <v>2023-01-22(일) 오후 21:00</v>
      </c>
      <c r="K42" s="171"/>
      <c r="L42" s="172"/>
      <c r="M42" s="170" t="str">
        <f>TEXT($G$1+1, "[$-ko-KR]yyyy-mm-dd(ddd) ") &amp; "오전 00:00"</f>
        <v>2023-01-23(월)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225</v>
      </c>
      <c r="B44" s="108">
        <v>75.8</v>
      </c>
      <c r="C44" s="69">
        <v>0.12965722800000001</v>
      </c>
      <c r="D44" s="13">
        <v>73.2</v>
      </c>
      <c r="E44" s="14">
        <f>IF(ISNUMBER(D44), (D44 - $B44) / $B44, "")</f>
        <v>-3.4300791556728161E-2</v>
      </c>
      <c r="F44" s="16">
        <f>IF(ISNUMBER(D44), $B64 * E44, "")</f>
        <v>-5145.1187335092245</v>
      </c>
      <c r="G44" s="29">
        <v>72.3</v>
      </c>
      <c r="H44" s="14">
        <f>IF(ISNUMBER(G44), (G44 - $B44) / $B44, "")</f>
        <v>-4.6174142480211081E-2</v>
      </c>
      <c r="I44" s="90">
        <f>IF(ISNUMBER(G44), $B64 * H44, "")</f>
        <v>-6926.1213720316618</v>
      </c>
      <c r="J44" s="13">
        <v>71.7</v>
      </c>
      <c r="K44" s="14">
        <f>IF(ISNUMBER(J44), (J44 - $B44) / $B44, "")</f>
        <v>-5.4089709762532912E-2</v>
      </c>
      <c r="L44" s="16">
        <f>IF(ISNUMBER(J44), $B64 * K44, "")</f>
        <v>-8113.4564643799367</v>
      </c>
      <c r="M44" s="29">
        <v>70.3</v>
      </c>
      <c r="N44" s="14">
        <f>IF(ISNUMBER(M44), (M44 - $B44) / $B44, "")</f>
        <v>-7.255936675461741E-2</v>
      </c>
      <c r="O44" s="16">
        <f>IF(ISNUMBER(M44), $B64 * N44, "")</f>
        <v>-10883.905013192612</v>
      </c>
      <c r="Q44" s="156"/>
      <c r="R44" s="156"/>
      <c r="S44" s="156"/>
    </row>
    <row r="45" spans="1:19" ht="17.25" customHeight="1" thickBot="1">
      <c r="A45" s="109" t="s">
        <v>227</v>
      </c>
      <c r="B45" s="110">
        <v>48</v>
      </c>
      <c r="C45" s="70">
        <v>7.3825503400000006E-2</v>
      </c>
      <c r="D45" s="15">
        <v>47.1</v>
      </c>
      <c r="E45" s="32">
        <f t="shared" ref="E45:E48" si="14">IF(ISNUMBER(D45), (D45 - $B45) / $B45, "")</f>
        <v>-1.8749999999999972E-2</v>
      </c>
      <c r="F45" s="18">
        <f>IF(ISNUMBER(D45), $B64 * E45, "")</f>
        <v>-2812.4999999999959</v>
      </c>
      <c r="G45" s="31">
        <v>46.4</v>
      </c>
      <c r="H45" s="32">
        <f t="shared" ref="H45:H48" si="15">IF(ISNUMBER(G45), (G45 - $B45) / $B45, "")</f>
        <v>-3.3333333333333361E-2</v>
      </c>
      <c r="I45" s="91">
        <f>IF(ISNUMBER(G45), $B64 * H45, "")</f>
        <v>-5000.0000000000045</v>
      </c>
      <c r="J45" s="15">
        <v>46.3</v>
      </c>
      <c r="K45" s="32">
        <f t="shared" ref="K45:K48" si="16">IF(ISNUMBER(J45), (J45 - $B45) / $B45, "")</f>
        <v>-3.5416666666666728E-2</v>
      </c>
      <c r="L45" s="18">
        <f>IF(ISNUMBER(J45), $B64 * K45, "")</f>
        <v>-5312.5000000000091</v>
      </c>
      <c r="M45" s="31">
        <v>46.7</v>
      </c>
      <c r="N45" s="32">
        <f t="shared" ref="N45:N48" si="17">IF(ISNUMBER(M45), (M45 - $B45) / $B45, "")</f>
        <v>-2.7083333333333275E-2</v>
      </c>
      <c r="O45" s="18">
        <f>IF(ISNUMBER(M45), $B64 * N45, "")</f>
        <v>-4062.4999999999914</v>
      </c>
      <c r="Q45" s="156"/>
      <c r="R45" s="156"/>
      <c r="S45" s="156"/>
    </row>
    <row r="46" spans="1:19" ht="17.25" customHeight="1" thickBot="1">
      <c r="A46" s="109" t="s">
        <v>207</v>
      </c>
      <c r="B46" s="110">
        <v>79.3</v>
      </c>
      <c r="C46" s="70">
        <v>6.8733153599999999E-2</v>
      </c>
      <c r="D46" s="15">
        <v>77</v>
      </c>
      <c r="E46" s="32">
        <f t="shared" si="14"/>
        <v>-2.9003783102143722E-2</v>
      </c>
      <c r="F46" s="18">
        <f>IF(ISNUMBER(D46), $B64 * E46, "")</f>
        <v>-4350.5674653215583</v>
      </c>
      <c r="G46" s="31">
        <v>76.900000000000006</v>
      </c>
      <c r="H46" s="32">
        <f t="shared" si="15"/>
        <v>-3.0264817150062944E-2</v>
      </c>
      <c r="I46" s="91">
        <f>IF(ISNUMBER(G46), $B64 * H46, "")</f>
        <v>-4539.7225725094413</v>
      </c>
      <c r="J46" s="15">
        <v>76.2</v>
      </c>
      <c r="K46" s="32">
        <f t="shared" si="16"/>
        <v>-3.9092055485498038E-2</v>
      </c>
      <c r="L46" s="18">
        <f>IF(ISNUMBER(J46), $B64 * K46, "")</f>
        <v>-5863.808322824706</v>
      </c>
      <c r="M46" s="31">
        <v>76.5</v>
      </c>
      <c r="N46" s="32">
        <f t="shared" si="17"/>
        <v>-3.5308953341740196E-2</v>
      </c>
      <c r="O46" s="18">
        <f>IF(ISNUMBER(M46), $B64 * N46, "")</f>
        <v>-5296.3430012610297</v>
      </c>
      <c r="Q46" s="146"/>
      <c r="R46" s="146"/>
      <c r="S46" s="146"/>
    </row>
    <row r="47" spans="1:19" ht="17.25" customHeight="1" thickBot="1">
      <c r="A47" s="109" t="s">
        <v>132</v>
      </c>
      <c r="B47" s="110">
        <v>59.5</v>
      </c>
      <c r="C47" s="70">
        <v>5.87188612E-2</v>
      </c>
      <c r="D47" s="15">
        <v>58.1</v>
      </c>
      <c r="E47" s="32">
        <f t="shared" si="14"/>
        <v>-2.3529411764705858E-2</v>
      </c>
      <c r="F47" s="18">
        <f>IF(ISNUMBER(D47), $B64 * E47, "")</f>
        <v>-3529.4117647058788</v>
      </c>
      <c r="G47" s="31">
        <v>57.9</v>
      </c>
      <c r="H47" s="32">
        <f t="shared" si="15"/>
        <v>-2.6890756302521031E-2</v>
      </c>
      <c r="I47" s="91">
        <f>IF(ISNUMBER(G47), $B64 * H47, "")</f>
        <v>-4033.6134453781547</v>
      </c>
      <c r="J47" s="15">
        <v>58.1</v>
      </c>
      <c r="K47" s="32">
        <f t="shared" si="16"/>
        <v>-2.3529411764705858E-2</v>
      </c>
      <c r="L47" s="18">
        <f>IF(ISNUMBER(J47), $B64 * K47, "")</f>
        <v>-3529.4117647058788</v>
      </c>
      <c r="M47" s="31">
        <v>59.1</v>
      </c>
      <c r="N47" s="32">
        <f t="shared" si="17"/>
        <v>-6.7226890756302282E-3</v>
      </c>
      <c r="O47" s="18">
        <f>IF(ISNUMBER(M47), $B64 * N47, "")</f>
        <v>-1008.4033613445342</v>
      </c>
      <c r="Q47" s="146"/>
      <c r="R47" s="146"/>
      <c r="S47" s="146"/>
    </row>
    <row r="48" spans="1:19" ht="17.25" customHeight="1" thickBot="1">
      <c r="A48" s="111" t="s">
        <v>349</v>
      </c>
      <c r="B48" s="112">
        <v>29.9</v>
      </c>
      <c r="C48" s="71">
        <v>4.9122806999999998E-2</v>
      </c>
      <c r="D48" s="20">
        <v>29.2</v>
      </c>
      <c r="E48" s="21">
        <f t="shared" si="14"/>
        <v>-2.3411371237458171E-2</v>
      </c>
      <c r="F48" s="22">
        <f>IF(ISNUMBER(D48), $B64 * E48, "")</f>
        <v>-3511.7056856187255</v>
      </c>
      <c r="G48" s="30">
        <v>29.9</v>
      </c>
      <c r="H48" s="21">
        <f t="shared" si="15"/>
        <v>0</v>
      </c>
      <c r="I48" s="95">
        <f>IF(ISNUMBER(G48), $B64 * H48, "")</f>
        <v>0</v>
      </c>
      <c r="J48" s="20">
        <v>29.9</v>
      </c>
      <c r="K48" s="21">
        <f t="shared" si="16"/>
        <v>0</v>
      </c>
      <c r="L48" s="22">
        <f>IF(ISNUMBER(J48), $B64 * K48, "")</f>
        <v>0</v>
      </c>
      <c r="M48" s="30">
        <v>29.9</v>
      </c>
      <c r="N48" s="21">
        <f t="shared" si="17"/>
        <v>0</v>
      </c>
      <c r="O48" s="22">
        <f>IF(ISNUMBER(M48), $B64 * N48, "")</f>
        <v>0</v>
      </c>
      <c r="Q48" s="146"/>
      <c r="R48" s="146"/>
      <c r="S48" s="146"/>
    </row>
    <row r="49" spans="1:19" ht="17.25" customHeight="1" thickBot="1">
      <c r="A49" s="109" t="s">
        <v>138</v>
      </c>
      <c r="B49" s="113">
        <v>31.2</v>
      </c>
      <c r="C49" s="73">
        <v>4.3478260900000003E-2</v>
      </c>
      <c r="D49" s="96">
        <v>30.4</v>
      </c>
      <c r="E49" s="97">
        <f>IF(ISNUMBER(D49), (D49 - $B49) / $B49, "")</f>
        <v>-2.5641025641025664E-2</v>
      </c>
      <c r="F49" s="98">
        <f>IF(ISNUMBER(D49), $B64 * E49, "")</f>
        <v>-3846.1538461538498</v>
      </c>
      <c r="G49" s="99">
        <v>30.8</v>
      </c>
      <c r="H49" s="97">
        <f>IF(ISNUMBER(G49), (G49 - $B49) / $B49, "")</f>
        <v>-1.2820512820512775E-2</v>
      </c>
      <c r="I49" s="100">
        <f>IF(ISNUMBER(G49), $B64 * H49, "")</f>
        <v>-1923.0769230769163</v>
      </c>
      <c r="J49" s="96">
        <v>30.8</v>
      </c>
      <c r="K49" s="97">
        <f>IF(ISNUMBER(J49), (J49 - $B49) / $B49, "")</f>
        <v>-1.2820512820512775E-2</v>
      </c>
      <c r="L49" s="98">
        <f>IF(ISNUMBER(J49), $B64 * K49, "")</f>
        <v>-1923.0769230769163</v>
      </c>
      <c r="M49" s="99">
        <v>31.4</v>
      </c>
      <c r="N49" s="97">
        <f>IF(ISNUMBER(M49), (M49 - $B49) / $B49, "")</f>
        <v>6.4102564102563875E-3</v>
      </c>
      <c r="O49" s="98">
        <f>IF(ISNUMBER(M49), $B64 * N49, "")</f>
        <v>961.53846153845814</v>
      </c>
      <c r="Q49" s="146"/>
      <c r="R49" s="146"/>
      <c r="S49" s="146"/>
    </row>
    <row r="50" spans="1:19" ht="17.25" customHeight="1" thickBot="1">
      <c r="A50" s="109" t="s">
        <v>197</v>
      </c>
      <c r="B50" s="110">
        <v>7.6</v>
      </c>
      <c r="C50" s="70">
        <v>3.9671682600000001E-2</v>
      </c>
      <c r="D50" s="15">
        <v>7.45</v>
      </c>
      <c r="E50" s="32">
        <f t="shared" ref="E50:E53" si="18">IF(ISNUMBER(D50), (D50 - $B50) / $B50, "")</f>
        <v>-1.9736842105263087E-2</v>
      </c>
      <c r="F50" s="18">
        <f>IF(ISNUMBER(D50), $B64 * E50, "")</f>
        <v>-2960.5263157894633</v>
      </c>
      <c r="G50" s="31">
        <v>7.52</v>
      </c>
      <c r="H50" s="32">
        <f t="shared" ref="H50:H53" si="19">IF(ISNUMBER(G50), (G50 - $B50) / $B50, "")</f>
        <v>-1.0526315789473694E-2</v>
      </c>
      <c r="I50" s="91">
        <f>IF(ISNUMBER(G50), $B64 * H50, "")</f>
        <v>-1578.9473684210541</v>
      </c>
      <c r="J50" s="15">
        <v>7.5</v>
      </c>
      <c r="K50" s="32">
        <f t="shared" ref="K50:K53" si="20">IF(ISNUMBER(J50), (J50 - $B50) / $B50, "")</f>
        <v>-1.3157894736842059E-2</v>
      </c>
      <c r="L50" s="18">
        <f>IF(ISNUMBER(J50), $B64 * K50, "")</f>
        <v>-1973.684210526309</v>
      </c>
      <c r="M50" s="31">
        <v>7.48</v>
      </c>
      <c r="N50" s="32">
        <f t="shared" ref="N50:N53" si="21">IF(ISNUMBER(M50), (M50 - $B50) / $B50, "")</f>
        <v>-1.5789473684210423E-2</v>
      </c>
      <c r="O50" s="18">
        <f>IF(ISNUMBER(M50), $B64 * N50, "")</f>
        <v>-2368.4210526315633</v>
      </c>
      <c r="Q50" s="146"/>
      <c r="R50" s="146"/>
      <c r="S50" s="146"/>
    </row>
    <row r="51" spans="1:19" ht="17.25" customHeight="1" thickBot="1">
      <c r="A51" s="109" t="s">
        <v>191</v>
      </c>
      <c r="B51" s="110">
        <v>63.5</v>
      </c>
      <c r="C51" s="70">
        <v>3.9279869100000003E-2</v>
      </c>
      <c r="D51" s="15">
        <v>62.9</v>
      </c>
      <c r="E51" s="32">
        <f t="shared" si="18"/>
        <v>-9.4488188976378177E-3</v>
      </c>
      <c r="F51" s="18">
        <f>IF(ISNUMBER(D51), $B64 * E51, "")</f>
        <v>-1417.3228346456726</v>
      </c>
      <c r="G51" s="31">
        <v>63.2</v>
      </c>
      <c r="H51" s="32">
        <f t="shared" si="19"/>
        <v>-4.7244094488188525E-3</v>
      </c>
      <c r="I51" s="91">
        <f>IF(ISNUMBER(G51), $B64 * H51, "")</f>
        <v>-708.6614173228279</v>
      </c>
      <c r="J51" s="15">
        <v>63.2</v>
      </c>
      <c r="K51" s="32">
        <f t="shared" si="20"/>
        <v>-4.7244094488188525E-3</v>
      </c>
      <c r="L51" s="18">
        <f>IF(ISNUMBER(J51), $B64 * K51, "")</f>
        <v>-708.6614173228279</v>
      </c>
      <c r="M51" s="31">
        <v>62.9</v>
      </c>
      <c r="N51" s="32">
        <f t="shared" si="21"/>
        <v>-9.4488188976378177E-3</v>
      </c>
      <c r="O51" s="18">
        <f>IF(ISNUMBER(M51), $B64 * N51, "")</f>
        <v>-1417.3228346456726</v>
      </c>
      <c r="Q51" s="146"/>
      <c r="R51" s="146"/>
      <c r="S51" s="146"/>
    </row>
    <row r="52" spans="1:19" ht="17.25" customHeight="1" thickBot="1">
      <c r="A52" s="109" t="s">
        <v>155</v>
      </c>
      <c r="B52" s="110">
        <v>32.799999999999997</v>
      </c>
      <c r="C52" s="70">
        <v>3.14465409E-2</v>
      </c>
      <c r="D52" s="15">
        <v>31.9</v>
      </c>
      <c r="E52" s="32">
        <f t="shared" si="18"/>
        <v>-2.7439024390243861E-2</v>
      </c>
      <c r="F52" s="18">
        <f>IF(ISNUMBER(D52), $B64 * E52, "")</f>
        <v>-4115.8536585365791</v>
      </c>
      <c r="G52" s="31">
        <v>31.9</v>
      </c>
      <c r="H52" s="32">
        <f t="shared" si="19"/>
        <v>-2.7439024390243861E-2</v>
      </c>
      <c r="I52" s="91">
        <f>IF(ISNUMBER(G52), $B64 * H52, "")</f>
        <v>-4115.8536585365791</v>
      </c>
      <c r="J52" s="15">
        <v>32</v>
      </c>
      <c r="K52" s="32">
        <f t="shared" si="20"/>
        <v>-2.4390243902438939E-2</v>
      </c>
      <c r="L52" s="18">
        <f>IF(ISNUMBER(J52), $B64 * K52, "")</f>
        <v>-3658.5365853658409</v>
      </c>
      <c r="M52" s="31">
        <v>32.1</v>
      </c>
      <c r="N52" s="32">
        <f t="shared" si="21"/>
        <v>-2.134146341463402E-2</v>
      </c>
      <c r="O52" s="18">
        <f>IF(ISNUMBER(M52), $B64 * N52, "")</f>
        <v>-3201.2195121951031</v>
      </c>
      <c r="Q52" s="33"/>
      <c r="R52" s="33"/>
    </row>
    <row r="53" spans="1:19" ht="17.25" customHeight="1" thickBot="1">
      <c r="A53" s="114" t="s">
        <v>195</v>
      </c>
      <c r="B53" s="115">
        <v>6.97</v>
      </c>
      <c r="C53" s="72">
        <v>3.1065088800000001E-2</v>
      </c>
      <c r="D53" s="24">
        <v>6.91</v>
      </c>
      <c r="E53" s="25">
        <f t="shared" si="18"/>
        <v>-8.6083213773313644E-3</v>
      </c>
      <c r="F53" s="94">
        <f>IF(ISNUMBER(D53), $B64 * E53, "")</f>
        <v>-1291.2482065997046</v>
      </c>
      <c r="G53" s="92">
        <v>6.94</v>
      </c>
      <c r="H53" s="25">
        <f t="shared" si="19"/>
        <v>-4.3041606886656189E-3</v>
      </c>
      <c r="I53" s="93">
        <f>IF(ISNUMBER(G53), $B64 * H53, "")</f>
        <v>-645.62410329984289</v>
      </c>
      <c r="J53" s="24">
        <v>6.92</v>
      </c>
      <c r="K53" s="25">
        <f t="shared" si="20"/>
        <v>-7.1736011477761584E-3</v>
      </c>
      <c r="L53" s="94">
        <f>IF(ISNUMBER(J53), $B64 * K53, "")</f>
        <v>-1076.0401721664239</v>
      </c>
      <c r="M53" s="92">
        <v>7</v>
      </c>
      <c r="N53" s="25">
        <f t="shared" si="21"/>
        <v>4.3041606886657464E-3</v>
      </c>
      <c r="O53" s="94">
        <f>IF(ISNUMBER(M53), $B64 * N53, "")</f>
        <v>645.62410329986199</v>
      </c>
      <c r="Q53" s="147"/>
      <c r="R53" s="148"/>
      <c r="S53" s="149"/>
    </row>
    <row r="54" spans="1:19" ht="17.25" customHeight="1">
      <c r="A54" s="107" t="s">
        <v>64</v>
      </c>
      <c r="B54" s="108">
        <v>12.2</v>
      </c>
      <c r="C54" s="69">
        <v>2.5210084000000001E-2</v>
      </c>
      <c r="D54" s="13">
        <v>11.9</v>
      </c>
      <c r="E54" s="14">
        <f>IF(ISNUMBER(D54), (D54 - $B54) / $B54, "")</f>
        <v>-2.4590163934426142E-2</v>
      </c>
      <c r="F54" s="16">
        <f>IF(ISNUMBER(D54), $B64 * E54, "")</f>
        <v>-3688.5245901639214</v>
      </c>
      <c r="G54" s="29">
        <v>12</v>
      </c>
      <c r="H54" s="14">
        <f>IF(ISNUMBER(G54), (G54 - $B54) / $B54, "")</f>
        <v>-1.6393442622950762E-2</v>
      </c>
      <c r="I54" s="90">
        <f>IF(ISNUMBER(G54), $B64 * H54, "")</f>
        <v>-2459.0163934426141</v>
      </c>
      <c r="J54" s="13">
        <v>12.1</v>
      </c>
      <c r="K54" s="14">
        <f>IF(ISNUMBER(J54), (J54 - $B54) / $B54, "")</f>
        <v>-8.1967213114753808E-3</v>
      </c>
      <c r="L54" s="16">
        <f>IF(ISNUMBER(J54), $B64 * K54, "")</f>
        <v>-1229.5081967213071</v>
      </c>
      <c r="M54" s="29">
        <v>12.2</v>
      </c>
      <c r="N54" s="14">
        <f>IF(ISNUMBER(M54), (M54 - $B54) / $B54, "")</f>
        <v>0</v>
      </c>
      <c r="O54" s="16">
        <f>IF(ISNUMBER(M54), $B64 * N54, "")</f>
        <v>0</v>
      </c>
      <c r="Q54" s="150"/>
      <c r="R54" s="151"/>
      <c r="S54" s="152"/>
    </row>
    <row r="55" spans="1:19" ht="17.25" customHeight="1" thickBot="1">
      <c r="A55" s="109" t="s">
        <v>143</v>
      </c>
      <c r="B55" s="110">
        <v>4.37</v>
      </c>
      <c r="C55" s="70">
        <v>1.86480186E-2</v>
      </c>
      <c r="D55" s="15">
        <v>4.3099999999999996</v>
      </c>
      <c r="E55" s="32">
        <f t="shared" ref="E55:E58" si="22">IF(ISNUMBER(D55), (D55 - $B55) / $B55, "")</f>
        <v>-1.3729977116704919E-2</v>
      </c>
      <c r="F55" s="18">
        <f>IF(ISNUMBER(D55), $B64 * E55, "")</f>
        <v>-2059.4965675057379</v>
      </c>
      <c r="G55" s="31">
        <v>4.32</v>
      </c>
      <c r="H55" s="32">
        <f t="shared" ref="H55:H58" si="23">IF(ISNUMBER(G55), (G55 - $B55) / $B55, "")</f>
        <v>-1.1441647597253964E-2</v>
      </c>
      <c r="I55" s="91">
        <f>IF(ISNUMBER(G55), $B64 * H55, "")</f>
        <v>-1716.2471395880946</v>
      </c>
      <c r="J55" s="15">
        <v>4.34</v>
      </c>
      <c r="K55" s="32">
        <f t="shared" ref="K55:K58" si="24">IF(ISNUMBER(J55), (J55 - $B55) / $B55, "")</f>
        <v>-6.8649885583524596E-3</v>
      </c>
      <c r="L55" s="18">
        <f>IF(ISNUMBER(J55), $B64 * K55, "")</f>
        <v>-1029.7482837528689</v>
      </c>
      <c r="M55" s="31">
        <v>4.3499999999999996</v>
      </c>
      <c r="N55" s="32">
        <f t="shared" ref="N55:N58" si="25">IF(ISNUMBER(M55), (M55 - $B55) / $B55, "")</f>
        <v>-4.5766590389017077E-3</v>
      </c>
      <c r="O55" s="18">
        <f>IF(ISNUMBER(M55), $B64 * N55, "")</f>
        <v>-686.49885583525611</v>
      </c>
      <c r="Q55" s="153"/>
      <c r="R55" s="154"/>
      <c r="S55" s="155"/>
    </row>
    <row r="56" spans="1:19" ht="17.25" customHeight="1" thickBot="1">
      <c r="A56" s="109" t="s">
        <v>107</v>
      </c>
      <c r="B56" s="110">
        <v>46</v>
      </c>
      <c r="C56" s="70">
        <v>1.7699115000000001E-2</v>
      </c>
      <c r="D56" s="15">
        <v>46</v>
      </c>
      <c r="E56" s="32">
        <f t="shared" si="22"/>
        <v>0</v>
      </c>
      <c r="F56" s="18">
        <f>IF(ISNUMBER(D56), $B64 * E56, "")</f>
        <v>0</v>
      </c>
      <c r="G56" s="31">
        <v>45.8</v>
      </c>
      <c r="H56" s="32">
        <f t="shared" si="23"/>
        <v>-4.3478260869565834E-3</v>
      </c>
      <c r="I56" s="91">
        <f>IF(ISNUMBER(G56), $B64 * H56, "")</f>
        <v>-652.17391304348746</v>
      </c>
      <c r="J56" s="15">
        <v>45.8</v>
      </c>
      <c r="K56" s="32">
        <f t="shared" si="24"/>
        <v>-4.3478260869565834E-3</v>
      </c>
      <c r="L56" s="18">
        <f>IF(ISNUMBER(J56), $B64 * K56, "")</f>
        <v>-652.17391304348746</v>
      </c>
      <c r="M56" s="31">
        <v>46.2</v>
      </c>
      <c r="N56" s="32">
        <f t="shared" si="25"/>
        <v>4.3478260869565834E-3</v>
      </c>
      <c r="O56" s="18">
        <f>IF(ISNUMBER(M56), $B64 * N56, "")</f>
        <v>652.17391304348746</v>
      </c>
      <c r="Q56" s="146"/>
      <c r="R56" s="146"/>
      <c r="S56" s="146"/>
    </row>
    <row r="57" spans="1:19" ht="17.25" customHeight="1" thickBot="1">
      <c r="A57" s="109" t="s">
        <v>203</v>
      </c>
      <c r="B57" s="110">
        <v>3.78</v>
      </c>
      <c r="C57" s="70">
        <v>1.6129032299999999E-2</v>
      </c>
      <c r="D57" s="15">
        <v>3.75</v>
      </c>
      <c r="E57" s="32">
        <f t="shared" si="22"/>
        <v>-7.9365079365078858E-3</v>
      </c>
      <c r="F57" s="18">
        <f>IF(ISNUMBER(D57), $B64 * E57, "")</f>
        <v>-1190.4761904761829</v>
      </c>
      <c r="G57" s="31">
        <v>3.78</v>
      </c>
      <c r="H57" s="32">
        <f t="shared" si="23"/>
        <v>0</v>
      </c>
      <c r="I57" s="91">
        <f>IF(ISNUMBER(G57), $B64 * H57, "")</f>
        <v>0</v>
      </c>
      <c r="J57" s="15">
        <v>3.77</v>
      </c>
      <c r="K57" s="32">
        <f t="shared" si="24"/>
        <v>-2.6455026455025894E-3</v>
      </c>
      <c r="L57" s="18">
        <f>IF(ISNUMBER(J57), $B64 * K57, "")</f>
        <v>-396.8253968253884</v>
      </c>
      <c r="M57" s="31">
        <v>3.81</v>
      </c>
      <c r="N57" s="32">
        <f t="shared" si="25"/>
        <v>7.936507936508002E-3</v>
      </c>
      <c r="O57" s="18">
        <f>IF(ISNUMBER(M57), $B64 * N57, "")</f>
        <v>1190.4761904762004</v>
      </c>
      <c r="Q57" s="156"/>
      <c r="R57" s="156"/>
      <c r="S57" s="156"/>
    </row>
    <row r="58" spans="1:19" ht="17.25" customHeight="1" thickBot="1">
      <c r="A58" s="111" t="s">
        <v>333</v>
      </c>
      <c r="B58" s="112">
        <v>5.2</v>
      </c>
      <c r="C58" s="71">
        <v>1.5625E-2</v>
      </c>
      <c r="D58" s="20">
        <v>5.12</v>
      </c>
      <c r="E58" s="21">
        <f t="shared" si="22"/>
        <v>-1.5384615384615398E-2</v>
      </c>
      <c r="F58" s="22">
        <f>IF(ISNUMBER(D58), $B64 * E58, "")</f>
        <v>-2307.6923076923094</v>
      </c>
      <c r="G58" s="30">
        <v>5.13</v>
      </c>
      <c r="H58" s="21">
        <f t="shared" si="23"/>
        <v>-1.3461538461538516E-2</v>
      </c>
      <c r="I58" s="95">
        <f>IF(ISNUMBER(G58), $B64 * H58, "")</f>
        <v>-2019.2307692307775</v>
      </c>
      <c r="J58" s="20">
        <v>5.12</v>
      </c>
      <c r="K58" s="21">
        <f t="shared" si="24"/>
        <v>-1.5384615384615398E-2</v>
      </c>
      <c r="L58" s="22">
        <f>IF(ISNUMBER(J58), $B64 * K58, "")</f>
        <v>-2307.6923076923094</v>
      </c>
      <c r="M58" s="30">
        <v>5.17</v>
      </c>
      <c r="N58" s="21">
        <f t="shared" si="25"/>
        <v>-5.7692307692308173E-3</v>
      </c>
      <c r="O58" s="22">
        <f>IF(ISNUMBER(M58), $B64 * N58, "")</f>
        <v>-865.38461538462263</v>
      </c>
      <c r="Q58" s="156"/>
      <c r="R58" s="156"/>
      <c r="S58" s="156"/>
    </row>
    <row r="59" spans="1:19" ht="17.25" customHeight="1" thickBot="1">
      <c r="A59" s="109" t="s">
        <v>118</v>
      </c>
      <c r="B59" s="113">
        <v>6.68</v>
      </c>
      <c r="C59" s="73">
        <v>1.51975684E-2</v>
      </c>
      <c r="D59" s="96">
        <v>6.65</v>
      </c>
      <c r="E59" s="97">
        <f>IF(ISNUMBER(D59), (D59 - $B59) / $B59, "")</f>
        <v>-4.4910179640717607E-3</v>
      </c>
      <c r="F59" s="98">
        <f>IF(ISNUMBER(D59), $B64 * E59, "")</f>
        <v>-673.65269461076412</v>
      </c>
      <c r="G59" s="99">
        <v>6.83</v>
      </c>
      <c r="H59" s="97">
        <f>IF(ISNUMBER(G59), (G59 - $B59) / $B59, "")</f>
        <v>2.2455089820359337E-2</v>
      </c>
      <c r="I59" s="100">
        <f>IF(ISNUMBER(G59), $B64 * H59, "")</f>
        <v>3368.2634730539007</v>
      </c>
      <c r="J59" s="96">
        <v>6.74</v>
      </c>
      <c r="K59" s="97">
        <f>IF(ISNUMBER(J59), (J59 - $B59) / $B59, "")</f>
        <v>8.9820359281437868E-3</v>
      </c>
      <c r="L59" s="98">
        <f>IF(ISNUMBER(J59), $B64 * K59, "")</f>
        <v>1347.305389221568</v>
      </c>
      <c r="M59" s="99">
        <v>6.83</v>
      </c>
      <c r="N59" s="97">
        <f>IF(ISNUMBER(M59), (M59 - $B59) / $B59, "")</f>
        <v>2.2455089820359337E-2</v>
      </c>
      <c r="O59" s="98">
        <f>IF(ISNUMBER(M59), $B64 * N59, "")</f>
        <v>3368.2634730539007</v>
      </c>
      <c r="Q59" s="146"/>
      <c r="R59" s="146"/>
      <c r="S59" s="146"/>
    </row>
    <row r="60" spans="1:19" ht="17.25" customHeight="1" thickBot="1">
      <c r="A60" s="109" t="s">
        <v>193</v>
      </c>
      <c r="B60" s="110">
        <v>20.3</v>
      </c>
      <c r="C60" s="70">
        <v>1.4999999999999999E-2</v>
      </c>
      <c r="D60" s="15">
        <v>20</v>
      </c>
      <c r="E60" s="32">
        <f t="shared" ref="E60:E63" si="26">IF(ISNUMBER(D60), (D60 - $B60) / $B60, "")</f>
        <v>-1.4778325123152743E-2</v>
      </c>
      <c r="F60" s="18">
        <f>IF(ISNUMBER(D60), $B64 * E60, "")</f>
        <v>-2216.7487684729117</v>
      </c>
      <c r="G60" s="31">
        <v>20.100000000000001</v>
      </c>
      <c r="H60" s="32">
        <f t="shared" ref="H60:H63" si="27">IF(ISNUMBER(G60), (G60 - $B60) / $B60, "")</f>
        <v>-9.8522167487684383E-3</v>
      </c>
      <c r="I60" s="91">
        <f>IF(ISNUMBER(G60), $B64 * H60, "")</f>
        <v>-1477.8325123152658</v>
      </c>
      <c r="J60" s="15">
        <v>20.100000000000001</v>
      </c>
      <c r="K60" s="32">
        <f t="shared" ref="K60:K63" si="28">IF(ISNUMBER(J60), (J60 - $B60) / $B60, "")</f>
        <v>-9.8522167487684383E-3</v>
      </c>
      <c r="L60" s="18">
        <f>IF(ISNUMBER(J60), $B64 * K60, "")</f>
        <v>-1477.8325123152658</v>
      </c>
      <c r="M60" s="31">
        <v>20.399999999999999</v>
      </c>
      <c r="N60" s="32">
        <f t="shared" ref="N60:N63" si="29">IF(ISNUMBER(M60), (M60 - $B60) / $B60, "")</f>
        <v>4.9261083743841316E-3</v>
      </c>
      <c r="O60" s="18">
        <f>IF(ISNUMBER(M60), $B64 * N60, "")</f>
        <v>738.91625615761973</v>
      </c>
      <c r="Q60" s="146"/>
      <c r="R60" s="146"/>
      <c r="S60" s="146"/>
    </row>
    <row r="61" spans="1:19" ht="17.25" customHeight="1" thickBot="1">
      <c r="A61" s="109" t="s">
        <v>141</v>
      </c>
      <c r="B61" s="110">
        <v>3.76</v>
      </c>
      <c r="C61" s="70">
        <v>1.0752688200000001E-2</v>
      </c>
      <c r="D61" s="15">
        <v>3.79</v>
      </c>
      <c r="E61" s="32">
        <f t="shared" si="26"/>
        <v>7.9787234042553862E-3</v>
      </c>
      <c r="F61" s="18">
        <f>IF(ISNUMBER(D61), $B64 * E61, "")</f>
        <v>1196.808510638308</v>
      </c>
      <c r="G61" s="31">
        <v>3.8</v>
      </c>
      <c r="H61" s="32">
        <f t="shared" si="27"/>
        <v>1.0638297872340436E-2</v>
      </c>
      <c r="I61" s="91">
        <f>IF(ISNUMBER(G61), $B64 * H61, "")</f>
        <v>1595.7446808510654</v>
      </c>
      <c r="J61" s="15">
        <v>3.78</v>
      </c>
      <c r="K61" s="32">
        <f t="shared" si="28"/>
        <v>5.3191489361702178E-3</v>
      </c>
      <c r="L61" s="18">
        <f>IF(ISNUMBER(J61), $B64 * K61, "")</f>
        <v>797.87234042553268</v>
      </c>
      <c r="M61" s="31">
        <v>3.86</v>
      </c>
      <c r="N61" s="32">
        <f t="shared" si="29"/>
        <v>2.6595744680851088E-2</v>
      </c>
      <c r="O61" s="18">
        <f>IF(ISNUMBER(M61), $B64 * N61, "")</f>
        <v>3989.3617021276632</v>
      </c>
      <c r="Q61" s="146"/>
      <c r="R61" s="146"/>
      <c r="S61" s="146"/>
    </row>
    <row r="62" spans="1:19" ht="17.25" customHeight="1">
      <c r="A62" s="109" t="s">
        <v>221</v>
      </c>
      <c r="B62" s="110">
        <v>22.8</v>
      </c>
      <c r="C62" s="70">
        <v>8.8495575000000007E-3</v>
      </c>
      <c r="D62" s="15">
        <v>22.5</v>
      </c>
      <c r="E62" s="32">
        <f t="shared" si="26"/>
        <v>-1.3157894736842136E-2</v>
      </c>
      <c r="F62" s="18">
        <f>IF(ISNUMBER(D62), $B64 * E62, "")</f>
        <v>-1973.6842105263204</v>
      </c>
      <c r="G62" s="31">
        <v>22.5</v>
      </c>
      <c r="H62" s="32">
        <f t="shared" si="27"/>
        <v>-1.3157894736842136E-2</v>
      </c>
      <c r="I62" s="91">
        <f>IF(ISNUMBER(G62), $B64 * H62, "")</f>
        <v>-1973.6842105263204</v>
      </c>
      <c r="J62" s="15">
        <v>22.5</v>
      </c>
      <c r="K62" s="32">
        <f t="shared" si="28"/>
        <v>-1.3157894736842136E-2</v>
      </c>
      <c r="L62" s="18">
        <f>IF(ISNUMBER(J62), $B64 * K62, "")</f>
        <v>-1973.6842105263204</v>
      </c>
      <c r="M62" s="31">
        <v>22.7</v>
      </c>
      <c r="N62" s="32">
        <f t="shared" si="29"/>
        <v>-4.385964912280764E-3</v>
      </c>
      <c r="O62" s="18">
        <f>IF(ISNUMBER(M62), $B64 * N62, "")</f>
        <v>-657.89473684211464</v>
      </c>
      <c r="Q62" s="135"/>
      <c r="R62" s="136"/>
      <c r="S62" s="137"/>
    </row>
    <row r="63" spans="1:19" ht="17.25" customHeight="1" thickBot="1">
      <c r="A63" s="114" t="s">
        <v>124</v>
      </c>
      <c r="B63" s="115">
        <v>35.9</v>
      </c>
      <c r="C63" s="72">
        <v>8.4269662999999998E-3</v>
      </c>
      <c r="D63" s="24">
        <v>35.4</v>
      </c>
      <c r="E63" s="25">
        <f t="shared" si="26"/>
        <v>-1.3927576601671311E-2</v>
      </c>
      <c r="F63" s="94">
        <f>IF(ISNUMBER(D63), $B64 * E63, "")</f>
        <v>-2089.1364902506966</v>
      </c>
      <c r="G63" s="92">
        <v>36</v>
      </c>
      <c r="H63" s="25">
        <f t="shared" si="27"/>
        <v>2.7855153203343017E-3</v>
      </c>
      <c r="I63" s="93">
        <f>IF(ISNUMBER(G63), $B64 * H63, "")</f>
        <v>417.82729805014526</v>
      </c>
      <c r="J63" s="24">
        <v>36</v>
      </c>
      <c r="K63" s="25">
        <f t="shared" si="28"/>
        <v>2.7855153203343017E-3</v>
      </c>
      <c r="L63" s="94">
        <f>IF(ISNUMBER(J63), $B64 * K63, "")</f>
        <v>417.82729805014526</v>
      </c>
      <c r="M63" s="92">
        <v>36</v>
      </c>
      <c r="N63" s="25">
        <f t="shared" si="29"/>
        <v>2.7855153203343017E-3</v>
      </c>
      <c r="O63" s="94">
        <f>IF(ISNUMBER(M63), $B64 * N63, "")</f>
        <v>417.82729805014526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-1.5994337273313734E-2</v>
      </c>
      <c r="F64" s="28">
        <f>SUM(F44:F63)</f>
        <v>-47983.011819941195</v>
      </c>
      <c r="G64" s="26" t="s">
        <v>258</v>
      </c>
      <c r="H64" s="27">
        <f>IF(COUNT(H44:H63), SUM(H44:H63) / COUNT(H44:H63), 0)</f>
        <v>-1.1462656782255979E-2</v>
      </c>
      <c r="I64" s="28">
        <f>SUM(I44:I63)</f>
        <v>-34387.970346767936</v>
      </c>
      <c r="J64" s="26" t="s">
        <v>258</v>
      </c>
      <c r="K64" s="27">
        <f>IF(COUNT(K44:K63), SUM(K44:K63) / COUNT(K44:K63), 0)</f>
        <v>-1.2887878551182851E-2</v>
      </c>
      <c r="L64" s="28">
        <f>SUM(L44:L63)</f>
        <v>-38663.635653548539</v>
      </c>
      <c r="M64" s="26" t="s">
        <v>258</v>
      </c>
      <c r="N64" s="27">
        <f>IF(COUNT(N44:N63), SUM(N44:N63) / COUNT(N44:N63), 0)</f>
        <v>-6.1612371951950545E-3</v>
      </c>
      <c r="O64" s="28">
        <f>SUM(O44:O63)</f>
        <v>-18483.711585585166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2023-01-22(일) 오전 00:00</v>
      </c>
      <c r="C69" s="198"/>
      <c r="D69" s="170" t="str">
        <f>TEXT($G$1, "[$-ko-KR]yyyy-mm-dd(ddd) ") &amp; "오후 14:00"</f>
        <v>2023-01-22(일) 오후 14:00</v>
      </c>
      <c r="E69" s="171"/>
      <c r="F69" s="172"/>
      <c r="G69" s="170" t="str">
        <f>TEXT($G$1, "[$-ko-KR]yyyy-mm-dd(ddd) ") &amp; "오후 19:00"</f>
        <v>2023-01-22(일) 오후 19:00</v>
      </c>
      <c r="H69" s="171"/>
      <c r="I69" s="172"/>
      <c r="J69" s="170" t="str">
        <f>TEXT($G$1, "[$-ko-KR]yyyy-mm-dd(ddd) ") &amp; "오후 21:00"</f>
        <v>2023-01-22(일) 오후 21:00</v>
      </c>
      <c r="K69" s="171"/>
      <c r="L69" s="172"/>
      <c r="M69" s="170" t="str">
        <f>TEXT($G$1+1, "[$-ko-KR]yyyy-mm-dd(ddd) ") &amp; "오전 00:00"</f>
        <v>2023-01-23(월)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321</v>
      </c>
      <c r="B71" s="108">
        <v>243</v>
      </c>
      <c r="C71" s="69">
        <v>5.19480519E-2</v>
      </c>
      <c r="D71" s="13">
        <v>238</v>
      </c>
      <c r="E71" s="14">
        <f>IF(ISNUMBER(D71), (D71 - $B71) / $B71, "")</f>
        <v>-2.0576131687242798E-2</v>
      </c>
      <c r="F71" s="16">
        <f>IF(ISNUMBER(D71), $B91 * E71, "")</f>
        <v>-3086.4197530864199</v>
      </c>
      <c r="G71" s="29">
        <v>236</v>
      </c>
      <c r="H71" s="14">
        <f>IF(ISNUMBER(G71), (G71 - $B71) / $B71, "")</f>
        <v>-2.8806584362139918E-2</v>
      </c>
      <c r="I71" s="90">
        <f>IF(ISNUMBER(G71), $B91 * H71, "")</f>
        <v>-4320.9876543209875</v>
      </c>
      <c r="J71" s="13">
        <v>235</v>
      </c>
      <c r="K71" s="14">
        <f>IF(ISNUMBER(J71), (J71 - $B71) / $B71, "")</f>
        <v>-3.292181069958848E-2</v>
      </c>
      <c r="L71" s="16">
        <f>IF(ISNUMBER(J71), $B91 * K71, "")</f>
        <v>-4938.2716049382716</v>
      </c>
      <c r="M71" s="29">
        <v>237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156"/>
      <c r="R71" s="156"/>
      <c r="S71" s="156"/>
    </row>
    <row r="72" spans="1:19" ht="17.25" thickBot="1">
      <c r="A72" s="109" t="s">
        <v>341</v>
      </c>
      <c r="B72" s="110">
        <v>876</v>
      </c>
      <c r="C72" s="70">
        <v>3.6686390499999999E-2</v>
      </c>
      <c r="D72" s="15">
        <v>860</v>
      </c>
      <c r="E72" s="32">
        <f t="shared" ref="E72:E75" si="30">IF(ISNUMBER(D72), (D72 - $B72) / $B72, "")</f>
        <v>-1.8264840182648401E-2</v>
      </c>
      <c r="F72" s="18">
        <f>IF(ISNUMBER(D72), $B91 * E72, "")</f>
        <v>-2739.7260273972602</v>
      </c>
      <c r="G72" s="31">
        <v>857</v>
      </c>
      <c r="H72" s="32">
        <f t="shared" ref="H72:H75" si="31">IF(ISNUMBER(G72), (G72 - $B72) / $B72, "")</f>
        <v>-2.1689497716894976E-2</v>
      </c>
      <c r="I72" s="91">
        <f>IF(ISNUMBER(G72), $B91 * H72, "")</f>
        <v>-3253.4246575342463</v>
      </c>
      <c r="J72" s="15">
        <v>862</v>
      </c>
      <c r="K72" s="32">
        <f t="shared" ref="K72:K75" si="32">IF(ISNUMBER(J72), (J72 - $B72) / $B72, "")</f>
        <v>-1.5981735159817351E-2</v>
      </c>
      <c r="L72" s="18">
        <f>IF(ISNUMBER(J72), $B91 * K72, "")</f>
        <v>-2397.2602739726026</v>
      </c>
      <c r="M72" s="31">
        <v>872</v>
      </c>
      <c r="N72" s="32">
        <f t="shared" ref="N72:N75" si="33">IF(ISNUMBER(M72), (M72 - $B72) / $B72, "")</f>
        <v>-4.5662100456621002E-3</v>
      </c>
      <c r="O72" s="18">
        <f>IF(ISNUMBER(M72), $B91 * N72, "")</f>
        <v>-684.93150684931504</v>
      </c>
      <c r="Q72" s="156"/>
      <c r="R72" s="156"/>
      <c r="S72" s="156"/>
    </row>
    <row r="73" spans="1:19" ht="17.25" thickBot="1">
      <c r="A73" s="109" t="s">
        <v>215</v>
      </c>
      <c r="B73" s="110">
        <v>388</v>
      </c>
      <c r="C73" s="70">
        <v>3.1914893600000001E-2</v>
      </c>
      <c r="D73" s="15">
        <v>398</v>
      </c>
      <c r="E73" s="32">
        <f t="shared" si="30"/>
        <v>2.5773195876288658E-2</v>
      </c>
      <c r="F73" s="18">
        <f>IF(ISNUMBER(D73), $B91 * E73, "")</f>
        <v>3865.9793814432987</v>
      </c>
      <c r="G73" s="31">
        <v>399</v>
      </c>
      <c r="H73" s="32">
        <f t="shared" si="31"/>
        <v>2.8350515463917526E-2</v>
      </c>
      <c r="I73" s="91">
        <f>IF(ISNUMBER(G73), $B91 * H73, "")</f>
        <v>4252.5773195876291</v>
      </c>
      <c r="J73" s="15">
        <v>399</v>
      </c>
      <c r="K73" s="32">
        <f t="shared" si="32"/>
        <v>2.8350515463917526E-2</v>
      </c>
      <c r="L73" s="18">
        <f>IF(ISNUMBER(J73), $B91 * K73, "")</f>
        <v>4252.5773195876291</v>
      </c>
      <c r="M73" s="31">
        <v>404</v>
      </c>
      <c r="N73" s="32">
        <f t="shared" si="33"/>
        <v>4.1237113402061855E-2</v>
      </c>
      <c r="O73" s="18">
        <f>IF(ISNUMBER(M73), $B91 * N73, "")</f>
        <v>6185.567010309278</v>
      </c>
      <c r="Q73" s="146"/>
      <c r="R73" s="146"/>
      <c r="S73" s="146"/>
    </row>
    <row r="74" spans="1:19" ht="17.25" thickBot="1">
      <c r="A74" s="109" t="s">
        <v>332</v>
      </c>
      <c r="B74" s="110">
        <v>632</v>
      </c>
      <c r="C74" s="70">
        <v>3.0995106000000001E-2</v>
      </c>
      <c r="D74" s="15">
        <v>625</v>
      </c>
      <c r="E74" s="32">
        <f t="shared" si="30"/>
        <v>-1.1075949367088608E-2</v>
      </c>
      <c r="F74" s="18">
        <f>IF(ISNUMBER(D74), $B91 * E74, "")</f>
        <v>-1661.3924050632911</v>
      </c>
      <c r="G74" s="31">
        <v>633</v>
      </c>
      <c r="H74" s="32">
        <f t="shared" si="31"/>
        <v>1.5822784810126582E-3</v>
      </c>
      <c r="I74" s="91">
        <f>IF(ISNUMBER(G74), $B91 * H74, "")</f>
        <v>237.34177215189874</v>
      </c>
      <c r="J74" s="15">
        <v>658</v>
      </c>
      <c r="K74" s="32">
        <f t="shared" si="32"/>
        <v>4.1139240506329111E-2</v>
      </c>
      <c r="L74" s="18">
        <f>IF(ISNUMBER(J74), $B91 * K74, "")</f>
        <v>6170.8860759493664</v>
      </c>
      <c r="M74" s="31">
        <v>667</v>
      </c>
      <c r="N74" s="32">
        <f t="shared" si="33"/>
        <v>5.5379746835443035E-2</v>
      </c>
      <c r="O74" s="18">
        <f>IF(ISNUMBER(M74), $B91 * N74, "")</f>
        <v>8306.9620253164558</v>
      </c>
      <c r="Q74" s="146"/>
      <c r="R74" s="146"/>
      <c r="S74" s="146"/>
    </row>
    <row r="75" spans="1:19" ht="17.25" thickBot="1">
      <c r="A75" s="111" t="s">
        <v>103</v>
      </c>
      <c r="B75" s="112">
        <v>278</v>
      </c>
      <c r="C75" s="71">
        <v>2.9629629599999999E-2</v>
      </c>
      <c r="D75" s="20">
        <v>282</v>
      </c>
      <c r="E75" s="21">
        <f t="shared" si="30"/>
        <v>1.4388489208633094E-2</v>
      </c>
      <c r="F75" s="22">
        <f>IF(ISNUMBER(D75), $B91 * E75, "")</f>
        <v>2158.2733812949641</v>
      </c>
      <c r="G75" s="30">
        <v>291</v>
      </c>
      <c r="H75" s="21">
        <f t="shared" si="31"/>
        <v>4.6762589928057555E-2</v>
      </c>
      <c r="I75" s="95">
        <f>IF(ISNUMBER(G75), $B91 * H75, "")</f>
        <v>7014.3884892086335</v>
      </c>
      <c r="J75" s="20">
        <v>290</v>
      </c>
      <c r="K75" s="21">
        <f t="shared" si="32"/>
        <v>4.3165467625899283E-2</v>
      </c>
      <c r="L75" s="22">
        <f>IF(ISNUMBER(J75), $B91 * K75, "")</f>
        <v>6474.8201438848928</v>
      </c>
      <c r="M75" s="30">
        <v>287</v>
      </c>
      <c r="N75" s="21">
        <f t="shared" si="33"/>
        <v>3.237410071942446E-2</v>
      </c>
      <c r="O75" s="22">
        <f>IF(ISNUMBER(M75), $B91 * N75, "")</f>
        <v>4856.1151079136689</v>
      </c>
      <c r="Q75" s="146"/>
      <c r="R75" s="146"/>
      <c r="S75" s="146"/>
    </row>
    <row r="76" spans="1:19" ht="17.25" thickBot="1">
      <c r="A76" s="109" t="s">
        <v>120</v>
      </c>
      <c r="B76" s="113">
        <v>135</v>
      </c>
      <c r="C76" s="73">
        <v>2.2727272699999999E-2</v>
      </c>
      <c r="D76" s="96">
        <v>132</v>
      </c>
      <c r="E76" s="97">
        <f>IF(ISNUMBER(D76), (D76 - $B76) / $B76, "")</f>
        <v>-2.2222222222222223E-2</v>
      </c>
      <c r="F76" s="98">
        <f>IF(ISNUMBER(D76), $B91 * E76, "")</f>
        <v>-3333.3333333333335</v>
      </c>
      <c r="G76" s="99">
        <v>133</v>
      </c>
      <c r="H76" s="97">
        <f>IF(ISNUMBER(G76), (G76 - $B76) / $B76, "")</f>
        <v>-1.4814814814814815E-2</v>
      </c>
      <c r="I76" s="100">
        <f>IF(ISNUMBER(G76), $B91 * H76, "")</f>
        <v>-2222.2222222222222</v>
      </c>
      <c r="J76" s="96">
        <v>133</v>
      </c>
      <c r="K76" s="97">
        <f>IF(ISNUMBER(J76), (J76 - $B76) / $B76, "")</f>
        <v>-1.4814814814814815E-2</v>
      </c>
      <c r="L76" s="98">
        <f>IF(ISNUMBER(J76), $B91 * K76, "")</f>
        <v>-2222.2222222222222</v>
      </c>
      <c r="M76" s="99">
        <v>134</v>
      </c>
      <c r="N76" s="97">
        <f>IF(ISNUMBER(M76), (M76 - $B76) / $B76, "")</f>
        <v>-7.4074074074074077E-3</v>
      </c>
      <c r="O76" s="98">
        <f>IF(ISNUMBER(M76), $B91 * N76, "")</f>
        <v>-1111.1111111111111</v>
      </c>
      <c r="Q76" s="146"/>
      <c r="R76" s="146"/>
      <c r="S76" s="146"/>
    </row>
    <row r="77" spans="1:19" ht="17.25" thickBot="1">
      <c r="A77" s="109" t="s">
        <v>68</v>
      </c>
      <c r="B77" s="110">
        <v>736</v>
      </c>
      <c r="C77" s="70">
        <v>2.2222222199999999E-2</v>
      </c>
      <c r="D77" s="15">
        <v>741</v>
      </c>
      <c r="E77" s="32">
        <f t="shared" ref="E77:E80" si="34">IF(ISNUMBER(D77), (D77 - $B77) / $B77, "")</f>
        <v>6.793478260869565E-3</v>
      </c>
      <c r="F77" s="18">
        <f>IF(ISNUMBER(D77), $B91 * E77, "")</f>
        <v>1019.0217391304348</v>
      </c>
      <c r="G77" s="31">
        <v>774</v>
      </c>
      <c r="H77" s="32">
        <f t="shared" ref="H77:H80" si="35">IF(ISNUMBER(G77), (G77 - $B77) / $B77, "")</f>
        <v>5.1630434782608696E-2</v>
      </c>
      <c r="I77" s="91">
        <f>IF(ISNUMBER(G77), $B91 * H77, "")</f>
        <v>7744.565217391304</v>
      </c>
      <c r="J77" s="15">
        <v>763</v>
      </c>
      <c r="K77" s="32">
        <f t="shared" ref="K77:K80" si="36">IF(ISNUMBER(J77), (J77 - $B77) / $B77, "")</f>
        <v>3.6684782608695655E-2</v>
      </c>
      <c r="L77" s="18">
        <f>IF(ISNUMBER(J77), $B91 * K77, "")</f>
        <v>5502.717391304348</v>
      </c>
      <c r="M77" s="31">
        <v>751</v>
      </c>
      <c r="N77" s="32">
        <f t="shared" ref="N77:N80" si="37">IF(ISNUMBER(M77), (M77 - $B77) / $B77, "")</f>
        <v>2.0380434782608696E-2</v>
      </c>
      <c r="O77" s="18">
        <f>IF(ISNUMBER(M77), $B91 * N77, "")</f>
        <v>3057.0652173913045</v>
      </c>
      <c r="Q77" s="146"/>
      <c r="R77" s="146"/>
      <c r="S77" s="146"/>
    </row>
    <row r="78" spans="1:19" ht="17.25" thickBot="1">
      <c r="A78" s="109" t="s">
        <v>105</v>
      </c>
      <c r="B78" s="110">
        <v>254</v>
      </c>
      <c r="C78" s="70">
        <v>2.0080321299999999E-2</v>
      </c>
      <c r="D78" s="15">
        <v>247</v>
      </c>
      <c r="E78" s="32">
        <f t="shared" si="34"/>
        <v>-2.7559055118110236E-2</v>
      </c>
      <c r="F78" s="18">
        <f>IF(ISNUMBER(D78), $B91 * E78, "")</f>
        <v>-4133.858267716535</v>
      </c>
      <c r="G78" s="31">
        <v>248</v>
      </c>
      <c r="H78" s="32">
        <f t="shared" si="35"/>
        <v>-2.3622047244094488E-2</v>
      </c>
      <c r="I78" s="91">
        <f>IF(ISNUMBER(G78), $B91 * H78, "")</f>
        <v>-3543.3070866141734</v>
      </c>
      <c r="J78" s="15">
        <v>248</v>
      </c>
      <c r="K78" s="32">
        <f t="shared" si="36"/>
        <v>-2.3622047244094488E-2</v>
      </c>
      <c r="L78" s="18">
        <f>IF(ISNUMBER(J78), $B91 * K78, "")</f>
        <v>-3543.3070866141734</v>
      </c>
      <c r="M78" s="31">
        <v>252</v>
      </c>
      <c r="N78" s="32">
        <f t="shared" si="37"/>
        <v>-7.874015748031496E-3</v>
      </c>
      <c r="O78" s="18">
        <f>IF(ISNUMBER(M78), $B91 * N78, "")</f>
        <v>-1181.1023622047244</v>
      </c>
      <c r="Q78" s="146"/>
      <c r="R78" s="146"/>
      <c r="S78" s="146"/>
    </row>
    <row r="79" spans="1:19" ht="17.25" thickBot="1">
      <c r="A79" s="109" t="s">
        <v>60</v>
      </c>
      <c r="B79" s="110">
        <v>922</v>
      </c>
      <c r="C79" s="70">
        <v>1.9911504399999998E-2</v>
      </c>
      <c r="D79" s="15">
        <v>909</v>
      </c>
      <c r="E79" s="32">
        <f t="shared" si="34"/>
        <v>-1.4099783080260303E-2</v>
      </c>
      <c r="F79" s="18">
        <f>IF(ISNUMBER(D79), $B91 * E79, "")</f>
        <v>-2114.9674620390456</v>
      </c>
      <c r="G79" s="31">
        <v>907</v>
      </c>
      <c r="H79" s="32">
        <f t="shared" si="35"/>
        <v>-1.6268980477223426E-2</v>
      </c>
      <c r="I79" s="91">
        <f>IF(ISNUMBER(G79), $B91 * H79, "")</f>
        <v>-2440.3470715835138</v>
      </c>
      <c r="J79" s="15">
        <v>906</v>
      </c>
      <c r="K79" s="32">
        <f t="shared" si="36"/>
        <v>-1.735357917570499E-2</v>
      </c>
      <c r="L79" s="18">
        <f>IF(ISNUMBER(J79), $B91 * K79, "")</f>
        <v>-2603.0368763557485</v>
      </c>
      <c r="M79" s="31">
        <v>938</v>
      </c>
      <c r="N79" s="32">
        <f t="shared" si="37"/>
        <v>1.735357917570499E-2</v>
      </c>
      <c r="O79" s="18">
        <f>IF(ISNUMBER(M79), $B91 * N79, "")</f>
        <v>2603.0368763557485</v>
      </c>
      <c r="Q79" s="33"/>
      <c r="R79" s="33"/>
    </row>
    <row r="80" spans="1:19" ht="17.25" thickBot="1">
      <c r="A80" s="114" t="s">
        <v>253</v>
      </c>
      <c r="B80" s="115">
        <v>108</v>
      </c>
      <c r="C80" s="72">
        <v>1.8867924500000001E-2</v>
      </c>
      <c r="D80" s="24">
        <v>106</v>
      </c>
      <c r="E80" s="25">
        <f t="shared" si="34"/>
        <v>-1.8518518518518517E-2</v>
      </c>
      <c r="F80" s="94">
        <f>IF(ISNUMBER(D80), $B91 * E80, "")</f>
        <v>-2777.7777777777778</v>
      </c>
      <c r="G80" s="92">
        <v>107</v>
      </c>
      <c r="H80" s="25">
        <f t="shared" si="35"/>
        <v>-9.2592592592592587E-3</v>
      </c>
      <c r="I80" s="93">
        <f>IF(ISNUMBER(G80), $B91 * H80, "")</f>
        <v>-1388.8888888888889</v>
      </c>
      <c r="J80" s="24">
        <v>106</v>
      </c>
      <c r="K80" s="25">
        <f t="shared" si="36"/>
        <v>-1.8518518518518517E-2</v>
      </c>
      <c r="L80" s="94">
        <f>IF(ISNUMBER(J80), $B91 * K80, "")</f>
        <v>-2777.7777777777778</v>
      </c>
      <c r="M80" s="92">
        <v>109</v>
      </c>
      <c r="N80" s="25">
        <f t="shared" si="37"/>
        <v>9.2592592592592587E-3</v>
      </c>
      <c r="O80" s="94">
        <f>IF(ISNUMBER(M80), $B91 * N80, "")</f>
        <v>1388.8888888888889</v>
      </c>
      <c r="Q80" s="147"/>
      <c r="R80" s="148"/>
      <c r="S80" s="149"/>
    </row>
    <row r="81" spans="1:19">
      <c r="A81" s="107" t="s">
        <v>201</v>
      </c>
      <c r="B81" s="108">
        <v>285</v>
      </c>
      <c r="C81" s="69">
        <v>1.7857142900000001E-2</v>
      </c>
      <c r="D81" s="13">
        <v>283</v>
      </c>
      <c r="E81" s="14">
        <f>IF(ISNUMBER(D81), (D81 - $B81) / $B81, "")</f>
        <v>-7.0175438596491229E-3</v>
      </c>
      <c r="F81" s="16">
        <f>IF(ISNUMBER(D81), $B91 * E81, "")</f>
        <v>-1052.6315789473686</v>
      </c>
      <c r="G81" s="29">
        <v>283</v>
      </c>
      <c r="H81" s="14">
        <f>IF(ISNUMBER(G81), (G81 - $B81) / $B81, "")</f>
        <v>-7.0175438596491229E-3</v>
      </c>
      <c r="I81" s="90">
        <f>IF(ISNUMBER(G81), $B91 * H81, "")</f>
        <v>-1052.6315789473686</v>
      </c>
      <c r="J81" s="13">
        <v>282</v>
      </c>
      <c r="K81" s="14">
        <f>IF(ISNUMBER(J81), (J81 - $B81) / $B81, "")</f>
        <v>-1.0526315789473684E-2</v>
      </c>
      <c r="L81" s="16">
        <f>IF(ISNUMBER(J81), $B91 * K81, "")</f>
        <v>-1578.9473684210525</v>
      </c>
      <c r="M81" s="29">
        <v>293</v>
      </c>
      <c r="N81" s="14">
        <f>IF(ISNUMBER(M81), (M81 - $B81) / $B81, "")</f>
        <v>2.8070175438596492E-2</v>
      </c>
      <c r="O81" s="16">
        <f>IF(ISNUMBER(M81), $B91 * N81, "")</f>
        <v>4210.5263157894742</v>
      </c>
      <c r="Q81" s="150"/>
      <c r="R81" s="151"/>
      <c r="S81" s="152"/>
    </row>
    <row r="82" spans="1:19" ht="17.25" thickBot="1">
      <c r="A82" s="109" t="s">
        <v>229</v>
      </c>
      <c r="B82" s="110">
        <v>291</v>
      </c>
      <c r="C82" s="70">
        <v>1.7482517499999999E-2</v>
      </c>
      <c r="D82" s="15">
        <v>287</v>
      </c>
      <c r="E82" s="32">
        <f t="shared" ref="E82:E85" si="38">IF(ISNUMBER(D82), (D82 - $B82) / $B82, "")</f>
        <v>-1.3745704467353952E-2</v>
      </c>
      <c r="F82" s="18">
        <f>IF(ISNUMBER(D82), $B91 * E82, "")</f>
        <v>-2061.855670103093</v>
      </c>
      <c r="G82" s="31">
        <v>288</v>
      </c>
      <c r="H82" s="32">
        <f t="shared" ref="H82:H85" si="39">IF(ISNUMBER(G82), (G82 - $B82) / $B82, "")</f>
        <v>-1.0309278350515464E-2</v>
      </c>
      <c r="I82" s="91">
        <f>IF(ISNUMBER(G82), $B91 * H82, "")</f>
        <v>-1546.3917525773195</v>
      </c>
      <c r="J82" s="15">
        <v>287</v>
      </c>
      <c r="K82" s="32">
        <f t="shared" ref="K82:K85" si="40">IF(ISNUMBER(J82), (J82 - $B82) / $B82, "")</f>
        <v>-1.3745704467353952E-2</v>
      </c>
      <c r="L82" s="18">
        <f>IF(ISNUMBER(J82), $B91 * K82, "")</f>
        <v>-2061.855670103093</v>
      </c>
      <c r="M82" s="31">
        <v>290</v>
      </c>
      <c r="N82" s="32">
        <f t="shared" ref="N82:N85" si="41">IF(ISNUMBER(M82), (M82 - $B82) / $B82, "")</f>
        <v>-3.4364261168384879E-3</v>
      </c>
      <c r="O82" s="18">
        <f>IF(ISNUMBER(M82), $B91 * N82, "")</f>
        <v>-515.46391752577324</v>
      </c>
      <c r="Q82" s="153"/>
      <c r="R82" s="154"/>
      <c r="S82" s="155"/>
    </row>
    <row r="83" spans="1:19" ht="17.25" thickBot="1">
      <c r="A83" s="109" t="s">
        <v>183</v>
      </c>
      <c r="B83" s="110">
        <v>150</v>
      </c>
      <c r="C83" s="70">
        <v>1.3513513499999999E-2</v>
      </c>
      <c r="D83" s="15">
        <v>147</v>
      </c>
      <c r="E83" s="32">
        <f t="shared" si="38"/>
        <v>-0.02</v>
      </c>
      <c r="F83" s="18">
        <f>IF(ISNUMBER(D83), $B91 * E83, "")</f>
        <v>-3000</v>
      </c>
      <c r="G83" s="31">
        <v>148</v>
      </c>
      <c r="H83" s="32">
        <f t="shared" si="39"/>
        <v>-1.3333333333333334E-2</v>
      </c>
      <c r="I83" s="91">
        <f>IF(ISNUMBER(G83), $B91 * H83, "")</f>
        <v>-2000.0000000000002</v>
      </c>
      <c r="J83" s="15">
        <v>148</v>
      </c>
      <c r="K83" s="32">
        <f t="shared" si="40"/>
        <v>-1.3333333333333334E-2</v>
      </c>
      <c r="L83" s="18">
        <f>IF(ISNUMBER(J83), $B91 * K83, "")</f>
        <v>-2000.0000000000002</v>
      </c>
      <c r="M83" s="31">
        <v>150</v>
      </c>
      <c r="N83" s="32">
        <f t="shared" si="41"/>
        <v>0</v>
      </c>
      <c r="O83" s="18">
        <f>IF(ISNUMBER(M83), $B91 * N83, "")</f>
        <v>0</v>
      </c>
      <c r="Q83" s="146"/>
      <c r="R83" s="146"/>
      <c r="S83" s="146"/>
    </row>
    <row r="84" spans="1:19" ht="17.25" thickBot="1">
      <c r="A84" s="109" t="s">
        <v>231</v>
      </c>
      <c r="B84" s="110">
        <v>396</v>
      </c>
      <c r="C84" s="70">
        <v>1.2787723799999999E-2</v>
      </c>
      <c r="D84" s="15">
        <v>390</v>
      </c>
      <c r="E84" s="32">
        <f t="shared" si="38"/>
        <v>-1.5151515151515152E-2</v>
      </c>
      <c r="F84" s="18">
        <f>IF(ISNUMBER(D84), $B91 * E84, "")</f>
        <v>-2272.727272727273</v>
      </c>
      <c r="G84" s="31">
        <v>392</v>
      </c>
      <c r="H84" s="32">
        <f t="shared" si="39"/>
        <v>-1.0101010101010102E-2</v>
      </c>
      <c r="I84" s="91">
        <f>IF(ISNUMBER(G84), $B91 * H84, "")</f>
        <v>-1515.1515151515152</v>
      </c>
      <c r="J84" s="15">
        <v>392</v>
      </c>
      <c r="K84" s="32">
        <f t="shared" si="40"/>
        <v>-1.0101010101010102E-2</v>
      </c>
      <c r="L84" s="18">
        <f>IF(ISNUMBER(J84), $B91 * K84, "")</f>
        <v>-1515.1515151515152</v>
      </c>
      <c r="M84" s="31">
        <v>396</v>
      </c>
      <c r="N84" s="32">
        <f t="shared" si="41"/>
        <v>0</v>
      </c>
      <c r="O84" s="18">
        <f>IF(ISNUMBER(M84), $B91 * N84, "")</f>
        <v>0</v>
      </c>
      <c r="Q84" s="156"/>
      <c r="R84" s="156"/>
      <c r="S84" s="156"/>
    </row>
    <row r="85" spans="1:19" ht="17.25" thickBot="1">
      <c r="A85" s="111" t="s">
        <v>330</v>
      </c>
      <c r="B85" s="112">
        <v>344</v>
      </c>
      <c r="C85" s="71">
        <v>1.17647059E-2</v>
      </c>
      <c r="D85" s="20">
        <v>339</v>
      </c>
      <c r="E85" s="21">
        <f t="shared" si="38"/>
        <v>-1.4534883720930232E-2</v>
      </c>
      <c r="F85" s="22">
        <f>IF(ISNUMBER(D85), $B91 * E85, "")</f>
        <v>-2180.2325581395348</v>
      </c>
      <c r="G85" s="30">
        <v>344</v>
      </c>
      <c r="H85" s="21">
        <f t="shared" si="39"/>
        <v>0</v>
      </c>
      <c r="I85" s="95">
        <f>IF(ISNUMBER(G85), $B91 * H85, "")</f>
        <v>0</v>
      </c>
      <c r="J85" s="20">
        <v>344</v>
      </c>
      <c r="K85" s="21">
        <f t="shared" si="40"/>
        <v>0</v>
      </c>
      <c r="L85" s="22">
        <f>IF(ISNUMBER(J85), $B91 * K85, "")</f>
        <v>0</v>
      </c>
      <c r="M85" s="30">
        <v>350</v>
      </c>
      <c r="N85" s="21">
        <f t="shared" si="41"/>
        <v>1.7441860465116279E-2</v>
      </c>
      <c r="O85" s="22">
        <f>IF(ISNUMBER(M85), $B91 * N85, "")</f>
        <v>2616.2790697674418</v>
      </c>
      <c r="Q85" s="156"/>
      <c r="R85" s="156"/>
      <c r="S85" s="156"/>
    </row>
    <row r="86" spans="1:19" ht="17.25" thickBot="1">
      <c r="A86" s="109" t="s">
        <v>81</v>
      </c>
      <c r="B86" s="113">
        <v>456</v>
      </c>
      <c r="C86" s="73">
        <v>1.10864745E-2</v>
      </c>
      <c r="D86" s="96">
        <v>457</v>
      </c>
      <c r="E86" s="97">
        <f>IF(ISNUMBER(D86), (D86 - $B86) / $B86, "")</f>
        <v>2.1929824561403508E-3</v>
      </c>
      <c r="F86" s="98">
        <f>IF(ISNUMBER(D86), $B91 * E86, "")</f>
        <v>328.9473684210526</v>
      </c>
      <c r="G86" s="99">
        <v>475</v>
      </c>
      <c r="H86" s="97">
        <f>IF(ISNUMBER(G86), (G86 - $B86) / $B86, "")</f>
        <v>4.1666666666666664E-2</v>
      </c>
      <c r="I86" s="100">
        <f>IF(ISNUMBER(G86), $B91 * H86, "")</f>
        <v>6250</v>
      </c>
      <c r="J86" s="96">
        <v>476</v>
      </c>
      <c r="K86" s="97">
        <f>IF(ISNUMBER(J86), (J86 - $B86) / $B86, "")</f>
        <v>4.3859649122807015E-2</v>
      </c>
      <c r="L86" s="98">
        <f>IF(ISNUMBER(J86), $B91 * K86, "")</f>
        <v>6578.9473684210525</v>
      </c>
      <c r="M86" s="99">
        <v>476</v>
      </c>
      <c r="N86" s="97">
        <f>IF(ISNUMBER(M86), (M86 - $B86) / $B86, "")</f>
        <v>4.3859649122807015E-2</v>
      </c>
      <c r="O86" s="98">
        <f>IF(ISNUMBER(M86), $B91 * N86, "")</f>
        <v>6578.9473684210525</v>
      </c>
      <c r="Q86" s="146"/>
      <c r="R86" s="146"/>
      <c r="S86" s="146"/>
    </row>
    <row r="87" spans="1:19" ht="17.25" thickBot="1">
      <c r="A87" s="109" t="s">
        <v>167</v>
      </c>
      <c r="B87" s="110">
        <v>218</v>
      </c>
      <c r="C87" s="70">
        <v>9.2592592999999994E-3</v>
      </c>
      <c r="D87" s="15">
        <v>212</v>
      </c>
      <c r="E87" s="32">
        <f t="shared" ref="E87:E90" si="42">IF(ISNUMBER(D87), (D87 - $B87) / $B87, "")</f>
        <v>-2.7522935779816515E-2</v>
      </c>
      <c r="F87" s="18">
        <f>IF(ISNUMBER(D87), $B91 * E87, "")</f>
        <v>-4128.440366972477</v>
      </c>
      <c r="G87" s="31">
        <v>214</v>
      </c>
      <c r="H87" s="32">
        <f t="shared" ref="H87:H90" si="43">IF(ISNUMBER(G87), (G87 - $B87) / $B87, "")</f>
        <v>-1.834862385321101E-2</v>
      </c>
      <c r="I87" s="91">
        <f>IF(ISNUMBER(G87), $B91 * H87, "")</f>
        <v>-2752.2935779816517</v>
      </c>
      <c r="J87" s="15">
        <v>213</v>
      </c>
      <c r="K87" s="32">
        <f t="shared" ref="K87:K90" si="44">IF(ISNUMBER(J87), (J87 - $B87) / $B87, "")</f>
        <v>-2.2935779816513763E-2</v>
      </c>
      <c r="L87" s="18">
        <f>IF(ISNUMBER(J87), $B91 * K87, "")</f>
        <v>-3440.3669724770643</v>
      </c>
      <c r="M87" s="31">
        <v>216</v>
      </c>
      <c r="N87" s="32">
        <f t="shared" ref="N87:N90" si="45">IF(ISNUMBER(M87), (M87 - $B87) / $B87, "")</f>
        <v>-9.1743119266055051E-3</v>
      </c>
      <c r="O87" s="18">
        <f>IF(ISNUMBER(M87), $B91 * N87, "")</f>
        <v>-1376.1467889908258</v>
      </c>
      <c r="Q87" s="146"/>
      <c r="R87" s="146"/>
      <c r="S87" s="146"/>
    </row>
    <row r="88" spans="1:19" ht="17.25" thickBot="1">
      <c r="A88" s="109" t="s">
        <v>51</v>
      </c>
      <c r="B88" s="110">
        <v>112</v>
      </c>
      <c r="C88" s="70">
        <v>9.0090090000000001E-3</v>
      </c>
      <c r="D88" s="15">
        <v>113</v>
      </c>
      <c r="E88" s="32">
        <f t="shared" si="42"/>
        <v>8.9285714285714281E-3</v>
      </c>
      <c r="F88" s="18">
        <f>IF(ISNUMBER(D88), $B91 * E88, "")</f>
        <v>1339.2857142857142</v>
      </c>
      <c r="G88" s="31">
        <v>115</v>
      </c>
      <c r="H88" s="32">
        <f t="shared" si="43"/>
        <v>2.6785714285714284E-2</v>
      </c>
      <c r="I88" s="91">
        <f>IF(ISNUMBER(G88), $B91 * H88, "")</f>
        <v>4017.8571428571427</v>
      </c>
      <c r="J88" s="15">
        <v>114</v>
      </c>
      <c r="K88" s="32">
        <f t="shared" si="44"/>
        <v>1.7857142857142856E-2</v>
      </c>
      <c r="L88" s="18">
        <f>IF(ISNUMBER(J88), $B91 * K88, "")</f>
        <v>2678.5714285714284</v>
      </c>
      <c r="M88" s="31">
        <v>115</v>
      </c>
      <c r="N88" s="32">
        <f t="shared" si="45"/>
        <v>2.6785714285714284E-2</v>
      </c>
      <c r="O88" s="18">
        <f>IF(ISNUMBER(M88), $B91 * N88, "")</f>
        <v>4017.8571428571427</v>
      </c>
      <c r="Q88" s="146"/>
      <c r="R88" s="146"/>
      <c r="S88" s="146"/>
    </row>
    <row r="89" spans="1:19">
      <c r="A89" s="109" t="s">
        <v>176</v>
      </c>
      <c r="B89" s="110">
        <v>366</v>
      </c>
      <c r="C89" s="70">
        <v>8.2644628000000005E-3</v>
      </c>
      <c r="D89" s="15">
        <v>361</v>
      </c>
      <c r="E89" s="32">
        <f t="shared" si="42"/>
        <v>-1.3661202185792349E-2</v>
      </c>
      <c r="F89" s="18">
        <f>IF(ISNUMBER(D89), $B91 * E89, "")</f>
        <v>-2049.1803278688526</v>
      </c>
      <c r="G89" s="31">
        <v>363</v>
      </c>
      <c r="H89" s="32">
        <f t="shared" si="43"/>
        <v>-8.1967213114754103E-3</v>
      </c>
      <c r="I89" s="91">
        <f>IF(ISNUMBER(G89), $B91 * H89, "")</f>
        <v>-1229.5081967213116</v>
      </c>
      <c r="J89" s="15">
        <v>364</v>
      </c>
      <c r="K89" s="32">
        <f t="shared" si="44"/>
        <v>-5.4644808743169399E-3</v>
      </c>
      <c r="L89" s="18">
        <f>IF(ISNUMBER(J89), $B91 * K89, "")</f>
        <v>-819.67213114754099</v>
      </c>
      <c r="M89" s="31">
        <v>365</v>
      </c>
      <c r="N89" s="32">
        <f t="shared" si="45"/>
        <v>-2.7322404371584699E-3</v>
      </c>
      <c r="O89" s="18">
        <f>IF(ISNUMBER(M89), $B91 * N89, "")</f>
        <v>-409.8360655737705</v>
      </c>
      <c r="Q89" s="135"/>
      <c r="R89" s="136"/>
      <c r="S89" s="137"/>
    </row>
    <row r="90" spans="1:19" ht="17.25" thickBot="1">
      <c r="A90" s="114" t="s">
        <v>239</v>
      </c>
      <c r="B90" s="115">
        <v>499</v>
      </c>
      <c r="C90" s="72">
        <v>8.0808080999999997E-3</v>
      </c>
      <c r="D90" s="24">
        <v>493</v>
      </c>
      <c r="E90" s="25">
        <f t="shared" si="42"/>
        <v>-1.2024048096192385E-2</v>
      </c>
      <c r="F90" s="94">
        <f>IF(ISNUMBER(D90), $B91 * E90, "")</f>
        <v>-1803.6072144288578</v>
      </c>
      <c r="G90" s="92">
        <v>491</v>
      </c>
      <c r="H90" s="25">
        <f t="shared" si="43"/>
        <v>-1.6032064128256512E-2</v>
      </c>
      <c r="I90" s="93">
        <f>IF(ISNUMBER(G90), $B91 * H90, "")</f>
        <v>-2404.8096192384769</v>
      </c>
      <c r="J90" s="24">
        <v>492</v>
      </c>
      <c r="K90" s="25">
        <f t="shared" si="44"/>
        <v>-1.4028056112224449E-2</v>
      </c>
      <c r="L90" s="94">
        <f>IF(ISNUMBER(J90), $B91 * K90, "")</f>
        <v>-2104.2084168336673</v>
      </c>
      <c r="M90" s="92">
        <v>492</v>
      </c>
      <c r="N90" s="25">
        <f t="shared" si="45"/>
        <v>-1.4028056112224449E-2</v>
      </c>
      <c r="O90" s="94">
        <f>IF(ISNUMBER(M90), $B91 * N90, "")</f>
        <v>-2104.2084168336673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-9.8948808103418839E-3</v>
      </c>
      <c r="F91" s="28">
        <f>SUM(F71:F90)</f>
        <v>-29684.642431025655</v>
      </c>
      <c r="G91" s="26" t="s">
        <v>258</v>
      </c>
      <c r="H91" s="27">
        <f>IF(COUNT(H71:H90), SUM(H71:H90) / COUNT(H71:H90), 0)</f>
        <v>-5.1077960195022775E-5</v>
      </c>
      <c r="I91" s="28">
        <f>SUM(I71:I90)</f>
        <v>-153.23388058506816</v>
      </c>
      <c r="J91" s="26" t="s">
        <v>258</v>
      </c>
      <c r="K91" s="27">
        <f>IF(COUNT(K71:K90), SUM(K71:K90) / COUNT(K71:K90), 0)</f>
        <v>-1.1451939609867061E-4</v>
      </c>
      <c r="L91" s="28">
        <f>SUM(L71:L90)</f>
        <v>-343.55818829601344</v>
      </c>
      <c r="M91" s="26" t="s">
        <v>258</v>
      </c>
      <c r="N91" s="27">
        <f>IF(COUNT(N71:N90), SUM(N71:N90) / COUNT(N71:N90), 0)</f>
        <v>1.0911580383405856E-2</v>
      </c>
      <c r="O91" s="28">
        <f>SUM(O71:O90)</f>
        <v>32734.741150217567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2023-01-22(일) 오전 00:00</v>
      </c>
      <c r="C96" s="198"/>
      <c r="D96" s="170" t="str">
        <f>TEXT($G$1, "[$-ko-KR]yyyy-mm-dd(ddd) ") &amp; "오후 14:00"</f>
        <v>2023-01-22(일) 오후 14:00</v>
      </c>
      <c r="E96" s="171"/>
      <c r="F96" s="172"/>
      <c r="G96" s="170" t="str">
        <f>TEXT($G$1, "[$-ko-KR]yyyy-mm-dd(ddd) ") &amp; "오후 19:00"</f>
        <v>2023-01-22(일) 오후 19:00</v>
      </c>
      <c r="H96" s="171"/>
      <c r="I96" s="172"/>
      <c r="J96" s="170" t="str">
        <f>TEXT($G$1, "[$-ko-KR]yyyy-mm-dd(ddd) ") &amp; "오후 21:00"</f>
        <v>2023-01-22(일) 오후 21:00</v>
      </c>
      <c r="K96" s="171"/>
      <c r="L96" s="172"/>
      <c r="M96" s="170" t="str">
        <f>TEXT($G$1+1, "[$-ko-KR]yyyy-mm-dd(ddd) ") &amp; "오전 00:00"</f>
        <v>2023-01-23(월)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95</v>
      </c>
      <c r="B98" s="108">
        <v>1545</v>
      </c>
      <c r="C98" s="69">
        <v>0.17938931299999999</v>
      </c>
      <c r="D98" s="13">
        <v>1380</v>
      </c>
      <c r="E98" s="14">
        <f>IF(ISNUMBER(D98), (D98 - $B98) / $B98, "")</f>
        <v>-0.10679611650485436</v>
      </c>
      <c r="F98" s="16">
        <f>IF(ISNUMBER(D98), $B118 * E98, "")</f>
        <v>-16019.417475728154</v>
      </c>
      <c r="G98" s="29">
        <v>1405</v>
      </c>
      <c r="H98" s="14">
        <f>IF(ISNUMBER(G98), (G98 - $B98) / $B98, "")</f>
        <v>-9.0614886731391592E-2</v>
      </c>
      <c r="I98" s="90">
        <f>IF(ISNUMBER(G98), $B118 * H98, "")</f>
        <v>-13592.233009708738</v>
      </c>
      <c r="J98" s="13">
        <v>1400</v>
      </c>
      <c r="K98" s="14">
        <f>IF(ISNUMBER(J98), (J98 - $B98) / $B98, "")</f>
        <v>-9.3851132686084138E-2</v>
      </c>
      <c r="L98" s="16">
        <f>IF(ISNUMBER(J98), $B118 * K98, "")</f>
        <v>-14077.669902912621</v>
      </c>
      <c r="M98" s="29">
        <v>1415</v>
      </c>
      <c r="N98" s="14">
        <f>IF(ISNUMBER(M98), (M98 - $B98) / $B98, "")</f>
        <v>-8.4142394822006472E-2</v>
      </c>
      <c r="O98" s="16">
        <f>IF(ISNUMBER(M98), $B118 * N98, "")</f>
        <v>-12621.359223300971</v>
      </c>
      <c r="Q98" s="156"/>
      <c r="R98" s="156"/>
      <c r="S98" s="156"/>
    </row>
    <row r="99" spans="1:19" ht="17.25" thickBot="1">
      <c r="A99" s="109" t="s">
        <v>328</v>
      </c>
      <c r="B99" s="110">
        <v>15690</v>
      </c>
      <c r="C99" s="70">
        <v>0.1553755523</v>
      </c>
      <c r="D99" s="15">
        <v>17110</v>
      </c>
      <c r="E99" s="32">
        <f t="shared" ref="E99:E102" si="46">IF(ISNUMBER(D99), (D99 - $B99) / $B99, "")</f>
        <v>9.0503505417463354E-2</v>
      </c>
      <c r="F99" s="18">
        <f>IF(ISNUMBER(D99), $B118 * E99, "")</f>
        <v>13575.525812619502</v>
      </c>
      <c r="G99" s="31">
        <v>17360</v>
      </c>
      <c r="H99" s="32">
        <f t="shared" ref="H99:H102" si="47">IF(ISNUMBER(G99), (G99 - $B99) / $B99, "")</f>
        <v>0.1064372211599745</v>
      </c>
      <c r="I99" s="91">
        <f>IF(ISNUMBER(G99), $B118 * H99, "")</f>
        <v>15965.583173996176</v>
      </c>
      <c r="J99" s="15">
        <v>16960</v>
      </c>
      <c r="K99" s="32">
        <f t="shared" ref="K99:K102" si="48">IF(ISNUMBER(J99), (J99 - $B99) / $B99, "")</f>
        <v>8.0943275971956663E-2</v>
      </c>
      <c r="L99" s="18">
        <f>IF(ISNUMBER(J99), $B118 * K99, "")</f>
        <v>12141.491395793499</v>
      </c>
      <c r="M99" s="31">
        <v>17100</v>
      </c>
      <c r="N99" s="32">
        <f t="shared" ref="N99:N102" si="49">IF(ISNUMBER(M99), (M99 - $B99) / $B99, "")</f>
        <v>8.9866156787762913E-2</v>
      </c>
      <c r="O99" s="18">
        <f>IF(ISNUMBER(M99), $B118 * N99, "")</f>
        <v>13479.923518164436</v>
      </c>
      <c r="Q99" s="156"/>
      <c r="R99" s="156"/>
      <c r="S99" s="156"/>
    </row>
    <row r="100" spans="1:19" ht="17.25" thickBot="1">
      <c r="A100" s="109" t="s">
        <v>225</v>
      </c>
      <c r="B100" s="110">
        <v>75.8</v>
      </c>
      <c r="C100" s="70">
        <v>0.12965722800000001</v>
      </c>
      <c r="D100" s="15">
        <v>73.2</v>
      </c>
      <c r="E100" s="32">
        <f t="shared" si="46"/>
        <v>-3.4300791556728161E-2</v>
      </c>
      <c r="F100" s="18">
        <f>IF(ISNUMBER(D100), $B118 * E100, "")</f>
        <v>-5145.1187335092245</v>
      </c>
      <c r="G100" s="31">
        <v>72.3</v>
      </c>
      <c r="H100" s="32">
        <f t="shared" si="47"/>
        <v>-4.6174142480211081E-2</v>
      </c>
      <c r="I100" s="91">
        <f>IF(ISNUMBER(G100), $B118 * H100, "")</f>
        <v>-6926.1213720316618</v>
      </c>
      <c r="J100" s="15">
        <v>71.7</v>
      </c>
      <c r="K100" s="32">
        <f t="shared" si="48"/>
        <v>-5.4089709762532912E-2</v>
      </c>
      <c r="L100" s="18">
        <f>IF(ISNUMBER(J100), $B118 * K100, "")</f>
        <v>-8113.4564643799367</v>
      </c>
      <c r="M100" s="31">
        <v>70.3</v>
      </c>
      <c r="N100" s="32">
        <f t="shared" si="49"/>
        <v>-7.255936675461741E-2</v>
      </c>
      <c r="O100" s="18">
        <f>IF(ISNUMBER(M100), $B118 * N100, "")</f>
        <v>-10883.905013192612</v>
      </c>
      <c r="Q100" s="146"/>
      <c r="R100" s="146"/>
      <c r="S100" s="146"/>
    </row>
    <row r="101" spans="1:19" ht="17.25" thickBot="1">
      <c r="A101" s="109" t="s">
        <v>227</v>
      </c>
      <c r="B101" s="110">
        <v>48</v>
      </c>
      <c r="C101" s="70">
        <v>7.3825503400000006E-2</v>
      </c>
      <c r="D101" s="15">
        <v>47.1</v>
      </c>
      <c r="E101" s="32">
        <f t="shared" si="46"/>
        <v>-1.8749999999999972E-2</v>
      </c>
      <c r="F101" s="18">
        <f>IF(ISNUMBER(D101), $B118 * E101, "")</f>
        <v>-2812.4999999999959</v>
      </c>
      <c r="G101" s="31">
        <v>46.4</v>
      </c>
      <c r="H101" s="32">
        <f t="shared" si="47"/>
        <v>-3.3333333333333361E-2</v>
      </c>
      <c r="I101" s="91">
        <f>IF(ISNUMBER(G101), $B118 * H101, "")</f>
        <v>-5000.0000000000045</v>
      </c>
      <c r="J101" s="15">
        <v>46.3</v>
      </c>
      <c r="K101" s="32">
        <f t="shared" si="48"/>
        <v>-3.5416666666666728E-2</v>
      </c>
      <c r="L101" s="18">
        <f>IF(ISNUMBER(J101), $B118 * K101, "")</f>
        <v>-5312.5000000000091</v>
      </c>
      <c r="M101" s="31">
        <v>46.7</v>
      </c>
      <c r="N101" s="32">
        <f t="shared" si="49"/>
        <v>-2.7083333333333275E-2</v>
      </c>
      <c r="O101" s="18">
        <f>IF(ISNUMBER(M101), $B118 * N101, "")</f>
        <v>-4062.4999999999914</v>
      </c>
      <c r="Q101" s="146"/>
      <c r="R101" s="146"/>
      <c r="S101" s="146"/>
    </row>
    <row r="102" spans="1:19" ht="17.25" thickBot="1">
      <c r="A102" s="111" t="s">
        <v>207</v>
      </c>
      <c r="B102" s="112">
        <v>79.3</v>
      </c>
      <c r="C102" s="71">
        <v>6.8733153599999999E-2</v>
      </c>
      <c r="D102" s="20">
        <v>77</v>
      </c>
      <c r="E102" s="21">
        <f t="shared" si="46"/>
        <v>-2.9003783102143722E-2</v>
      </c>
      <c r="F102" s="22">
        <f>IF(ISNUMBER(D102), $B118 * E102, "")</f>
        <v>-4350.5674653215583</v>
      </c>
      <c r="G102" s="30">
        <v>76.900000000000006</v>
      </c>
      <c r="H102" s="21">
        <f t="shared" si="47"/>
        <v>-3.0264817150062944E-2</v>
      </c>
      <c r="I102" s="95">
        <f>IF(ISNUMBER(G102), $B118 * H102, "")</f>
        <v>-4539.7225725094413</v>
      </c>
      <c r="J102" s="20">
        <v>76.2</v>
      </c>
      <c r="K102" s="21">
        <f t="shared" si="48"/>
        <v>-3.9092055485498038E-2</v>
      </c>
      <c r="L102" s="22">
        <f>IF(ISNUMBER(J102), $B118 * K102, "")</f>
        <v>-5863.808322824706</v>
      </c>
      <c r="M102" s="30">
        <v>76.5</v>
      </c>
      <c r="N102" s="21">
        <f t="shared" si="49"/>
        <v>-3.5308953341740196E-2</v>
      </c>
      <c r="O102" s="22">
        <f>IF(ISNUMBER(M102), $B118 * N102, "")</f>
        <v>-5296.3430012610297</v>
      </c>
      <c r="Q102" s="146"/>
      <c r="R102" s="146"/>
      <c r="S102" s="146"/>
    </row>
    <row r="103" spans="1:19" ht="17.25" thickBot="1">
      <c r="A103" s="109" t="s">
        <v>132</v>
      </c>
      <c r="B103" s="113">
        <v>59.5</v>
      </c>
      <c r="C103" s="73">
        <v>5.87188612E-2</v>
      </c>
      <c r="D103" s="96">
        <v>58.1</v>
      </c>
      <c r="E103" s="97">
        <f>IF(ISNUMBER(D103), (D103 - $B103) / $B103, "")</f>
        <v>-2.3529411764705858E-2</v>
      </c>
      <c r="F103" s="98">
        <f>IF(ISNUMBER(D103), $B118 * E103, "")</f>
        <v>-3529.4117647058788</v>
      </c>
      <c r="G103" s="99">
        <v>57.9</v>
      </c>
      <c r="H103" s="97">
        <f>IF(ISNUMBER(G103), (G103 - $B103) / $B103, "")</f>
        <v>-2.6890756302521031E-2</v>
      </c>
      <c r="I103" s="100">
        <f>IF(ISNUMBER(G103), $B118 * H103, "")</f>
        <v>-4033.6134453781547</v>
      </c>
      <c r="J103" s="96">
        <v>58.1</v>
      </c>
      <c r="K103" s="97">
        <f>IF(ISNUMBER(J103), (J103 - $B103) / $B103, "")</f>
        <v>-2.3529411764705858E-2</v>
      </c>
      <c r="L103" s="98">
        <f>IF(ISNUMBER(J103), $B118 * K103, "")</f>
        <v>-3529.4117647058788</v>
      </c>
      <c r="M103" s="99">
        <v>59.1</v>
      </c>
      <c r="N103" s="97">
        <f>IF(ISNUMBER(M103), (M103 - $B103) / $B103, "")</f>
        <v>-6.7226890756302282E-3</v>
      </c>
      <c r="O103" s="98">
        <f>IF(ISNUMBER(M103), $B118 * N103, "")</f>
        <v>-1008.4033613445342</v>
      </c>
      <c r="Q103" s="146"/>
      <c r="R103" s="146"/>
      <c r="S103" s="146"/>
    </row>
    <row r="104" spans="1:19" ht="17.25" thickBot="1">
      <c r="A104" s="109" t="s">
        <v>134</v>
      </c>
      <c r="B104" s="110">
        <v>1745</v>
      </c>
      <c r="C104" s="70">
        <v>5.7575757599999999E-2</v>
      </c>
      <c r="D104" s="15">
        <v>1690</v>
      </c>
      <c r="E104" s="32">
        <f t="shared" ref="E104:E107" si="50">IF(ISNUMBER(D104), (D104 - $B104) / $B104, "")</f>
        <v>-3.151862464183381E-2</v>
      </c>
      <c r="F104" s="18">
        <f>IF(ISNUMBER(D104), $B118 * E104, "")</f>
        <v>-4727.7936962750719</v>
      </c>
      <c r="G104" s="31">
        <v>1705</v>
      </c>
      <c r="H104" s="32">
        <f t="shared" ref="H104:H107" si="51">IF(ISNUMBER(G104), (G104 - $B104) / $B104, "")</f>
        <v>-2.2922636103151862E-2</v>
      </c>
      <c r="I104" s="91">
        <f>IF(ISNUMBER(G104), $B118 * H104, "")</f>
        <v>-3438.3954154727794</v>
      </c>
      <c r="J104" s="15">
        <v>1730</v>
      </c>
      <c r="K104" s="32">
        <f t="shared" ref="K104:K107" si="52">IF(ISNUMBER(J104), (J104 - $B104) / $B104, "")</f>
        <v>-8.5959885386819486E-3</v>
      </c>
      <c r="L104" s="18">
        <f>IF(ISNUMBER(J104), $B118 * K104, "")</f>
        <v>-1289.3982808022922</v>
      </c>
      <c r="M104" s="31">
        <v>1740</v>
      </c>
      <c r="N104" s="32">
        <f t="shared" ref="N104:N107" si="53">IF(ISNUMBER(M104), (M104 - $B104) / $B104, "")</f>
        <v>-2.8653295128939827E-3</v>
      </c>
      <c r="O104" s="18">
        <f>IF(ISNUMBER(M104), $B118 * N104, "")</f>
        <v>-429.79942693409743</v>
      </c>
      <c r="Q104" s="146"/>
      <c r="R104" s="146"/>
      <c r="S104" s="146"/>
    </row>
    <row r="105" spans="1:19" ht="17.25" thickBot="1">
      <c r="A105" s="109" t="s">
        <v>321</v>
      </c>
      <c r="B105" s="110">
        <v>243</v>
      </c>
      <c r="C105" s="70">
        <v>5.19480519E-2</v>
      </c>
      <c r="D105" s="15">
        <v>238</v>
      </c>
      <c r="E105" s="32">
        <f t="shared" si="50"/>
        <v>-2.0576131687242798E-2</v>
      </c>
      <c r="F105" s="18">
        <f>IF(ISNUMBER(D105), $B118 * E105, "")</f>
        <v>-3086.4197530864199</v>
      </c>
      <c r="G105" s="31">
        <v>236</v>
      </c>
      <c r="H105" s="32">
        <f t="shared" si="51"/>
        <v>-2.8806584362139918E-2</v>
      </c>
      <c r="I105" s="91">
        <f>IF(ISNUMBER(G105), $B118 * H105, "")</f>
        <v>-4320.9876543209875</v>
      </c>
      <c r="J105" s="15">
        <v>235</v>
      </c>
      <c r="K105" s="32">
        <f t="shared" si="52"/>
        <v>-3.292181069958848E-2</v>
      </c>
      <c r="L105" s="18">
        <f>IF(ISNUMBER(J105), $B118 * K105, "")</f>
        <v>-4938.2716049382716</v>
      </c>
      <c r="M105" s="31">
        <v>237</v>
      </c>
      <c r="N105" s="32">
        <f t="shared" si="53"/>
        <v>-2.4691358024691357E-2</v>
      </c>
      <c r="O105" s="18">
        <f>IF(ISNUMBER(M105), $B118 * N105, "")</f>
        <v>-3703.7037037037035</v>
      </c>
      <c r="Q105" s="146"/>
      <c r="R105" s="146"/>
      <c r="S105" s="146"/>
    </row>
    <row r="106" spans="1:19" ht="17.25" thickBot="1">
      <c r="A106" s="109" t="s">
        <v>111</v>
      </c>
      <c r="B106" s="110">
        <v>1000</v>
      </c>
      <c r="C106" s="70">
        <v>5.1524710799999998E-2</v>
      </c>
      <c r="D106" s="15">
        <v>1000</v>
      </c>
      <c r="E106" s="32">
        <f t="shared" si="50"/>
        <v>0</v>
      </c>
      <c r="F106" s="18">
        <f>IF(ISNUMBER(D106), $B118 * E106, "")</f>
        <v>0</v>
      </c>
      <c r="G106" s="31">
        <v>996</v>
      </c>
      <c r="H106" s="32">
        <f t="shared" si="51"/>
        <v>-4.0000000000000001E-3</v>
      </c>
      <c r="I106" s="91">
        <f>IF(ISNUMBER(G106), $B118 * H106, "")</f>
        <v>-600</v>
      </c>
      <c r="J106" s="15">
        <v>998</v>
      </c>
      <c r="K106" s="32">
        <f t="shared" si="52"/>
        <v>-2E-3</v>
      </c>
      <c r="L106" s="18">
        <f>IF(ISNUMBER(J106), $B118 * K106, "")</f>
        <v>-300</v>
      </c>
      <c r="M106" s="31">
        <v>1050</v>
      </c>
      <c r="N106" s="32">
        <f t="shared" si="53"/>
        <v>0.05</v>
      </c>
      <c r="O106" s="18">
        <f>IF(ISNUMBER(M106), $B118 * N106, "")</f>
        <v>7500</v>
      </c>
      <c r="Q106" s="33"/>
      <c r="R106" s="33"/>
    </row>
    <row r="107" spans="1:19" ht="17.25" thickBot="1">
      <c r="A107" s="114" t="s">
        <v>349</v>
      </c>
      <c r="B107" s="115">
        <v>29.9</v>
      </c>
      <c r="C107" s="72">
        <v>4.9122806999999998E-2</v>
      </c>
      <c r="D107" s="24">
        <v>29.2</v>
      </c>
      <c r="E107" s="25">
        <f t="shared" si="50"/>
        <v>-2.3411371237458171E-2</v>
      </c>
      <c r="F107" s="94">
        <f>IF(ISNUMBER(D107), $B118 * E107, "")</f>
        <v>-3511.7056856187255</v>
      </c>
      <c r="G107" s="92">
        <v>29.9</v>
      </c>
      <c r="H107" s="25">
        <f t="shared" si="51"/>
        <v>0</v>
      </c>
      <c r="I107" s="93">
        <f>IF(ISNUMBER(G107), $B118 * H107, "")</f>
        <v>0</v>
      </c>
      <c r="J107" s="24">
        <v>29.9</v>
      </c>
      <c r="K107" s="25">
        <f t="shared" si="52"/>
        <v>0</v>
      </c>
      <c r="L107" s="94">
        <f>IF(ISNUMBER(J107), $B118 * K107, "")</f>
        <v>0</v>
      </c>
      <c r="M107" s="92">
        <v>29.9</v>
      </c>
      <c r="N107" s="25">
        <f t="shared" si="53"/>
        <v>0</v>
      </c>
      <c r="O107" s="94">
        <f>IF(ISNUMBER(M107), $B118 * N107, "")</f>
        <v>0</v>
      </c>
      <c r="Q107" s="147"/>
      <c r="R107" s="148"/>
      <c r="S107" s="149"/>
    </row>
    <row r="108" spans="1:19">
      <c r="A108" s="107" t="s">
        <v>138</v>
      </c>
      <c r="B108" s="108">
        <v>31.2</v>
      </c>
      <c r="C108" s="69">
        <v>4.3478260900000003E-2</v>
      </c>
      <c r="D108" s="13">
        <v>30.4</v>
      </c>
      <c r="E108" s="14">
        <f>IF(ISNUMBER(D108), (D108 - $B108) / $B108, "")</f>
        <v>-2.5641025641025664E-2</v>
      </c>
      <c r="F108" s="16">
        <f>IF(ISNUMBER(D108), $B118 * E108, "")</f>
        <v>-3846.1538461538498</v>
      </c>
      <c r="G108" s="29">
        <v>30.8</v>
      </c>
      <c r="H108" s="14">
        <f>IF(ISNUMBER(G108), (G108 - $B108) / $B108, "")</f>
        <v>-1.2820512820512775E-2</v>
      </c>
      <c r="I108" s="90">
        <f>IF(ISNUMBER(G108), $B118 * H108, "")</f>
        <v>-1923.0769230769163</v>
      </c>
      <c r="J108" s="13">
        <v>30.8</v>
      </c>
      <c r="K108" s="14">
        <f>IF(ISNUMBER(J108), (J108 - $B108) / $B108, "")</f>
        <v>-1.2820512820512775E-2</v>
      </c>
      <c r="L108" s="16">
        <f>IF(ISNUMBER(J108), $B118 * K108, "")</f>
        <v>-1923.0769230769163</v>
      </c>
      <c r="M108" s="29">
        <v>31.4</v>
      </c>
      <c r="N108" s="14">
        <f>IF(ISNUMBER(M108), (M108 - $B108) / $B108, "")</f>
        <v>6.4102564102563875E-3</v>
      </c>
      <c r="O108" s="16">
        <f>IF(ISNUMBER(M108), $B118 * N108, "")</f>
        <v>961.53846153845814</v>
      </c>
      <c r="Q108" s="150"/>
      <c r="R108" s="151"/>
      <c r="S108" s="152"/>
    </row>
    <row r="109" spans="1:19" ht="17.25" thickBot="1">
      <c r="A109" s="109" t="s">
        <v>197</v>
      </c>
      <c r="B109" s="110">
        <v>7.6</v>
      </c>
      <c r="C109" s="70">
        <v>3.9671682600000001E-2</v>
      </c>
      <c r="D109" s="15">
        <v>7.45</v>
      </c>
      <c r="E109" s="32">
        <f t="shared" ref="E109:E112" si="54">IF(ISNUMBER(D109), (D109 - $B109) / $B109, "")</f>
        <v>-1.9736842105263087E-2</v>
      </c>
      <c r="F109" s="18">
        <f>IF(ISNUMBER(D109), $B118 * E109, "")</f>
        <v>-2960.5263157894633</v>
      </c>
      <c r="G109" s="31">
        <v>7.52</v>
      </c>
      <c r="H109" s="32">
        <f t="shared" ref="H109:H112" si="55">IF(ISNUMBER(G109), (G109 - $B109) / $B109, "")</f>
        <v>-1.0526315789473694E-2</v>
      </c>
      <c r="I109" s="91">
        <f>IF(ISNUMBER(G109), $B118 * H109, "")</f>
        <v>-1578.9473684210541</v>
      </c>
      <c r="J109" s="15">
        <v>7.5</v>
      </c>
      <c r="K109" s="32">
        <f t="shared" ref="K109:K112" si="56">IF(ISNUMBER(J109), (J109 - $B109) / $B109, "")</f>
        <v>-1.3157894736842059E-2</v>
      </c>
      <c r="L109" s="18">
        <f>IF(ISNUMBER(J109), $B118 * K109, "")</f>
        <v>-1973.684210526309</v>
      </c>
      <c r="M109" s="31">
        <v>7.48</v>
      </c>
      <c r="N109" s="32">
        <f t="shared" ref="N109:N112" si="57">IF(ISNUMBER(M109), (M109 - $B109) / $B109, "")</f>
        <v>-1.5789473684210423E-2</v>
      </c>
      <c r="O109" s="18">
        <f>IF(ISNUMBER(M109), $B118 * N109, "")</f>
        <v>-2368.4210526315633</v>
      </c>
      <c r="Q109" s="153"/>
      <c r="R109" s="154"/>
      <c r="S109" s="155"/>
    </row>
    <row r="110" spans="1:19" ht="17.25" thickBot="1">
      <c r="A110" s="109" t="s">
        <v>191</v>
      </c>
      <c r="B110" s="110">
        <v>63.5</v>
      </c>
      <c r="C110" s="70">
        <v>3.9279869100000003E-2</v>
      </c>
      <c r="D110" s="15">
        <v>62.9</v>
      </c>
      <c r="E110" s="32">
        <f t="shared" si="54"/>
        <v>-9.4488188976378177E-3</v>
      </c>
      <c r="F110" s="18">
        <f>IF(ISNUMBER(D110), $B118 * E110, "")</f>
        <v>-1417.3228346456726</v>
      </c>
      <c r="G110" s="31">
        <v>63.2</v>
      </c>
      <c r="H110" s="32">
        <f t="shared" si="55"/>
        <v>-4.7244094488188525E-3</v>
      </c>
      <c r="I110" s="91">
        <f>IF(ISNUMBER(G110), $B118 * H110, "")</f>
        <v>-708.6614173228279</v>
      </c>
      <c r="J110" s="15">
        <v>63.2</v>
      </c>
      <c r="K110" s="32">
        <f t="shared" si="56"/>
        <v>-4.7244094488188525E-3</v>
      </c>
      <c r="L110" s="18">
        <f>IF(ISNUMBER(J110), $B118 * K110, "")</f>
        <v>-708.6614173228279</v>
      </c>
      <c r="M110" s="31">
        <v>62.9</v>
      </c>
      <c r="N110" s="32">
        <f t="shared" si="57"/>
        <v>-9.4488188976378177E-3</v>
      </c>
      <c r="O110" s="18">
        <f>IF(ISNUMBER(M110), $B118 * N110, "")</f>
        <v>-1417.3228346456726</v>
      </c>
      <c r="Q110" s="146"/>
      <c r="R110" s="146"/>
      <c r="S110" s="146"/>
    </row>
    <row r="111" spans="1:19" ht="17.25" thickBot="1">
      <c r="A111" s="109" t="s">
        <v>341</v>
      </c>
      <c r="B111" s="110">
        <v>876</v>
      </c>
      <c r="C111" s="70">
        <v>3.6686390499999999E-2</v>
      </c>
      <c r="D111" s="15">
        <v>860</v>
      </c>
      <c r="E111" s="32">
        <f t="shared" si="54"/>
        <v>-1.8264840182648401E-2</v>
      </c>
      <c r="F111" s="18">
        <f>IF(ISNUMBER(D111), $B118 * E111, "")</f>
        <v>-2739.7260273972602</v>
      </c>
      <c r="G111" s="31">
        <v>857</v>
      </c>
      <c r="H111" s="32">
        <f t="shared" si="55"/>
        <v>-2.1689497716894976E-2</v>
      </c>
      <c r="I111" s="91">
        <f>IF(ISNUMBER(G111), $B118 * H111, "")</f>
        <v>-3253.4246575342463</v>
      </c>
      <c r="J111" s="15">
        <v>862</v>
      </c>
      <c r="K111" s="32">
        <f t="shared" si="56"/>
        <v>-1.5981735159817351E-2</v>
      </c>
      <c r="L111" s="18">
        <f>IF(ISNUMBER(J111), $B118 * K111, "")</f>
        <v>-2397.2602739726026</v>
      </c>
      <c r="M111" s="31">
        <v>872</v>
      </c>
      <c r="N111" s="32">
        <f t="shared" si="57"/>
        <v>-4.5662100456621002E-3</v>
      </c>
      <c r="O111" s="18">
        <f>IF(ISNUMBER(M111), $B118 * N111, "")</f>
        <v>-684.93150684931504</v>
      </c>
      <c r="Q111" s="156"/>
      <c r="R111" s="156"/>
      <c r="S111" s="156"/>
    </row>
    <row r="112" spans="1:19" ht="17.25" thickBot="1">
      <c r="A112" s="111" t="s">
        <v>136</v>
      </c>
      <c r="B112" s="112">
        <v>3310</v>
      </c>
      <c r="C112" s="71">
        <v>3.4375000000000003E-2</v>
      </c>
      <c r="D112" s="20">
        <v>3250</v>
      </c>
      <c r="E112" s="21">
        <f t="shared" si="54"/>
        <v>-1.812688821752266E-2</v>
      </c>
      <c r="F112" s="22">
        <f>IF(ISNUMBER(D112), $B118 * E112, "")</f>
        <v>-2719.0332326283992</v>
      </c>
      <c r="G112" s="30">
        <v>3240</v>
      </c>
      <c r="H112" s="21">
        <f t="shared" si="55"/>
        <v>-2.1148036253776436E-2</v>
      </c>
      <c r="I112" s="95">
        <f>IF(ISNUMBER(G112), $B118 * H112, "")</f>
        <v>-3172.2054380664654</v>
      </c>
      <c r="J112" s="20">
        <v>3230</v>
      </c>
      <c r="K112" s="21">
        <f t="shared" si="56"/>
        <v>-2.4169184290030211E-2</v>
      </c>
      <c r="L112" s="22">
        <f>IF(ISNUMBER(J112), $B118 * K112, "")</f>
        <v>-3625.3776435045315</v>
      </c>
      <c r="M112" s="30">
        <v>3235</v>
      </c>
      <c r="N112" s="21">
        <f t="shared" si="57"/>
        <v>-2.2658610271903322E-2</v>
      </c>
      <c r="O112" s="22">
        <f>IF(ISNUMBER(M112), $B118 * N112, "")</f>
        <v>-3398.7915407854985</v>
      </c>
      <c r="Q112" s="156"/>
      <c r="R112" s="156"/>
      <c r="S112" s="156"/>
    </row>
    <row r="113" spans="1:19" ht="17.25" thickBot="1">
      <c r="A113" s="109" t="s">
        <v>215</v>
      </c>
      <c r="B113" s="113">
        <v>388</v>
      </c>
      <c r="C113" s="73">
        <v>3.1914893600000001E-2</v>
      </c>
      <c r="D113" s="96">
        <v>398</v>
      </c>
      <c r="E113" s="97">
        <f>IF(ISNUMBER(D113), (D113 - $B113) / $B113, "")</f>
        <v>2.5773195876288658E-2</v>
      </c>
      <c r="F113" s="98">
        <f>IF(ISNUMBER(D113), $B118 * E113, "")</f>
        <v>3865.9793814432987</v>
      </c>
      <c r="G113" s="99">
        <v>399</v>
      </c>
      <c r="H113" s="97">
        <f>IF(ISNUMBER(G113), (G113 - $B113) / $B113, "")</f>
        <v>2.8350515463917526E-2</v>
      </c>
      <c r="I113" s="100">
        <f>IF(ISNUMBER(G113), $B118 * H113, "")</f>
        <v>4252.5773195876291</v>
      </c>
      <c r="J113" s="96">
        <v>399</v>
      </c>
      <c r="K113" s="97">
        <f>IF(ISNUMBER(J113), (J113 - $B113) / $B113, "")</f>
        <v>2.8350515463917526E-2</v>
      </c>
      <c r="L113" s="98">
        <f>IF(ISNUMBER(J113), $B118 * K113, "")</f>
        <v>4252.5773195876291</v>
      </c>
      <c r="M113" s="99">
        <v>404</v>
      </c>
      <c r="N113" s="97">
        <f>IF(ISNUMBER(M113), (M113 - $B113) / $B113, "")</f>
        <v>4.1237113402061855E-2</v>
      </c>
      <c r="O113" s="98">
        <f>IF(ISNUMBER(M113), $B118 * N113, "")</f>
        <v>6185.567010309278</v>
      </c>
      <c r="Q113" s="146"/>
      <c r="R113" s="146"/>
      <c r="S113" s="146"/>
    </row>
    <row r="114" spans="1:19" ht="17.25" thickBot="1">
      <c r="A114" s="109" t="s">
        <v>155</v>
      </c>
      <c r="B114" s="110">
        <v>32.799999999999997</v>
      </c>
      <c r="C114" s="70">
        <v>3.14465409E-2</v>
      </c>
      <c r="D114" s="15">
        <v>31.9</v>
      </c>
      <c r="E114" s="32">
        <f t="shared" ref="E114:E117" si="58">IF(ISNUMBER(D114), (D114 - $B114) / $B114, "")</f>
        <v>-2.7439024390243861E-2</v>
      </c>
      <c r="F114" s="18">
        <f>IF(ISNUMBER(D114), $B118 * E114, "")</f>
        <v>-4115.8536585365791</v>
      </c>
      <c r="G114" s="31">
        <v>31.9</v>
      </c>
      <c r="H114" s="32">
        <f t="shared" ref="H114:H117" si="59">IF(ISNUMBER(G114), (G114 - $B114) / $B114, "")</f>
        <v>-2.7439024390243861E-2</v>
      </c>
      <c r="I114" s="91">
        <f>IF(ISNUMBER(G114), $B118 * H114, "")</f>
        <v>-4115.8536585365791</v>
      </c>
      <c r="J114" s="15">
        <v>32</v>
      </c>
      <c r="K114" s="32">
        <f t="shared" ref="K114:K117" si="60">IF(ISNUMBER(J114), (J114 - $B114) / $B114, "")</f>
        <v>-2.4390243902438939E-2</v>
      </c>
      <c r="L114" s="18">
        <f>IF(ISNUMBER(J114), $B118 * K114, "")</f>
        <v>-3658.5365853658409</v>
      </c>
      <c r="M114" s="31">
        <v>32.1</v>
      </c>
      <c r="N114" s="32">
        <f t="shared" ref="N114:N117" si="61">IF(ISNUMBER(M114), (M114 - $B114) / $B114, "")</f>
        <v>-2.134146341463402E-2</v>
      </c>
      <c r="O114" s="18">
        <f>IF(ISNUMBER(M114), $B118 * N114, "")</f>
        <v>-3201.2195121951031</v>
      </c>
      <c r="Q114" s="146"/>
      <c r="R114" s="146"/>
      <c r="S114" s="146"/>
    </row>
    <row r="115" spans="1:19" ht="17.25" thickBot="1">
      <c r="A115" s="109" t="s">
        <v>195</v>
      </c>
      <c r="B115" s="110">
        <v>6.97</v>
      </c>
      <c r="C115" s="70">
        <v>3.1065088800000001E-2</v>
      </c>
      <c r="D115" s="15">
        <v>6.91</v>
      </c>
      <c r="E115" s="32">
        <f t="shared" si="58"/>
        <v>-8.6083213773313644E-3</v>
      </c>
      <c r="F115" s="18">
        <f>IF(ISNUMBER(D115), $B118 * E115, "")</f>
        <v>-1291.2482065997046</v>
      </c>
      <c r="G115" s="31">
        <v>6.94</v>
      </c>
      <c r="H115" s="32">
        <f t="shared" si="59"/>
        <v>-4.3041606886656189E-3</v>
      </c>
      <c r="I115" s="91">
        <f>IF(ISNUMBER(G115), $B118 * H115, "")</f>
        <v>-645.62410329984289</v>
      </c>
      <c r="J115" s="15">
        <v>6.92</v>
      </c>
      <c r="K115" s="32">
        <f t="shared" si="60"/>
        <v>-7.1736011477761584E-3</v>
      </c>
      <c r="L115" s="18">
        <f>IF(ISNUMBER(J115), $B118 * K115, "")</f>
        <v>-1076.0401721664239</v>
      </c>
      <c r="M115" s="31">
        <v>7</v>
      </c>
      <c r="N115" s="32">
        <f t="shared" si="61"/>
        <v>4.3041606886657464E-3</v>
      </c>
      <c r="O115" s="18">
        <f>IF(ISNUMBER(M115), $B118 * N115, "")</f>
        <v>645.62410329986199</v>
      </c>
      <c r="Q115" s="146"/>
      <c r="R115" s="146"/>
      <c r="S115" s="146"/>
    </row>
    <row r="116" spans="1:19">
      <c r="A116" s="109" t="s">
        <v>332</v>
      </c>
      <c r="B116" s="110">
        <v>632</v>
      </c>
      <c r="C116" s="70">
        <v>3.0995106000000001E-2</v>
      </c>
      <c r="D116" s="15">
        <v>625</v>
      </c>
      <c r="E116" s="32">
        <f t="shared" si="58"/>
        <v>-1.1075949367088608E-2</v>
      </c>
      <c r="F116" s="18">
        <f>IF(ISNUMBER(D116), $B118 * E116, "")</f>
        <v>-1661.3924050632911</v>
      </c>
      <c r="G116" s="31">
        <v>633</v>
      </c>
      <c r="H116" s="32">
        <f t="shared" si="59"/>
        <v>1.5822784810126582E-3</v>
      </c>
      <c r="I116" s="91">
        <f>IF(ISNUMBER(G116), $B118 * H116, "")</f>
        <v>237.34177215189874</v>
      </c>
      <c r="J116" s="15">
        <v>658</v>
      </c>
      <c r="K116" s="32">
        <f t="shared" si="60"/>
        <v>4.1139240506329111E-2</v>
      </c>
      <c r="L116" s="18">
        <f>IF(ISNUMBER(J116), $B118 * K116, "")</f>
        <v>6170.8860759493664</v>
      </c>
      <c r="M116" s="31">
        <v>667</v>
      </c>
      <c r="N116" s="32">
        <f t="shared" si="61"/>
        <v>5.5379746835443035E-2</v>
      </c>
      <c r="O116" s="18">
        <f>IF(ISNUMBER(M116), $B118 * N116, "")</f>
        <v>8306.9620253164558</v>
      </c>
      <c r="Q116" s="135"/>
      <c r="R116" s="136"/>
      <c r="S116" s="137"/>
    </row>
    <row r="117" spans="1:19" ht="17.25" thickBot="1">
      <c r="A117" s="114" t="s">
        <v>211</v>
      </c>
      <c r="B117" s="115">
        <v>1170</v>
      </c>
      <c r="C117" s="72">
        <v>3.08370044E-2</v>
      </c>
      <c r="D117" s="24">
        <v>1135</v>
      </c>
      <c r="E117" s="25">
        <f t="shared" si="58"/>
        <v>-2.9914529914529916E-2</v>
      </c>
      <c r="F117" s="94">
        <f>IF(ISNUMBER(D117), $B118 * E117, "")</f>
        <v>-4487.1794871794873</v>
      </c>
      <c r="G117" s="92">
        <v>1140</v>
      </c>
      <c r="H117" s="25">
        <f t="shared" si="59"/>
        <v>-2.564102564102564E-2</v>
      </c>
      <c r="I117" s="93">
        <f>IF(ISNUMBER(G117), $B118 * H117, "")</f>
        <v>-3846.1538461538462</v>
      </c>
      <c r="J117" s="24">
        <v>1140</v>
      </c>
      <c r="K117" s="25">
        <f t="shared" si="60"/>
        <v>-2.564102564102564E-2</v>
      </c>
      <c r="L117" s="94">
        <f>IF(ISNUMBER(J117), $B118 * K117, "")</f>
        <v>-3846.1538461538462</v>
      </c>
      <c r="M117" s="92">
        <v>1155</v>
      </c>
      <c r="N117" s="25">
        <f t="shared" si="61"/>
        <v>-1.282051282051282E-2</v>
      </c>
      <c r="O117" s="94">
        <f>IF(ISNUMBER(M117), $B118 * N117, "")</f>
        <v>-1923.0769230769231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-1.6993288464725309E-2</v>
      </c>
      <c r="F118" s="28">
        <f>SUM(F98:F117)</f>
        <v>-50979.865394175926</v>
      </c>
      <c r="G118" s="26" t="s">
        <v>258</v>
      </c>
      <c r="H118" s="27">
        <f>IF(COUNT(H98:H117), SUM(H98:H117) / COUNT(H98:H117), 0)</f>
        <v>-1.3746506205365949E-2</v>
      </c>
      <c r="I118" s="28">
        <f>SUM(I98:I117)</f>
        <v>-41239.518616097834</v>
      </c>
      <c r="J118" s="26" t="s">
        <v>258</v>
      </c>
      <c r="K118" s="27">
        <f>IF(COUNT(K98:K117), SUM(K98:K117) / COUNT(K98:K117), 0)</f>
        <v>-1.3356117540440842E-2</v>
      </c>
      <c r="L118" s="28">
        <f>SUM(L98:L117)</f>
        <v>-40068.352621322505</v>
      </c>
      <c r="M118" s="26" t="s">
        <v>258</v>
      </c>
      <c r="N118" s="27">
        <f>IF(COUNT(N98:N117), SUM(N98:N117) / COUNT(N98:N117), 0)</f>
        <v>-4.640053993764175E-3</v>
      </c>
      <c r="O118" s="28">
        <f>SUM(O98:O117)</f>
        <v>-13920.161981292531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2023-01-22(일) 오전 00:00</v>
      </c>
      <c r="C123" s="198"/>
      <c r="D123" s="170" t="str">
        <f>TEXT($G$1, "[$-ko-KR]yyyy-mm-dd(ddd) ") &amp; "오후 14:00"</f>
        <v>2023-01-22(일) 오후 14:00</v>
      </c>
      <c r="E123" s="171"/>
      <c r="F123" s="172"/>
      <c r="G123" s="170" t="str">
        <f>TEXT($G$1, "[$-ko-KR]yyyy-mm-dd(ddd) ") &amp; "오후 19:00"</f>
        <v>2023-01-22(일) 오후 19:00</v>
      </c>
      <c r="H123" s="171"/>
      <c r="I123" s="172"/>
      <c r="J123" s="170" t="str">
        <f>TEXT($G$1, "[$-ko-KR]yyyy-mm-dd(ddd) ") &amp; "오후 21:00"</f>
        <v>2023-01-22(일) 오후 21:00</v>
      </c>
      <c r="K123" s="171"/>
      <c r="L123" s="172"/>
      <c r="M123" s="170" t="str">
        <f>TEXT($G$1+1, "[$-ko-KR]yyyy-mm-dd(ddd) ") &amp; "오전 00:00"</f>
        <v>2023-01-23(월)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193</v>
      </c>
      <c r="B125" s="108">
        <v>20.3</v>
      </c>
      <c r="C125" s="69">
        <v>1.4999999999999999E-2</v>
      </c>
      <c r="D125" s="13">
        <v>20</v>
      </c>
      <c r="E125" s="14">
        <f>IF(ISNUMBER(D125), (D125 - $B125) / $B125, "")</f>
        <v>-1.4778325123152743E-2</v>
      </c>
      <c r="F125" s="16">
        <f>IF(ISNUMBER(D125), $B145 * E125, "")</f>
        <v>-2216.7487684729117</v>
      </c>
      <c r="G125" s="29">
        <v>20.100000000000001</v>
      </c>
      <c r="H125" s="14">
        <f>IF(ISNUMBER(G125), (G125 - $B125) / $B125, "")</f>
        <v>-9.8522167487684383E-3</v>
      </c>
      <c r="I125" s="90">
        <f>IF(ISNUMBER(G125), $B145 * H125, "")</f>
        <v>-1477.8325123152658</v>
      </c>
      <c r="J125" s="13">
        <v>20.100000000000001</v>
      </c>
      <c r="K125" s="14">
        <f>IF(ISNUMBER(J125), (J125 - $B125) / $B125, "")</f>
        <v>-9.8522167487684383E-3</v>
      </c>
      <c r="L125" s="16">
        <f>IF(ISNUMBER(J125), $B145 * K125, "")</f>
        <v>-1477.8325123152658</v>
      </c>
      <c r="M125" s="29">
        <v>20.399999999999999</v>
      </c>
      <c r="N125" s="14">
        <f>IF(ISNUMBER(M125), (M125 - $B125) / $B125, "")</f>
        <v>4.9261083743841316E-3</v>
      </c>
      <c r="O125" s="16">
        <f>IF(ISNUMBER(M125), $B145 * N125, "")</f>
        <v>738.91625615761973</v>
      </c>
      <c r="Q125" s="156"/>
      <c r="R125" s="156"/>
      <c r="S125" s="156"/>
    </row>
    <row r="126" spans="1:19" ht="17.25" thickBot="1">
      <c r="A126" s="109" t="s">
        <v>141</v>
      </c>
      <c r="B126" s="110">
        <v>3.76</v>
      </c>
      <c r="C126" s="70">
        <v>1.0752688200000001E-2</v>
      </c>
      <c r="D126" s="15">
        <v>3.79</v>
      </c>
      <c r="E126" s="32">
        <f t="shared" ref="E126:E129" si="62">IF(ISNUMBER(D126), (D126 - $B126) / $B126, "")</f>
        <v>7.9787234042553862E-3</v>
      </c>
      <c r="F126" s="18">
        <f>IF(ISNUMBER(D126), $B145 * E126, "")</f>
        <v>1196.808510638308</v>
      </c>
      <c r="G126" s="31">
        <v>3.8</v>
      </c>
      <c r="H126" s="32">
        <f t="shared" ref="H126:H129" si="63">IF(ISNUMBER(G126), (G126 - $B126) / $B126, "")</f>
        <v>1.0638297872340436E-2</v>
      </c>
      <c r="I126" s="91">
        <f>IF(ISNUMBER(G126), $B145 * H126, "")</f>
        <v>1595.7446808510654</v>
      </c>
      <c r="J126" s="15">
        <v>3.78</v>
      </c>
      <c r="K126" s="32">
        <f t="shared" ref="K126:K129" si="64">IF(ISNUMBER(J126), (J126 - $B126) / $B126, "")</f>
        <v>5.3191489361702178E-3</v>
      </c>
      <c r="L126" s="18">
        <f>IF(ISNUMBER(J126), $B145 * K126, "")</f>
        <v>797.87234042553268</v>
      </c>
      <c r="M126" s="31">
        <v>3.86</v>
      </c>
      <c r="N126" s="32">
        <f t="shared" ref="N126:N129" si="65">IF(ISNUMBER(M126), (M126 - $B126) / $B126, "")</f>
        <v>2.6595744680851088E-2</v>
      </c>
      <c r="O126" s="18">
        <f>IF(ISNUMBER(M126), $B145 * N126, "")</f>
        <v>3989.3617021276632</v>
      </c>
      <c r="Q126" s="156"/>
      <c r="R126" s="156"/>
      <c r="S126" s="156"/>
    </row>
    <row r="127" spans="1:19" ht="17.25" thickBot="1">
      <c r="A127" s="109" t="s">
        <v>221</v>
      </c>
      <c r="B127" s="110">
        <v>22.8</v>
      </c>
      <c r="C127" s="70">
        <v>8.8495575000000007E-3</v>
      </c>
      <c r="D127" s="15">
        <v>22.5</v>
      </c>
      <c r="E127" s="32">
        <f t="shared" si="62"/>
        <v>-1.3157894736842136E-2</v>
      </c>
      <c r="F127" s="18">
        <f>IF(ISNUMBER(D127), $B145 * E127, "")</f>
        <v>-1973.6842105263204</v>
      </c>
      <c r="G127" s="31">
        <v>22.5</v>
      </c>
      <c r="H127" s="32">
        <f t="shared" si="63"/>
        <v>-1.3157894736842136E-2</v>
      </c>
      <c r="I127" s="91">
        <f>IF(ISNUMBER(G127), $B145 * H127, "")</f>
        <v>-1973.6842105263204</v>
      </c>
      <c r="J127" s="15">
        <v>22.5</v>
      </c>
      <c r="K127" s="32">
        <f t="shared" si="64"/>
        <v>-1.3157894736842136E-2</v>
      </c>
      <c r="L127" s="18">
        <f>IF(ISNUMBER(J127), $B145 * K127, "")</f>
        <v>-1973.6842105263204</v>
      </c>
      <c r="M127" s="31">
        <v>22.7</v>
      </c>
      <c r="N127" s="32">
        <f t="shared" si="65"/>
        <v>-4.385964912280764E-3</v>
      </c>
      <c r="O127" s="18">
        <f>IF(ISNUMBER(M127), $B145 * N127, "")</f>
        <v>-657.89473684211464</v>
      </c>
      <c r="Q127" s="146"/>
      <c r="R127" s="146"/>
      <c r="S127" s="146"/>
    </row>
    <row r="128" spans="1:19" ht="17.25" thickBot="1">
      <c r="A128" s="109" t="s">
        <v>124</v>
      </c>
      <c r="B128" s="110">
        <v>35.9</v>
      </c>
      <c r="C128" s="70">
        <v>8.4269662999999998E-3</v>
      </c>
      <c r="D128" s="15">
        <v>35.4</v>
      </c>
      <c r="E128" s="32">
        <f t="shared" si="62"/>
        <v>-1.3927576601671311E-2</v>
      </c>
      <c r="F128" s="18">
        <f>IF(ISNUMBER(D128), $B145 * E128, "")</f>
        <v>-2089.1364902506966</v>
      </c>
      <c r="G128" s="31">
        <v>36</v>
      </c>
      <c r="H128" s="32">
        <f t="shared" si="63"/>
        <v>2.7855153203343017E-3</v>
      </c>
      <c r="I128" s="91">
        <f>IF(ISNUMBER(G128), $B145 * H128, "")</f>
        <v>417.82729805014526</v>
      </c>
      <c r="J128" s="15">
        <v>36</v>
      </c>
      <c r="K128" s="32">
        <f t="shared" si="64"/>
        <v>2.7855153203343017E-3</v>
      </c>
      <c r="L128" s="18">
        <f>IF(ISNUMBER(J128), $B145 * K128, "")</f>
        <v>417.82729805014526</v>
      </c>
      <c r="M128" s="31">
        <v>36</v>
      </c>
      <c r="N128" s="32">
        <f t="shared" si="65"/>
        <v>2.7855153203343017E-3</v>
      </c>
      <c r="O128" s="18">
        <f>IF(ISNUMBER(M128), $B145 * N128, "")</f>
        <v>417.82729805014526</v>
      </c>
      <c r="Q128" s="146"/>
      <c r="R128" s="146"/>
      <c r="S128" s="146"/>
    </row>
    <row r="129" spans="1:19" ht="17.25" thickBot="1">
      <c r="A129" s="111" t="s">
        <v>71</v>
      </c>
      <c r="B129" s="112">
        <v>12.8</v>
      </c>
      <c r="C129" s="71">
        <v>7.8740157000000005E-3</v>
      </c>
      <c r="D129" s="20">
        <v>12.9</v>
      </c>
      <c r="E129" s="21">
        <f t="shared" si="62"/>
        <v>7.8124999999999722E-3</v>
      </c>
      <c r="F129" s="22">
        <f>IF(ISNUMBER(D129), $B145 * E129, "")</f>
        <v>1171.8749999999959</v>
      </c>
      <c r="G129" s="30">
        <v>12.8</v>
      </c>
      <c r="H129" s="21">
        <f t="shared" si="63"/>
        <v>0</v>
      </c>
      <c r="I129" s="95">
        <f>IF(ISNUMBER(G129), $B145 * H129, "")</f>
        <v>0</v>
      </c>
      <c r="J129" s="20">
        <v>12.9</v>
      </c>
      <c r="K129" s="21">
        <f t="shared" si="64"/>
        <v>7.8124999999999722E-3</v>
      </c>
      <c r="L129" s="22">
        <f>IF(ISNUMBER(J129), $B145 * K129, "")</f>
        <v>1171.8749999999959</v>
      </c>
      <c r="M129" s="30">
        <v>13</v>
      </c>
      <c r="N129" s="21">
        <f t="shared" si="65"/>
        <v>1.5624999999999944E-2</v>
      </c>
      <c r="O129" s="22">
        <f>IF(ISNUMBER(M129), $B145 * N129, "")</f>
        <v>2343.7499999999918</v>
      </c>
      <c r="Q129" s="146"/>
      <c r="R129" s="146"/>
      <c r="S129" s="146"/>
    </row>
    <row r="130" spans="1:19" ht="17.25" thickBot="1">
      <c r="A130" s="109" t="s">
        <v>324</v>
      </c>
      <c r="B130" s="113">
        <v>97.6</v>
      </c>
      <c r="C130" s="73">
        <v>7.2239421999999998E-3</v>
      </c>
      <c r="D130" s="96">
        <v>96.7</v>
      </c>
      <c r="E130" s="97">
        <f>IF(ISNUMBER(D130), (D130 - $B130) / $B130, "")</f>
        <v>-9.2213114754097492E-3</v>
      </c>
      <c r="F130" s="98">
        <f>IF(ISNUMBER(D130), $B145 * E130, "")</f>
        <v>-1383.1967213114624</v>
      </c>
      <c r="G130" s="99">
        <v>97.6</v>
      </c>
      <c r="H130" s="97">
        <f>IF(ISNUMBER(G130), (G130 - $B130) / $B130, "")</f>
        <v>0</v>
      </c>
      <c r="I130" s="100">
        <f>IF(ISNUMBER(G130), $B145 * H130, "")</f>
        <v>0</v>
      </c>
      <c r="J130" s="96">
        <v>97.7</v>
      </c>
      <c r="K130" s="97">
        <f>IF(ISNUMBER(J130), (J130 - $B130) / $B130, "")</f>
        <v>1.0245901639345137E-3</v>
      </c>
      <c r="L130" s="98">
        <f>IF(ISNUMBER(J130), $B145 * K130, "")</f>
        <v>153.68852459017705</v>
      </c>
      <c r="M130" s="99">
        <v>98.6</v>
      </c>
      <c r="N130" s="97">
        <f>IF(ISNUMBER(M130), (M130 - $B130) / $B130, "")</f>
        <v>1.0245901639344263E-2</v>
      </c>
      <c r="O130" s="98">
        <f>IF(ISNUMBER(M130), $B145 * N130, "")</f>
        <v>1536.8852459016396</v>
      </c>
      <c r="Q130" s="146"/>
      <c r="R130" s="146"/>
      <c r="S130" s="146"/>
    </row>
    <row r="131" spans="1:19" ht="17.25" thickBot="1">
      <c r="A131" s="109" t="s">
        <v>237</v>
      </c>
      <c r="B131" s="110">
        <v>30.8</v>
      </c>
      <c r="C131" s="70">
        <v>6.5359477000000001E-3</v>
      </c>
      <c r="D131" s="15">
        <v>30.5</v>
      </c>
      <c r="E131" s="32">
        <f t="shared" ref="E131:E134" si="66">IF(ISNUMBER(D131), (D131 - $B131) / $B131, "")</f>
        <v>-9.7402597402597626E-3</v>
      </c>
      <c r="F131" s="18">
        <f>IF(ISNUMBER(D131), $B145 * E131, "")</f>
        <v>-1461.0389610389643</v>
      </c>
      <c r="G131" s="31">
        <v>30.6</v>
      </c>
      <c r="H131" s="32">
        <f t="shared" ref="H131:H134" si="67">IF(ISNUMBER(G131), (G131 - $B131) / $B131, "")</f>
        <v>-6.4935064935064705E-3</v>
      </c>
      <c r="I131" s="91">
        <f>IF(ISNUMBER(G131), $B145 * H131, "")</f>
        <v>-974.02597402597053</v>
      </c>
      <c r="J131" s="15">
        <v>30.7</v>
      </c>
      <c r="K131" s="32">
        <f t="shared" ref="K131:K134" si="68">IF(ISNUMBER(J131), (J131 - $B131) / $B131, "")</f>
        <v>-3.2467532467532929E-3</v>
      </c>
      <c r="L131" s="18">
        <f>IF(ISNUMBER(J131), $B145 * K131, "")</f>
        <v>-487.01298701299396</v>
      </c>
      <c r="M131" s="31">
        <v>30.9</v>
      </c>
      <c r="N131" s="32">
        <f t="shared" ref="N131:N134" si="69">IF(ISNUMBER(M131), (M131 - $B131) / $B131, "")</f>
        <v>3.2467532467531776E-3</v>
      </c>
      <c r="O131" s="18">
        <f>IF(ISNUMBER(M131), $B145 * N131, "")</f>
        <v>487.01298701297662</v>
      </c>
      <c r="Q131" s="146"/>
      <c r="R131" s="146"/>
      <c r="S131" s="146"/>
    </row>
    <row r="132" spans="1:19" ht="17.25" thickBot="1">
      <c r="A132" s="109" t="s">
        <v>56</v>
      </c>
      <c r="B132" s="110">
        <v>46.2</v>
      </c>
      <c r="C132" s="70">
        <v>6.5359477000000001E-3</v>
      </c>
      <c r="D132" s="15">
        <v>45.9</v>
      </c>
      <c r="E132" s="32">
        <f t="shared" si="66"/>
        <v>-6.493506493506585E-3</v>
      </c>
      <c r="F132" s="18">
        <f>IF(ISNUMBER(D132), $B145 * E132, "")</f>
        <v>-974.02597402598781</v>
      </c>
      <c r="G132" s="31">
        <v>46.4</v>
      </c>
      <c r="H132" s="32">
        <f t="shared" si="67"/>
        <v>4.3290043290042362E-3</v>
      </c>
      <c r="I132" s="91">
        <f>IF(ISNUMBER(G132), $B145 * H132, "")</f>
        <v>649.35064935063542</v>
      </c>
      <c r="J132" s="15">
        <v>46.4</v>
      </c>
      <c r="K132" s="32">
        <f t="shared" si="68"/>
        <v>4.3290043290042362E-3</v>
      </c>
      <c r="L132" s="18">
        <f>IF(ISNUMBER(J132), $B145 * K132, "")</f>
        <v>649.35064935063542</v>
      </c>
      <c r="M132" s="31">
        <v>47.1</v>
      </c>
      <c r="N132" s="32">
        <f t="shared" si="69"/>
        <v>1.9480519480519449E-2</v>
      </c>
      <c r="O132" s="18">
        <f>IF(ISNUMBER(M132), $B145 * N132, "")</f>
        <v>2922.0779220779173</v>
      </c>
      <c r="Q132" s="146"/>
      <c r="R132" s="146"/>
      <c r="S132" s="146"/>
    </row>
    <row r="133" spans="1:19" ht="17.25" thickBot="1">
      <c r="A133" s="109" t="s">
        <v>126</v>
      </c>
      <c r="B133" s="110">
        <v>34.299999999999997</v>
      </c>
      <c r="C133" s="70">
        <v>5.8651025999999998E-3</v>
      </c>
      <c r="D133" s="15">
        <v>34</v>
      </c>
      <c r="E133" s="32">
        <f t="shared" si="66"/>
        <v>-8.7463556851311124E-3</v>
      </c>
      <c r="F133" s="18">
        <f>IF(ISNUMBER(D133), $B145 * E133, "")</f>
        <v>-1311.9533527696669</v>
      </c>
      <c r="G133" s="31">
        <v>34.1</v>
      </c>
      <c r="H133" s="32">
        <f t="shared" si="67"/>
        <v>-5.8309037900873394E-3</v>
      </c>
      <c r="I133" s="91">
        <f>IF(ISNUMBER(G133), $B145 * H133, "")</f>
        <v>-874.63556851310091</v>
      </c>
      <c r="J133" s="15">
        <v>34</v>
      </c>
      <c r="K133" s="32">
        <f t="shared" si="68"/>
        <v>-8.7463556851311124E-3</v>
      </c>
      <c r="L133" s="18">
        <f>IF(ISNUMBER(J133), $B145 * K133, "")</f>
        <v>-1311.9533527696669</v>
      </c>
      <c r="M133" s="31">
        <v>34.9</v>
      </c>
      <c r="N133" s="32">
        <f t="shared" si="69"/>
        <v>1.7492711370262433E-2</v>
      </c>
      <c r="O133" s="18">
        <f>IF(ISNUMBER(M133), $B145 * N133, "")</f>
        <v>2623.9067055393648</v>
      </c>
      <c r="Q133" s="33"/>
      <c r="R133" s="33"/>
    </row>
    <row r="134" spans="1:19" ht="17.25" thickBot="1">
      <c r="A134" s="114" t="s">
        <v>323</v>
      </c>
      <c r="B134" s="115">
        <v>3.7999999999999999E-2</v>
      </c>
      <c r="C134" s="72">
        <v>5.2910053000000002E-3</v>
      </c>
      <c r="D134" s="24">
        <v>3.7400000000000003E-2</v>
      </c>
      <c r="E134" s="25">
        <f t="shared" si="66"/>
        <v>-1.578947368421043E-2</v>
      </c>
      <c r="F134" s="94">
        <f>IF(ISNUMBER(D134), $B145 * E134, "")</f>
        <v>-2368.4210526315646</v>
      </c>
      <c r="G134" s="92">
        <v>3.7699999999999997E-2</v>
      </c>
      <c r="H134" s="25">
        <f t="shared" si="67"/>
        <v>-7.8947368421053068E-3</v>
      </c>
      <c r="I134" s="93">
        <f>IF(ISNUMBER(G134), $B145 * H134, "")</f>
        <v>-1184.210526315796</v>
      </c>
      <c r="J134" s="24">
        <v>3.78E-2</v>
      </c>
      <c r="K134" s="25">
        <f t="shared" si="68"/>
        <v>-5.2631578947368108E-3</v>
      </c>
      <c r="L134" s="94">
        <f>IF(ISNUMBER(J134), $B145 * K134, "")</f>
        <v>-789.47368421052158</v>
      </c>
      <c r="M134" s="92">
        <v>3.8699999999999998E-2</v>
      </c>
      <c r="N134" s="25">
        <f t="shared" si="69"/>
        <v>1.8421052631578928E-2</v>
      </c>
      <c r="O134" s="94">
        <f>IF(ISNUMBER(M134), $B145 * N134, "")</f>
        <v>2763.1578947368394</v>
      </c>
      <c r="Q134" s="147"/>
      <c r="R134" s="148"/>
      <c r="S134" s="149"/>
    </row>
    <row r="135" spans="1:19">
      <c r="A135" s="107" t="s">
        <v>181</v>
      </c>
      <c r="B135" s="108">
        <v>4.87</v>
      </c>
      <c r="C135" s="69">
        <v>4.1237113000000001E-3</v>
      </c>
      <c r="D135" s="13">
        <v>4.8099999999999996</v>
      </c>
      <c r="E135" s="14">
        <f>IF(ISNUMBER(D135), (D135 - $B135) / $B135, "")</f>
        <v>-1.2320328542094557E-2</v>
      </c>
      <c r="F135" s="16">
        <f>IF(ISNUMBER(D135), $B145 * E135, "")</f>
        <v>-1848.0492813141836</v>
      </c>
      <c r="G135" s="29">
        <v>4.83</v>
      </c>
      <c r="H135" s="14">
        <f>IF(ISNUMBER(G135), (G135 - $B135) / $B135, "")</f>
        <v>-8.2135523613963111E-3</v>
      </c>
      <c r="I135" s="90">
        <f>IF(ISNUMBER(G135), $B145 * H135, "")</f>
        <v>-1232.0328542094467</v>
      </c>
      <c r="J135" s="13">
        <v>4.83</v>
      </c>
      <c r="K135" s="14">
        <f>IF(ISNUMBER(J135), (J135 - $B135) / $B135, "")</f>
        <v>-8.2135523613963111E-3</v>
      </c>
      <c r="L135" s="16">
        <f>IF(ISNUMBER(J135), $B145 * K135, "")</f>
        <v>-1232.0328542094467</v>
      </c>
      <c r="M135" s="29">
        <v>4.88</v>
      </c>
      <c r="N135" s="14">
        <f>IF(ISNUMBER(M135), (M135 - $B135) / $B135, "")</f>
        <v>2.0533880903490323E-3</v>
      </c>
      <c r="O135" s="16">
        <f>IF(ISNUMBER(M135), $B145 * N135, "")</f>
        <v>308.00821355235485</v>
      </c>
      <c r="Q135" s="150"/>
      <c r="R135" s="151"/>
      <c r="S135" s="152"/>
    </row>
    <row r="136" spans="1:19" ht="17.25" thickBot="1">
      <c r="A136" s="109" t="s">
        <v>145</v>
      </c>
      <c r="B136" s="110">
        <v>77.7</v>
      </c>
      <c r="C136" s="70">
        <v>2.5806452E-3</v>
      </c>
      <c r="D136" s="15">
        <v>76.599999999999994</v>
      </c>
      <c r="E136" s="32">
        <f t="shared" ref="E136:E139" si="70">IF(ISNUMBER(D136), (D136 - $B136) / $B136, "")</f>
        <v>-1.4157014157014267E-2</v>
      </c>
      <c r="F136" s="18">
        <f>IF(ISNUMBER(D136), $B145 * E136, "")</f>
        <v>-2123.5521235521401</v>
      </c>
      <c r="G136" s="31">
        <v>77.2</v>
      </c>
      <c r="H136" s="32">
        <f t="shared" ref="H136:H139" si="71">IF(ISNUMBER(G136), (G136 - $B136) / $B136, "")</f>
        <v>-6.4350064350064346E-3</v>
      </c>
      <c r="I136" s="91">
        <f>IF(ISNUMBER(G136), $B145 * H136, "")</f>
        <v>-965.25096525096524</v>
      </c>
      <c r="J136" s="15">
        <v>77.5</v>
      </c>
      <c r="K136" s="32">
        <f t="shared" ref="K136:K139" si="72">IF(ISNUMBER(J136), (J136 - $B136) / $B136, "")</f>
        <v>-2.5740025740026103E-3</v>
      </c>
      <c r="L136" s="18">
        <f>IF(ISNUMBER(J136), $B145 * K136, "")</f>
        <v>-386.10038610039157</v>
      </c>
      <c r="M136" s="31">
        <v>77.7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153"/>
      <c r="R136" s="154"/>
      <c r="S136" s="155"/>
    </row>
    <row r="137" spans="1:19" ht="17.25" thickBot="1">
      <c r="A137" s="109" t="s">
        <v>350</v>
      </c>
      <c r="B137" s="110">
        <v>7.78</v>
      </c>
      <c r="C137" s="70">
        <v>1.2870013E-3</v>
      </c>
      <c r="D137" s="15">
        <v>7.72</v>
      </c>
      <c r="E137" s="32">
        <f t="shared" si="70"/>
        <v>-7.712082262210861E-3</v>
      </c>
      <c r="F137" s="18">
        <f>IF(ISNUMBER(D137), $B145 * E137, "")</f>
        <v>-1156.8123393316291</v>
      </c>
      <c r="G137" s="31">
        <v>7.76</v>
      </c>
      <c r="H137" s="32">
        <f t="shared" si="71"/>
        <v>-2.5706940874036582E-3</v>
      </c>
      <c r="I137" s="91">
        <f>IF(ISNUMBER(G137), $B145 * H137, "")</f>
        <v>-385.60411311054872</v>
      </c>
      <c r="J137" s="15">
        <v>7.78</v>
      </c>
      <c r="K137" s="32">
        <f t="shared" si="72"/>
        <v>0</v>
      </c>
      <c r="L137" s="18">
        <f>IF(ISNUMBER(J137), $B145 * K137, "")</f>
        <v>0</v>
      </c>
      <c r="M137" s="31">
        <v>7.82</v>
      </c>
      <c r="N137" s="32">
        <f t="shared" si="73"/>
        <v>5.1413881748072028E-3</v>
      </c>
      <c r="O137" s="18">
        <f>IF(ISNUMBER(M137), $B145 * N137, "")</f>
        <v>771.20822622108039</v>
      </c>
      <c r="Q137" s="146"/>
      <c r="R137" s="146"/>
      <c r="S137" s="146"/>
    </row>
    <row r="138" spans="1:19" ht="17.25" thickBot="1">
      <c r="A138" s="109" t="s">
        <v>329</v>
      </c>
      <c r="B138" s="110">
        <v>89.6</v>
      </c>
      <c r="C138" s="70">
        <v>1.1173184000000001E-3</v>
      </c>
      <c r="D138" s="15">
        <v>88.1</v>
      </c>
      <c r="E138" s="32">
        <f t="shared" si="70"/>
        <v>-1.6741071428571428E-2</v>
      </c>
      <c r="F138" s="18">
        <f>IF(ISNUMBER(D138), $B145 * E138, "")</f>
        <v>-2511.1607142857142</v>
      </c>
      <c r="G138" s="31">
        <v>88.5</v>
      </c>
      <c r="H138" s="32">
        <f t="shared" si="71"/>
        <v>-1.2276785714285652E-2</v>
      </c>
      <c r="I138" s="91">
        <f>IF(ISNUMBER(G138), $B145 * H138, "")</f>
        <v>-1841.5178571428478</v>
      </c>
      <c r="J138" s="15">
        <v>87.9</v>
      </c>
      <c r="K138" s="32">
        <f t="shared" si="72"/>
        <v>-1.8973214285714159E-2</v>
      </c>
      <c r="L138" s="18">
        <f>IF(ISNUMBER(J138), $B145 * K138, "")</f>
        <v>-2845.982142857124</v>
      </c>
      <c r="M138" s="31">
        <v>87.8</v>
      </c>
      <c r="N138" s="32">
        <f t="shared" si="73"/>
        <v>-2.0089285714285685E-2</v>
      </c>
      <c r="O138" s="18">
        <f>IF(ISNUMBER(M138), $B145 * N138, "")</f>
        <v>-3013.3928571428528</v>
      </c>
      <c r="Q138" s="156"/>
      <c r="R138" s="156"/>
      <c r="S138" s="156"/>
    </row>
    <row r="139" spans="1:19" ht="17.25" thickBot="1">
      <c r="A139" s="111" t="s">
        <v>97</v>
      </c>
      <c r="B139" s="112">
        <v>1E-3</v>
      </c>
      <c r="C139" s="71">
        <v>0</v>
      </c>
      <c r="D139" s="20">
        <v>8.9999999999999998E-4</v>
      </c>
      <c r="E139" s="21">
        <f t="shared" si="70"/>
        <v>-0.10000000000000005</v>
      </c>
      <c r="F139" s="22">
        <f>IF(ISNUMBER(D139), $B145 * E139, "")</f>
        <v>-15000.000000000007</v>
      </c>
      <c r="G139" s="30">
        <v>1E-3</v>
      </c>
      <c r="H139" s="21">
        <f t="shared" si="71"/>
        <v>0</v>
      </c>
      <c r="I139" s="95">
        <f>IF(ISNUMBER(G139), $B145 * H139, "")</f>
        <v>0</v>
      </c>
      <c r="J139" s="20">
        <v>1E-3</v>
      </c>
      <c r="K139" s="21">
        <f t="shared" si="72"/>
        <v>0</v>
      </c>
      <c r="L139" s="22">
        <f>IF(ISNUMBER(J139), $B145 * K139, "")</f>
        <v>0</v>
      </c>
      <c r="M139" s="30">
        <v>1E-3</v>
      </c>
      <c r="N139" s="21">
        <f t="shared" si="73"/>
        <v>0</v>
      </c>
      <c r="O139" s="22">
        <f>IF(ISNUMBER(M139), $B145 * N139, "")</f>
        <v>0</v>
      </c>
      <c r="Q139" s="156"/>
      <c r="R139" s="156"/>
      <c r="S139" s="156"/>
    </row>
    <row r="140" spans="1:19" ht="17.25" thickBot="1">
      <c r="A140" s="109" t="s">
        <v>122</v>
      </c>
      <c r="B140" s="113">
        <v>27.5</v>
      </c>
      <c r="C140" s="73">
        <v>-7.2202166E-3</v>
      </c>
      <c r="D140" s="96">
        <v>27.5</v>
      </c>
      <c r="E140" s="97">
        <f>IF(ISNUMBER(D140), (D140 - $B140) / $B140, "")</f>
        <v>0</v>
      </c>
      <c r="F140" s="98">
        <f>IF(ISNUMBER(D140), $B145 * E140, "")</f>
        <v>0</v>
      </c>
      <c r="G140" s="99">
        <v>27.5</v>
      </c>
      <c r="H140" s="97">
        <f>IF(ISNUMBER(G140), (G140 - $B140) / $B140, "")</f>
        <v>0</v>
      </c>
      <c r="I140" s="100">
        <f>IF(ISNUMBER(G140), $B145 * H140, "")</f>
        <v>0</v>
      </c>
      <c r="J140" s="96">
        <v>27.6</v>
      </c>
      <c r="K140" s="97">
        <f>IF(ISNUMBER(J140), (J140 - $B140) / $B140, "")</f>
        <v>3.636363636363688E-3</v>
      </c>
      <c r="L140" s="98">
        <f>IF(ISNUMBER(J140), $B145 * K140, "")</f>
        <v>545.45454545455323</v>
      </c>
      <c r="M140" s="99">
        <v>28.2</v>
      </c>
      <c r="N140" s="97">
        <f>IF(ISNUMBER(M140), (M140 - $B140) / $B140, "")</f>
        <v>2.5454545454545428E-2</v>
      </c>
      <c r="O140" s="98">
        <f>IF(ISNUMBER(M140), $B145 * N140, "")</f>
        <v>3818.1818181818139</v>
      </c>
      <c r="Q140" s="146"/>
      <c r="R140" s="146"/>
      <c r="S140" s="146"/>
    </row>
    <row r="141" spans="1:19" ht="17.25" thickBot="1">
      <c r="A141" s="109" t="s">
        <v>217</v>
      </c>
      <c r="B141" s="110">
        <v>85.1</v>
      </c>
      <c r="C141" s="70">
        <v>-1.16144019E-2</v>
      </c>
      <c r="D141" s="15">
        <v>83.4</v>
      </c>
      <c r="E141" s="32">
        <f t="shared" ref="E141:E144" si="74">IF(ISNUMBER(D141), (D141 - $B141) / $B141, "")</f>
        <v>-1.9976498237367669E-2</v>
      </c>
      <c r="F141" s="18">
        <f>IF(ISNUMBER(D141), $B145 * E141, "")</f>
        <v>-2996.4747356051503</v>
      </c>
      <c r="G141" s="31">
        <v>83.5</v>
      </c>
      <c r="H141" s="32">
        <f t="shared" ref="H141:H144" si="75">IF(ISNUMBER(G141), (G141 - $B141) / $B141, "")</f>
        <v>-1.8801410105757865E-2</v>
      </c>
      <c r="I141" s="91">
        <f>IF(ISNUMBER(G141), $B145 * H141, "")</f>
        <v>-2820.2115158636798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-2820.2115158636798</v>
      </c>
      <c r="M141" s="31">
        <v>85.5</v>
      </c>
      <c r="N141" s="32">
        <f t="shared" ref="N141:N144" si="77">IF(ISNUMBER(M141), (M141 - $B141) / $B141, "")</f>
        <v>4.7003525264395505E-3</v>
      </c>
      <c r="O141" s="18">
        <f>IF(ISNUMBER(M141), $B145 * N141, "")</f>
        <v>705.05287896593256</v>
      </c>
      <c r="Q141" s="146"/>
      <c r="R141" s="146"/>
      <c r="S141" s="146"/>
    </row>
    <row r="142" spans="1:19" ht="17.25" thickBot="1">
      <c r="A142" s="109" t="s">
        <v>209</v>
      </c>
      <c r="B142" s="110">
        <v>95.4</v>
      </c>
      <c r="C142" s="70">
        <v>-1.24223602E-2</v>
      </c>
      <c r="D142" s="15">
        <v>94.1</v>
      </c>
      <c r="E142" s="32">
        <f t="shared" si="74"/>
        <v>-1.3626834381551481E-2</v>
      </c>
      <c r="F142" s="18">
        <f>IF(ISNUMBER(D142), $B145 * E142, "")</f>
        <v>-2044.025157232722</v>
      </c>
      <c r="G142" s="31">
        <v>93.9</v>
      </c>
      <c r="H142" s="32">
        <f t="shared" si="75"/>
        <v>-1.5723270440251572E-2</v>
      </c>
      <c r="I142" s="91">
        <f>IF(ISNUMBER(G142), $B145 * H142, "")</f>
        <v>-2358.4905660377358</v>
      </c>
      <c r="J142" s="15">
        <v>94.1</v>
      </c>
      <c r="K142" s="32">
        <f t="shared" si="76"/>
        <v>-1.3626834381551481E-2</v>
      </c>
      <c r="L142" s="18">
        <f>IF(ISNUMBER(J142), $B145 * K142, "")</f>
        <v>-2044.025157232722</v>
      </c>
      <c r="M142" s="31">
        <v>94.8</v>
      </c>
      <c r="N142" s="32">
        <f t="shared" si="77"/>
        <v>-6.2893081761007177E-3</v>
      </c>
      <c r="O142" s="18">
        <f>IF(ISNUMBER(M142), $B145 * N142, "")</f>
        <v>-943.39622641510766</v>
      </c>
      <c r="Q142" s="146"/>
      <c r="R142" s="146"/>
      <c r="S142" s="146"/>
    </row>
    <row r="143" spans="1:19">
      <c r="A143" s="109" t="s">
        <v>185</v>
      </c>
      <c r="B143" s="110">
        <v>37.5</v>
      </c>
      <c r="C143" s="70">
        <v>-1.3157894700000001E-2</v>
      </c>
      <c r="D143" s="15">
        <v>36.9</v>
      </c>
      <c r="E143" s="32">
        <f t="shared" si="74"/>
        <v>-1.6000000000000038E-2</v>
      </c>
      <c r="F143" s="18">
        <f>IF(ISNUMBER(D143), $B145 * E143, "")</f>
        <v>-2400.0000000000059</v>
      </c>
      <c r="G143" s="31">
        <v>37</v>
      </c>
      <c r="H143" s="32">
        <f t="shared" si="75"/>
        <v>-1.3333333333333334E-2</v>
      </c>
      <c r="I143" s="91">
        <f>IF(ISNUMBER(G143), $B145 * H143, "")</f>
        <v>-2000.0000000000002</v>
      </c>
      <c r="J143" s="15">
        <v>37</v>
      </c>
      <c r="K143" s="32">
        <f t="shared" si="76"/>
        <v>-1.3333333333333334E-2</v>
      </c>
      <c r="L143" s="18">
        <f>IF(ISNUMBER(J143), $B145 * K143, "")</f>
        <v>-2000.0000000000002</v>
      </c>
      <c r="M143" s="31">
        <v>37.200000000000003</v>
      </c>
      <c r="N143" s="32">
        <f t="shared" si="77"/>
        <v>-7.9999999999999238E-3</v>
      </c>
      <c r="O143" s="18">
        <f>IF(ISNUMBER(M143), $B145 * N143, "")</f>
        <v>-1199.9999999999886</v>
      </c>
      <c r="Q143" s="135"/>
      <c r="R143" s="136"/>
      <c r="S143" s="137"/>
    </row>
    <row r="144" spans="1:19" ht="17.25" thickBot="1">
      <c r="A144" s="114" t="s">
        <v>352</v>
      </c>
      <c r="B144" s="115">
        <v>1.4999999999999999E-2</v>
      </c>
      <c r="C144" s="72">
        <v>-1.3157894700000001E-2</v>
      </c>
      <c r="D144" s="24">
        <v>1.5100000000000001E-2</v>
      </c>
      <c r="E144" s="25">
        <f t="shared" si="74"/>
        <v>6.6666666666667426E-3</v>
      </c>
      <c r="F144" s="94">
        <f>IF(ISNUMBER(D144), $B145 * E144, "")</f>
        <v>1000.0000000000114</v>
      </c>
      <c r="G144" s="92">
        <v>1.4999999999999999E-2</v>
      </c>
      <c r="H144" s="25">
        <f t="shared" si="75"/>
        <v>0</v>
      </c>
      <c r="I144" s="93">
        <f>IF(ISNUMBER(G144), $B145 * H144, "")</f>
        <v>0</v>
      </c>
      <c r="J144" s="24">
        <v>1.5100000000000001E-2</v>
      </c>
      <c r="K144" s="25">
        <f t="shared" si="76"/>
        <v>6.6666666666667426E-3</v>
      </c>
      <c r="L144" s="94">
        <f>IF(ISNUMBER(J144), $B145 * K144, "")</f>
        <v>1000.0000000000114</v>
      </c>
      <c r="M144" s="92">
        <v>1.5100000000000001E-2</v>
      </c>
      <c r="N144" s="25">
        <f t="shared" si="77"/>
        <v>6.6666666666667426E-3</v>
      </c>
      <c r="O144" s="94">
        <f>IF(ISNUMBER(M144), $B145 * N144, "")</f>
        <v>1000.0000000000114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-1.3496532123903601E-2</v>
      </c>
      <c r="F145" s="28">
        <f>SUM(F125:F144)</f>
        <v>-40489.596371710817</v>
      </c>
      <c r="G145" s="26" t="s">
        <v>258</v>
      </c>
      <c r="H145" s="27">
        <f>IF(COUNT(H125:H144), SUM(H125:H144) / COUNT(H125:H144), 0)</f>
        <v>-5.1415246783532761E-3</v>
      </c>
      <c r="I145" s="28">
        <f>SUM(I125:I144)</f>
        <v>-15424.57403505983</v>
      </c>
      <c r="J145" s="26" t="s">
        <v>258</v>
      </c>
      <c r="K145" s="27">
        <f>IF(COUNT(K125:K144), SUM(K125:K144) / COUNT(K125:K144), 0)</f>
        <v>-4.210746815075694E-3</v>
      </c>
      <c r="L145" s="28">
        <f>SUM(L125:L144)</f>
        <v>-12632.240445227082</v>
      </c>
      <c r="M145" s="26" t="s">
        <v>258</v>
      </c>
      <c r="N145" s="27">
        <f>IF(COUNT(N125:N144), SUM(N125:N144) / COUNT(N125:N144), 0)</f>
        <v>6.2035544427084298E-3</v>
      </c>
      <c r="O145" s="28">
        <f>SUM(O125:O144)</f>
        <v>18610.663328125283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2023-01-22(일) 오전 00:00</v>
      </c>
      <c r="C150" s="198"/>
      <c r="D150" s="170" t="str">
        <f>TEXT($G$1, "[$-ko-KR]yyyy-mm-dd(ddd) ") &amp; "오후 14:00"</f>
        <v>2023-01-22(일) 오후 14:00</v>
      </c>
      <c r="E150" s="171"/>
      <c r="F150" s="172"/>
      <c r="G150" s="170" t="str">
        <f>TEXT($G$1, "[$-ko-KR]yyyy-mm-dd(ddd) ") &amp; "오후 19:00"</f>
        <v>2023-01-22(일) 오후 19:00</v>
      </c>
      <c r="H150" s="171"/>
      <c r="I150" s="172"/>
      <c r="J150" s="170" t="str">
        <f>TEXT($G$1, "[$-ko-KR]yyyy-mm-dd(ddd) ") &amp; "오후 21:00"</f>
        <v>2023-01-22(일) 오후 21:00</v>
      </c>
      <c r="K150" s="171"/>
      <c r="L150" s="172"/>
      <c r="M150" s="170" t="str">
        <f>TEXT($G$1+1, "[$-ko-KR]yyyy-mm-dd(ddd) ") &amp; "오전 00:00"</f>
        <v>2023-01-23(월)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149</v>
      </c>
      <c r="B152" s="108">
        <v>541</v>
      </c>
      <c r="C152" s="69">
        <v>5.5762082000000001E-3</v>
      </c>
      <c r="D152" s="13">
        <v>539</v>
      </c>
      <c r="E152" s="14">
        <f>IF(ISNUMBER(D152), (D152 - $B152) / $B152, "")</f>
        <v>-3.6968576709796672E-3</v>
      </c>
      <c r="F152" s="16">
        <f>IF(ISNUMBER(D152), $B172 * E152, "")</f>
        <v>-554.52865064695004</v>
      </c>
      <c r="G152" s="29">
        <v>542</v>
      </c>
      <c r="H152" s="14">
        <f>IF(ISNUMBER(G152), (G152 - $B152) / $B152, "")</f>
        <v>1.8484288354898336E-3</v>
      </c>
      <c r="I152" s="90">
        <f>IF(ISNUMBER(G152), $B172 * H152, "")</f>
        <v>277.26432532347502</v>
      </c>
      <c r="J152" s="13">
        <v>540</v>
      </c>
      <c r="K152" s="14">
        <f>IF(ISNUMBER(J152), (J152 - $B152) / $B152, "")</f>
        <v>-1.8484288354898336E-3</v>
      </c>
      <c r="L152" s="16">
        <f>IF(ISNUMBER(J152), $B172 * K152, "")</f>
        <v>-277.26432532347502</v>
      </c>
      <c r="M152" s="29">
        <v>554</v>
      </c>
      <c r="N152" s="14">
        <f>IF(ISNUMBER(M152), (M152 - $B152) / $B152, "")</f>
        <v>2.4029574861367836E-2</v>
      </c>
      <c r="O152" s="16">
        <f>IF(ISNUMBER(M152), $B172 * N152, "")</f>
        <v>3604.4362292051756</v>
      </c>
      <c r="Q152" s="156"/>
      <c r="R152" s="156"/>
      <c r="S152" s="156"/>
    </row>
    <row r="153" spans="1:19" ht="17.25" thickBot="1">
      <c r="A153" s="109" t="s">
        <v>219</v>
      </c>
      <c r="B153" s="110">
        <v>478</v>
      </c>
      <c r="C153" s="70">
        <v>4.2016807E-3</v>
      </c>
      <c r="D153" s="15">
        <v>473</v>
      </c>
      <c r="E153" s="32">
        <f t="shared" ref="E153:E156" si="78">IF(ISNUMBER(D153), (D153 - $B153) / $B153, "")</f>
        <v>-1.0460251046025104E-2</v>
      </c>
      <c r="F153" s="18">
        <f>IF(ISNUMBER(D153), $B172 * E153, "")</f>
        <v>-1569.0376569037655</v>
      </c>
      <c r="G153" s="31">
        <v>475</v>
      </c>
      <c r="H153" s="32">
        <f t="shared" ref="H153:H156" si="79">IF(ISNUMBER(G153), (G153 - $B153) / $B153, "")</f>
        <v>-6.2761506276150627E-3</v>
      </c>
      <c r="I153" s="91">
        <f>IF(ISNUMBER(G153), $B172 * H153, "")</f>
        <v>-941.42259414225941</v>
      </c>
      <c r="J153" s="15">
        <v>474</v>
      </c>
      <c r="K153" s="32">
        <f t="shared" ref="K153:K156" si="80">IF(ISNUMBER(J153), (J153 - $B153) / $B153, "")</f>
        <v>-8.368200836820083E-3</v>
      </c>
      <c r="L153" s="18">
        <f>IF(ISNUMBER(J153), $B172 * K153, "")</f>
        <v>-1255.2301255230125</v>
      </c>
      <c r="M153" s="31">
        <v>489</v>
      </c>
      <c r="N153" s="32">
        <f t="shared" ref="N153:N156" si="81">IF(ISNUMBER(M153), (M153 - $B153) / $B153, "")</f>
        <v>2.3012552301255231E-2</v>
      </c>
      <c r="O153" s="18">
        <f>IF(ISNUMBER(M153), $B172 * N153, "")</f>
        <v>3451.8828451882846</v>
      </c>
      <c r="Q153" s="156"/>
      <c r="R153" s="156"/>
      <c r="S153" s="156"/>
    </row>
    <row r="154" spans="1:19" ht="17.25" thickBot="1">
      <c r="A154" s="109" t="s">
        <v>66</v>
      </c>
      <c r="B154" s="110">
        <v>801</v>
      </c>
      <c r="C154" s="70">
        <v>3.7593984999999999E-3</v>
      </c>
      <c r="D154" s="15">
        <v>793</v>
      </c>
      <c r="E154" s="32">
        <f t="shared" si="78"/>
        <v>-9.9875156054931337E-3</v>
      </c>
      <c r="F154" s="18">
        <f>IF(ISNUMBER(D154), $B172 * E154, "")</f>
        <v>-1498.1273408239701</v>
      </c>
      <c r="G154" s="31">
        <v>793</v>
      </c>
      <c r="H154" s="32">
        <f t="shared" si="79"/>
        <v>-9.9875156054931337E-3</v>
      </c>
      <c r="I154" s="91">
        <f>IF(ISNUMBER(G154), $B172 * H154, "")</f>
        <v>-1498.1273408239701</v>
      </c>
      <c r="J154" s="15">
        <v>795</v>
      </c>
      <c r="K154" s="32">
        <f t="shared" si="80"/>
        <v>-7.4906367041198503E-3</v>
      </c>
      <c r="L154" s="18">
        <f>IF(ISNUMBER(J154), $B172 * K154, "")</f>
        <v>-1123.5955056179776</v>
      </c>
      <c r="M154" s="31">
        <v>802</v>
      </c>
      <c r="N154" s="32">
        <f t="shared" si="81"/>
        <v>1.2484394506866417E-3</v>
      </c>
      <c r="O154" s="18">
        <f>IF(ISNUMBER(M154), $B172 * N154, "")</f>
        <v>187.26591760299627</v>
      </c>
      <c r="Q154" s="146"/>
      <c r="R154" s="146"/>
      <c r="S154" s="146"/>
    </row>
    <row r="155" spans="1:19" ht="17.25" thickBot="1">
      <c r="A155" s="109" t="s">
        <v>169</v>
      </c>
      <c r="B155" s="110">
        <v>272</v>
      </c>
      <c r="C155" s="70">
        <v>3.6900369000000001E-3</v>
      </c>
      <c r="D155" s="15">
        <v>275</v>
      </c>
      <c r="E155" s="32">
        <f t="shared" si="78"/>
        <v>1.1029411764705883E-2</v>
      </c>
      <c r="F155" s="18">
        <f>IF(ISNUMBER(D155), $B172 * E155, "")</f>
        <v>1654.4117647058824</v>
      </c>
      <c r="G155" s="31">
        <v>279</v>
      </c>
      <c r="H155" s="32">
        <f t="shared" si="79"/>
        <v>2.5735294117647058E-2</v>
      </c>
      <c r="I155" s="91">
        <f>IF(ISNUMBER(G155), $B172 * H155, "")</f>
        <v>3860.2941176470586</v>
      </c>
      <c r="J155" s="15">
        <v>279</v>
      </c>
      <c r="K155" s="32">
        <f t="shared" si="80"/>
        <v>2.5735294117647058E-2</v>
      </c>
      <c r="L155" s="18">
        <f>IF(ISNUMBER(J155), $B172 * K155, "")</f>
        <v>3860.2941176470586</v>
      </c>
      <c r="M155" s="31">
        <v>285</v>
      </c>
      <c r="N155" s="32">
        <f t="shared" si="81"/>
        <v>4.779411764705882E-2</v>
      </c>
      <c r="O155" s="18">
        <f>IF(ISNUMBER(M155), $B172 * N155, "")</f>
        <v>7169.1176470588234</v>
      </c>
      <c r="Q155" s="146"/>
      <c r="R155" s="146"/>
      <c r="S155" s="146"/>
    </row>
    <row r="156" spans="1:19" ht="17.25" thickBot="1">
      <c r="A156" s="111" t="s">
        <v>161</v>
      </c>
      <c r="B156" s="112">
        <v>342</v>
      </c>
      <c r="C156" s="71">
        <v>2.9325512999999999E-3</v>
      </c>
      <c r="D156" s="20">
        <v>342</v>
      </c>
      <c r="E156" s="21">
        <f t="shared" si="78"/>
        <v>0</v>
      </c>
      <c r="F156" s="22">
        <f>IF(ISNUMBER(D156), $B172 * E156, "")</f>
        <v>0</v>
      </c>
      <c r="G156" s="30">
        <v>341</v>
      </c>
      <c r="H156" s="21">
        <f t="shared" si="79"/>
        <v>-2.9239766081871343E-3</v>
      </c>
      <c r="I156" s="95">
        <f>IF(ISNUMBER(G156), $B172 * H156, "")</f>
        <v>-438.59649122807014</v>
      </c>
      <c r="J156" s="20">
        <v>343</v>
      </c>
      <c r="K156" s="21">
        <f t="shared" si="80"/>
        <v>2.9239766081871343E-3</v>
      </c>
      <c r="L156" s="22">
        <f>IF(ISNUMBER(J156), $B172 * K156, "")</f>
        <v>438.59649122807014</v>
      </c>
      <c r="M156" s="30">
        <v>352</v>
      </c>
      <c r="N156" s="21">
        <f t="shared" si="81"/>
        <v>2.9239766081871343E-2</v>
      </c>
      <c r="O156" s="22">
        <f>IF(ISNUMBER(M156), $B172 * N156, "")</f>
        <v>4385.9649122807014</v>
      </c>
      <c r="Q156" s="146"/>
      <c r="R156" s="146"/>
      <c r="S156" s="146"/>
    </row>
    <row r="157" spans="1:19" ht="17.25" thickBot="1">
      <c r="A157" s="109" t="s">
        <v>326</v>
      </c>
      <c r="B157" s="113">
        <v>295</v>
      </c>
      <c r="C157" s="73">
        <v>0</v>
      </c>
      <c r="D157" s="96">
        <v>297</v>
      </c>
      <c r="E157" s="97">
        <f>IF(ISNUMBER(D157), (D157 - $B157) / $B157, "")</f>
        <v>6.7796610169491523E-3</v>
      </c>
      <c r="F157" s="98">
        <f>IF(ISNUMBER(D157), $B172 * E157, "")</f>
        <v>1016.9491525423729</v>
      </c>
      <c r="G157" s="99">
        <v>305</v>
      </c>
      <c r="H157" s="97">
        <f>IF(ISNUMBER(G157), (G157 - $B157) / $B157, "")</f>
        <v>3.3898305084745763E-2</v>
      </c>
      <c r="I157" s="100">
        <f>IF(ISNUMBER(G157), $B172 * H157, "")</f>
        <v>5084.7457627118647</v>
      </c>
      <c r="J157" s="96">
        <v>311</v>
      </c>
      <c r="K157" s="97">
        <f>IF(ISNUMBER(J157), (J157 - $B157) / $B157, "")</f>
        <v>5.4237288135593219E-2</v>
      </c>
      <c r="L157" s="98">
        <f>IF(ISNUMBER(J157), $B172 * K157, "")</f>
        <v>8135.593220338983</v>
      </c>
      <c r="M157" s="99">
        <v>314</v>
      </c>
      <c r="N157" s="97">
        <f>IF(ISNUMBER(M157), (M157 - $B157) / $B157, "")</f>
        <v>6.4406779661016947E-2</v>
      </c>
      <c r="O157" s="98">
        <f>IF(ISNUMBER(M157), $B172 * N157, "")</f>
        <v>9661.0169491525412</v>
      </c>
      <c r="Q157" s="146"/>
      <c r="R157" s="146"/>
      <c r="S157" s="146"/>
    </row>
    <row r="158" spans="1:19" ht="17.25" thickBot="1">
      <c r="A158" s="109" t="s">
        <v>241</v>
      </c>
      <c r="B158" s="110">
        <v>108</v>
      </c>
      <c r="C158" s="70">
        <v>0</v>
      </c>
      <c r="D158" s="15">
        <v>106</v>
      </c>
      <c r="E158" s="32">
        <f t="shared" ref="E158:E161" si="82">IF(ISNUMBER(D158), (D158 - $B158) / $B158, "")</f>
        <v>-1.8518518518518517E-2</v>
      </c>
      <c r="F158" s="18">
        <f>IF(ISNUMBER(D158), $B172 * E158, "")</f>
        <v>-2777.7777777777778</v>
      </c>
      <c r="G158" s="31">
        <v>106</v>
      </c>
      <c r="H158" s="32">
        <f t="shared" ref="H158:H161" si="83">IF(ISNUMBER(G158), (G158 - $B158) / $B158, "")</f>
        <v>-1.8518518518518517E-2</v>
      </c>
      <c r="I158" s="91">
        <f>IF(ISNUMBER(G158), $B172 * H158, "")</f>
        <v>-2777.7777777777778</v>
      </c>
      <c r="J158" s="15">
        <v>107</v>
      </c>
      <c r="K158" s="32">
        <f t="shared" ref="K158:K161" si="84">IF(ISNUMBER(J158), (J158 - $B158) / $B158, "")</f>
        <v>-9.2592592592592587E-3</v>
      </c>
      <c r="L158" s="18">
        <f>IF(ISNUMBER(J158), $B172 * K158, "")</f>
        <v>-1388.8888888888889</v>
      </c>
      <c r="M158" s="31">
        <v>108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46"/>
      <c r="R158" s="146"/>
      <c r="S158" s="146"/>
    </row>
    <row r="159" spans="1:19" ht="17.25" thickBot="1">
      <c r="A159" s="109" t="s">
        <v>159</v>
      </c>
      <c r="B159" s="110">
        <v>224</v>
      </c>
      <c r="C159" s="70">
        <v>0</v>
      </c>
      <c r="D159" s="15">
        <v>225</v>
      </c>
      <c r="E159" s="32">
        <f t="shared" si="82"/>
        <v>4.464285714285714E-3</v>
      </c>
      <c r="F159" s="18">
        <f>IF(ISNUMBER(D159), $B172 * E159, "")</f>
        <v>669.64285714285711</v>
      </c>
      <c r="G159" s="31">
        <v>226</v>
      </c>
      <c r="H159" s="32">
        <f t="shared" si="83"/>
        <v>8.9285714285714281E-3</v>
      </c>
      <c r="I159" s="91">
        <f>IF(ISNUMBER(G159), $B172 * H159, "")</f>
        <v>1339.2857142857142</v>
      </c>
      <c r="J159" s="15">
        <v>224</v>
      </c>
      <c r="K159" s="32">
        <f t="shared" si="84"/>
        <v>0</v>
      </c>
      <c r="L159" s="18">
        <f>IF(ISNUMBER(J159), $B172 * K159, "")</f>
        <v>0</v>
      </c>
      <c r="M159" s="31">
        <v>225</v>
      </c>
      <c r="N159" s="32">
        <f t="shared" si="85"/>
        <v>4.464285714285714E-3</v>
      </c>
      <c r="O159" s="18">
        <f>IF(ISNUMBER(M159), $B172 * N159, "")</f>
        <v>669.64285714285711</v>
      </c>
      <c r="Q159" s="146"/>
      <c r="R159" s="146"/>
      <c r="S159" s="146"/>
    </row>
    <row r="160" spans="1:19" ht="17.25" thickBot="1">
      <c r="A160" s="109" t="s">
        <v>85</v>
      </c>
      <c r="B160" s="110">
        <v>169</v>
      </c>
      <c r="C160" s="70">
        <v>0</v>
      </c>
      <c r="D160" s="15">
        <v>167</v>
      </c>
      <c r="E160" s="32">
        <f t="shared" si="82"/>
        <v>-1.1834319526627219E-2</v>
      </c>
      <c r="F160" s="18">
        <f>IF(ISNUMBER(D160), $B172 * E160, "")</f>
        <v>-1775.1479289940828</v>
      </c>
      <c r="G160" s="31">
        <v>169</v>
      </c>
      <c r="H160" s="32">
        <f t="shared" si="83"/>
        <v>0</v>
      </c>
      <c r="I160" s="91">
        <f>IF(ISNUMBER(G160), $B172 * H160, "")</f>
        <v>0</v>
      </c>
      <c r="J160" s="15">
        <v>169</v>
      </c>
      <c r="K160" s="32">
        <f t="shared" si="84"/>
        <v>0</v>
      </c>
      <c r="L160" s="18">
        <f>IF(ISNUMBER(J160), $B172 * K160, "")</f>
        <v>0</v>
      </c>
      <c r="M160" s="31">
        <v>172</v>
      </c>
      <c r="N160" s="32">
        <f t="shared" si="85"/>
        <v>1.7751479289940829E-2</v>
      </c>
      <c r="O160" s="18">
        <f>IF(ISNUMBER(M160), $B172 * N160, "")</f>
        <v>2662.7218934911243</v>
      </c>
      <c r="Q160" s="33"/>
      <c r="R160" s="33"/>
    </row>
    <row r="161" spans="1:19" ht="17.25" thickBot="1">
      <c r="A161" s="114" t="s">
        <v>205</v>
      </c>
      <c r="B161" s="115">
        <v>121</v>
      </c>
      <c r="C161" s="72">
        <v>0</v>
      </c>
      <c r="D161" s="24">
        <v>119</v>
      </c>
      <c r="E161" s="25">
        <f t="shared" si="82"/>
        <v>-1.6528925619834711E-2</v>
      </c>
      <c r="F161" s="94">
        <f>IF(ISNUMBER(D161), $B172 * E161, "")</f>
        <v>-2479.3388429752067</v>
      </c>
      <c r="G161" s="92">
        <v>119</v>
      </c>
      <c r="H161" s="25">
        <f t="shared" si="83"/>
        <v>-1.6528925619834711E-2</v>
      </c>
      <c r="I161" s="93">
        <f>IF(ISNUMBER(G161), $B172 * H161, "")</f>
        <v>-2479.3388429752067</v>
      </c>
      <c r="J161" s="24">
        <v>118</v>
      </c>
      <c r="K161" s="25">
        <f t="shared" si="84"/>
        <v>-2.4793388429752067E-2</v>
      </c>
      <c r="L161" s="94">
        <f>IF(ISNUMBER(J161), $B172 * K161, "")</f>
        <v>-3719.0082644628101</v>
      </c>
      <c r="M161" s="92">
        <v>121</v>
      </c>
      <c r="N161" s="25">
        <f t="shared" si="85"/>
        <v>0</v>
      </c>
      <c r="O161" s="94">
        <f>IF(ISNUMBER(M161), $B172 * N161, "")</f>
        <v>0</v>
      </c>
      <c r="Q161" s="147"/>
      <c r="R161" s="148"/>
      <c r="S161" s="149"/>
    </row>
    <row r="162" spans="1:19">
      <c r="A162" s="107" t="s">
        <v>199</v>
      </c>
      <c r="B162" s="108">
        <v>349</v>
      </c>
      <c r="C162" s="69">
        <v>0</v>
      </c>
      <c r="D162" s="13">
        <v>345</v>
      </c>
      <c r="E162" s="14">
        <f>IF(ISNUMBER(D162), (D162 - $B162) / $B162, "")</f>
        <v>-1.1461318051575931E-2</v>
      </c>
      <c r="F162" s="16">
        <f>IF(ISNUMBER(D162), $B172 * E162, "")</f>
        <v>-1719.1977077363897</v>
      </c>
      <c r="G162" s="29">
        <v>345</v>
      </c>
      <c r="H162" s="14">
        <f>IF(ISNUMBER(G162), (G162 - $B162) / $B162, "")</f>
        <v>-1.1461318051575931E-2</v>
      </c>
      <c r="I162" s="90">
        <f>IF(ISNUMBER(G162), $B172 * H162, "")</f>
        <v>-1719.1977077363897</v>
      </c>
      <c r="J162" s="13">
        <v>347</v>
      </c>
      <c r="K162" s="14">
        <f>IF(ISNUMBER(J162), (J162 - $B162) / $B162, "")</f>
        <v>-5.7306590257879654E-3</v>
      </c>
      <c r="L162" s="16">
        <f>IF(ISNUMBER(J162), $B172 * K162, "")</f>
        <v>-859.59885386819485</v>
      </c>
      <c r="M162" s="29">
        <v>351</v>
      </c>
      <c r="N162" s="14">
        <f>IF(ISNUMBER(M162), (M162 - $B162) / $B162, "")</f>
        <v>5.7306590257879654E-3</v>
      </c>
      <c r="O162" s="16">
        <f>IF(ISNUMBER(M162), $B172 * N162, "")</f>
        <v>859.59885386819485</v>
      </c>
      <c r="Q162" s="150"/>
      <c r="R162" s="151"/>
      <c r="S162" s="152"/>
    </row>
    <row r="163" spans="1:19" ht="17.25" thickBot="1">
      <c r="A163" s="109" t="s">
        <v>89</v>
      </c>
      <c r="B163" s="110">
        <v>511</v>
      </c>
      <c r="C163" s="70">
        <v>0</v>
      </c>
      <c r="D163" s="15">
        <v>507</v>
      </c>
      <c r="E163" s="32">
        <f t="shared" ref="E163:E166" si="86">IF(ISNUMBER(D163), (D163 - $B163) / $B163, "")</f>
        <v>-7.8277886497064575E-3</v>
      </c>
      <c r="F163" s="18">
        <f>IF(ISNUMBER(D163), $B172 * E163, "")</f>
        <v>-1174.1682974559685</v>
      </c>
      <c r="G163" s="31">
        <v>505</v>
      </c>
      <c r="H163" s="32">
        <f t="shared" ref="H163:H166" si="87">IF(ISNUMBER(G163), (G163 - $B163) / $B163, "")</f>
        <v>-1.1741682974559686E-2</v>
      </c>
      <c r="I163" s="91">
        <f>IF(ISNUMBER(G163), $B172 * H163, "")</f>
        <v>-1761.252446183953</v>
      </c>
      <c r="J163" s="15">
        <v>505</v>
      </c>
      <c r="K163" s="32">
        <f t="shared" ref="K163:K166" si="88">IF(ISNUMBER(J163), (J163 - $B163) / $B163, "")</f>
        <v>-1.1741682974559686E-2</v>
      </c>
      <c r="L163" s="18">
        <f>IF(ISNUMBER(J163), $B172 * K163, "")</f>
        <v>-1761.252446183953</v>
      </c>
      <c r="M163" s="31">
        <v>509</v>
      </c>
      <c r="N163" s="32">
        <f t="shared" ref="N163:N166" si="89">IF(ISNUMBER(M163), (M163 - $B163) / $B163, "")</f>
        <v>-3.9138943248532287E-3</v>
      </c>
      <c r="O163" s="18">
        <f>IF(ISNUMBER(M163), $B172 * N163, "")</f>
        <v>-587.08414872798426</v>
      </c>
      <c r="Q163" s="153"/>
      <c r="R163" s="154"/>
      <c r="S163" s="155"/>
    </row>
    <row r="164" spans="1:19" ht="17.25" thickBot="1">
      <c r="A164" s="109" t="s">
        <v>317</v>
      </c>
      <c r="B164" s="110">
        <v>644</v>
      </c>
      <c r="C164" s="70">
        <v>-1.5503876000000001E-3</v>
      </c>
      <c r="D164" s="15">
        <v>635</v>
      </c>
      <c r="E164" s="32">
        <f t="shared" si="86"/>
        <v>-1.3975155279503106E-2</v>
      </c>
      <c r="F164" s="18">
        <f>IF(ISNUMBER(D164), $B172 * E164, "")</f>
        <v>-2096.2732919254659</v>
      </c>
      <c r="G164" s="31">
        <v>640</v>
      </c>
      <c r="H164" s="32">
        <f t="shared" si="87"/>
        <v>-6.2111801242236021E-3</v>
      </c>
      <c r="I164" s="91">
        <f>IF(ISNUMBER(G164), $B172 * H164, "")</f>
        <v>-931.67701863354034</v>
      </c>
      <c r="J164" s="15">
        <v>637</v>
      </c>
      <c r="K164" s="32">
        <f t="shared" si="88"/>
        <v>-1.0869565217391304E-2</v>
      </c>
      <c r="L164" s="18">
        <f>IF(ISNUMBER(J164), $B172 * K164, "")</f>
        <v>-1630.4347826086955</v>
      </c>
      <c r="M164" s="31">
        <v>640</v>
      </c>
      <c r="N164" s="32">
        <f t="shared" si="89"/>
        <v>-6.2111801242236021E-3</v>
      </c>
      <c r="O164" s="18">
        <f>IF(ISNUMBER(M164), $B172 * N164, "")</f>
        <v>-931.67701863354034</v>
      </c>
      <c r="Q164" s="146"/>
      <c r="R164" s="146"/>
      <c r="S164" s="146"/>
    </row>
    <row r="165" spans="1:19" ht="17.25" thickBot="1">
      <c r="A165" s="109" t="s">
        <v>101</v>
      </c>
      <c r="B165" s="110">
        <v>254</v>
      </c>
      <c r="C165" s="70">
        <v>-3.9215685999999996E-3</v>
      </c>
      <c r="D165" s="15">
        <v>250</v>
      </c>
      <c r="E165" s="32">
        <f t="shared" si="86"/>
        <v>-1.5748031496062992E-2</v>
      </c>
      <c r="F165" s="18">
        <f>IF(ISNUMBER(D165), $B172 * E165, "")</f>
        <v>-2362.2047244094488</v>
      </c>
      <c r="G165" s="31">
        <v>250</v>
      </c>
      <c r="H165" s="32">
        <f t="shared" si="87"/>
        <v>-1.5748031496062992E-2</v>
      </c>
      <c r="I165" s="91">
        <f>IF(ISNUMBER(G165), $B172 * H165, "")</f>
        <v>-2362.2047244094488</v>
      </c>
      <c r="J165" s="15">
        <v>253</v>
      </c>
      <c r="K165" s="32">
        <f t="shared" si="88"/>
        <v>-3.937007874015748E-3</v>
      </c>
      <c r="L165" s="18">
        <f>IF(ISNUMBER(J165), $B172 * K165, "")</f>
        <v>-590.55118110236219</v>
      </c>
      <c r="M165" s="31">
        <v>255</v>
      </c>
      <c r="N165" s="32">
        <f t="shared" si="89"/>
        <v>3.937007874015748E-3</v>
      </c>
      <c r="O165" s="18">
        <f>IF(ISNUMBER(M165), $B172 * N165, "")</f>
        <v>590.55118110236219</v>
      </c>
      <c r="Q165" s="156"/>
      <c r="R165" s="156"/>
      <c r="S165" s="156"/>
    </row>
    <row r="166" spans="1:19" ht="17.25" thickBot="1">
      <c r="A166" s="111" t="s">
        <v>223</v>
      </c>
      <c r="B166" s="112">
        <v>247</v>
      </c>
      <c r="C166" s="71">
        <v>-4.0322581E-3</v>
      </c>
      <c r="D166" s="20">
        <v>243</v>
      </c>
      <c r="E166" s="21">
        <f t="shared" si="86"/>
        <v>-1.6194331983805668E-2</v>
      </c>
      <c r="F166" s="22">
        <f>IF(ISNUMBER(D166), $B172 * E166, "")</f>
        <v>-2429.1497975708503</v>
      </c>
      <c r="G166" s="30">
        <v>243</v>
      </c>
      <c r="H166" s="21">
        <f t="shared" si="87"/>
        <v>-1.6194331983805668E-2</v>
      </c>
      <c r="I166" s="95">
        <f>IF(ISNUMBER(G166), $B172 * H166, "")</f>
        <v>-2429.1497975708503</v>
      </c>
      <c r="J166" s="20">
        <v>243</v>
      </c>
      <c r="K166" s="21">
        <f t="shared" si="88"/>
        <v>-1.6194331983805668E-2</v>
      </c>
      <c r="L166" s="22">
        <f>IF(ISNUMBER(J166), $B172 * K166, "")</f>
        <v>-2429.1497975708503</v>
      </c>
      <c r="M166" s="30">
        <v>246</v>
      </c>
      <c r="N166" s="21">
        <f t="shared" si="89"/>
        <v>-4.048582995951417E-3</v>
      </c>
      <c r="O166" s="22">
        <f>IF(ISNUMBER(M166), $B172 * N166, "")</f>
        <v>-607.28744939271257</v>
      </c>
      <c r="Q166" s="156"/>
      <c r="R166" s="156"/>
      <c r="S166" s="156"/>
    </row>
    <row r="167" spans="1:19" ht="17.25" thickBot="1">
      <c r="A167" s="109" t="s">
        <v>345</v>
      </c>
      <c r="B167" s="113">
        <v>176</v>
      </c>
      <c r="C167" s="73">
        <v>-5.6497175E-3</v>
      </c>
      <c r="D167" s="96">
        <v>171</v>
      </c>
      <c r="E167" s="97">
        <f>IF(ISNUMBER(D167), (D167 - $B167) / $B167, "")</f>
        <v>-2.8409090909090908E-2</v>
      </c>
      <c r="F167" s="98">
        <f>IF(ISNUMBER(D167), $B172 * E167, "")</f>
        <v>-4261.363636363636</v>
      </c>
      <c r="G167" s="99">
        <v>172</v>
      </c>
      <c r="H167" s="97">
        <f>IF(ISNUMBER(G167), (G167 - $B167) / $B167, "")</f>
        <v>-2.2727272727272728E-2</v>
      </c>
      <c r="I167" s="100">
        <f>IF(ISNUMBER(G167), $B172 * H167, "")</f>
        <v>-3409.090909090909</v>
      </c>
      <c r="J167" s="96">
        <v>173</v>
      </c>
      <c r="K167" s="97">
        <f>IF(ISNUMBER(J167), (J167 - $B167) / $B167, "")</f>
        <v>-1.7045454545454544E-2</v>
      </c>
      <c r="L167" s="98">
        <f>IF(ISNUMBER(J167), $B172 * K167, "")</f>
        <v>-2556.8181818181815</v>
      </c>
      <c r="M167" s="99">
        <v>174</v>
      </c>
      <c r="N167" s="97">
        <f>IF(ISNUMBER(M167), (M167 - $B167) / $B167, "")</f>
        <v>-1.1363636363636364E-2</v>
      </c>
      <c r="O167" s="98">
        <f>IF(ISNUMBER(M167), $B172 * N167, "")</f>
        <v>-1704.5454545454545</v>
      </c>
      <c r="Q167" s="146"/>
      <c r="R167" s="146"/>
      <c r="S167" s="146"/>
    </row>
    <row r="168" spans="1:19" ht="17.25" thickBot="1">
      <c r="A168" s="109" t="s">
        <v>79</v>
      </c>
      <c r="B168" s="110">
        <v>310</v>
      </c>
      <c r="C168" s="70">
        <v>-6.4102563999999997E-3</v>
      </c>
      <c r="D168" s="15">
        <v>307</v>
      </c>
      <c r="E168" s="32">
        <f t="shared" ref="E168:E171" si="90">IF(ISNUMBER(D168), (D168 - $B168) / $B168, "")</f>
        <v>-9.6774193548387101E-3</v>
      </c>
      <c r="F168" s="18">
        <f>IF(ISNUMBER(D168), $B172 * E168, "")</f>
        <v>-1451.6129032258066</v>
      </c>
      <c r="G168" s="31">
        <v>309</v>
      </c>
      <c r="H168" s="32">
        <f t="shared" ref="H168:H171" si="91">IF(ISNUMBER(G168), (G168 - $B168) / $B168, "")</f>
        <v>-3.2258064516129032E-3</v>
      </c>
      <c r="I168" s="91">
        <f>IF(ISNUMBER(G168), $B172 * H168, "")</f>
        <v>-483.87096774193549</v>
      </c>
      <c r="J168" s="15">
        <v>310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313</v>
      </c>
      <c r="N168" s="32">
        <f t="shared" ref="N168:N171" si="93">IF(ISNUMBER(M168), (M168 - $B168) / $B168, "")</f>
        <v>9.6774193548387101E-3</v>
      </c>
      <c r="O168" s="18">
        <f>IF(ISNUMBER(M168), $B172 * N168, "")</f>
        <v>1451.6129032258066</v>
      </c>
      <c r="Q168" s="146"/>
      <c r="R168" s="146"/>
      <c r="S168" s="146"/>
    </row>
    <row r="169" spans="1:19" ht="17.25" thickBot="1">
      <c r="A169" s="109" t="s">
        <v>235</v>
      </c>
      <c r="B169" s="110">
        <v>660</v>
      </c>
      <c r="C169" s="70">
        <v>-7.5187969999999998E-3</v>
      </c>
      <c r="D169" s="15">
        <v>646</v>
      </c>
      <c r="E169" s="32">
        <f t="shared" si="90"/>
        <v>-2.1212121212121213E-2</v>
      </c>
      <c r="F169" s="18">
        <f>IF(ISNUMBER(D169), $B172 * E169, "")</f>
        <v>-3181.818181818182</v>
      </c>
      <c r="G169" s="31">
        <v>645</v>
      </c>
      <c r="H169" s="32">
        <f t="shared" si="91"/>
        <v>-2.2727272727272728E-2</v>
      </c>
      <c r="I169" s="91">
        <f>IF(ISNUMBER(G169), $B172 * H169, "")</f>
        <v>-3409.090909090909</v>
      </c>
      <c r="J169" s="15">
        <v>646</v>
      </c>
      <c r="K169" s="32">
        <f t="shared" si="92"/>
        <v>-2.1212121212121213E-2</v>
      </c>
      <c r="L169" s="18">
        <f>IF(ISNUMBER(J169), $B172 * K169, "")</f>
        <v>-3181.818181818182</v>
      </c>
      <c r="M169" s="31">
        <v>655</v>
      </c>
      <c r="N169" s="32">
        <f t="shared" si="93"/>
        <v>-7.575757575757576E-3</v>
      </c>
      <c r="O169" s="18">
        <f>IF(ISNUMBER(M169), $B172 * N169, "")</f>
        <v>-1136.3636363636365</v>
      </c>
      <c r="Q169" s="146"/>
      <c r="R169" s="146"/>
      <c r="S169" s="146"/>
    </row>
    <row r="170" spans="1:19">
      <c r="A170" s="109" t="s">
        <v>157</v>
      </c>
      <c r="B170" s="110">
        <v>230</v>
      </c>
      <c r="C170" s="70">
        <v>-8.6206896999999998E-3</v>
      </c>
      <c r="D170" s="15">
        <v>228</v>
      </c>
      <c r="E170" s="32">
        <f t="shared" si="90"/>
        <v>-8.6956521739130436E-3</v>
      </c>
      <c r="F170" s="18">
        <f>IF(ISNUMBER(D170), $B172 * E170, "")</f>
        <v>-1304.3478260869565</v>
      </c>
      <c r="G170" s="31">
        <v>228</v>
      </c>
      <c r="H170" s="32">
        <f t="shared" si="91"/>
        <v>-8.6956521739130436E-3</v>
      </c>
      <c r="I170" s="91">
        <f>IF(ISNUMBER(G170), $B172 * H170, "")</f>
        <v>-1304.3478260869565</v>
      </c>
      <c r="J170" s="15">
        <v>227</v>
      </c>
      <c r="K170" s="32">
        <f t="shared" si="92"/>
        <v>-1.3043478260869565E-2</v>
      </c>
      <c r="L170" s="18">
        <f>IF(ISNUMBER(J170), $B172 * K170, "")</f>
        <v>-1956.5217391304348</v>
      </c>
      <c r="M170" s="31">
        <v>228</v>
      </c>
      <c r="N170" s="32">
        <f t="shared" si="93"/>
        <v>-8.6956521739130436E-3</v>
      </c>
      <c r="O170" s="18">
        <f>IF(ISNUMBER(M170), $B172 * N170, "")</f>
        <v>-1304.3478260869565</v>
      </c>
      <c r="Q170" s="135"/>
      <c r="R170" s="136"/>
      <c r="S170" s="137"/>
    </row>
    <row r="171" spans="1:19" ht="17.25" thickBot="1">
      <c r="A171" s="114" t="s">
        <v>319</v>
      </c>
      <c r="B171" s="115">
        <v>616</v>
      </c>
      <c r="C171" s="72">
        <v>-1.2820512799999999E-2</v>
      </c>
      <c r="D171" s="24">
        <v>627</v>
      </c>
      <c r="E171" s="25">
        <f t="shared" si="90"/>
        <v>1.7857142857142856E-2</v>
      </c>
      <c r="F171" s="94">
        <f>IF(ISNUMBER(D171), $B172 * E171, "")</f>
        <v>2678.5714285714284</v>
      </c>
      <c r="G171" s="92">
        <v>643</v>
      </c>
      <c r="H171" s="25">
        <f t="shared" si="91"/>
        <v>4.3831168831168832E-2</v>
      </c>
      <c r="I171" s="93">
        <f>IF(ISNUMBER(G171), $B172 * H171, "")</f>
        <v>6574.6753246753251</v>
      </c>
      <c r="J171" s="24">
        <v>632</v>
      </c>
      <c r="K171" s="25">
        <f t="shared" si="92"/>
        <v>2.5974025974025976E-2</v>
      </c>
      <c r="L171" s="94">
        <f>IF(ISNUMBER(J171), $B172 * K171, "")</f>
        <v>3896.1038961038962</v>
      </c>
      <c r="M171" s="92">
        <v>638</v>
      </c>
      <c r="N171" s="25">
        <f t="shared" si="93"/>
        <v>3.5714285714285712E-2</v>
      </c>
      <c r="O171" s="94">
        <f>IF(ISNUMBER(M171), $B172 * N171, "")</f>
        <v>5357.1428571428569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-8.2048397872506382E-3</v>
      </c>
      <c r="F172" s="28">
        <f>SUM(F152:F171)</f>
        <v>-24614.519361751914</v>
      </c>
      <c r="G172" s="26" t="s">
        <v>258</v>
      </c>
      <c r="H172" s="27">
        <f>IF(COUNT(H152:H171), SUM(H152:H171) / COUNT(H152:H171), 0)</f>
        <v>-2.9362933696162469E-3</v>
      </c>
      <c r="I172" s="28">
        <f>SUM(I152:I171)</f>
        <v>-8808.880108848738</v>
      </c>
      <c r="J172" s="26" t="s">
        <v>258</v>
      </c>
      <c r="K172" s="27">
        <f>IF(COUNT(K152:K171), SUM(K152:K171) / COUNT(K152:K171), 0)</f>
        <v>-2.1331815161996703E-3</v>
      </c>
      <c r="L172" s="28">
        <f>SUM(L152:L171)</f>
        <v>-6399.5445485990094</v>
      </c>
      <c r="M172" s="26" t="s">
        <v>258</v>
      </c>
      <c r="N172" s="27">
        <f>IF(COUNT(N152:N171), SUM(N152:N171) / COUNT(N152:N171), 0)</f>
        <v>1.1259883170903812E-2</v>
      </c>
      <c r="O172" s="28">
        <f>SUM(O152:O171)</f>
        <v>33779.649512711439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2023-01-22(일) 오전 00:00</v>
      </c>
      <c r="C177" s="198"/>
      <c r="D177" s="170" t="str">
        <f>TEXT($G$1, "[$-ko-KR]yyyy-mm-dd(ddd) ") &amp; "오후 14:00"</f>
        <v>2023-01-22(일) 오후 14:00</v>
      </c>
      <c r="E177" s="171"/>
      <c r="F177" s="172"/>
      <c r="G177" s="170" t="str">
        <f>TEXT($G$1, "[$-ko-KR]yyyy-mm-dd(ddd) ") &amp; "오후 19:00"</f>
        <v>2023-01-22(일) 오후 19:00</v>
      </c>
      <c r="H177" s="171"/>
      <c r="I177" s="172"/>
      <c r="J177" s="170" t="str">
        <f>TEXT($G$1, "[$-ko-KR]yyyy-mm-dd(ddd) ") &amp; "오후 21:00"</f>
        <v>2023-01-22(일) 오후 21:00</v>
      </c>
      <c r="K177" s="171"/>
      <c r="L177" s="172"/>
      <c r="M177" s="170" t="str">
        <f>TEXT($G$1+1, "[$-ko-KR]yyyy-mm-dd(ddd) ") &amp; "오전 00:00"</f>
        <v>2023-01-23(월)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99</v>
      </c>
      <c r="B179" s="108">
        <v>27650</v>
      </c>
      <c r="C179" s="69">
        <v>-3.962536E-3</v>
      </c>
      <c r="D179" s="13">
        <v>27320</v>
      </c>
      <c r="E179" s="14">
        <f>IF(ISNUMBER(D179), (D179 - $B179) / $B179, "")</f>
        <v>-1.1934900542495479E-2</v>
      </c>
      <c r="F179" s="16">
        <f>IF(ISNUMBER(D179), $B199 * E179, "")</f>
        <v>-1790.2350813743219</v>
      </c>
      <c r="G179" s="29">
        <v>27320</v>
      </c>
      <c r="H179" s="14">
        <f>IF(ISNUMBER(G179), (G179 - $B179) / $B179, "")</f>
        <v>-1.1934900542495479E-2</v>
      </c>
      <c r="I179" s="90">
        <f>IF(ISNUMBER(G179), $B199 * H179, "")</f>
        <v>-1790.2350813743219</v>
      </c>
      <c r="J179" s="13">
        <v>27370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29110</v>
      </c>
      <c r="N179" s="14">
        <f>IF(ISNUMBER(M179), (M179 - $B179) / $B179, "")</f>
        <v>5.2802893309222422E-2</v>
      </c>
      <c r="O179" s="16">
        <f>IF(ISNUMBER(M179), $B199 * N179, "")</f>
        <v>7920.4339963833636</v>
      </c>
      <c r="Q179" s="156"/>
      <c r="R179" s="156"/>
      <c r="S179" s="156"/>
    </row>
    <row r="180" spans="1:19" ht="17.25" thickBot="1">
      <c r="A180" s="109" t="s">
        <v>223</v>
      </c>
      <c r="B180" s="110">
        <v>247</v>
      </c>
      <c r="C180" s="70">
        <v>-4.0322581E-3</v>
      </c>
      <c r="D180" s="15">
        <v>243</v>
      </c>
      <c r="E180" s="32">
        <f t="shared" ref="E180:E183" si="94">IF(ISNUMBER(D180), (D180 - $B180) / $B180, "")</f>
        <v>-1.6194331983805668E-2</v>
      </c>
      <c r="F180" s="18">
        <f>IF(ISNUMBER(D180), $B199 * E180, "")</f>
        <v>-2429.1497975708503</v>
      </c>
      <c r="G180" s="31">
        <v>243</v>
      </c>
      <c r="H180" s="32">
        <f t="shared" ref="H180:H183" si="95">IF(ISNUMBER(G180), (G180 - $B180) / $B180, "")</f>
        <v>-1.6194331983805668E-2</v>
      </c>
      <c r="I180" s="91">
        <f>IF(ISNUMBER(G180), $B199 * H180, "")</f>
        <v>-2429.1497975708503</v>
      </c>
      <c r="J180" s="15">
        <v>243</v>
      </c>
      <c r="K180" s="32">
        <f t="shared" ref="K180:K183" si="96">IF(ISNUMBER(J180), (J180 - $B180) / $B180, "")</f>
        <v>-1.6194331983805668E-2</v>
      </c>
      <c r="L180" s="18">
        <f>IF(ISNUMBER(J180), $B199 * K180, "")</f>
        <v>-2429.1497975708503</v>
      </c>
      <c r="M180" s="31">
        <v>246</v>
      </c>
      <c r="N180" s="32">
        <f t="shared" ref="N180:N183" si="97">IF(ISNUMBER(M180), (M180 - $B180) / $B180, "")</f>
        <v>-4.048582995951417E-3</v>
      </c>
      <c r="O180" s="18">
        <f>IF(ISNUMBER(M180), $B199 * N180, "")</f>
        <v>-607.28744939271257</v>
      </c>
      <c r="Q180" s="156"/>
      <c r="R180" s="156"/>
      <c r="S180" s="156"/>
    </row>
    <row r="181" spans="1:19" ht="17.25" thickBot="1">
      <c r="A181" s="109" t="s">
        <v>91</v>
      </c>
      <c r="B181" s="110">
        <v>20450</v>
      </c>
      <c r="C181" s="70">
        <v>-4.8661800000000003E-3</v>
      </c>
      <c r="D181" s="15">
        <v>20280</v>
      </c>
      <c r="E181" s="32">
        <f t="shared" si="94"/>
        <v>-8.3129584352078234E-3</v>
      </c>
      <c r="F181" s="18">
        <f>IF(ISNUMBER(D181), $B199 * E181, "")</f>
        <v>-1246.9437652811735</v>
      </c>
      <c r="G181" s="31">
        <v>20400</v>
      </c>
      <c r="H181" s="32">
        <f t="shared" si="95"/>
        <v>-2.4449877750611247E-3</v>
      </c>
      <c r="I181" s="91">
        <f>IF(ISNUMBER(G181), $B199 * H181, "")</f>
        <v>-366.74816625916873</v>
      </c>
      <c r="J181" s="15">
        <v>20450</v>
      </c>
      <c r="K181" s="32">
        <f t="shared" si="96"/>
        <v>0</v>
      </c>
      <c r="L181" s="18">
        <f>IF(ISNUMBER(J181), $B199 * K181, "")</f>
        <v>0</v>
      </c>
      <c r="M181" s="31">
        <v>21050</v>
      </c>
      <c r="N181" s="32">
        <f t="shared" si="97"/>
        <v>2.9339853300733496E-2</v>
      </c>
      <c r="O181" s="18">
        <f>IF(ISNUMBER(M181), $B199 * N181, "")</f>
        <v>4400.9779951100245</v>
      </c>
      <c r="Q181" s="146"/>
      <c r="R181" s="146"/>
      <c r="S181" s="146"/>
    </row>
    <row r="182" spans="1:19" ht="17.25" thickBot="1">
      <c r="A182" s="109" t="s">
        <v>343</v>
      </c>
      <c r="B182" s="110">
        <v>31400</v>
      </c>
      <c r="C182" s="70">
        <v>-5.0697084999999998E-3</v>
      </c>
      <c r="D182" s="15">
        <v>31510</v>
      </c>
      <c r="E182" s="32">
        <f t="shared" si="94"/>
        <v>3.5031847133757963E-3</v>
      </c>
      <c r="F182" s="18">
        <f>IF(ISNUMBER(D182), $B199 * E182, "")</f>
        <v>525.47770700636943</v>
      </c>
      <c r="G182" s="31">
        <v>31340</v>
      </c>
      <c r="H182" s="32">
        <f t="shared" si="95"/>
        <v>-1.910828025477707E-3</v>
      </c>
      <c r="I182" s="91">
        <f>IF(ISNUMBER(G182), $B199 * H182, "")</f>
        <v>-286.62420382165607</v>
      </c>
      <c r="J182" s="15">
        <v>31090</v>
      </c>
      <c r="K182" s="32">
        <f t="shared" si="96"/>
        <v>-9.8726114649681524E-3</v>
      </c>
      <c r="L182" s="18">
        <f>IF(ISNUMBER(J182), $B199 * K182, "")</f>
        <v>-1480.8917197452229</v>
      </c>
      <c r="M182" s="31">
        <v>31370</v>
      </c>
      <c r="N182" s="32">
        <f t="shared" si="97"/>
        <v>-9.5541401273885351E-4</v>
      </c>
      <c r="O182" s="18">
        <f>IF(ISNUMBER(M182), $B199 * N182, "")</f>
        <v>-143.31210191082803</v>
      </c>
      <c r="Q182" s="146"/>
      <c r="R182" s="146"/>
      <c r="S182" s="146"/>
    </row>
    <row r="183" spans="1:19" ht="17.25" thickBot="1">
      <c r="A183" s="111" t="s">
        <v>345</v>
      </c>
      <c r="B183" s="112">
        <v>176</v>
      </c>
      <c r="C183" s="71">
        <v>-5.6497175E-3</v>
      </c>
      <c r="D183" s="20">
        <v>171</v>
      </c>
      <c r="E183" s="21">
        <f t="shared" si="94"/>
        <v>-2.8409090909090908E-2</v>
      </c>
      <c r="F183" s="22">
        <f>IF(ISNUMBER(D183), $B199 * E183, "")</f>
        <v>-4261.363636363636</v>
      </c>
      <c r="G183" s="30">
        <v>172</v>
      </c>
      <c r="H183" s="21">
        <f t="shared" si="95"/>
        <v>-2.2727272727272728E-2</v>
      </c>
      <c r="I183" s="95">
        <f>IF(ISNUMBER(G183), $B199 * H183, "")</f>
        <v>-3409.090909090909</v>
      </c>
      <c r="J183" s="20">
        <v>173</v>
      </c>
      <c r="K183" s="21">
        <f t="shared" si="96"/>
        <v>-1.7045454545454544E-2</v>
      </c>
      <c r="L183" s="22">
        <f>IF(ISNUMBER(J183), $B199 * K183, "")</f>
        <v>-2556.8181818181815</v>
      </c>
      <c r="M183" s="30">
        <v>174</v>
      </c>
      <c r="N183" s="21">
        <f t="shared" si="97"/>
        <v>-1.1363636363636364E-2</v>
      </c>
      <c r="O183" s="22">
        <f>IF(ISNUMBER(M183), $B199 * N183, "")</f>
        <v>-1704.5454545454545</v>
      </c>
      <c r="Q183" s="146"/>
      <c r="R183" s="146"/>
      <c r="S183" s="146"/>
    </row>
    <row r="184" spans="1:19" ht="17.25" thickBot="1">
      <c r="A184" s="109" t="s">
        <v>79</v>
      </c>
      <c r="B184" s="113">
        <v>310</v>
      </c>
      <c r="C184" s="73">
        <v>-6.4102563999999997E-3</v>
      </c>
      <c r="D184" s="96">
        <v>307</v>
      </c>
      <c r="E184" s="97">
        <f>IF(ISNUMBER(D184), (D184 - $B184) / $B184, "")</f>
        <v>-9.6774193548387101E-3</v>
      </c>
      <c r="F184" s="98">
        <f>IF(ISNUMBER(D184), $B199 * E184, "")</f>
        <v>-1451.6129032258066</v>
      </c>
      <c r="G184" s="99">
        <v>309</v>
      </c>
      <c r="H184" s="97">
        <f>IF(ISNUMBER(G184), (G184 - $B184) / $B184, "")</f>
        <v>-3.2258064516129032E-3</v>
      </c>
      <c r="I184" s="100">
        <f>IF(ISNUMBER(G184), $B199 * H184, "")</f>
        <v>-483.87096774193549</v>
      </c>
      <c r="J184" s="96">
        <v>310</v>
      </c>
      <c r="K184" s="97">
        <f>IF(ISNUMBER(J184), (J184 - $B184) / $B184, "")</f>
        <v>0</v>
      </c>
      <c r="L184" s="98">
        <f>IF(ISNUMBER(J184), $B199 * K184, "")</f>
        <v>0</v>
      </c>
      <c r="M184" s="99">
        <v>313</v>
      </c>
      <c r="N184" s="97">
        <f>IF(ISNUMBER(M184), (M184 - $B184) / $B184, "")</f>
        <v>9.6774193548387101E-3</v>
      </c>
      <c r="O184" s="98">
        <f>IF(ISNUMBER(M184), $B199 * N184, "")</f>
        <v>1451.6129032258066</v>
      </c>
      <c r="Q184" s="146"/>
      <c r="R184" s="146"/>
      <c r="S184" s="146"/>
    </row>
    <row r="185" spans="1:19" ht="17.25" thickBot="1">
      <c r="A185" s="109" t="s">
        <v>122</v>
      </c>
      <c r="B185" s="110">
        <v>27.5</v>
      </c>
      <c r="C185" s="70">
        <v>-7.2202166E-3</v>
      </c>
      <c r="D185" s="15">
        <v>27.5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27.5</v>
      </c>
      <c r="H185" s="32">
        <f t="shared" ref="H185:H188" si="99">IF(ISNUMBER(G185), (G185 - $B185) / $B185, "")</f>
        <v>0</v>
      </c>
      <c r="I185" s="91">
        <f>IF(ISNUMBER(G185), $B199 * H185, "")</f>
        <v>0</v>
      </c>
      <c r="J185" s="15">
        <v>27.6</v>
      </c>
      <c r="K185" s="32">
        <f t="shared" ref="K185:K188" si="100">IF(ISNUMBER(J185), (J185 - $B185) / $B185, "")</f>
        <v>3.636363636363688E-3</v>
      </c>
      <c r="L185" s="18">
        <f>IF(ISNUMBER(J185), $B199 * K185, "")</f>
        <v>545.45454545455323</v>
      </c>
      <c r="M185" s="31">
        <v>28.2</v>
      </c>
      <c r="N185" s="32">
        <f t="shared" ref="N185:N188" si="101">IF(ISNUMBER(M185), (M185 - $B185) / $B185, "")</f>
        <v>2.5454545454545428E-2</v>
      </c>
      <c r="O185" s="18">
        <f>IF(ISNUMBER(M185), $B199 * N185, "")</f>
        <v>3818.1818181818139</v>
      </c>
      <c r="Q185" s="146"/>
      <c r="R185" s="146"/>
      <c r="S185" s="146"/>
    </row>
    <row r="186" spans="1:19" ht="17.25" thickBot="1">
      <c r="A186" s="109" t="s">
        <v>235</v>
      </c>
      <c r="B186" s="110">
        <v>660</v>
      </c>
      <c r="C186" s="70">
        <v>-7.5187969999999998E-3</v>
      </c>
      <c r="D186" s="15">
        <v>646</v>
      </c>
      <c r="E186" s="32">
        <f t="shared" si="98"/>
        <v>-2.1212121212121213E-2</v>
      </c>
      <c r="F186" s="18">
        <f>IF(ISNUMBER(D186), $B199 * E186, "")</f>
        <v>-3181.818181818182</v>
      </c>
      <c r="G186" s="31">
        <v>645</v>
      </c>
      <c r="H186" s="32">
        <f t="shared" si="99"/>
        <v>-2.2727272727272728E-2</v>
      </c>
      <c r="I186" s="91">
        <f>IF(ISNUMBER(G186), $B199 * H186, "")</f>
        <v>-3409.090909090909</v>
      </c>
      <c r="J186" s="15">
        <v>646</v>
      </c>
      <c r="K186" s="32">
        <f t="shared" si="100"/>
        <v>-2.1212121212121213E-2</v>
      </c>
      <c r="L186" s="18">
        <f>IF(ISNUMBER(J186), $B199 * K186, "")</f>
        <v>-3181.818181818182</v>
      </c>
      <c r="M186" s="31">
        <v>655</v>
      </c>
      <c r="N186" s="32">
        <f t="shared" si="101"/>
        <v>-7.575757575757576E-3</v>
      </c>
      <c r="O186" s="18">
        <f>IF(ISNUMBER(M186), $B199 * N186, "")</f>
        <v>-1136.3636363636365</v>
      </c>
      <c r="Q186" s="146"/>
      <c r="R186" s="146"/>
      <c r="S186" s="146"/>
    </row>
    <row r="187" spans="1:19" ht="17.25" thickBot="1">
      <c r="A187" s="109" t="s">
        <v>339</v>
      </c>
      <c r="B187" s="110">
        <v>1255</v>
      </c>
      <c r="C187" s="70">
        <v>-7.9051382999999996E-3</v>
      </c>
      <c r="D187" s="15">
        <v>1235</v>
      </c>
      <c r="E187" s="32">
        <f t="shared" si="98"/>
        <v>-1.5936254980079681E-2</v>
      </c>
      <c r="F187" s="18">
        <f>IF(ISNUMBER(D187), $B199 * E187, "")</f>
        <v>-2390.4382470119522</v>
      </c>
      <c r="G187" s="31">
        <v>1245</v>
      </c>
      <c r="H187" s="32">
        <f t="shared" si="99"/>
        <v>-7.9681274900398405E-3</v>
      </c>
      <c r="I187" s="91">
        <f>IF(ISNUMBER(G187), $B199 * H187, "")</f>
        <v>-1195.2191235059761</v>
      </c>
      <c r="J187" s="15">
        <v>1245</v>
      </c>
      <c r="K187" s="32">
        <f t="shared" si="100"/>
        <v>-7.9681274900398405E-3</v>
      </c>
      <c r="L187" s="18">
        <f>IF(ISNUMBER(J187), $B199 * K187, "")</f>
        <v>-1195.2191235059761</v>
      </c>
      <c r="M187" s="31">
        <v>1265</v>
      </c>
      <c r="N187" s="32">
        <f t="shared" si="101"/>
        <v>7.9681274900398405E-3</v>
      </c>
      <c r="O187" s="18">
        <f>IF(ISNUMBER(M187), $B199 * N187, "")</f>
        <v>1195.2191235059761</v>
      </c>
      <c r="Q187" s="33"/>
      <c r="R187" s="33"/>
    </row>
    <row r="188" spans="1:19" ht="17.25" thickBot="1">
      <c r="A188" s="114" t="s">
        <v>347</v>
      </c>
      <c r="B188" s="115">
        <v>21450</v>
      </c>
      <c r="C188" s="72">
        <v>-8.3217753000000005E-3</v>
      </c>
      <c r="D188" s="24">
        <v>21260</v>
      </c>
      <c r="E188" s="25">
        <f t="shared" si="98"/>
        <v>-8.8578088578088587E-3</v>
      </c>
      <c r="F188" s="94">
        <f>IF(ISNUMBER(D188), $B199 * E188, "")</f>
        <v>-1328.6713286713289</v>
      </c>
      <c r="G188" s="92">
        <v>21420</v>
      </c>
      <c r="H188" s="25">
        <f t="shared" si="99"/>
        <v>-1.3986013986013986E-3</v>
      </c>
      <c r="I188" s="93">
        <f>IF(ISNUMBER(G188), $B199 * H188, "")</f>
        <v>-209.79020979020979</v>
      </c>
      <c r="J188" s="24">
        <v>21710</v>
      </c>
      <c r="K188" s="25">
        <f t="shared" si="100"/>
        <v>1.2121212121212121E-2</v>
      </c>
      <c r="L188" s="94">
        <f>IF(ISNUMBER(J188), $B199 * K188, "")</f>
        <v>1818.1818181818182</v>
      </c>
      <c r="M188" s="92">
        <v>22260</v>
      </c>
      <c r="N188" s="25">
        <f t="shared" si="101"/>
        <v>3.7762237762237763E-2</v>
      </c>
      <c r="O188" s="94">
        <f>IF(ISNUMBER(M188), $B199 * N188, "")</f>
        <v>5664.3356643356647</v>
      </c>
      <c r="Q188" s="147"/>
      <c r="R188" s="148"/>
      <c r="S188" s="149"/>
    </row>
    <row r="189" spans="1:19">
      <c r="A189" s="107" t="s">
        <v>157</v>
      </c>
      <c r="B189" s="108">
        <v>230</v>
      </c>
      <c r="C189" s="69">
        <v>-8.6206896999999998E-3</v>
      </c>
      <c r="D189" s="13">
        <v>228</v>
      </c>
      <c r="E189" s="14">
        <f>IF(ISNUMBER(D189), (D189 - $B189) / $B189, "")</f>
        <v>-8.6956521739130436E-3</v>
      </c>
      <c r="F189" s="16">
        <f>IF(ISNUMBER(D189), $B199 * E189, "")</f>
        <v>-1304.3478260869565</v>
      </c>
      <c r="G189" s="29">
        <v>228</v>
      </c>
      <c r="H189" s="14">
        <f>IF(ISNUMBER(G189), (G189 - $B189) / $B189, "")</f>
        <v>-8.6956521739130436E-3</v>
      </c>
      <c r="I189" s="90">
        <f>IF(ISNUMBER(G189), $B199 * H189, "")</f>
        <v>-1304.3478260869565</v>
      </c>
      <c r="J189" s="13">
        <v>227</v>
      </c>
      <c r="K189" s="14">
        <f>IF(ISNUMBER(J189), (J189 - $B189) / $B189, "")</f>
        <v>-1.3043478260869565E-2</v>
      </c>
      <c r="L189" s="16">
        <f>IF(ISNUMBER(J189), $B199 * K189, "")</f>
        <v>-1956.5217391304348</v>
      </c>
      <c r="M189" s="29">
        <v>228</v>
      </c>
      <c r="N189" s="14">
        <f>IF(ISNUMBER(M189), (M189 - $B189) / $B189, "")</f>
        <v>-8.6956521739130436E-3</v>
      </c>
      <c r="O189" s="16">
        <f>IF(ISNUMBER(M189), $B199 * N189, "")</f>
        <v>-1304.3478260869565</v>
      </c>
      <c r="Q189" s="150"/>
      <c r="R189" s="151"/>
      <c r="S189" s="152"/>
    </row>
    <row r="190" spans="1:19" ht="17.25" thickBot="1">
      <c r="A190" s="109" t="s">
        <v>337</v>
      </c>
      <c r="B190" s="110">
        <v>107050</v>
      </c>
      <c r="C190" s="70">
        <v>-1.1542012900000001E-2</v>
      </c>
      <c r="D190" s="15">
        <v>105200</v>
      </c>
      <c r="E190" s="32">
        <f t="shared" ref="E190:E193" si="102">IF(ISNUMBER(D190), (D190 - $B190) / $B190, "")</f>
        <v>-1.7281644091546006E-2</v>
      </c>
      <c r="F190" s="18">
        <f>IF(ISNUMBER(D190), $B199 * E190, "")</f>
        <v>-2592.2466137319007</v>
      </c>
      <c r="G190" s="31">
        <v>105950</v>
      </c>
      <c r="H190" s="32">
        <f t="shared" ref="H190:H193" si="103">IF(ISNUMBER(G190), (G190 - $B190) / $B190, "")</f>
        <v>-1.0275572162540868E-2</v>
      </c>
      <c r="I190" s="91">
        <f>IF(ISNUMBER(G190), $B199 * H190, "")</f>
        <v>-1541.3358243811301</v>
      </c>
      <c r="J190" s="15">
        <v>107000</v>
      </c>
      <c r="K190" s="32">
        <f t="shared" ref="K190:K193" si="104">IF(ISNUMBER(J190), (J190 - $B190) / $B190, "")</f>
        <v>-4.6707146193367583E-4</v>
      </c>
      <c r="L190" s="18">
        <f>IF(ISNUMBER(J190), $B199 * K190, "")</f>
        <v>-70.060719290051381</v>
      </c>
      <c r="M190" s="31">
        <v>110000</v>
      </c>
      <c r="N190" s="32">
        <f t="shared" ref="N190:N193" si="105">IF(ISNUMBER(M190), (M190 - $B190) / $B190, "")</f>
        <v>2.7557216254086876E-2</v>
      </c>
      <c r="O190" s="18">
        <f>IF(ISNUMBER(M190), $B199 * N190, "")</f>
        <v>4133.5824381130315</v>
      </c>
      <c r="Q190" s="153"/>
      <c r="R190" s="154"/>
      <c r="S190" s="155"/>
    </row>
    <row r="191" spans="1:19" ht="17.25" thickBot="1">
      <c r="A191" s="109" t="s">
        <v>217</v>
      </c>
      <c r="B191" s="110">
        <v>85.1</v>
      </c>
      <c r="C191" s="70">
        <v>-1.16144019E-2</v>
      </c>
      <c r="D191" s="15">
        <v>83.4</v>
      </c>
      <c r="E191" s="32">
        <f t="shared" si="102"/>
        <v>-1.9976498237367669E-2</v>
      </c>
      <c r="F191" s="18">
        <f>IF(ISNUMBER(D191), $B199 * E191, "")</f>
        <v>-2996.4747356051503</v>
      </c>
      <c r="G191" s="31">
        <v>83.5</v>
      </c>
      <c r="H191" s="32">
        <f t="shared" si="103"/>
        <v>-1.8801410105757865E-2</v>
      </c>
      <c r="I191" s="91">
        <f>IF(ISNUMBER(G191), $B199 * H191, "")</f>
        <v>-2820.2115158636798</v>
      </c>
      <c r="J191" s="15">
        <v>83.5</v>
      </c>
      <c r="K191" s="32">
        <f t="shared" si="104"/>
        <v>-1.8801410105757865E-2</v>
      </c>
      <c r="L191" s="18">
        <f>IF(ISNUMBER(J191), $B199 * K191, "")</f>
        <v>-2820.2115158636798</v>
      </c>
      <c r="M191" s="31">
        <v>85.5</v>
      </c>
      <c r="N191" s="32">
        <f t="shared" si="105"/>
        <v>4.7003525264395505E-3</v>
      </c>
      <c r="O191" s="18">
        <f>IF(ISNUMBER(M191), $B199 * N191, "")</f>
        <v>705.05287896593256</v>
      </c>
      <c r="Q191" s="146"/>
      <c r="R191" s="146"/>
      <c r="S191" s="146"/>
    </row>
    <row r="192" spans="1:19" ht="17.25" thickBot="1">
      <c r="A192" s="109" t="s">
        <v>209</v>
      </c>
      <c r="B192" s="110">
        <v>95.4</v>
      </c>
      <c r="C192" s="70">
        <v>-1.24223602E-2</v>
      </c>
      <c r="D192" s="15">
        <v>94.1</v>
      </c>
      <c r="E192" s="32">
        <f t="shared" si="102"/>
        <v>-1.3626834381551481E-2</v>
      </c>
      <c r="F192" s="18">
        <f>IF(ISNUMBER(D192), $B199 * E192, "")</f>
        <v>-2044.025157232722</v>
      </c>
      <c r="G192" s="31">
        <v>93.9</v>
      </c>
      <c r="H192" s="32">
        <f t="shared" si="103"/>
        <v>-1.5723270440251572E-2</v>
      </c>
      <c r="I192" s="91">
        <f>IF(ISNUMBER(G192), $B199 * H192, "")</f>
        <v>-2358.4905660377358</v>
      </c>
      <c r="J192" s="15">
        <v>94.1</v>
      </c>
      <c r="K192" s="32">
        <f t="shared" si="104"/>
        <v>-1.3626834381551481E-2</v>
      </c>
      <c r="L192" s="18">
        <f>IF(ISNUMBER(J192), $B199 * K192, "")</f>
        <v>-2044.025157232722</v>
      </c>
      <c r="M192" s="31">
        <v>94.8</v>
      </c>
      <c r="N192" s="32">
        <f t="shared" si="105"/>
        <v>-6.2893081761007177E-3</v>
      </c>
      <c r="O192" s="18">
        <f>IF(ISNUMBER(M192), $B199 * N192, "")</f>
        <v>-943.39622641510766</v>
      </c>
      <c r="Q192" s="156"/>
      <c r="R192" s="156"/>
      <c r="S192" s="156"/>
    </row>
    <row r="193" spans="1:19" ht="17.25" thickBot="1">
      <c r="A193" s="111" t="s">
        <v>319</v>
      </c>
      <c r="B193" s="112">
        <v>616</v>
      </c>
      <c r="C193" s="71">
        <v>-1.2820512799999999E-2</v>
      </c>
      <c r="D193" s="20">
        <v>627</v>
      </c>
      <c r="E193" s="21">
        <f t="shared" si="102"/>
        <v>1.7857142857142856E-2</v>
      </c>
      <c r="F193" s="22">
        <f>IF(ISNUMBER(D193), $B199 * E193, "")</f>
        <v>2678.5714285714284</v>
      </c>
      <c r="G193" s="30">
        <v>643</v>
      </c>
      <c r="H193" s="21">
        <f t="shared" si="103"/>
        <v>4.3831168831168832E-2</v>
      </c>
      <c r="I193" s="95">
        <f>IF(ISNUMBER(G193), $B199 * H193, "")</f>
        <v>6574.6753246753251</v>
      </c>
      <c r="J193" s="20">
        <v>632</v>
      </c>
      <c r="K193" s="21">
        <f t="shared" si="104"/>
        <v>2.5974025974025976E-2</v>
      </c>
      <c r="L193" s="22">
        <f>IF(ISNUMBER(J193), $B199 * K193, "")</f>
        <v>3896.1038961038962</v>
      </c>
      <c r="M193" s="30">
        <v>638</v>
      </c>
      <c r="N193" s="21">
        <f t="shared" si="105"/>
        <v>3.5714285714285712E-2</v>
      </c>
      <c r="O193" s="22">
        <f>IF(ISNUMBER(M193), $B199 * N193, "")</f>
        <v>5357.1428571428569</v>
      </c>
      <c r="Q193" s="156"/>
      <c r="R193" s="156"/>
      <c r="S193" s="156"/>
    </row>
    <row r="194" spans="1:19" ht="17.25" thickBot="1">
      <c r="A194" s="109" t="s">
        <v>185</v>
      </c>
      <c r="B194" s="113">
        <v>37.5</v>
      </c>
      <c r="C194" s="73">
        <v>-1.3157894700000001E-2</v>
      </c>
      <c r="D194" s="96">
        <v>36.9</v>
      </c>
      <c r="E194" s="97">
        <f>IF(ISNUMBER(D194), (D194 - $B194) / $B194, "")</f>
        <v>-1.6000000000000038E-2</v>
      </c>
      <c r="F194" s="98">
        <f>IF(ISNUMBER(D194), $B199 * E194, "")</f>
        <v>-2400.0000000000059</v>
      </c>
      <c r="G194" s="99">
        <v>37</v>
      </c>
      <c r="H194" s="97">
        <f>IF(ISNUMBER(G194), (G194 - $B194) / $B194, "")</f>
        <v>-1.3333333333333334E-2</v>
      </c>
      <c r="I194" s="100">
        <f>IF(ISNUMBER(G194), $B199 * H194, "")</f>
        <v>-2000.0000000000002</v>
      </c>
      <c r="J194" s="96">
        <v>37</v>
      </c>
      <c r="K194" s="97">
        <f>IF(ISNUMBER(J194), (J194 - $B194) / $B194, "")</f>
        <v>-1.3333333333333334E-2</v>
      </c>
      <c r="L194" s="98">
        <f>IF(ISNUMBER(J194), $B199 * K194, "")</f>
        <v>-2000.0000000000002</v>
      </c>
      <c r="M194" s="99">
        <v>37.200000000000003</v>
      </c>
      <c r="N194" s="97">
        <f>IF(ISNUMBER(M194), (M194 - $B194) / $B194, "")</f>
        <v>-7.9999999999999238E-3</v>
      </c>
      <c r="O194" s="98">
        <f>IF(ISNUMBER(M194), $B199 * N194, "")</f>
        <v>-1199.9999999999886</v>
      </c>
      <c r="Q194" s="146"/>
      <c r="R194" s="146"/>
      <c r="S194" s="146"/>
    </row>
    <row r="195" spans="1:19" ht="17.25" thickBot="1">
      <c r="A195" s="109" t="s">
        <v>352</v>
      </c>
      <c r="B195" s="110">
        <v>1.4999999999999999E-2</v>
      </c>
      <c r="C195" s="70">
        <v>-1.3157894700000001E-2</v>
      </c>
      <c r="D195" s="15">
        <v>1.5100000000000001E-2</v>
      </c>
      <c r="E195" s="32">
        <f t="shared" ref="E195:E198" si="106">IF(ISNUMBER(D195), (D195 - $B195) / $B195, "")</f>
        <v>6.6666666666667426E-3</v>
      </c>
      <c r="F195" s="18">
        <f>IF(ISNUMBER(D195), $B199 * E195, "")</f>
        <v>1000.0000000000114</v>
      </c>
      <c r="G195" s="31">
        <v>1.4999999999999999E-2</v>
      </c>
      <c r="H195" s="32">
        <f t="shared" ref="H195:H198" si="107">IF(ISNUMBER(G195), (G195 - $B195) / $B195, "")</f>
        <v>0</v>
      </c>
      <c r="I195" s="91">
        <f>IF(ISNUMBER(G195), $B199 * H195, "")</f>
        <v>0</v>
      </c>
      <c r="J195" s="15">
        <v>1.5100000000000001E-2</v>
      </c>
      <c r="K195" s="32">
        <f t="shared" ref="K195:K198" si="108">IF(ISNUMBER(J195), (J195 - $B195) / $B195, "")</f>
        <v>6.6666666666667426E-3</v>
      </c>
      <c r="L195" s="18">
        <f>IF(ISNUMBER(J195), $B199 * K195, "")</f>
        <v>1000.0000000000114</v>
      </c>
      <c r="M195" s="31">
        <v>1.5100000000000001E-2</v>
      </c>
      <c r="N195" s="32">
        <f t="shared" ref="N195:N198" si="109">IF(ISNUMBER(M195), (M195 - $B195) / $B195, "")</f>
        <v>6.6666666666667426E-3</v>
      </c>
      <c r="O195" s="18">
        <f>IF(ISNUMBER(M195), $B199 * N195, "")</f>
        <v>1000.0000000000114</v>
      </c>
      <c r="Q195" s="146"/>
      <c r="R195" s="146"/>
      <c r="S195" s="146"/>
    </row>
    <row r="196" spans="1:19" ht="17.25" thickBot="1">
      <c r="A196" s="109" t="s">
        <v>130</v>
      </c>
      <c r="B196" s="110">
        <v>1060</v>
      </c>
      <c r="C196" s="70">
        <v>-1.39534884E-2</v>
      </c>
      <c r="D196" s="15">
        <v>1035</v>
      </c>
      <c r="E196" s="32">
        <f t="shared" si="106"/>
        <v>-2.358490566037736E-2</v>
      </c>
      <c r="F196" s="18">
        <f>IF(ISNUMBER(D196), $B199 * E196, "")</f>
        <v>-3537.7358490566039</v>
      </c>
      <c r="G196" s="31">
        <v>1045</v>
      </c>
      <c r="H196" s="32">
        <f t="shared" si="107"/>
        <v>-1.4150943396226415E-2</v>
      </c>
      <c r="I196" s="91">
        <f>IF(ISNUMBER(G196), $B199 * H196, "")</f>
        <v>-2122.6415094339623</v>
      </c>
      <c r="J196" s="15">
        <v>1055</v>
      </c>
      <c r="K196" s="32">
        <f t="shared" si="108"/>
        <v>-4.7169811320754715E-3</v>
      </c>
      <c r="L196" s="18">
        <f>IF(ISNUMBER(J196), $B199 * K196, "")</f>
        <v>-707.54716981132071</v>
      </c>
      <c r="M196" s="31">
        <v>1055</v>
      </c>
      <c r="N196" s="32">
        <f t="shared" si="109"/>
        <v>-4.7169811320754715E-3</v>
      </c>
      <c r="O196" s="18">
        <f>IF(ISNUMBER(M196), $B199 * N196, "")</f>
        <v>-707.54716981132071</v>
      </c>
      <c r="Q196" s="146"/>
      <c r="R196" s="146"/>
      <c r="S196" s="146"/>
    </row>
    <row r="197" spans="1:19">
      <c r="A197" s="109" t="s">
        <v>151</v>
      </c>
      <c r="B197" s="110">
        <v>2930</v>
      </c>
      <c r="C197" s="70">
        <v>-1.67785235E-2</v>
      </c>
      <c r="D197" s="15">
        <v>2890</v>
      </c>
      <c r="E197" s="32">
        <f t="shared" si="106"/>
        <v>-1.3651877133105802E-2</v>
      </c>
      <c r="F197" s="18">
        <f>IF(ISNUMBER(D197), $B199 * E197, "")</f>
        <v>-2047.7815699658704</v>
      </c>
      <c r="G197" s="31">
        <v>2910</v>
      </c>
      <c r="H197" s="32">
        <f t="shared" si="107"/>
        <v>-6.8259385665529011E-3</v>
      </c>
      <c r="I197" s="91">
        <f>IF(ISNUMBER(G197), $B199 * H197, "")</f>
        <v>-1023.8907849829352</v>
      </c>
      <c r="J197" s="15">
        <v>2910</v>
      </c>
      <c r="K197" s="32">
        <f t="shared" si="108"/>
        <v>-6.8259385665529011E-3</v>
      </c>
      <c r="L197" s="18">
        <f>IF(ISNUMBER(J197), $B199 * K197, "")</f>
        <v>-1023.8907849829352</v>
      </c>
      <c r="M197" s="31">
        <v>2945</v>
      </c>
      <c r="N197" s="32">
        <f t="shared" si="109"/>
        <v>5.1194539249146756E-3</v>
      </c>
      <c r="O197" s="18">
        <f>IF(ISNUMBER(M197), $B199 * N197, "")</f>
        <v>767.91808873720129</v>
      </c>
      <c r="Q197" s="135"/>
      <c r="R197" s="136"/>
      <c r="S197" s="137"/>
    </row>
    <row r="198" spans="1:19" ht="17.25" thickBot="1">
      <c r="A198" s="114" t="s">
        <v>113</v>
      </c>
      <c r="B198" s="115">
        <v>2245</v>
      </c>
      <c r="C198" s="72">
        <v>-4.2643923200000003E-2</v>
      </c>
      <c r="D198" s="24">
        <v>2155</v>
      </c>
      <c r="E198" s="25">
        <f t="shared" si="106"/>
        <v>-4.0089086859688199E-2</v>
      </c>
      <c r="F198" s="94">
        <f>IF(ISNUMBER(D198), $B199 * E198, "")</f>
        <v>-6013.3630289532293</v>
      </c>
      <c r="G198" s="92">
        <v>2205</v>
      </c>
      <c r="H198" s="25">
        <f t="shared" si="107"/>
        <v>-1.7817371937639197E-2</v>
      </c>
      <c r="I198" s="93">
        <f>IF(ISNUMBER(G198), $B199 * H198, "")</f>
        <v>-2672.6057906458796</v>
      </c>
      <c r="J198" s="24">
        <v>2200</v>
      </c>
      <c r="K198" s="25">
        <f t="shared" si="108"/>
        <v>-2.0044543429844099E-2</v>
      </c>
      <c r="L198" s="94">
        <f>IF(ISNUMBER(J198), $B199 * K198, "")</f>
        <v>-3006.6815144766147</v>
      </c>
      <c r="M198" s="92">
        <v>2175</v>
      </c>
      <c r="N198" s="25">
        <f t="shared" si="109"/>
        <v>-3.1180400890868598E-2</v>
      </c>
      <c r="O198" s="94">
        <f>IF(ISNUMBER(M198), $B199 * N198, "")</f>
        <v>-4677.0601336302898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-1.2270719528790629E-2</v>
      </c>
      <c r="F199" s="28">
        <f>SUM(F179:F198)</f>
        <v>-36812.158586371886</v>
      </c>
      <c r="G199" s="26" t="s">
        <v>258</v>
      </c>
      <c r="H199" s="27">
        <f>IF(COUNT(H179:H198), SUM(H179:H198) / COUNT(H179:H198), 0)</f>
        <v>-7.616222620334295E-3</v>
      </c>
      <c r="I199" s="28">
        <f>SUM(I179:I198)</f>
        <v>-22848.66786100289</v>
      </c>
      <c r="J199" s="26" t="s">
        <v>258</v>
      </c>
      <c r="K199" s="27">
        <f>IF(COUNT(K179:K198), SUM(K179:K198) / COUNT(K179:K198), 0)</f>
        <v>-6.2440275624260138E-3</v>
      </c>
      <c r="L199" s="28">
        <f>SUM(L179:L198)</f>
        <v>-18732.082687278045</v>
      </c>
      <c r="M199" s="26" t="s">
        <v>258</v>
      </c>
      <c r="N199" s="27">
        <f>IF(COUNT(N179:N198), SUM(N179:N198) / COUNT(N179:N198), 0)</f>
        <v>7.9968659218484627E-3</v>
      </c>
      <c r="O199" s="28">
        <f>SUM(O179:O198)</f>
        <v>23990.597765545386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566E9-4776-48C0-9F3F-7261AC92866D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44949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-61,512 KRW (-2.05%)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-50,477 KRW (-1.68%)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3,302 KRW (0.11%)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-35,448 KRW (-1.18%)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2023-01-23(월) 오전 00:00</v>
      </c>
      <c r="C15" s="196"/>
      <c r="D15" s="170" t="str">
        <f>TEXT($G$1, "[$-ko-KR]yyyy-mm-dd(ddd) ") &amp; "오후 14:00"</f>
        <v>2023-01-23(월) 오후 14:00</v>
      </c>
      <c r="E15" s="171"/>
      <c r="F15" s="172"/>
      <c r="G15" s="170" t="str">
        <f>TEXT($G$1, "[$-ko-KR]yyyy-mm-dd(ddd) ") &amp; "오후 19:00"</f>
        <v>2023-01-23(월) 오후 19:00</v>
      </c>
      <c r="H15" s="171"/>
      <c r="I15" s="172"/>
      <c r="J15" s="170" t="str">
        <f>TEXT($G$1, "[$-ko-KR]yyyy-mm-dd(ddd) ") &amp; "오후 21:00"</f>
        <v>2023-01-23(월) 오후 21:00</v>
      </c>
      <c r="K15" s="171"/>
      <c r="L15" s="172"/>
      <c r="M15" s="170" t="str">
        <f>TEXT($G$1+1, "[$-ko-KR]yyyy-mm-dd(ddd) ") &amp; "오전 00:00"</f>
        <v>2023-01-24(화)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2023-01-23(월) 오전 00:00</v>
      </c>
      <c r="C42" s="198"/>
      <c r="D42" s="170" t="str">
        <f>TEXT($G$1, "[$-ko-KR]yyyy-mm-dd(ddd) ") &amp; "오후 14:00"</f>
        <v>2023-01-23(월) 오후 14:00</v>
      </c>
      <c r="E42" s="171"/>
      <c r="F42" s="172"/>
      <c r="G42" s="170" t="str">
        <f>TEXT($G$1, "[$-ko-KR]yyyy-mm-dd(ddd) ") &amp; "오후 19:00"</f>
        <v>2023-01-23(월) 오후 19:00</v>
      </c>
      <c r="H42" s="171"/>
      <c r="I42" s="172"/>
      <c r="J42" s="170" t="str">
        <f>TEXT($G$1, "[$-ko-KR]yyyy-mm-dd(ddd) ") &amp; "오후 21:00"</f>
        <v>2023-01-23(월) 오후 21:00</v>
      </c>
      <c r="K42" s="171"/>
      <c r="L42" s="172"/>
      <c r="M42" s="170" t="str">
        <f>TEXT($G$1+1, "[$-ko-KR]yyyy-mm-dd(ddd) ") &amp; "오전 00:00"</f>
        <v>2023-01-24(화)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126</v>
      </c>
      <c r="B44" s="108">
        <v>34.9</v>
      </c>
      <c r="C44" s="69">
        <v>4.8048048000000003E-2</v>
      </c>
      <c r="D44" s="13">
        <v>35.4</v>
      </c>
      <c r="E44" s="14">
        <f>IF(ISNUMBER(D44), (D44 - $B44) / $B44, "")</f>
        <v>1.4326647564469915E-2</v>
      </c>
      <c r="F44" s="16">
        <f>IF(ISNUMBER(D44), $B64 * E44, "")</f>
        <v>2148.9971346704874</v>
      </c>
      <c r="G44" s="29">
        <v>34.799999999999997</v>
      </c>
      <c r="H44" s="14">
        <f>IF(ISNUMBER(G44), (G44 - $B44) / $B44, "")</f>
        <v>-2.8653295128940235E-3</v>
      </c>
      <c r="I44" s="90">
        <f>IF(ISNUMBER(G44), $B64 * H44, "")</f>
        <v>-429.79942693410351</v>
      </c>
      <c r="J44" s="13">
        <v>35.4</v>
      </c>
      <c r="K44" s="14">
        <f>IF(ISNUMBER(J44), (J44 - $B44) / $B44, "")</f>
        <v>1.4326647564469915E-2</v>
      </c>
      <c r="L44" s="16">
        <f>IF(ISNUMBER(J44), $B64 * K44, "")</f>
        <v>2148.9971346704874</v>
      </c>
      <c r="M44" s="29">
        <v>33.9</v>
      </c>
      <c r="N44" s="14">
        <f>IF(ISNUMBER(M44), (M44 - $B44) / $B44, "")</f>
        <v>-2.865329512893983E-2</v>
      </c>
      <c r="O44" s="16">
        <f>IF(ISNUMBER(M44), $B64 * N44, "")</f>
        <v>-4297.9942693409748</v>
      </c>
      <c r="Q44" s="156"/>
      <c r="R44" s="156"/>
      <c r="S44" s="156"/>
    </row>
    <row r="45" spans="1:19" ht="17.25" customHeight="1" thickBot="1">
      <c r="A45" s="109" t="s">
        <v>138</v>
      </c>
      <c r="B45" s="110">
        <v>31.4</v>
      </c>
      <c r="C45" s="70">
        <v>4.6666666699999998E-2</v>
      </c>
      <c r="D45" s="15">
        <v>31.4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31.1</v>
      </c>
      <c r="H45" s="32">
        <f t="shared" ref="H45:H48" si="15">IF(ISNUMBER(G45), (G45 - $B45) / $B45, "")</f>
        <v>-9.5541401273884444E-3</v>
      </c>
      <c r="I45" s="91">
        <f>IF(ISNUMBER(G45), $B64 * H45, "")</f>
        <v>-1433.1210191082666</v>
      </c>
      <c r="J45" s="15">
        <v>31.7</v>
      </c>
      <c r="K45" s="32">
        <f t="shared" ref="K45:K48" si="16">IF(ISNUMBER(J45), (J45 - $B45) / $B45, "")</f>
        <v>9.5541401273885589E-3</v>
      </c>
      <c r="L45" s="18">
        <f>IF(ISNUMBER(J45), $B64 * K45, "")</f>
        <v>1433.1210191082839</v>
      </c>
      <c r="M45" s="31">
        <v>30.5</v>
      </c>
      <c r="N45" s="32">
        <f t="shared" ref="N45:N48" si="17">IF(ISNUMBER(M45), (M45 - $B45) / $B45, "")</f>
        <v>-2.8662420382165561E-2</v>
      </c>
      <c r="O45" s="18">
        <f>IF(ISNUMBER(M45), $B64 * N45, "")</f>
        <v>-4299.3630573248338</v>
      </c>
      <c r="Q45" s="156"/>
      <c r="R45" s="156"/>
      <c r="S45" s="156"/>
    </row>
    <row r="46" spans="1:19" ht="17.25" customHeight="1" thickBot="1">
      <c r="A46" s="109" t="s">
        <v>118</v>
      </c>
      <c r="B46" s="110">
        <v>6.83</v>
      </c>
      <c r="C46" s="70">
        <v>4.1158536599999997E-2</v>
      </c>
      <c r="D46" s="15">
        <v>6.73</v>
      </c>
      <c r="E46" s="32">
        <f t="shared" si="14"/>
        <v>-1.4641288433382086E-2</v>
      </c>
      <c r="F46" s="18">
        <f>IF(ISNUMBER(D46), $B64 * E46, "")</f>
        <v>-2196.1932650073127</v>
      </c>
      <c r="G46" s="31">
        <v>6.66</v>
      </c>
      <c r="H46" s="32">
        <f t="shared" si="15"/>
        <v>-2.4890190336749624E-2</v>
      </c>
      <c r="I46" s="91">
        <f>IF(ISNUMBER(G46), $B64 * H46, "")</f>
        <v>-3733.5285505124434</v>
      </c>
      <c r="J46" s="15">
        <v>6.76</v>
      </c>
      <c r="K46" s="32">
        <f t="shared" si="16"/>
        <v>-1.0248901903367538E-2</v>
      </c>
      <c r="L46" s="18">
        <f>IF(ISNUMBER(J46), $B64 * K46, "")</f>
        <v>-1537.3352855051307</v>
      </c>
      <c r="M46" s="31">
        <v>6.52</v>
      </c>
      <c r="N46" s="32">
        <f t="shared" si="17"/>
        <v>-4.5387994143484697E-2</v>
      </c>
      <c r="O46" s="18">
        <f>IF(ISNUMBER(M46), $B64 * N46, "")</f>
        <v>-6808.1991215227044</v>
      </c>
      <c r="Q46" s="146"/>
      <c r="R46" s="146"/>
      <c r="S46" s="146"/>
    </row>
    <row r="47" spans="1:19" ht="17.25" customHeight="1" thickBot="1">
      <c r="A47" s="109" t="s">
        <v>349</v>
      </c>
      <c r="B47" s="110">
        <v>29.9</v>
      </c>
      <c r="C47" s="70">
        <v>3.8194444399999999E-2</v>
      </c>
      <c r="D47" s="15">
        <v>30.1</v>
      </c>
      <c r="E47" s="32">
        <f t="shared" si="14"/>
        <v>6.6889632107024364E-3</v>
      </c>
      <c r="F47" s="18">
        <f>IF(ISNUMBER(D47), $B64 * E47, "")</f>
        <v>1003.3444816053654</v>
      </c>
      <c r="G47" s="31">
        <v>30</v>
      </c>
      <c r="H47" s="32">
        <f t="shared" si="15"/>
        <v>3.3444816053512182E-3</v>
      </c>
      <c r="I47" s="91">
        <f>IF(ISNUMBER(G47), $B64 * H47, "")</f>
        <v>501.67224080268272</v>
      </c>
      <c r="J47" s="15">
        <v>30.3</v>
      </c>
      <c r="K47" s="32">
        <f t="shared" si="16"/>
        <v>1.3377926421404755E-2</v>
      </c>
      <c r="L47" s="18">
        <f>IF(ISNUMBER(J47), $B64 * K47, "")</f>
        <v>2006.6889632107132</v>
      </c>
      <c r="M47" s="31">
        <v>29.9</v>
      </c>
      <c r="N47" s="32">
        <f t="shared" si="17"/>
        <v>0</v>
      </c>
      <c r="O47" s="18">
        <f>IF(ISNUMBER(M47), $B64 * N47, "")</f>
        <v>0</v>
      </c>
      <c r="Q47" s="146"/>
      <c r="R47" s="146"/>
      <c r="S47" s="146"/>
    </row>
    <row r="48" spans="1:19" ht="17.25" customHeight="1" thickBot="1">
      <c r="A48" s="111" t="s">
        <v>323</v>
      </c>
      <c r="B48" s="112">
        <v>3.8699999999999998E-2</v>
      </c>
      <c r="C48" s="71">
        <v>3.7533512099999999E-2</v>
      </c>
      <c r="D48" s="20">
        <v>4.0399999999999998E-2</v>
      </c>
      <c r="E48" s="21">
        <f t="shared" si="14"/>
        <v>4.3927648578811374E-2</v>
      </c>
      <c r="F48" s="22">
        <f>IF(ISNUMBER(D48), $B64 * E48, "")</f>
        <v>6589.1472868217061</v>
      </c>
      <c r="G48" s="30">
        <v>4.19E-2</v>
      </c>
      <c r="H48" s="21">
        <f t="shared" si="15"/>
        <v>8.2687338501292035E-2</v>
      </c>
      <c r="I48" s="95">
        <f>IF(ISNUMBER(G48), $B64 * H48, "")</f>
        <v>12403.100775193805</v>
      </c>
      <c r="J48" s="20">
        <v>4.24E-2</v>
      </c>
      <c r="K48" s="21">
        <f t="shared" si="16"/>
        <v>9.5607235142118913E-2</v>
      </c>
      <c r="L48" s="22">
        <f>IF(ISNUMBER(J48), $B64 * K48, "")</f>
        <v>14341.085271317837</v>
      </c>
      <c r="M48" s="30">
        <v>4.0399999999999998E-2</v>
      </c>
      <c r="N48" s="21">
        <f t="shared" si="17"/>
        <v>4.3927648578811374E-2</v>
      </c>
      <c r="O48" s="22">
        <f>IF(ISNUMBER(M48), $B64 * N48, "")</f>
        <v>6589.1472868217061</v>
      </c>
      <c r="Q48" s="146"/>
      <c r="R48" s="146"/>
      <c r="S48" s="146"/>
    </row>
    <row r="49" spans="1:19" ht="17.25" customHeight="1" thickBot="1">
      <c r="A49" s="109" t="s">
        <v>122</v>
      </c>
      <c r="B49" s="113">
        <v>28.2</v>
      </c>
      <c r="C49" s="73">
        <v>3.67647059E-2</v>
      </c>
      <c r="D49" s="96">
        <v>27.9</v>
      </c>
      <c r="E49" s="97">
        <f>IF(ISNUMBER(D49), (D49 - $B49) / $B49, "")</f>
        <v>-1.0638297872340451E-2</v>
      </c>
      <c r="F49" s="98">
        <f>IF(ISNUMBER(D49), $B64 * E49, "")</f>
        <v>-1595.7446808510676</v>
      </c>
      <c r="G49" s="99">
        <v>28</v>
      </c>
      <c r="H49" s="97">
        <f>IF(ISNUMBER(G49), (G49 - $B49) / $B49, "")</f>
        <v>-7.0921985815602584E-3</v>
      </c>
      <c r="I49" s="100">
        <f>IF(ISNUMBER(G49), $B64 * H49, "")</f>
        <v>-1063.8297872340388</v>
      </c>
      <c r="J49" s="96">
        <v>28.2</v>
      </c>
      <c r="K49" s="97">
        <f>IF(ISNUMBER(J49), (J49 - $B49) / $B49, "")</f>
        <v>0</v>
      </c>
      <c r="L49" s="98">
        <f>IF(ISNUMBER(J49), $B64 * K49, "")</f>
        <v>0</v>
      </c>
      <c r="M49" s="99">
        <v>27.6</v>
      </c>
      <c r="N49" s="97">
        <f>IF(ISNUMBER(M49), (M49 - $B49) / $B49, "")</f>
        <v>-2.1276595744680778E-2</v>
      </c>
      <c r="O49" s="98">
        <f>IF(ISNUMBER(M49), $B64 * N49, "")</f>
        <v>-3191.4893617021166</v>
      </c>
      <c r="Q49" s="146"/>
      <c r="R49" s="146"/>
      <c r="S49" s="146"/>
    </row>
    <row r="50" spans="1:19" ht="17.25" customHeight="1" thickBot="1">
      <c r="A50" s="109" t="s">
        <v>324</v>
      </c>
      <c r="B50" s="110">
        <v>98.6</v>
      </c>
      <c r="C50" s="70">
        <v>3.4627492099999997E-2</v>
      </c>
      <c r="D50" s="15">
        <v>98.6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98.4</v>
      </c>
      <c r="H50" s="32">
        <f t="shared" ref="H50:H53" si="19">IF(ISNUMBER(G50), (G50 - $B50) / $B50, "")</f>
        <v>-2.0283975659228055E-3</v>
      </c>
      <c r="I50" s="91">
        <f>IF(ISNUMBER(G50), $B64 * H50, "")</f>
        <v>-304.25963488842081</v>
      </c>
      <c r="J50" s="15">
        <v>99.3</v>
      </c>
      <c r="K50" s="32">
        <f t="shared" ref="K50:K53" si="20">IF(ISNUMBER(J50), (J50 - $B50) / $B50, "")</f>
        <v>7.0993914807302525E-3</v>
      </c>
      <c r="L50" s="18">
        <f>IF(ISNUMBER(J50), $B64 * K50, "")</f>
        <v>1064.9087221095378</v>
      </c>
      <c r="M50" s="31">
        <v>96.9</v>
      </c>
      <c r="N50" s="32">
        <f t="shared" ref="N50:N53" si="21">IF(ISNUMBER(M50), (M50 - $B50) / $B50, "")</f>
        <v>-1.7241379310344713E-2</v>
      </c>
      <c r="O50" s="18">
        <f>IF(ISNUMBER(M50), $B64 * N50, "")</f>
        <v>-2586.2068965517069</v>
      </c>
      <c r="Q50" s="146"/>
      <c r="R50" s="146"/>
      <c r="S50" s="146"/>
    </row>
    <row r="51" spans="1:19" ht="17.25" customHeight="1" thickBot="1">
      <c r="A51" s="109" t="s">
        <v>56</v>
      </c>
      <c r="B51" s="110">
        <v>47.1</v>
      </c>
      <c r="C51" s="70">
        <v>2.8384279500000002E-2</v>
      </c>
      <c r="D51" s="15">
        <v>47.5</v>
      </c>
      <c r="E51" s="32">
        <f t="shared" si="18"/>
        <v>8.4925690021231126E-3</v>
      </c>
      <c r="F51" s="18">
        <f>IF(ISNUMBER(D51), $B64 * E51, "")</f>
        <v>1273.8853503184669</v>
      </c>
      <c r="G51" s="31">
        <v>47.4</v>
      </c>
      <c r="H51" s="32">
        <f t="shared" si="19"/>
        <v>6.3694267515922963E-3</v>
      </c>
      <c r="I51" s="91">
        <f>IF(ISNUMBER(G51), $B64 * H51, "")</f>
        <v>955.41401273884446</v>
      </c>
      <c r="J51" s="15">
        <v>47.8</v>
      </c>
      <c r="K51" s="32">
        <f t="shared" si="20"/>
        <v>1.4861995753715407E-2</v>
      </c>
      <c r="L51" s="18">
        <f>IF(ISNUMBER(J51), $B64 * K51, "")</f>
        <v>2229.299363057311</v>
      </c>
      <c r="M51" s="31">
        <v>46.3</v>
      </c>
      <c r="N51" s="32">
        <f t="shared" si="21"/>
        <v>-1.6985138004246374E-2</v>
      </c>
      <c r="O51" s="18">
        <f>IF(ISNUMBER(M51), $B64 * N51, "")</f>
        <v>-2547.770700636956</v>
      </c>
      <c r="Q51" s="146"/>
      <c r="R51" s="146"/>
      <c r="S51" s="146"/>
    </row>
    <row r="52" spans="1:19" ht="17.25" customHeight="1" thickBot="1">
      <c r="A52" s="109" t="s">
        <v>352</v>
      </c>
      <c r="B52" s="110">
        <v>1.5100000000000001E-2</v>
      </c>
      <c r="C52" s="70">
        <v>2.72108844E-2</v>
      </c>
      <c r="D52" s="15">
        <v>1.5100000000000001E-2</v>
      </c>
      <c r="E52" s="32">
        <f t="shared" si="18"/>
        <v>0</v>
      </c>
      <c r="F52" s="18">
        <f>IF(ISNUMBER(D52), $B64 * E52, "")</f>
        <v>0</v>
      </c>
      <c r="G52" s="31">
        <v>1.4999999999999999E-2</v>
      </c>
      <c r="H52" s="32">
        <f t="shared" si="19"/>
        <v>-6.6225165562914653E-3</v>
      </c>
      <c r="I52" s="91">
        <f>IF(ISNUMBER(G52), $B64 * H52, "")</f>
        <v>-993.37748344371983</v>
      </c>
      <c r="J52" s="15">
        <v>1.5100000000000001E-2</v>
      </c>
      <c r="K52" s="32">
        <f t="shared" si="20"/>
        <v>0</v>
      </c>
      <c r="L52" s="18">
        <f>IF(ISNUMBER(J52), $B64 * K52, "")</f>
        <v>0</v>
      </c>
      <c r="M52" s="31">
        <v>1.49E-2</v>
      </c>
      <c r="N52" s="32">
        <f t="shared" si="21"/>
        <v>-1.3245033112582816E-2</v>
      </c>
      <c r="O52" s="18">
        <f>IF(ISNUMBER(M52), $B64 * N52, "")</f>
        <v>-1986.7549668874224</v>
      </c>
      <c r="Q52" s="33"/>
      <c r="R52" s="33"/>
    </row>
    <row r="53" spans="1:19" ht="17.25" customHeight="1" thickBot="1">
      <c r="A53" s="114" t="s">
        <v>132</v>
      </c>
      <c r="B53" s="115">
        <v>59.1</v>
      </c>
      <c r="C53" s="72">
        <v>2.24913495E-2</v>
      </c>
      <c r="D53" s="24">
        <v>58.5</v>
      </c>
      <c r="E53" s="25">
        <f t="shared" si="18"/>
        <v>-1.0152284263959414E-2</v>
      </c>
      <c r="F53" s="94">
        <f>IF(ISNUMBER(D53), $B64 * E53, "")</f>
        <v>-1522.8426395939121</v>
      </c>
      <c r="G53" s="92">
        <v>57.9</v>
      </c>
      <c r="H53" s="25">
        <f t="shared" si="19"/>
        <v>-2.0304568527918829E-2</v>
      </c>
      <c r="I53" s="93">
        <f>IF(ISNUMBER(G53), $B64 * H53, "")</f>
        <v>-3045.6852791878241</v>
      </c>
      <c r="J53" s="24">
        <v>58.6</v>
      </c>
      <c r="K53" s="25">
        <f t="shared" si="20"/>
        <v>-8.4602368866328256E-3</v>
      </c>
      <c r="L53" s="94">
        <f>IF(ISNUMBER(J53), $B64 * K53, "")</f>
        <v>-1269.0355329949239</v>
      </c>
      <c r="M53" s="92">
        <v>57.7</v>
      </c>
      <c r="N53" s="25">
        <f t="shared" si="21"/>
        <v>-2.3688663282571888E-2</v>
      </c>
      <c r="O53" s="94">
        <f>IF(ISNUMBER(M53), $B64 * N53, "")</f>
        <v>-3553.2994923857832</v>
      </c>
      <c r="Q53" s="147"/>
      <c r="R53" s="148"/>
      <c r="S53" s="149"/>
    </row>
    <row r="54" spans="1:19" ht="17.25" customHeight="1">
      <c r="A54" s="107" t="s">
        <v>225</v>
      </c>
      <c r="B54" s="108">
        <v>70.3</v>
      </c>
      <c r="C54" s="69">
        <v>1.8840579699999999E-2</v>
      </c>
      <c r="D54" s="13">
        <v>68.8</v>
      </c>
      <c r="E54" s="14">
        <f>IF(ISNUMBER(D54), (D54 - $B54) / $B54, "")</f>
        <v>-2.1337126600284497E-2</v>
      </c>
      <c r="F54" s="16">
        <f>IF(ISNUMBER(D54), $B64 * E54, "")</f>
        <v>-3200.5689900426746</v>
      </c>
      <c r="G54" s="29">
        <v>67.900000000000006</v>
      </c>
      <c r="H54" s="14">
        <f>IF(ISNUMBER(G54), (G54 - $B54) / $B54, "")</f>
        <v>-3.413940256045507E-2</v>
      </c>
      <c r="I54" s="90">
        <f>IF(ISNUMBER(G54), $B64 * H54, "")</f>
        <v>-5120.910384068261</v>
      </c>
      <c r="J54" s="13">
        <v>68.099999999999994</v>
      </c>
      <c r="K54" s="14">
        <f>IF(ISNUMBER(J54), (J54 - $B54) / $B54, "")</f>
        <v>-3.1294452347083966E-2</v>
      </c>
      <c r="L54" s="16">
        <f>IF(ISNUMBER(J54), $B64 * K54, "")</f>
        <v>-4694.1678520625946</v>
      </c>
      <c r="M54" s="29">
        <v>67.099999999999994</v>
      </c>
      <c r="N54" s="14">
        <f>IF(ISNUMBER(M54), (M54 - $B54) / $B54, "")</f>
        <v>-4.55192034139403E-2</v>
      </c>
      <c r="O54" s="16">
        <f>IF(ISNUMBER(M54), $B64 * N54, "")</f>
        <v>-6827.8805120910447</v>
      </c>
      <c r="Q54" s="150"/>
      <c r="R54" s="151"/>
      <c r="S54" s="152"/>
    </row>
    <row r="55" spans="1:19" ht="17.25" customHeight="1" thickBot="1">
      <c r="A55" s="109" t="s">
        <v>64</v>
      </c>
      <c r="B55" s="110">
        <v>12.2</v>
      </c>
      <c r="C55" s="70">
        <v>1.6666666699999999E-2</v>
      </c>
      <c r="D55" s="15">
        <v>12.3</v>
      </c>
      <c r="E55" s="32">
        <f t="shared" ref="E55:E58" si="22">IF(ISNUMBER(D55), (D55 - $B55) / $B55, "")</f>
        <v>8.1967213114755265E-3</v>
      </c>
      <c r="F55" s="18">
        <f>IF(ISNUMBER(D55), $B64 * E55, "")</f>
        <v>1229.5081967213289</v>
      </c>
      <c r="G55" s="31">
        <v>12.3</v>
      </c>
      <c r="H55" s="32">
        <f t="shared" ref="H55:H58" si="23">IF(ISNUMBER(G55), (G55 - $B55) / $B55, "")</f>
        <v>8.1967213114755265E-3</v>
      </c>
      <c r="I55" s="91">
        <f>IF(ISNUMBER(G55), $B64 * H55, "")</f>
        <v>1229.5081967213289</v>
      </c>
      <c r="J55" s="15">
        <v>12.3</v>
      </c>
      <c r="K55" s="32">
        <f t="shared" ref="K55:K58" si="24">IF(ISNUMBER(J55), (J55 - $B55) / $B55, "")</f>
        <v>8.1967213114755265E-3</v>
      </c>
      <c r="L55" s="18">
        <f>IF(ISNUMBER(J55), $B64 * K55, "")</f>
        <v>1229.5081967213289</v>
      </c>
      <c r="M55" s="31">
        <v>12.1</v>
      </c>
      <c r="N55" s="32">
        <f t="shared" ref="N55:N58" si="25">IF(ISNUMBER(M55), (M55 - $B55) / $B55, "")</f>
        <v>-8.1967213114753808E-3</v>
      </c>
      <c r="O55" s="18">
        <f>IF(ISNUMBER(M55), $B64 * N55, "")</f>
        <v>-1229.5081967213071</v>
      </c>
      <c r="Q55" s="153"/>
      <c r="R55" s="154"/>
      <c r="S55" s="155"/>
    </row>
    <row r="56" spans="1:19" ht="17.25" customHeight="1" thickBot="1">
      <c r="A56" s="109" t="s">
        <v>217</v>
      </c>
      <c r="B56" s="110">
        <v>85.5</v>
      </c>
      <c r="C56" s="70">
        <v>1.4234875399999999E-2</v>
      </c>
      <c r="D56" s="15">
        <v>85</v>
      </c>
      <c r="E56" s="32">
        <f t="shared" si="22"/>
        <v>-5.8479532163742687E-3</v>
      </c>
      <c r="F56" s="18">
        <f>IF(ISNUMBER(D56), $B64 * E56, "")</f>
        <v>-877.19298245614027</v>
      </c>
      <c r="G56" s="31">
        <v>84</v>
      </c>
      <c r="H56" s="32">
        <f t="shared" si="23"/>
        <v>-1.7543859649122806E-2</v>
      </c>
      <c r="I56" s="91">
        <f>IF(ISNUMBER(G56), $B64 * H56, "")</f>
        <v>-2631.5789473684208</v>
      </c>
      <c r="J56" s="15">
        <v>84.6</v>
      </c>
      <c r="K56" s="32">
        <f t="shared" si="24"/>
        <v>-1.052631578947375E-2</v>
      </c>
      <c r="L56" s="18">
        <f>IF(ISNUMBER(J56), $B64 * K56, "")</f>
        <v>-1578.9473684210625</v>
      </c>
      <c r="M56" s="31">
        <v>83.4</v>
      </c>
      <c r="N56" s="32">
        <f t="shared" si="25"/>
        <v>-2.4561403508771864E-2</v>
      </c>
      <c r="O56" s="18">
        <f>IF(ISNUMBER(M56), $B64 * N56, "")</f>
        <v>-3684.2105263157796</v>
      </c>
      <c r="Q56" s="146"/>
      <c r="R56" s="146"/>
      <c r="S56" s="146"/>
    </row>
    <row r="57" spans="1:19" ht="17.25" customHeight="1" thickBot="1">
      <c r="A57" s="109" t="s">
        <v>124</v>
      </c>
      <c r="B57" s="110">
        <v>36</v>
      </c>
      <c r="C57" s="70">
        <v>1.4084507E-2</v>
      </c>
      <c r="D57" s="15">
        <v>35.799999999999997</v>
      </c>
      <c r="E57" s="32">
        <f t="shared" si="22"/>
        <v>-5.5555555555556347E-3</v>
      </c>
      <c r="F57" s="18">
        <f>IF(ISNUMBER(D57), $B64 * E57, "")</f>
        <v>-833.33333333334519</v>
      </c>
      <c r="G57" s="31">
        <v>35.799999999999997</v>
      </c>
      <c r="H57" s="32">
        <f t="shared" si="23"/>
        <v>-5.5555555555556347E-3</v>
      </c>
      <c r="I57" s="91">
        <f>IF(ISNUMBER(G57), $B64 * H57, "")</f>
        <v>-833.33333333334519</v>
      </c>
      <c r="J57" s="15">
        <v>35.9</v>
      </c>
      <c r="K57" s="32">
        <f t="shared" si="24"/>
        <v>-2.7777777777778173E-3</v>
      </c>
      <c r="L57" s="18">
        <f>IF(ISNUMBER(J57), $B64 * K57, "")</f>
        <v>-416.6666666666726</v>
      </c>
      <c r="M57" s="31">
        <v>35.200000000000003</v>
      </c>
      <c r="N57" s="32">
        <f t="shared" si="25"/>
        <v>-2.2222222222222143E-2</v>
      </c>
      <c r="O57" s="18">
        <f>IF(ISNUMBER(M57), $B64 * N57, "")</f>
        <v>-3333.3333333333217</v>
      </c>
      <c r="Q57" s="156"/>
      <c r="R57" s="156"/>
      <c r="S57" s="156"/>
    </row>
    <row r="58" spans="1:19" ht="17.25" customHeight="1" thickBot="1">
      <c r="A58" s="111" t="s">
        <v>237</v>
      </c>
      <c r="B58" s="112">
        <v>30.9</v>
      </c>
      <c r="C58" s="71">
        <v>1.3114754100000001E-2</v>
      </c>
      <c r="D58" s="20">
        <v>30.9</v>
      </c>
      <c r="E58" s="21">
        <f t="shared" si="22"/>
        <v>0</v>
      </c>
      <c r="F58" s="22">
        <f>IF(ISNUMBER(D58), $B64 * E58, "")</f>
        <v>0</v>
      </c>
      <c r="G58" s="30">
        <v>30.9</v>
      </c>
      <c r="H58" s="21">
        <f t="shared" si="23"/>
        <v>0</v>
      </c>
      <c r="I58" s="95">
        <f>IF(ISNUMBER(G58), $B64 * H58, "")</f>
        <v>0</v>
      </c>
      <c r="J58" s="20">
        <v>31.1</v>
      </c>
      <c r="K58" s="21">
        <f t="shared" si="24"/>
        <v>6.4724919093852055E-3</v>
      </c>
      <c r="L58" s="22">
        <f>IF(ISNUMBER(J58), $B64 * K58, "")</f>
        <v>970.87378640778081</v>
      </c>
      <c r="M58" s="30">
        <v>30.6</v>
      </c>
      <c r="N58" s="21">
        <f t="shared" si="25"/>
        <v>-9.7087378640775789E-3</v>
      </c>
      <c r="O58" s="22">
        <f>IF(ISNUMBER(M58), $B64 * N58, "")</f>
        <v>-1456.3106796116367</v>
      </c>
      <c r="Q58" s="156"/>
      <c r="R58" s="156"/>
      <c r="S58" s="156"/>
    </row>
    <row r="59" spans="1:19" ht="17.25" customHeight="1" thickBot="1">
      <c r="A59" s="109" t="s">
        <v>145</v>
      </c>
      <c r="B59" s="113">
        <v>77.7</v>
      </c>
      <c r="C59" s="73">
        <v>1.04031209E-2</v>
      </c>
      <c r="D59" s="96">
        <v>77.5</v>
      </c>
      <c r="E59" s="97">
        <f>IF(ISNUMBER(D59), (D59 - $B59) / $B59, "")</f>
        <v>-2.5740025740026103E-3</v>
      </c>
      <c r="F59" s="98">
        <f>IF(ISNUMBER(D59), $B64 * E59, "")</f>
        <v>-386.10038610039157</v>
      </c>
      <c r="G59" s="99">
        <v>77.5</v>
      </c>
      <c r="H59" s="97">
        <f>IF(ISNUMBER(G59), (G59 - $B59) / $B59, "")</f>
        <v>-2.5740025740026103E-3</v>
      </c>
      <c r="I59" s="100">
        <f>IF(ISNUMBER(G59), $B64 * H59, "")</f>
        <v>-386.10038610039157</v>
      </c>
      <c r="J59" s="96">
        <v>77.599999999999994</v>
      </c>
      <c r="K59" s="97">
        <f>IF(ISNUMBER(J59), (J59 - $B59) / $B59, "")</f>
        <v>-1.2870012870013967E-3</v>
      </c>
      <c r="L59" s="98">
        <f>IF(ISNUMBER(J59), $B64 * K59, "")</f>
        <v>-193.05019305020951</v>
      </c>
      <c r="M59" s="99">
        <v>76.8</v>
      </c>
      <c r="N59" s="97">
        <f>IF(ISNUMBER(M59), (M59 - $B59) / $B59, "")</f>
        <v>-1.1583011583011655E-2</v>
      </c>
      <c r="O59" s="98">
        <f>IF(ISNUMBER(M59), $B64 * N59, "")</f>
        <v>-1737.4517374517484</v>
      </c>
      <c r="Q59" s="146"/>
      <c r="R59" s="146"/>
      <c r="S59" s="146"/>
    </row>
    <row r="60" spans="1:19" ht="17.25" customHeight="1" thickBot="1">
      <c r="A60" s="109" t="s">
        <v>193</v>
      </c>
      <c r="B60" s="110">
        <v>20.399999999999999</v>
      </c>
      <c r="C60" s="70">
        <v>9.9009900999999997E-3</v>
      </c>
      <c r="D60" s="15">
        <v>20.3</v>
      </c>
      <c r="E60" s="32">
        <f t="shared" ref="E60:E63" si="26">IF(ISNUMBER(D60), (D60 - $B60) / $B60, "")</f>
        <v>-4.9019607843136213E-3</v>
      </c>
      <c r="F60" s="18">
        <f>IF(ISNUMBER(D60), $B64 * E60, "")</f>
        <v>-735.29411764704321</v>
      </c>
      <c r="G60" s="31">
        <v>20.100000000000001</v>
      </c>
      <c r="H60" s="32">
        <f t="shared" ref="H60:H63" si="27">IF(ISNUMBER(G60), (G60 - $B60) / $B60, "")</f>
        <v>-1.4705882352941037E-2</v>
      </c>
      <c r="I60" s="91">
        <f>IF(ISNUMBER(G60), $B64 * H60, "")</f>
        <v>-2205.8823529411557</v>
      </c>
      <c r="J60" s="15">
        <v>20.2</v>
      </c>
      <c r="K60" s="32">
        <f t="shared" ref="K60:K63" si="28">IF(ISNUMBER(J60), (J60 - $B60) / $B60, "")</f>
        <v>-9.8039215686274161E-3</v>
      </c>
      <c r="L60" s="18">
        <f>IF(ISNUMBER(J60), $B64 * K60, "")</f>
        <v>-1470.5882352941123</v>
      </c>
      <c r="M60" s="31">
        <v>19.899999999999999</v>
      </c>
      <c r="N60" s="32">
        <f t="shared" ref="N60:N63" si="29">IF(ISNUMBER(M60), (M60 - $B60) / $B60, "")</f>
        <v>-2.4509803921568631E-2</v>
      </c>
      <c r="O60" s="18">
        <f>IF(ISNUMBER(M60), $B64 * N60, "")</f>
        <v>-3676.4705882352946</v>
      </c>
      <c r="Q60" s="146"/>
      <c r="R60" s="146"/>
      <c r="S60" s="146"/>
    </row>
    <row r="61" spans="1:19" ht="17.25" customHeight="1" thickBot="1">
      <c r="A61" s="109" t="s">
        <v>141</v>
      </c>
      <c r="B61" s="110">
        <v>3.86</v>
      </c>
      <c r="C61" s="70">
        <v>7.8328982000000005E-3</v>
      </c>
      <c r="D61" s="15">
        <v>3.8</v>
      </c>
      <c r="E61" s="32">
        <f t="shared" si="26"/>
        <v>-1.5544041450777216E-2</v>
      </c>
      <c r="F61" s="18">
        <f>IF(ISNUMBER(D61), $B64 * E61, "")</f>
        <v>-2331.6062176165824</v>
      </c>
      <c r="G61" s="31">
        <v>3.8</v>
      </c>
      <c r="H61" s="32">
        <f t="shared" si="27"/>
        <v>-1.5544041450777216E-2</v>
      </c>
      <c r="I61" s="91">
        <f>IF(ISNUMBER(G61), $B64 * H61, "")</f>
        <v>-2331.6062176165824</v>
      </c>
      <c r="J61" s="15">
        <v>3.83</v>
      </c>
      <c r="K61" s="32">
        <f t="shared" si="28"/>
        <v>-7.7720207253885506E-3</v>
      </c>
      <c r="L61" s="18">
        <f>IF(ISNUMBER(J61), $B64 * K61, "")</f>
        <v>-1165.8031088082826</v>
      </c>
      <c r="M61" s="31">
        <v>3.77</v>
      </c>
      <c r="N61" s="32">
        <f t="shared" si="29"/>
        <v>-2.3316062176165768E-2</v>
      </c>
      <c r="O61" s="18">
        <f>IF(ISNUMBER(M61), $B64 * N61, "")</f>
        <v>-3497.4093264248654</v>
      </c>
      <c r="Q61" s="146"/>
      <c r="R61" s="146"/>
      <c r="S61" s="146"/>
    </row>
    <row r="62" spans="1:19" ht="17.25" customHeight="1">
      <c r="A62" s="109" t="s">
        <v>197</v>
      </c>
      <c r="B62" s="110">
        <v>7.48</v>
      </c>
      <c r="C62" s="70">
        <v>6.7294751E-3</v>
      </c>
      <c r="D62" s="15">
        <v>7.46</v>
      </c>
      <c r="E62" s="32">
        <f t="shared" si="26"/>
        <v>-2.6737967914439117E-3</v>
      </c>
      <c r="F62" s="18">
        <f>IF(ISNUMBER(D62), $B64 * E62, "")</f>
        <v>-401.06951871658674</v>
      </c>
      <c r="G62" s="31">
        <v>7.49</v>
      </c>
      <c r="H62" s="32">
        <f t="shared" si="27"/>
        <v>1.3368983957218966E-3</v>
      </c>
      <c r="I62" s="91">
        <f>IF(ISNUMBER(G62), $B64 * H62, "")</f>
        <v>200.5347593582845</v>
      </c>
      <c r="J62" s="15">
        <v>7.53</v>
      </c>
      <c r="K62" s="32">
        <f t="shared" si="28"/>
        <v>6.6844919786096012E-3</v>
      </c>
      <c r="L62" s="18">
        <f>IF(ISNUMBER(J62), $B64 * K62, "")</f>
        <v>1002.6737967914402</v>
      </c>
      <c r="M62" s="31">
        <v>7.47</v>
      </c>
      <c r="N62" s="32">
        <f t="shared" si="29"/>
        <v>-1.3368983957220153E-3</v>
      </c>
      <c r="O62" s="18">
        <f>IF(ISNUMBER(M62), $B64 * N62, "")</f>
        <v>-200.5347593583023</v>
      </c>
      <c r="Q62" s="135"/>
      <c r="R62" s="136"/>
      <c r="S62" s="137"/>
    </row>
    <row r="63" spans="1:19" ht="17.25" customHeight="1" thickBot="1">
      <c r="A63" s="114" t="s">
        <v>181</v>
      </c>
      <c r="B63" s="115">
        <v>4.88</v>
      </c>
      <c r="C63" s="72">
        <v>4.1152263000000001E-3</v>
      </c>
      <c r="D63" s="24">
        <v>4.87</v>
      </c>
      <c r="E63" s="25">
        <f t="shared" si="26"/>
        <v>-2.0491803278688088E-3</v>
      </c>
      <c r="F63" s="94">
        <f>IF(ISNUMBER(D63), $B64 * E63, "")</f>
        <v>-307.37704918032131</v>
      </c>
      <c r="G63" s="92">
        <v>4.8600000000000003</v>
      </c>
      <c r="H63" s="25">
        <f t="shared" si="27"/>
        <v>-4.0983606557376175E-3</v>
      </c>
      <c r="I63" s="93">
        <f>IF(ISNUMBER(G63), $B64 * H63, "")</f>
        <v>-614.75409836064262</v>
      </c>
      <c r="J63" s="24">
        <v>4.87</v>
      </c>
      <c r="K63" s="25">
        <f t="shared" si="28"/>
        <v>-2.0491803278688088E-3</v>
      </c>
      <c r="L63" s="94">
        <f>IF(ISNUMBER(J63), $B64 * K63, "")</f>
        <v>-307.37704918032131</v>
      </c>
      <c r="M63" s="92">
        <v>4.8099999999999996</v>
      </c>
      <c r="N63" s="25">
        <f t="shared" si="29"/>
        <v>-1.4344262295082027E-2</v>
      </c>
      <c r="O63" s="94">
        <f>IF(ISNUMBER(M63), $B64 * N63, "")</f>
        <v>-2151.6393442623039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-7.1414691013600793E-4</v>
      </c>
      <c r="F64" s="28">
        <f>SUM(F44:F63)</f>
        <v>-2142.4407304080232</v>
      </c>
      <c r="G64" s="26" t="s">
        <v>258</v>
      </c>
      <c r="H64" s="27">
        <f>IF(COUNT(H44:H63), SUM(H44:H63) / COUNT(H44:H63), 0)</f>
        <v>-3.2791789720942239E-3</v>
      </c>
      <c r="I64" s="28">
        <f>SUM(I44:I63)</f>
        <v>-9837.5369162826719</v>
      </c>
      <c r="J64" s="26" t="s">
        <v>258</v>
      </c>
      <c r="K64" s="27">
        <f>IF(COUNT(K44:K63), SUM(K44:K63) / COUNT(K44:K63), 0)</f>
        <v>4.5980616538038033E-3</v>
      </c>
      <c r="L64" s="28">
        <f>SUM(L44:L63)</f>
        <v>13794.184961411413</v>
      </c>
      <c r="M64" s="26" t="s">
        <v>258</v>
      </c>
      <c r="N64" s="27">
        <f>IF(COUNT(N44:N63), SUM(N44:N63) / COUNT(N44:N63), 0)</f>
        <v>-1.6825559861112133E-2</v>
      </c>
      <c r="O64" s="28">
        <f>SUM(O44:O63)</f>
        <v>-50476.679583336387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2023-01-23(월) 오전 00:00</v>
      </c>
      <c r="C69" s="198"/>
      <c r="D69" s="170" t="str">
        <f>TEXT($G$1, "[$-ko-KR]yyyy-mm-dd(ddd) ") &amp; "오후 14:00"</f>
        <v>2023-01-23(월) 오후 14:00</v>
      </c>
      <c r="E69" s="171"/>
      <c r="F69" s="172"/>
      <c r="G69" s="170" t="str">
        <f>TEXT($G$1, "[$-ko-KR]yyyy-mm-dd(ddd) ") &amp; "오후 19:00"</f>
        <v>2023-01-23(월) 오후 19:00</v>
      </c>
      <c r="H69" s="171"/>
      <c r="I69" s="172"/>
      <c r="J69" s="170" t="str">
        <f>TEXT($G$1, "[$-ko-KR]yyyy-mm-dd(ddd) ") &amp; "오후 21:00"</f>
        <v>2023-01-23(월) 오후 21:00</v>
      </c>
      <c r="K69" s="171"/>
      <c r="L69" s="172"/>
      <c r="M69" s="170" t="str">
        <f>TEXT($G$1+1, "[$-ko-KR]yyyy-mm-dd(ddd) ") &amp; "오전 00:00"</f>
        <v>2023-01-24(화)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332</v>
      </c>
      <c r="B71" s="108">
        <v>667</v>
      </c>
      <c r="C71" s="69">
        <v>6.8910256399999995E-2</v>
      </c>
      <c r="D71" s="13">
        <v>668</v>
      </c>
      <c r="E71" s="14">
        <f>IF(ISNUMBER(D71), (D71 - $B71) / $B71, "")</f>
        <v>1.4992503748125937E-3</v>
      </c>
      <c r="F71" s="16">
        <f>IF(ISNUMBER(D71), $B91 * E71, "")</f>
        <v>224.88755622188904</v>
      </c>
      <c r="G71" s="29">
        <v>667</v>
      </c>
      <c r="H71" s="14">
        <f>IF(ISNUMBER(G71), (G71 - $B71) / $B71, "")</f>
        <v>0</v>
      </c>
      <c r="I71" s="90">
        <f>IF(ISNUMBER(G71), $B91 * H71, "")</f>
        <v>0</v>
      </c>
      <c r="J71" s="13">
        <v>683</v>
      </c>
      <c r="K71" s="14">
        <f>IF(ISNUMBER(J71), (J71 - $B71) / $B71, "")</f>
        <v>2.3988005997001498E-2</v>
      </c>
      <c r="L71" s="16">
        <f>IF(ISNUMBER(J71), $B91 * K71, "")</f>
        <v>3598.2008995502247</v>
      </c>
      <c r="M71" s="29">
        <v>657</v>
      </c>
      <c r="N71" s="14">
        <f>IF(ISNUMBER(M71), (M71 - $B71) / $B71, "")</f>
        <v>-1.4992503748125937E-2</v>
      </c>
      <c r="O71" s="16">
        <f>IF(ISNUMBER(M71), $B91 * N71, "")</f>
        <v>-2248.8755622188905</v>
      </c>
      <c r="Q71" s="156"/>
      <c r="R71" s="156"/>
      <c r="S71" s="156"/>
    </row>
    <row r="72" spans="1:19" ht="17.25" thickBot="1">
      <c r="A72" s="109" t="s">
        <v>326</v>
      </c>
      <c r="B72" s="110">
        <v>314</v>
      </c>
      <c r="C72" s="70">
        <v>5.7239057199999999E-2</v>
      </c>
      <c r="D72" s="15">
        <v>311</v>
      </c>
      <c r="E72" s="32">
        <f t="shared" ref="E72:E75" si="30">IF(ISNUMBER(D72), (D72 - $B72) / $B72, "")</f>
        <v>-9.5541401273885346E-3</v>
      </c>
      <c r="F72" s="18">
        <f>IF(ISNUMBER(D72), $B91 * E72, "")</f>
        <v>-1433.1210191082803</v>
      </c>
      <c r="G72" s="31">
        <v>315</v>
      </c>
      <c r="H72" s="32">
        <f t="shared" ref="H72:H75" si="31">IF(ISNUMBER(G72), (G72 - $B72) / $B72, "")</f>
        <v>3.1847133757961785E-3</v>
      </c>
      <c r="I72" s="91">
        <f>IF(ISNUMBER(G72), $B91 * H72, "")</f>
        <v>477.70700636942678</v>
      </c>
      <c r="J72" s="15">
        <v>315</v>
      </c>
      <c r="K72" s="32">
        <f t="shared" ref="K72:K75" si="32">IF(ISNUMBER(J72), (J72 - $B72) / $B72, "")</f>
        <v>3.1847133757961785E-3</v>
      </c>
      <c r="L72" s="18">
        <f>IF(ISNUMBER(J72), $B91 * K72, "")</f>
        <v>477.70700636942678</v>
      </c>
      <c r="M72" s="31">
        <v>309</v>
      </c>
      <c r="N72" s="32">
        <f t="shared" ref="N72:N75" si="33">IF(ISNUMBER(M72), (M72 - $B72) / $B72, "")</f>
        <v>-1.5923566878980892E-2</v>
      </c>
      <c r="O72" s="18">
        <f>IF(ISNUMBER(M72), $B91 * N72, "")</f>
        <v>-2388.5350318471337</v>
      </c>
      <c r="Q72" s="156"/>
      <c r="R72" s="156"/>
      <c r="S72" s="156"/>
    </row>
    <row r="73" spans="1:19" ht="17.25" thickBot="1">
      <c r="A73" s="109" t="s">
        <v>169</v>
      </c>
      <c r="B73" s="110">
        <v>285</v>
      </c>
      <c r="C73" s="70">
        <v>5.1660516599999998E-2</v>
      </c>
      <c r="D73" s="15">
        <v>282</v>
      </c>
      <c r="E73" s="32">
        <f t="shared" si="30"/>
        <v>-1.0526315789473684E-2</v>
      </c>
      <c r="F73" s="18">
        <f>IF(ISNUMBER(D73), $B91 * E73, "")</f>
        <v>-1578.9473684210525</v>
      </c>
      <c r="G73" s="31">
        <v>284</v>
      </c>
      <c r="H73" s="32">
        <f t="shared" si="31"/>
        <v>-3.5087719298245615E-3</v>
      </c>
      <c r="I73" s="91">
        <f>IF(ISNUMBER(G73), $B91 * H73, "")</f>
        <v>-526.31578947368428</v>
      </c>
      <c r="J73" s="15">
        <v>286</v>
      </c>
      <c r="K73" s="32">
        <f t="shared" si="32"/>
        <v>3.5087719298245615E-3</v>
      </c>
      <c r="L73" s="18">
        <f>IF(ISNUMBER(J73), $B91 * K73, "")</f>
        <v>526.31578947368428</v>
      </c>
      <c r="M73" s="31">
        <v>279</v>
      </c>
      <c r="N73" s="32">
        <f t="shared" si="33"/>
        <v>-2.1052631578947368E-2</v>
      </c>
      <c r="O73" s="18">
        <f>IF(ISNUMBER(M73), $B91 * N73, "")</f>
        <v>-3157.894736842105</v>
      </c>
      <c r="Q73" s="146"/>
      <c r="R73" s="146"/>
      <c r="S73" s="146"/>
    </row>
    <row r="74" spans="1:19" ht="17.25" thickBot="1">
      <c r="A74" s="109" t="s">
        <v>60</v>
      </c>
      <c r="B74" s="110">
        <v>938</v>
      </c>
      <c r="C74" s="70">
        <v>5.1569506699999997E-2</v>
      </c>
      <c r="D74" s="15">
        <v>917</v>
      </c>
      <c r="E74" s="32">
        <f t="shared" si="30"/>
        <v>-2.2388059701492536E-2</v>
      </c>
      <c r="F74" s="18">
        <f>IF(ISNUMBER(D74), $B91 * E74, "")</f>
        <v>-3358.2089552238804</v>
      </c>
      <c r="G74" s="31">
        <v>912</v>
      </c>
      <c r="H74" s="32">
        <f t="shared" si="31"/>
        <v>-2.7718550106609809E-2</v>
      </c>
      <c r="I74" s="91">
        <f>IF(ISNUMBER(G74), $B91 * H74, "")</f>
        <v>-4157.782515991471</v>
      </c>
      <c r="J74" s="15">
        <v>910</v>
      </c>
      <c r="K74" s="32">
        <f t="shared" si="32"/>
        <v>-2.9850746268656716E-2</v>
      </c>
      <c r="L74" s="18">
        <f>IF(ISNUMBER(J74), $B91 * K74, "")</f>
        <v>-4477.6119402985078</v>
      </c>
      <c r="M74" s="31">
        <v>882</v>
      </c>
      <c r="N74" s="32">
        <f t="shared" si="33"/>
        <v>-5.9701492537313432E-2</v>
      </c>
      <c r="O74" s="18">
        <f>IF(ISNUMBER(M74), $B91 * N74, "")</f>
        <v>-8955.2238805970155</v>
      </c>
      <c r="Q74" s="146"/>
      <c r="R74" s="146"/>
      <c r="S74" s="146"/>
    </row>
    <row r="75" spans="1:19" ht="17.25" thickBot="1">
      <c r="A75" s="111" t="s">
        <v>103</v>
      </c>
      <c r="B75" s="112">
        <v>287</v>
      </c>
      <c r="C75" s="71">
        <v>4.7445255499999998E-2</v>
      </c>
      <c r="D75" s="20">
        <v>288</v>
      </c>
      <c r="E75" s="21">
        <f t="shared" si="30"/>
        <v>3.4843205574912892E-3</v>
      </c>
      <c r="F75" s="22">
        <f>IF(ISNUMBER(D75), $B91 * E75, "")</f>
        <v>522.64808362369342</v>
      </c>
      <c r="G75" s="30">
        <v>285</v>
      </c>
      <c r="H75" s="21">
        <f t="shared" si="31"/>
        <v>-6.9686411149825784E-3</v>
      </c>
      <c r="I75" s="95">
        <f>IF(ISNUMBER(G75), $B91 * H75, "")</f>
        <v>-1045.2961672473868</v>
      </c>
      <c r="J75" s="20">
        <v>289</v>
      </c>
      <c r="K75" s="21">
        <f t="shared" si="32"/>
        <v>6.9686411149825784E-3</v>
      </c>
      <c r="L75" s="22">
        <f>IF(ISNUMBER(J75), $B91 * K75, "")</f>
        <v>1045.2961672473868</v>
      </c>
      <c r="M75" s="30">
        <v>284</v>
      </c>
      <c r="N75" s="21">
        <f t="shared" si="33"/>
        <v>-1.0452961672473868E-2</v>
      </c>
      <c r="O75" s="22">
        <f>IF(ISNUMBER(M75), $B91 * N75, "")</f>
        <v>-1567.9442508710802</v>
      </c>
      <c r="Q75" s="146"/>
      <c r="R75" s="146"/>
      <c r="S75" s="146"/>
    </row>
    <row r="76" spans="1:19" ht="17.25" thickBot="1">
      <c r="A76" s="109" t="s">
        <v>319</v>
      </c>
      <c r="B76" s="113">
        <v>638</v>
      </c>
      <c r="C76" s="73">
        <v>4.07830343E-2</v>
      </c>
      <c r="D76" s="96">
        <v>760</v>
      </c>
      <c r="E76" s="97">
        <f>IF(ISNUMBER(D76), (D76 - $B76) / $B76, "")</f>
        <v>0.19122257053291536</v>
      </c>
      <c r="F76" s="98">
        <f>IF(ISNUMBER(D76), $B91 * E76, "")</f>
        <v>28683.385579937305</v>
      </c>
      <c r="G76" s="99">
        <v>815</v>
      </c>
      <c r="H76" s="97">
        <f>IF(ISNUMBER(G76), (G76 - $B76) / $B76, "")</f>
        <v>0.2774294670846395</v>
      </c>
      <c r="I76" s="100">
        <f>IF(ISNUMBER(G76), $B91 * H76, "")</f>
        <v>41614.420062695928</v>
      </c>
      <c r="J76" s="96">
        <v>797</v>
      </c>
      <c r="K76" s="97">
        <f>IF(ISNUMBER(J76), (J76 - $B76) / $B76, "")</f>
        <v>0.24921630094043887</v>
      </c>
      <c r="L76" s="98">
        <f>IF(ISNUMBER(J76), $B91 * K76, "")</f>
        <v>37382.445141065829</v>
      </c>
      <c r="M76" s="99">
        <v>754</v>
      </c>
      <c r="N76" s="97">
        <f>IF(ISNUMBER(M76), (M76 - $B76) / $B76, "")</f>
        <v>0.18181818181818182</v>
      </c>
      <c r="O76" s="98">
        <f>IF(ISNUMBER(M76), $B91 * N76, "")</f>
        <v>27272.727272727272</v>
      </c>
      <c r="Q76" s="146"/>
      <c r="R76" s="146"/>
      <c r="S76" s="146"/>
    </row>
    <row r="77" spans="1:19" ht="17.25" thickBot="1">
      <c r="A77" s="109" t="s">
        <v>81</v>
      </c>
      <c r="B77" s="110">
        <v>476</v>
      </c>
      <c r="C77" s="70">
        <v>3.9301309999999999E-2</v>
      </c>
      <c r="D77" s="15">
        <v>467</v>
      </c>
      <c r="E77" s="32">
        <f t="shared" ref="E77:E80" si="34">IF(ISNUMBER(D77), (D77 - $B77) / $B77, "")</f>
        <v>-1.8907563025210083E-2</v>
      </c>
      <c r="F77" s="18">
        <f>IF(ISNUMBER(D77), $B91 * E77, "")</f>
        <v>-2836.1344537815125</v>
      </c>
      <c r="G77" s="31">
        <v>471</v>
      </c>
      <c r="H77" s="32">
        <f t="shared" ref="H77:H80" si="35">IF(ISNUMBER(G77), (G77 - $B77) / $B77, "")</f>
        <v>-1.050420168067227E-2</v>
      </c>
      <c r="I77" s="91">
        <f>IF(ISNUMBER(G77), $B91 * H77, "")</f>
        <v>-1575.6302521008404</v>
      </c>
      <c r="J77" s="15">
        <v>472</v>
      </c>
      <c r="K77" s="32">
        <f t="shared" ref="K77:K80" si="36">IF(ISNUMBER(J77), (J77 - $B77) / $B77, "")</f>
        <v>-8.4033613445378148E-3</v>
      </c>
      <c r="L77" s="18">
        <f>IF(ISNUMBER(J77), $B91 * K77, "")</f>
        <v>-1260.5042016806722</v>
      </c>
      <c r="M77" s="31">
        <v>467</v>
      </c>
      <c r="N77" s="32">
        <f t="shared" ref="N77:N80" si="37">IF(ISNUMBER(M77), (M77 - $B77) / $B77, "")</f>
        <v>-1.8907563025210083E-2</v>
      </c>
      <c r="O77" s="18">
        <f>IF(ISNUMBER(M77), $B91 * N77, "")</f>
        <v>-2836.1344537815125</v>
      </c>
      <c r="Q77" s="146"/>
      <c r="R77" s="146"/>
      <c r="S77" s="146"/>
    </row>
    <row r="78" spans="1:19" ht="17.25" thickBot="1">
      <c r="A78" s="109" t="s">
        <v>68</v>
      </c>
      <c r="B78" s="110">
        <v>751</v>
      </c>
      <c r="C78" s="70">
        <v>3.8727524200000002E-2</v>
      </c>
      <c r="D78" s="15">
        <v>770</v>
      </c>
      <c r="E78" s="32">
        <f t="shared" si="34"/>
        <v>2.529960053262317E-2</v>
      </c>
      <c r="F78" s="18">
        <f>IF(ISNUMBER(D78), $B91 * E78, "")</f>
        <v>3794.9400798934753</v>
      </c>
      <c r="G78" s="31">
        <v>755</v>
      </c>
      <c r="H78" s="32">
        <f t="shared" si="35"/>
        <v>5.3262316910785623E-3</v>
      </c>
      <c r="I78" s="91">
        <f>IF(ISNUMBER(G78), $B91 * H78, "")</f>
        <v>798.93475366178438</v>
      </c>
      <c r="J78" s="15">
        <v>755</v>
      </c>
      <c r="K78" s="32">
        <f t="shared" si="36"/>
        <v>5.3262316910785623E-3</v>
      </c>
      <c r="L78" s="18">
        <f>IF(ISNUMBER(J78), $B91 * K78, "")</f>
        <v>798.93475366178438</v>
      </c>
      <c r="M78" s="31">
        <v>717</v>
      </c>
      <c r="N78" s="32">
        <f t="shared" si="37"/>
        <v>-4.5272969374167776E-2</v>
      </c>
      <c r="O78" s="18">
        <f>IF(ISNUMBER(M78), $B91 * N78, "")</f>
        <v>-6790.9454061251663</v>
      </c>
      <c r="Q78" s="146"/>
      <c r="R78" s="146"/>
      <c r="S78" s="146"/>
    </row>
    <row r="79" spans="1:19" ht="17.25" thickBot="1">
      <c r="A79" s="109" t="s">
        <v>330</v>
      </c>
      <c r="B79" s="110">
        <v>350</v>
      </c>
      <c r="C79" s="70">
        <v>3.5502958600000002E-2</v>
      </c>
      <c r="D79" s="15">
        <v>349</v>
      </c>
      <c r="E79" s="32">
        <f t="shared" si="34"/>
        <v>-2.8571428571428571E-3</v>
      </c>
      <c r="F79" s="18">
        <f>IF(ISNUMBER(D79), $B91 * E79, "")</f>
        <v>-428.57142857142856</v>
      </c>
      <c r="G79" s="31">
        <v>352</v>
      </c>
      <c r="H79" s="32">
        <f t="shared" si="35"/>
        <v>5.7142857142857143E-3</v>
      </c>
      <c r="I79" s="91">
        <f>IF(ISNUMBER(G79), $B91 * H79, "")</f>
        <v>857.14285714285711</v>
      </c>
      <c r="J79" s="15">
        <v>357</v>
      </c>
      <c r="K79" s="32">
        <f t="shared" si="36"/>
        <v>0.02</v>
      </c>
      <c r="L79" s="18">
        <f>IF(ISNUMBER(J79), $B91 * K79, "")</f>
        <v>3000</v>
      </c>
      <c r="M79" s="31">
        <v>347</v>
      </c>
      <c r="N79" s="32">
        <f t="shared" si="37"/>
        <v>-8.5714285714285719E-3</v>
      </c>
      <c r="O79" s="18">
        <f>IF(ISNUMBER(M79), $B91 * N79, "")</f>
        <v>-1285.7142857142858</v>
      </c>
      <c r="Q79" s="33"/>
      <c r="R79" s="33"/>
    </row>
    <row r="80" spans="1:19" ht="17.25" thickBot="1">
      <c r="A80" s="114" t="s">
        <v>201</v>
      </c>
      <c r="B80" s="115">
        <v>293</v>
      </c>
      <c r="C80" s="72">
        <v>3.5335689000000003E-2</v>
      </c>
      <c r="D80" s="24">
        <v>293</v>
      </c>
      <c r="E80" s="25">
        <f t="shared" si="34"/>
        <v>0</v>
      </c>
      <c r="F80" s="94">
        <f>IF(ISNUMBER(D80), $B91 * E80, "")</f>
        <v>0</v>
      </c>
      <c r="G80" s="92">
        <v>292</v>
      </c>
      <c r="H80" s="25">
        <f t="shared" si="35"/>
        <v>-3.4129692832764505E-3</v>
      </c>
      <c r="I80" s="93">
        <f>IF(ISNUMBER(G80), $B91 * H80, "")</f>
        <v>-511.9453924914676</v>
      </c>
      <c r="J80" s="24">
        <v>294</v>
      </c>
      <c r="K80" s="25">
        <f t="shared" si="36"/>
        <v>3.4129692832764505E-3</v>
      </c>
      <c r="L80" s="94">
        <f>IF(ISNUMBER(J80), $B91 * K80, "")</f>
        <v>511.9453924914676</v>
      </c>
      <c r="M80" s="92">
        <v>285</v>
      </c>
      <c r="N80" s="25">
        <f t="shared" si="37"/>
        <v>-2.7303754266211604E-2</v>
      </c>
      <c r="O80" s="94">
        <f>IF(ISNUMBER(M80), $B91 * N80, "")</f>
        <v>-4095.5631399317408</v>
      </c>
      <c r="Q80" s="147"/>
      <c r="R80" s="148"/>
      <c r="S80" s="149"/>
    </row>
    <row r="81" spans="1:19">
      <c r="A81" s="107" t="s">
        <v>161</v>
      </c>
      <c r="B81" s="108">
        <v>352</v>
      </c>
      <c r="C81" s="69">
        <v>3.5294117600000001E-2</v>
      </c>
      <c r="D81" s="13">
        <v>355</v>
      </c>
      <c r="E81" s="14">
        <f>IF(ISNUMBER(D81), (D81 - $B81) / $B81, "")</f>
        <v>8.5227272727272721E-3</v>
      </c>
      <c r="F81" s="16">
        <f>IF(ISNUMBER(D81), $B91 * E81, "")</f>
        <v>1278.4090909090908</v>
      </c>
      <c r="G81" s="29">
        <v>355</v>
      </c>
      <c r="H81" s="14">
        <f>IF(ISNUMBER(G81), (G81 - $B81) / $B81, "")</f>
        <v>8.5227272727272721E-3</v>
      </c>
      <c r="I81" s="90">
        <f>IF(ISNUMBER(G81), $B91 * H81, "")</f>
        <v>1278.4090909090908</v>
      </c>
      <c r="J81" s="13">
        <v>365</v>
      </c>
      <c r="K81" s="14">
        <f>IF(ISNUMBER(J81), (J81 - $B81) / $B81, "")</f>
        <v>3.6931818181818184E-2</v>
      </c>
      <c r="L81" s="16">
        <f>IF(ISNUMBER(J81), $B91 * K81, "")</f>
        <v>5539.7727272727279</v>
      </c>
      <c r="M81" s="29">
        <v>350</v>
      </c>
      <c r="N81" s="14">
        <f>IF(ISNUMBER(M81), (M81 - $B81) / $B81, "")</f>
        <v>-5.681818181818182E-3</v>
      </c>
      <c r="O81" s="16">
        <f>IF(ISNUMBER(M81), $B91 * N81, "")</f>
        <v>-852.27272727272725</v>
      </c>
      <c r="Q81" s="150"/>
      <c r="R81" s="151"/>
      <c r="S81" s="152"/>
    </row>
    <row r="82" spans="1:19" ht="17.25" thickBot="1">
      <c r="A82" s="109" t="s">
        <v>153</v>
      </c>
      <c r="B82" s="110">
        <v>451</v>
      </c>
      <c r="C82" s="70">
        <v>3.2036613300000003E-2</v>
      </c>
      <c r="D82" s="15">
        <v>464</v>
      </c>
      <c r="E82" s="32">
        <f t="shared" ref="E82:E85" si="38">IF(ISNUMBER(D82), (D82 - $B82) / $B82, "")</f>
        <v>2.8824833702882482E-2</v>
      </c>
      <c r="F82" s="18">
        <f>IF(ISNUMBER(D82), $B91 * E82, "")</f>
        <v>4323.7250554323728</v>
      </c>
      <c r="G82" s="31">
        <v>457</v>
      </c>
      <c r="H82" s="32">
        <f t="shared" ref="H82:H85" si="39">IF(ISNUMBER(G82), (G82 - $B82) / $B82, "")</f>
        <v>1.3303769401330377E-2</v>
      </c>
      <c r="I82" s="91">
        <f>IF(ISNUMBER(G82), $B91 * H82, "")</f>
        <v>1995.5654101995565</v>
      </c>
      <c r="J82" s="15">
        <v>466</v>
      </c>
      <c r="K82" s="32">
        <f t="shared" ref="K82:K85" si="40">IF(ISNUMBER(J82), (J82 - $B82) / $B82, "")</f>
        <v>3.325942350332594E-2</v>
      </c>
      <c r="L82" s="18">
        <f>IF(ISNUMBER(J82), $B91 * K82, "")</f>
        <v>4988.9135254988905</v>
      </c>
      <c r="M82" s="31">
        <v>450</v>
      </c>
      <c r="N82" s="32">
        <f t="shared" ref="N82:N85" si="41">IF(ISNUMBER(M82), (M82 - $B82) / $B82, "")</f>
        <v>-2.2172949002217295E-3</v>
      </c>
      <c r="O82" s="18">
        <f>IF(ISNUMBER(M82), $B91 * N82, "")</f>
        <v>-332.59423503325945</v>
      </c>
      <c r="Q82" s="153"/>
      <c r="R82" s="154"/>
      <c r="S82" s="155"/>
    </row>
    <row r="83" spans="1:19" ht="17.25" thickBot="1">
      <c r="A83" s="109" t="s">
        <v>85</v>
      </c>
      <c r="B83" s="110">
        <v>172</v>
      </c>
      <c r="C83" s="70">
        <v>2.9940119800000001E-2</v>
      </c>
      <c r="D83" s="15">
        <v>173</v>
      </c>
      <c r="E83" s="32">
        <f t="shared" si="38"/>
        <v>5.8139534883720929E-3</v>
      </c>
      <c r="F83" s="18">
        <f>IF(ISNUMBER(D83), $B91 * E83, "")</f>
        <v>872.09302325581393</v>
      </c>
      <c r="G83" s="31">
        <v>172</v>
      </c>
      <c r="H83" s="32">
        <f t="shared" si="39"/>
        <v>0</v>
      </c>
      <c r="I83" s="91">
        <f>IF(ISNUMBER(G83), $B91 * H83, "")</f>
        <v>0</v>
      </c>
      <c r="J83" s="15">
        <v>176</v>
      </c>
      <c r="K83" s="32">
        <f t="shared" si="40"/>
        <v>2.3255813953488372E-2</v>
      </c>
      <c r="L83" s="18">
        <f>IF(ISNUMBER(J83), $B91 * K83, "")</f>
        <v>3488.3720930232557</v>
      </c>
      <c r="M83" s="31">
        <v>170</v>
      </c>
      <c r="N83" s="32">
        <f t="shared" si="41"/>
        <v>-1.1627906976744186E-2</v>
      </c>
      <c r="O83" s="18">
        <f>IF(ISNUMBER(M83), $B91 * N83, "")</f>
        <v>-1744.1860465116279</v>
      </c>
      <c r="Q83" s="146"/>
      <c r="R83" s="146"/>
      <c r="S83" s="146"/>
    </row>
    <row r="84" spans="1:19" ht="17.25" thickBot="1">
      <c r="A84" s="109" t="s">
        <v>253</v>
      </c>
      <c r="B84" s="110">
        <v>109</v>
      </c>
      <c r="C84" s="70">
        <v>2.8301886799999999E-2</v>
      </c>
      <c r="D84" s="15">
        <v>113</v>
      </c>
      <c r="E84" s="32">
        <f t="shared" si="38"/>
        <v>3.669724770642202E-2</v>
      </c>
      <c r="F84" s="18">
        <f>IF(ISNUMBER(D84), $B91 * E84, "")</f>
        <v>5504.5871559633033</v>
      </c>
      <c r="G84" s="31">
        <v>111</v>
      </c>
      <c r="H84" s="32">
        <f t="shared" si="39"/>
        <v>1.834862385321101E-2</v>
      </c>
      <c r="I84" s="91">
        <f>IF(ISNUMBER(G84), $B91 * H84, "")</f>
        <v>2752.2935779816517</v>
      </c>
      <c r="J84" s="15">
        <v>112</v>
      </c>
      <c r="K84" s="32">
        <f t="shared" si="40"/>
        <v>2.7522935779816515E-2</v>
      </c>
      <c r="L84" s="18">
        <f>IF(ISNUMBER(J84), $B91 * K84, "")</f>
        <v>4128.440366972477</v>
      </c>
      <c r="M84" s="31">
        <v>108</v>
      </c>
      <c r="N84" s="32">
        <f t="shared" si="41"/>
        <v>-9.1743119266055051E-3</v>
      </c>
      <c r="O84" s="18">
        <f>IF(ISNUMBER(M84), $B91 * N84, "")</f>
        <v>-1376.1467889908258</v>
      </c>
      <c r="Q84" s="156"/>
      <c r="R84" s="156"/>
      <c r="S84" s="156"/>
    </row>
    <row r="85" spans="1:19" ht="17.25" thickBot="1">
      <c r="A85" s="111" t="s">
        <v>79</v>
      </c>
      <c r="B85" s="112">
        <v>313</v>
      </c>
      <c r="C85" s="71">
        <v>2.6229508200000001E-2</v>
      </c>
      <c r="D85" s="20">
        <v>318</v>
      </c>
      <c r="E85" s="21">
        <f t="shared" si="38"/>
        <v>1.5974440894568689E-2</v>
      </c>
      <c r="F85" s="22">
        <f>IF(ISNUMBER(D85), $B91 * E85, "")</f>
        <v>2396.1661341853032</v>
      </c>
      <c r="G85" s="30">
        <v>318</v>
      </c>
      <c r="H85" s="21">
        <f t="shared" si="39"/>
        <v>1.5974440894568689E-2</v>
      </c>
      <c r="I85" s="95">
        <f>IF(ISNUMBER(G85), $B91 * H85, "")</f>
        <v>2396.1661341853032</v>
      </c>
      <c r="J85" s="20">
        <v>329</v>
      </c>
      <c r="K85" s="21">
        <f t="shared" si="40"/>
        <v>5.1118210862619806E-2</v>
      </c>
      <c r="L85" s="22">
        <f>IF(ISNUMBER(J85), $B91 * K85, "")</f>
        <v>7667.7316293929707</v>
      </c>
      <c r="M85" s="30">
        <v>316</v>
      </c>
      <c r="N85" s="21">
        <f t="shared" si="41"/>
        <v>9.5846645367412137E-3</v>
      </c>
      <c r="O85" s="22">
        <f>IF(ISNUMBER(M85), $B91 * N85, "")</f>
        <v>1437.6996805111821</v>
      </c>
      <c r="Q85" s="156"/>
      <c r="R85" s="156"/>
      <c r="S85" s="156"/>
    </row>
    <row r="86" spans="1:19" ht="17.25" thickBot="1">
      <c r="A86" s="109" t="s">
        <v>205</v>
      </c>
      <c r="B86" s="113">
        <v>121</v>
      </c>
      <c r="C86" s="73">
        <v>2.54237288E-2</v>
      </c>
      <c r="D86" s="96">
        <v>122</v>
      </c>
      <c r="E86" s="97">
        <f>IF(ISNUMBER(D86), (D86 - $B86) / $B86, "")</f>
        <v>8.2644628099173556E-3</v>
      </c>
      <c r="F86" s="98">
        <f>IF(ISNUMBER(D86), $B91 * E86, "")</f>
        <v>1239.6694214876034</v>
      </c>
      <c r="G86" s="99">
        <v>120</v>
      </c>
      <c r="H86" s="97">
        <f>IF(ISNUMBER(G86), (G86 - $B86) / $B86, "")</f>
        <v>-8.2644628099173556E-3</v>
      </c>
      <c r="I86" s="100">
        <f>IF(ISNUMBER(G86), $B91 * H86, "")</f>
        <v>-1239.6694214876034</v>
      </c>
      <c r="J86" s="96">
        <v>121</v>
      </c>
      <c r="K86" s="97">
        <f>IF(ISNUMBER(J86), (J86 - $B86) / $B86, "")</f>
        <v>0</v>
      </c>
      <c r="L86" s="98">
        <f>IF(ISNUMBER(J86), $B91 * K86, "")</f>
        <v>0</v>
      </c>
      <c r="M86" s="99">
        <v>120</v>
      </c>
      <c r="N86" s="97">
        <f>IF(ISNUMBER(M86), (M86 - $B86) / $B86, "")</f>
        <v>-8.2644628099173556E-3</v>
      </c>
      <c r="O86" s="98">
        <f>IF(ISNUMBER(M86), $B91 * N86, "")</f>
        <v>-1239.6694214876034</v>
      </c>
      <c r="Q86" s="146"/>
      <c r="R86" s="146"/>
      <c r="S86" s="146"/>
    </row>
    <row r="87" spans="1:19" ht="17.25" thickBot="1">
      <c r="A87" s="109" t="s">
        <v>187</v>
      </c>
      <c r="B87" s="110">
        <v>900</v>
      </c>
      <c r="C87" s="70">
        <v>2.5056947600000001E-2</v>
      </c>
      <c r="D87" s="15">
        <v>912</v>
      </c>
      <c r="E87" s="32">
        <f t="shared" ref="E87:E90" si="42">IF(ISNUMBER(D87), (D87 - $B87) / $B87, "")</f>
        <v>1.3333333333333334E-2</v>
      </c>
      <c r="F87" s="18">
        <f>IF(ISNUMBER(D87), $B91 * E87, "")</f>
        <v>2000.0000000000002</v>
      </c>
      <c r="G87" s="31">
        <v>908</v>
      </c>
      <c r="H87" s="32">
        <f t="shared" ref="H87:H90" si="43">IF(ISNUMBER(G87), (G87 - $B87) / $B87, "")</f>
        <v>8.8888888888888889E-3</v>
      </c>
      <c r="I87" s="91">
        <f>IF(ISNUMBER(G87), $B91 * H87, "")</f>
        <v>1333.3333333333333</v>
      </c>
      <c r="J87" s="15">
        <v>921</v>
      </c>
      <c r="K87" s="32">
        <f t="shared" ref="K87:K90" si="44">IF(ISNUMBER(J87), (J87 - $B87) / $B87, "")</f>
        <v>2.3333333333333334E-2</v>
      </c>
      <c r="L87" s="18">
        <f>IF(ISNUMBER(J87), $B91 * K87, "")</f>
        <v>3500</v>
      </c>
      <c r="M87" s="31">
        <v>910</v>
      </c>
      <c r="N87" s="32">
        <f t="shared" ref="N87:N90" si="45">IF(ISNUMBER(M87), (M87 - $B87) / $B87, "")</f>
        <v>1.1111111111111112E-2</v>
      </c>
      <c r="O87" s="18">
        <f>IF(ISNUMBER(M87), $B91 * N87, "")</f>
        <v>1666.6666666666667</v>
      </c>
      <c r="Q87" s="146"/>
      <c r="R87" s="146"/>
      <c r="S87" s="146"/>
    </row>
    <row r="88" spans="1:19" ht="17.25" thickBot="1">
      <c r="A88" s="109" t="s">
        <v>105</v>
      </c>
      <c r="B88" s="110">
        <v>252</v>
      </c>
      <c r="C88" s="70">
        <v>2.4390243900000001E-2</v>
      </c>
      <c r="D88" s="15">
        <v>249</v>
      </c>
      <c r="E88" s="32">
        <f t="shared" si="42"/>
        <v>-1.1904761904761904E-2</v>
      </c>
      <c r="F88" s="18">
        <f>IF(ISNUMBER(D88), $B91 * E88, "")</f>
        <v>-1785.7142857142856</v>
      </c>
      <c r="G88" s="31">
        <v>249</v>
      </c>
      <c r="H88" s="32">
        <f t="shared" si="43"/>
        <v>-1.1904761904761904E-2</v>
      </c>
      <c r="I88" s="91">
        <f>IF(ISNUMBER(G88), $B91 * H88, "")</f>
        <v>-1785.7142857142856</v>
      </c>
      <c r="J88" s="15">
        <v>253</v>
      </c>
      <c r="K88" s="32">
        <f t="shared" si="44"/>
        <v>3.968253968253968E-3</v>
      </c>
      <c r="L88" s="18">
        <f>IF(ISNUMBER(J88), $B91 * K88, "")</f>
        <v>595.23809523809518</v>
      </c>
      <c r="M88" s="31">
        <v>252</v>
      </c>
      <c r="N88" s="32">
        <f t="shared" si="45"/>
        <v>0</v>
      </c>
      <c r="O88" s="18">
        <f>IF(ISNUMBER(M88), $B91 * N88, "")</f>
        <v>0</v>
      </c>
      <c r="Q88" s="146"/>
      <c r="R88" s="146"/>
      <c r="S88" s="146"/>
    </row>
    <row r="89" spans="1:19">
      <c r="A89" s="109" t="s">
        <v>101</v>
      </c>
      <c r="B89" s="110">
        <v>255</v>
      </c>
      <c r="C89" s="70">
        <v>2.4096385500000001E-2</v>
      </c>
      <c r="D89" s="15">
        <v>255</v>
      </c>
      <c r="E89" s="32">
        <f t="shared" si="42"/>
        <v>0</v>
      </c>
      <c r="F89" s="18">
        <f>IF(ISNUMBER(D89), $B91 * E89, "")</f>
        <v>0</v>
      </c>
      <c r="G89" s="31">
        <v>258</v>
      </c>
      <c r="H89" s="32">
        <f t="shared" si="43"/>
        <v>1.1764705882352941E-2</v>
      </c>
      <c r="I89" s="91">
        <f>IF(ISNUMBER(G89), $B91 * H89, "")</f>
        <v>1764.7058823529412</v>
      </c>
      <c r="J89" s="15">
        <v>261</v>
      </c>
      <c r="K89" s="32">
        <f t="shared" si="44"/>
        <v>2.3529411764705882E-2</v>
      </c>
      <c r="L89" s="18">
        <f>IF(ISNUMBER(J89), $B91 * K89, "")</f>
        <v>3529.4117647058824</v>
      </c>
      <c r="M89" s="31">
        <v>254</v>
      </c>
      <c r="N89" s="32">
        <f t="shared" si="45"/>
        <v>-3.9215686274509803E-3</v>
      </c>
      <c r="O89" s="18">
        <f>IF(ISNUMBER(M89), $B91 * N89, "")</f>
        <v>-588.23529411764707</v>
      </c>
      <c r="Q89" s="135"/>
      <c r="R89" s="136"/>
      <c r="S89" s="137"/>
    </row>
    <row r="90" spans="1:19" ht="17.25" thickBot="1">
      <c r="A90" s="114" t="s">
        <v>341</v>
      </c>
      <c r="B90" s="115">
        <v>872</v>
      </c>
      <c r="C90" s="72">
        <v>2.2274325899999999E-2</v>
      </c>
      <c r="D90" s="24">
        <v>914</v>
      </c>
      <c r="E90" s="25">
        <f t="shared" si="42"/>
        <v>4.8165137614678902E-2</v>
      </c>
      <c r="F90" s="94">
        <f>IF(ISNUMBER(D90), $B91 * E90, "")</f>
        <v>7224.7706422018355</v>
      </c>
      <c r="G90" s="92">
        <v>917</v>
      </c>
      <c r="H90" s="25">
        <f t="shared" si="43"/>
        <v>5.1605504587155966E-2</v>
      </c>
      <c r="I90" s="93">
        <f>IF(ISNUMBER(G90), $B91 * H90, "")</f>
        <v>7740.8256880733952</v>
      </c>
      <c r="J90" s="24">
        <v>1015</v>
      </c>
      <c r="K90" s="25">
        <f t="shared" si="44"/>
        <v>0.16399082568807338</v>
      </c>
      <c r="L90" s="94">
        <f>IF(ISNUMBER(J90), $B91 * K90, "")</f>
        <v>24598.623853211007</v>
      </c>
      <c r="M90" s="92">
        <v>944</v>
      </c>
      <c r="N90" s="25">
        <f t="shared" si="45"/>
        <v>8.2568807339449546E-2</v>
      </c>
      <c r="O90" s="94">
        <f>IF(ISNUMBER(M90), $B91 * N90, "")</f>
        <v>12385.321100917432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1.5548194770763742E-2</v>
      </c>
      <c r="F91" s="28">
        <f>SUM(F71:F90)</f>
        <v>46644.584312291256</v>
      </c>
      <c r="G91" s="26" t="s">
        <v>258</v>
      </c>
      <c r="H91" s="27">
        <f>IF(COUNT(H71:H90), SUM(H71:H90) / COUNT(H71:H90), 0)</f>
        <v>1.7389049990799509E-2</v>
      </c>
      <c r="I91" s="28">
        <f>SUM(I71:I90)</f>
        <v>52167.149972398533</v>
      </c>
      <c r="J91" s="26" t="s">
        <v>258</v>
      </c>
      <c r="K91" s="27">
        <f>IF(COUNT(K71:K90), SUM(K71:K90) / COUNT(K71:K90), 0)</f>
        <v>3.3213077687731976E-2</v>
      </c>
      <c r="L91" s="28">
        <f>SUM(L71:L90)</f>
        <v>99639.233063195948</v>
      </c>
      <c r="M91" s="26" t="s">
        <v>258</v>
      </c>
      <c r="N91" s="27">
        <f>IF(COUNT(N71:N90), SUM(N71:N90) / COUNT(N71:N90), 0)</f>
        <v>1.1008264864933114E-3</v>
      </c>
      <c r="O91" s="28">
        <f>SUM(O71:O90)</f>
        <v>3302.4794594799278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2023-01-23(월) 오전 00:00</v>
      </c>
      <c r="C96" s="198"/>
      <c r="D96" s="170" t="str">
        <f>TEXT($G$1, "[$-ko-KR]yyyy-mm-dd(ddd) ") &amp; "오후 14:00"</f>
        <v>2023-01-23(월) 오후 14:00</v>
      </c>
      <c r="E96" s="171"/>
      <c r="F96" s="172"/>
      <c r="G96" s="170" t="str">
        <f>TEXT($G$1, "[$-ko-KR]yyyy-mm-dd(ddd) ") &amp; "오후 19:00"</f>
        <v>2023-01-23(월) 오후 19:00</v>
      </c>
      <c r="H96" s="171"/>
      <c r="I96" s="172"/>
      <c r="J96" s="170" t="str">
        <f>TEXT($G$1, "[$-ko-KR]yyyy-mm-dd(ddd) ") &amp; "오후 21:00"</f>
        <v>2023-01-23(월) 오후 21:00</v>
      </c>
      <c r="K96" s="171"/>
      <c r="L96" s="172"/>
      <c r="M96" s="170" t="str">
        <f>TEXT($G$1+1, "[$-ko-KR]yyyy-mm-dd(ddd) ") &amp; "오전 00:00"</f>
        <v>2023-01-24(화)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147</v>
      </c>
      <c r="B98" s="108">
        <v>13870</v>
      </c>
      <c r="C98" s="69">
        <v>0.24730215829999999</v>
      </c>
      <c r="D98" s="13">
        <v>16700</v>
      </c>
      <c r="E98" s="14">
        <f>IF(ISNUMBER(D98), (D98 - $B98) / $B98, "")</f>
        <v>0.20403749098774332</v>
      </c>
      <c r="F98" s="16">
        <f>IF(ISNUMBER(D98), $B118 * E98, "")</f>
        <v>30605.623648161498</v>
      </c>
      <c r="G98" s="29">
        <v>16120</v>
      </c>
      <c r="H98" s="14">
        <f>IF(ISNUMBER(G98), (G98 - $B98) / $B98, "")</f>
        <v>0.16222062004325882</v>
      </c>
      <c r="I98" s="90">
        <f>IF(ISNUMBER(G98), $B118 * H98, "")</f>
        <v>24333.093006488823</v>
      </c>
      <c r="J98" s="13">
        <v>16040</v>
      </c>
      <c r="K98" s="14">
        <f>IF(ISNUMBER(J98), (J98 - $B98) / $B98, "")</f>
        <v>0.15645277577505406</v>
      </c>
      <c r="L98" s="16">
        <f>IF(ISNUMBER(J98), $B118 * K98, "")</f>
        <v>23467.916366258109</v>
      </c>
      <c r="M98" s="29">
        <v>15580</v>
      </c>
      <c r="N98" s="14">
        <f>IF(ISNUMBER(M98), (M98 - $B98) / $B98, "")</f>
        <v>0.12328767123287671</v>
      </c>
      <c r="O98" s="16">
        <f>IF(ISNUMBER(M98), $B118 * N98, "")</f>
        <v>18493.150684931505</v>
      </c>
      <c r="Q98" s="156"/>
      <c r="R98" s="156"/>
      <c r="S98" s="156"/>
    </row>
    <row r="99" spans="1:19" ht="17.25" thickBot="1">
      <c r="A99" s="109" t="s">
        <v>328</v>
      </c>
      <c r="B99" s="110">
        <v>17100</v>
      </c>
      <c r="C99" s="70">
        <v>0.16883116879999999</v>
      </c>
      <c r="D99" s="15">
        <v>17450</v>
      </c>
      <c r="E99" s="32">
        <f t="shared" ref="E99:E102" si="46">IF(ISNUMBER(D99), (D99 - $B99) / $B99, "")</f>
        <v>2.046783625730994E-2</v>
      </c>
      <c r="F99" s="18">
        <f>IF(ISNUMBER(D99), $B118 * E99, "")</f>
        <v>3070.1754385964909</v>
      </c>
      <c r="G99" s="31">
        <v>16800</v>
      </c>
      <c r="H99" s="32">
        <f t="shared" ref="H99:H102" si="47">IF(ISNUMBER(G99), (G99 - $B99) / $B99, "")</f>
        <v>-1.7543859649122806E-2</v>
      </c>
      <c r="I99" s="91">
        <f>IF(ISNUMBER(G99), $B118 * H99, "")</f>
        <v>-2631.5789473684208</v>
      </c>
      <c r="J99" s="15">
        <v>16860</v>
      </c>
      <c r="K99" s="32">
        <f t="shared" ref="K99:K102" si="48">IF(ISNUMBER(J99), (J99 - $B99) / $B99, "")</f>
        <v>-1.4035087719298246E-2</v>
      </c>
      <c r="L99" s="18">
        <f>IF(ISNUMBER(J99), $B118 * K99, "")</f>
        <v>-2105.2631578947371</v>
      </c>
      <c r="M99" s="31">
        <v>16140</v>
      </c>
      <c r="N99" s="32">
        <f t="shared" ref="N99:N102" si="49">IF(ISNUMBER(M99), (M99 - $B99) / $B99, "")</f>
        <v>-5.6140350877192984E-2</v>
      </c>
      <c r="O99" s="18">
        <f>IF(ISNUMBER(M99), $B118 * N99, "")</f>
        <v>-8421.0526315789484</v>
      </c>
      <c r="Q99" s="156"/>
      <c r="R99" s="156"/>
      <c r="S99" s="156"/>
    </row>
    <row r="100" spans="1:19" ht="17.25" thickBot="1">
      <c r="A100" s="109" t="s">
        <v>189</v>
      </c>
      <c r="B100" s="110">
        <v>1505</v>
      </c>
      <c r="C100" s="70">
        <v>0.1148148148</v>
      </c>
      <c r="D100" s="15">
        <v>1510</v>
      </c>
      <c r="E100" s="32">
        <f t="shared" si="46"/>
        <v>3.3222591362126247E-3</v>
      </c>
      <c r="F100" s="18">
        <f>IF(ISNUMBER(D100), $B118 * E100, "")</f>
        <v>498.33887043189372</v>
      </c>
      <c r="G100" s="31">
        <v>1520</v>
      </c>
      <c r="H100" s="32">
        <f t="shared" si="47"/>
        <v>9.9667774086378731E-3</v>
      </c>
      <c r="I100" s="91">
        <f>IF(ISNUMBER(G100), $B118 * H100, "")</f>
        <v>1495.0166112956811</v>
      </c>
      <c r="J100" s="15">
        <v>1530</v>
      </c>
      <c r="K100" s="32">
        <f t="shared" si="48"/>
        <v>1.6611295681063124E-2</v>
      </c>
      <c r="L100" s="18">
        <f>IF(ISNUMBER(J100), $B118 * K100, "")</f>
        <v>2491.6943521594685</v>
      </c>
      <c r="M100" s="31">
        <v>1450</v>
      </c>
      <c r="N100" s="32">
        <f t="shared" si="49"/>
        <v>-3.6544850498338874E-2</v>
      </c>
      <c r="O100" s="18">
        <f>IF(ISNUMBER(M100), $B118 * N100, "")</f>
        <v>-5481.7275747508311</v>
      </c>
      <c r="Q100" s="146"/>
      <c r="R100" s="146"/>
      <c r="S100" s="146"/>
    </row>
    <row r="101" spans="1:19" ht="17.25" thickBot="1">
      <c r="A101" s="109" t="s">
        <v>335</v>
      </c>
      <c r="B101" s="110">
        <v>3155</v>
      </c>
      <c r="C101" s="70">
        <v>9.1695501700000001E-2</v>
      </c>
      <c r="D101" s="15">
        <v>3270</v>
      </c>
      <c r="E101" s="32">
        <f t="shared" si="46"/>
        <v>3.6450079239302692E-2</v>
      </c>
      <c r="F101" s="18">
        <f>IF(ISNUMBER(D101), $B118 * E101, "")</f>
        <v>5467.5118858954038</v>
      </c>
      <c r="G101" s="31">
        <v>3230</v>
      </c>
      <c r="H101" s="32">
        <f t="shared" si="47"/>
        <v>2.3771790808240888E-2</v>
      </c>
      <c r="I101" s="91">
        <f>IF(ISNUMBER(G101), $B118 * H101, "")</f>
        <v>3565.7686212361332</v>
      </c>
      <c r="J101" s="15">
        <v>3270</v>
      </c>
      <c r="K101" s="32">
        <f t="shared" si="48"/>
        <v>3.6450079239302692E-2</v>
      </c>
      <c r="L101" s="18">
        <f>IF(ISNUMBER(J101), $B118 * K101, "")</f>
        <v>5467.5118858954038</v>
      </c>
      <c r="M101" s="31">
        <v>3175</v>
      </c>
      <c r="N101" s="32">
        <f t="shared" si="49"/>
        <v>6.3391442155309036E-3</v>
      </c>
      <c r="O101" s="18">
        <f>IF(ISNUMBER(M101), $B118 * N101, "")</f>
        <v>950.87163232963553</v>
      </c>
      <c r="Q101" s="146"/>
      <c r="R101" s="146"/>
      <c r="S101" s="146"/>
    </row>
    <row r="102" spans="1:19" ht="17.25" thickBot="1">
      <c r="A102" s="111" t="s">
        <v>99</v>
      </c>
      <c r="B102" s="112">
        <v>29110</v>
      </c>
      <c r="C102" s="71">
        <v>6.9827269400000003E-2</v>
      </c>
      <c r="D102" s="20">
        <v>28820</v>
      </c>
      <c r="E102" s="21">
        <f t="shared" si="46"/>
        <v>-9.9622122981793196E-3</v>
      </c>
      <c r="F102" s="22">
        <f>IF(ISNUMBER(D102), $B118 * E102, "")</f>
        <v>-1494.331844726898</v>
      </c>
      <c r="G102" s="30">
        <v>28820</v>
      </c>
      <c r="H102" s="21">
        <f t="shared" si="47"/>
        <v>-9.9622122981793196E-3</v>
      </c>
      <c r="I102" s="95">
        <f>IF(ISNUMBER(G102), $B118 * H102, "")</f>
        <v>-1494.331844726898</v>
      </c>
      <c r="J102" s="20">
        <v>28880</v>
      </c>
      <c r="K102" s="21">
        <f t="shared" si="48"/>
        <v>-7.9010649261422195E-3</v>
      </c>
      <c r="L102" s="22">
        <f>IF(ISNUMBER(J102), $B118 * K102, "")</f>
        <v>-1185.159738921333</v>
      </c>
      <c r="M102" s="30">
        <v>27990</v>
      </c>
      <c r="N102" s="21">
        <f t="shared" si="49"/>
        <v>-3.8474750944692548E-2</v>
      </c>
      <c r="O102" s="22">
        <f>IF(ISNUMBER(M102), $B118 * N102, "")</f>
        <v>-5771.2126417038826</v>
      </c>
      <c r="Q102" s="146"/>
      <c r="R102" s="146"/>
      <c r="S102" s="146"/>
    </row>
    <row r="103" spans="1:19" ht="17.25" thickBot="1">
      <c r="A103" s="109" t="s">
        <v>332</v>
      </c>
      <c r="B103" s="113">
        <v>667</v>
      </c>
      <c r="C103" s="73">
        <v>6.8910256399999995E-2</v>
      </c>
      <c r="D103" s="96">
        <v>668</v>
      </c>
      <c r="E103" s="97">
        <f>IF(ISNUMBER(D103), (D103 - $B103) / $B103, "")</f>
        <v>1.4992503748125937E-3</v>
      </c>
      <c r="F103" s="98">
        <f>IF(ISNUMBER(D103), $B118 * E103, "")</f>
        <v>224.88755622188904</v>
      </c>
      <c r="G103" s="99">
        <v>667</v>
      </c>
      <c r="H103" s="97">
        <f>IF(ISNUMBER(G103), (G103 - $B103) / $B103, "")</f>
        <v>0</v>
      </c>
      <c r="I103" s="100">
        <f>IF(ISNUMBER(G103), $B118 * H103, "")</f>
        <v>0</v>
      </c>
      <c r="J103" s="96">
        <v>683</v>
      </c>
      <c r="K103" s="97">
        <f>IF(ISNUMBER(J103), (J103 - $B103) / $B103, "")</f>
        <v>2.3988005997001498E-2</v>
      </c>
      <c r="L103" s="98">
        <f>IF(ISNUMBER(J103), $B118 * K103, "")</f>
        <v>3598.2008995502247</v>
      </c>
      <c r="M103" s="99">
        <v>657</v>
      </c>
      <c r="N103" s="97">
        <f>IF(ISNUMBER(M103), (M103 - $B103) / $B103, "")</f>
        <v>-1.4992503748125937E-2</v>
      </c>
      <c r="O103" s="98">
        <f>IF(ISNUMBER(M103), $B118 * N103, "")</f>
        <v>-2248.8755622188905</v>
      </c>
      <c r="Q103" s="146"/>
      <c r="R103" s="146"/>
      <c r="S103" s="146"/>
    </row>
    <row r="104" spans="1:19" ht="17.25" thickBot="1">
      <c r="A104" s="109" t="s">
        <v>111</v>
      </c>
      <c r="B104" s="110">
        <v>1050</v>
      </c>
      <c r="C104" s="70">
        <v>6.8158697899999995E-2</v>
      </c>
      <c r="D104" s="15">
        <v>1015</v>
      </c>
      <c r="E104" s="32">
        <f t="shared" ref="E104:E107" si="50">IF(ISNUMBER(D104), (D104 - $B104) / $B104, "")</f>
        <v>-3.3333333333333333E-2</v>
      </c>
      <c r="F104" s="18">
        <f>IF(ISNUMBER(D104), $B118 * E104, "")</f>
        <v>-5000</v>
      </c>
      <c r="G104" s="31">
        <v>1000</v>
      </c>
      <c r="H104" s="32">
        <f t="shared" ref="H104:H107" si="51">IF(ISNUMBER(G104), (G104 - $B104) / $B104, "")</f>
        <v>-4.7619047619047616E-2</v>
      </c>
      <c r="I104" s="91">
        <f>IF(ISNUMBER(G104), $B118 * H104, "")</f>
        <v>-7142.8571428571422</v>
      </c>
      <c r="J104" s="15">
        <v>1000</v>
      </c>
      <c r="K104" s="32">
        <f t="shared" ref="K104:K107" si="52">IF(ISNUMBER(J104), (J104 - $B104) / $B104, "")</f>
        <v>-4.7619047619047616E-2</v>
      </c>
      <c r="L104" s="18">
        <f>IF(ISNUMBER(J104), $B118 * K104, "")</f>
        <v>-7142.8571428571422</v>
      </c>
      <c r="M104" s="31">
        <v>980</v>
      </c>
      <c r="N104" s="32">
        <f t="shared" ref="N104:N107" si="53">IF(ISNUMBER(M104), (M104 - $B104) / $B104, "")</f>
        <v>-6.6666666666666666E-2</v>
      </c>
      <c r="O104" s="18">
        <f>IF(ISNUMBER(M104), $B118 * N104, "")</f>
        <v>-10000</v>
      </c>
      <c r="Q104" s="146"/>
      <c r="R104" s="146"/>
      <c r="S104" s="146"/>
    </row>
    <row r="105" spans="1:19" ht="17.25" thickBot="1">
      <c r="A105" s="109" t="s">
        <v>347</v>
      </c>
      <c r="B105" s="110">
        <v>22260</v>
      </c>
      <c r="C105" s="70">
        <v>5.9495478300000001E-2</v>
      </c>
      <c r="D105" s="15">
        <v>22490</v>
      </c>
      <c r="E105" s="32">
        <f t="shared" si="50"/>
        <v>1.0332434860736747E-2</v>
      </c>
      <c r="F105" s="18">
        <f>IF(ISNUMBER(D105), $B118 * E105, "")</f>
        <v>1549.865229110512</v>
      </c>
      <c r="G105" s="31">
        <v>22210</v>
      </c>
      <c r="H105" s="32">
        <f t="shared" si="51"/>
        <v>-2.2461814914645105E-3</v>
      </c>
      <c r="I105" s="91">
        <f>IF(ISNUMBER(G105), $B118 * H105, "")</f>
        <v>-336.92722371967659</v>
      </c>
      <c r="J105" s="15">
        <v>22320</v>
      </c>
      <c r="K105" s="32">
        <f t="shared" si="52"/>
        <v>2.6954177897574125E-3</v>
      </c>
      <c r="L105" s="18">
        <f>IF(ISNUMBER(J105), $B118 * K105, "")</f>
        <v>404.31266846361189</v>
      </c>
      <c r="M105" s="31">
        <v>21730</v>
      </c>
      <c r="N105" s="32">
        <f t="shared" si="53"/>
        <v>-2.3809523809523808E-2</v>
      </c>
      <c r="O105" s="18">
        <f>IF(ISNUMBER(M105), $B118 * N105, "")</f>
        <v>-3571.4285714285711</v>
      </c>
      <c r="Q105" s="146"/>
      <c r="R105" s="146"/>
      <c r="S105" s="146"/>
    </row>
    <row r="106" spans="1:19" ht="17.25" thickBot="1">
      <c r="A106" s="109" t="s">
        <v>326</v>
      </c>
      <c r="B106" s="110">
        <v>314</v>
      </c>
      <c r="C106" s="70">
        <v>5.7239057199999999E-2</v>
      </c>
      <c r="D106" s="15">
        <v>311</v>
      </c>
      <c r="E106" s="32">
        <f t="shared" si="50"/>
        <v>-9.5541401273885346E-3</v>
      </c>
      <c r="F106" s="18">
        <f>IF(ISNUMBER(D106), $B118 * E106, "")</f>
        <v>-1433.1210191082803</v>
      </c>
      <c r="G106" s="31">
        <v>315</v>
      </c>
      <c r="H106" s="32">
        <f t="shared" si="51"/>
        <v>3.1847133757961785E-3</v>
      </c>
      <c r="I106" s="91">
        <f>IF(ISNUMBER(G106), $B118 * H106, "")</f>
        <v>477.70700636942678</v>
      </c>
      <c r="J106" s="15">
        <v>315</v>
      </c>
      <c r="K106" s="32">
        <f t="shared" si="52"/>
        <v>3.1847133757961785E-3</v>
      </c>
      <c r="L106" s="18">
        <f>IF(ISNUMBER(J106), $B118 * K106, "")</f>
        <v>477.70700636942678</v>
      </c>
      <c r="M106" s="31">
        <v>309</v>
      </c>
      <c r="N106" s="32">
        <f t="shared" si="53"/>
        <v>-1.5923566878980892E-2</v>
      </c>
      <c r="O106" s="18">
        <f>IF(ISNUMBER(M106), $B118 * N106, "")</f>
        <v>-2388.5350318471337</v>
      </c>
      <c r="Q106" s="33"/>
      <c r="R106" s="33"/>
    </row>
    <row r="107" spans="1:19" ht="17.25" thickBot="1">
      <c r="A107" s="114" t="s">
        <v>109</v>
      </c>
      <c r="B107" s="115">
        <v>1325</v>
      </c>
      <c r="C107" s="72">
        <v>5.57768924E-2</v>
      </c>
      <c r="D107" s="24">
        <v>1330</v>
      </c>
      <c r="E107" s="25">
        <f t="shared" si="50"/>
        <v>3.7735849056603774E-3</v>
      </c>
      <c r="F107" s="94">
        <f>IF(ISNUMBER(D107), $B118 * E107, "")</f>
        <v>566.03773584905662</v>
      </c>
      <c r="G107" s="92">
        <v>1340</v>
      </c>
      <c r="H107" s="25">
        <f t="shared" si="51"/>
        <v>1.1320754716981131E-2</v>
      </c>
      <c r="I107" s="93">
        <f>IF(ISNUMBER(G107), $B118 * H107, "")</f>
        <v>1698.1132075471696</v>
      </c>
      <c r="J107" s="24">
        <v>1390</v>
      </c>
      <c r="K107" s="25">
        <f t="shared" si="52"/>
        <v>4.9056603773584909E-2</v>
      </c>
      <c r="L107" s="94">
        <f>IF(ISNUMBER(J107), $B118 * K107, "")</f>
        <v>7358.4905660377362</v>
      </c>
      <c r="M107" s="92">
        <v>1315</v>
      </c>
      <c r="N107" s="25">
        <f t="shared" si="53"/>
        <v>-7.5471698113207548E-3</v>
      </c>
      <c r="O107" s="94">
        <f>IF(ISNUMBER(M107), $B118 * N107, "")</f>
        <v>-1132.0754716981132</v>
      </c>
      <c r="Q107" s="147"/>
      <c r="R107" s="148"/>
      <c r="S107" s="149"/>
    </row>
    <row r="108" spans="1:19">
      <c r="A108" s="107" t="s">
        <v>83</v>
      </c>
      <c r="B108" s="108">
        <v>1350</v>
      </c>
      <c r="C108" s="69">
        <v>5.46875E-2</v>
      </c>
      <c r="D108" s="13">
        <v>1375</v>
      </c>
      <c r="E108" s="14">
        <f>IF(ISNUMBER(D108), (D108 - $B108) / $B108, "")</f>
        <v>1.8518518518518517E-2</v>
      </c>
      <c r="F108" s="16">
        <f>IF(ISNUMBER(D108), $B118 * E108, "")</f>
        <v>2777.7777777777778</v>
      </c>
      <c r="G108" s="29">
        <v>1365</v>
      </c>
      <c r="H108" s="14">
        <f>IF(ISNUMBER(G108), (G108 - $B108) / $B108, "")</f>
        <v>1.1111111111111112E-2</v>
      </c>
      <c r="I108" s="90">
        <f>IF(ISNUMBER(G108), $B118 * H108, "")</f>
        <v>1666.6666666666667</v>
      </c>
      <c r="J108" s="13">
        <v>1375</v>
      </c>
      <c r="K108" s="14">
        <f>IF(ISNUMBER(J108), (J108 - $B108) / $B108, "")</f>
        <v>1.8518518518518517E-2</v>
      </c>
      <c r="L108" s="16">
        <f>IF(ISNUMBER(J108), $B118 * K108, "")</f>
        <v>2777.7777777777778</v>
      </c>
      <c r="M108" s="29">
        <v>1335</v>
      </c>
      <c r="N108" s="14">
        <f>IF(ISNUMBER(M108), (M108 - $B108) / $B108, "")</f>
        <v>-1.1111111111111112E-2</v>
      </c>
      <c r="O108" s="16">
        <f>IF(ISNUMBER(M108), $B118 * N108, "")</f>
        <v>-1666.6666666666667</v>
      </c>
      <c r="Q108" s="150"/>
      <c r="R108" s="151"/>
      <c r="S108" s="152"/>
    </row>
    <row r="109" spans="1:19" ht="17.25" thickBot="1">
      <c r="A109" s="109" t="s">
        <v>169</v>
      </c>
      <c r="B109" s="110">
        <v>285</v>
      </c>
      <c r="C109" s="70">
        <v>5.1660516599999998E-2</v>
      </c>
      <c r="D109" s="15">
        <v>282</v>
      </c>
      <c r="E109" s="32">
        <f t="shared" ref="E109:E112" si="54">IF(ISNUMBER(D109), (D109 - $B109) / $B109, "")</f>
        <v>-1.0526315789473684E-2</v>
      </c>
      <c r="F109" s="18">
        <f>IF(ISNUMBER(D109), $B118 * E109, "")</f>
        <v>-1578.9473684210525</v>
      </c>
      <c r="G109" s="31">
        <v>284</v>
      </c>
      <c r="H109" s="32">
        <f t="shared" ref="H109:H112" si="55">IF(ISNUMBER(G109), (G109 - $B109) / $B109, "")</f>
        <v>-3.5087719298245615E-3</v>
      </c>
      <c r="I109" s="91">
        <f>IF(ISNUMBER(G109), $B118 * H109, "")</f>
        <v>-526.31578947368428</v>
      </c>
      <c r="J109" s="15">
        <v>286</v>
      </c>
      <c r="K109" s="32">
        <f t="shared" ref="K109:K112" si="56">IF(ISNUMBER(J109), (J109 - $B109) / $B109, "")</f>
        <v>3.5087719298245615E-3</v>
      </c>
      <c r="L109" s="18">
        <f>IF(ISNUMBER(J109), $B118 * K109, "")</f>
        <v>526.31578947368428</v>
      </c>
      <c r="M109" s="31">
        <v>279</v>
      </c>
      <c r="N109" s="32">
        <f t="shared" ref="N109:N112" si="57">IF(ISNUMBER(M109), (M109 - $B109) / $B109, "")</f>
        <v>-2.1052631578947368E-2</v>
      </c>
      <c r="O109" s="18">
        <f>IF(ISNUMBER(M109), $B118 * N109, "")</f>
        <v>-3157.894736842105</v>
      </c>
      <c r="Q109" s="153"/>
      <c r="R109" s="154"/>
      <c r="S109" s="155"/>
    </row>
    <row r="110" spans="1:19" ht="17.25" thickBot="1">
      <c r="A110" s="109" t="s">
        <v>60</v>
      </c>
      <c r="B110" s="110">
        <v>938</v>
      </c>
      <c r="C110" s="70">
        <v>5.1569506699999997E-2</v>
      </c>
      <c r="D110" s="15">
        <v>917</v>
      </c>
      <c r="E110" s="32">
        <f t="shared" si="54"/>
        <v>-2.2388059701492536E-2</v>
      </c>
      <c r="F110" s="18">
        <f>IF(ISNUMBER(D110), $B118 * E110, "")</f>
        <v>-3358.2089552238804</v>
      </c>
      <c r="G110" s="31">
        <v>912</v>
      </c>
      <c r="H110" s="32">
        <f t="shared" si="55"/>
        <v>-2.7718550106609809E-2</v>
      </c>
      <c r="I110" s="91">
        <f>IF(ISNUMBER(G110), $B118 * H110, "")</f>
        <v>-4157.782515991471</v>
      </c>
      <c r="J110" s="15">
        <v>910</v>
      </c>
      <c r="K110" s="32">
        <f t="shared" si="56"/>
        <v>-2.9850746268656716E-2</v>
      </c>
      <c r="L110" s="18">
        <f>IF(ISNUMBER(J110), $B118 * K110, "")</f>
        <v>-4477.6119402985078</v>
      </c>
      <c r="M110" s="31">
        <v>882</v>
      </c>
      <c r="N110" s="32">
        <f t="shared" si="57"/>
        <v>-5.9701492537313432E-2</v>
      </c>
      <c r="O110" s="18">
        <f>IF(ISNUMBER(M110), $B118 * N110, "")</f>
        <v>-8955.2238805970155</v>
      </c>
      <c r="Q110" s="146"/>
      <c r="R110" s="146"/>
      <c r="S110" s="146"/>
    </row>
    <row r="111" spans="1:19" ht="17.25" thickBot="1">
      <c r="A111" s="109" t="s">
        <v>126</v>
      </c>
      <c r="B111" s="110">
        <v>34.9</v>
      </c>
      <c r="C111" s="70">
        <v>4.8048048000000003E-2</v>
      </c>
      <c r="D111" s="15">
        <v>35.4</v>
      </c>
      <c r="E111" s="32">
        <f t="shared" si="54"/>
        <v>1.4326647564469915E-2</v>
      </c>
      <c r="F111" s="18">
        <f>IF(ISNUMBER(D111), $B118 * E111, "")</f>
        <v>2148.9971346704874</v>
      </c>
      <c r="G111" s="31">
        <v>34.799999999999997</v>
      </c>
      <c r="H111" s="32">
        <f t="shared" si="55"/>
        <v>-2.8653295128940235E-3</v>
      </c>
      <c r="I111" s="91">
        <f>IF(ISNUMBER(G111), $B118 * H111, "")</f>
        <v>-429.79942693410351</v>
      </c>
      <c r="J111" s="15">
        <v>35.4</v>
      </c>
      <c r="K111" s="32">
        <f t="shared" si="56"/>
        <v>1.4326647564469915E-2</v>
      </c>
      <c r="L111" s="18">
        <f>IF(ISNUMBER(J111), $B118 * K111, "")</f>
        <v>2148.9971346704874</v>
      </c>
      <c r="M111" s="31">
        <v>33.9</v>
      </c>
      <c r="N111" s="32">
        <f t="shared" si="57"/>
        <v>-2.865329512893983E-2</v>
      </c>
      <c r="O111" s="18">
        <f>IF(ISNUMBER(M111), $B118 * N111, "")</f>
        <v>-4297.9942693409748</v>
      </c>
      <c r="Q111" s="156"/>
      <c r="R111" s="156"/>
      <c r="S111" s="156"/>
    </row>
    <row r="112" spans="1:19" ht="17.25" thickBot="1">
      <c r="A112" s="111" t="s">
        <v>103</v>
      </c>
      <c r="B112" s="112">
        <v>287</v>
      </c>
      <c r="C112" s="71">
        <v>4.7445255499999998E-2</v>
      </c>
      <c r="D112" s="20">
        <v>288</v>
      </c>
      <c r="E112" s="21">
        <f t="shared" si="54"/>
        <v>3.4843205574912892E-3</v>
      </c>
      <c r="F112" s="22">
        <f>IF(ISNUMBER(D112), $B118 * E112, "")</f>
        <v>522.64808362369342</v>
      </c>
      <c r="G112" s="30">
        <v>285</v>
      </c>
      <c r="H112" s="21">
        <f t="shared" si="55"/>
        <v>-6.9686411149825784E-3</v>
      </c>
      <c r="I112" s="95">
        <f>IF(ISNUMBER(G112), $B118 * H112, "")</f>
        <v>-1045.2961672473868</v>
      </c>
      <c r="J112" s="20">
        <v>289</v>
      </c>
      <c r="K112" s="21">
        <f t="shared" si="56"/>
        <v>6.9686411149825784E-3</v>
      </c>
      <c r="L112" s="22">
        <f>IF(ISNUMBER(J112), $B118 * K112, "")</f>
        <v>1045.2961672473868</v>
      </c>
      <c r="M112" s="30">
        <v>284</v>
      </c>
      <c r="N112" s="21">
        <f t="shared" si="57"/>
        <v>-1.0452961672473868E-2</v>
      </c>
      <c r="O112" s="22">
        <f>IF(ISNUMBER(M112), $B118 * N112, "")</f>
        <v>-1567.9442508710802</v>
      </c>
      <c r="Q112" s="156"/>
      <c r="R112" s="156"/>
      <c r="S112" s="156"/>
    </row>
    <row r="113" spans="1:19" ht="17.25" thickBot="1">
      <c r="A113" s="109" t="s">
        <v>172</v>
      </c>
      <c r="B113" s="113">
        <v>3240</v>
      </c>
      <c r="C113" s="73">
        <v>4.6849757700000001E-2</v>
      </c>
      <c r="D113" s="96">
        <v>3220</v>
      </c>
      <c r="E113" s="97">
        <f>IF(ISNUMBER(D113), (D113 - $B113) / $B113, "")</f>
        <v>-6.1728395061728392E-3</v>
      </c>
      <c r="F113" s="98">
        <f>IF(ISNUMBER(D113), $B118 * E113, "")</f>
        <v>-925.92592592592587</v>
      </c>
      <c r="G113" s="99">
        <v>3235</v>
      </c>
      <c r="H113" s="97">
        <f>IF(ISNUMBER(G113), (G113 - $B113) / $B113, "")</f>
        <v>-1.5432098765432098E-3</v>
      </c>
      <c r="I113" s="100">
        <f>IF(ISNUMBER(G113), $B118 * H113, "")</f>
        <v>-231.48148148148147</v>
      </c>
      <c r="J113" s="96">
        <v>3260</v>
      </c>
      <c r="K113" s="97">
        <f>IF(ISNUMBER(J113), (J113 - $B113) / $B113, "")</f>
        <v>6.1728395061728392E-3</v>
      </c>
      <c r="L113" s="98">
        <f>IF(ISNUMBER(J113), $B118 * K113, "")</f>
        <v>925.92592592592587</v>
      </c>
      <c r="M113" s="99">
        <v>3190</v>
      </c>
      <c r="N113" s="97">
        <f>IF(ISNUMBER(M113), (M113 - $B113) / $B113, "")</f>
        <v>-1.5432098765432098E-2</v>
      </c>
      <c r="O113" s="98">
        <f>IF(ISNUMBER(M113), $B118 * N113, "")</f>
        <v>-2314.8148148148148</v>
      </c>
      <c r="Q113" s="146"/>
      <c r="R113" s="146"/>
      <c r="S113" s="146"/>
    </row>
    <row r="114" spans="1:19" ht="17.25" thickBot="1">
      <c r="A114" s="109" t="s">
        <v>138</v>
      </c>
      <c r="B114" s="110">
        <v>31.4</v>
      </c>
      <c r="C114" s="70">
        <v>4.6666666699999998E-2</v>
      </c>
      <c r="D114" s="15">
        <v>31.4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31.1</v>
      </c>
      <c r="H114" s="32">
        <f t="shared" ref="H114:H117" si="59">IF(ISNUMBER(G114), (G114 - $B114) / $B114, "")</f>
        <v>-9.5541401273884444E-3</v>
      </c>
      <c r="I114" s="91">
        <f>IF(ISNUMBER(G114), $B118 * H114, "")</f>
        <v>-1433.1210191082666</v>
      </c>
      <c r="J114" s="15">
        <v>31.7</v>
      </c>
      <c r="K114" s="32">
        <f t="shared" ref="K114:K117" si="60">IF(ISNUMBER(J114), (J114 - $B114) / $B114, "")</f>
        <v>9.5541401273885589E-3</v>
      </c>
      <c r="L114" s="18">
        <f>IF(ISNUMBER(J114), $B118 * K114, "")</f>
        <v>1433.1210191082839</v>
      </c>
      <c r="M114" s="31">
        <v>30.5</v>
      </c>
      <c r="N114" s="32">
        <f t="shared" ref="N114:N117" si="61">IF(ISNUMBER(M114), (M114 - $B114) / $B114, "")</f>
        <v>-2.8662420382165561E-2</v>
      </c>
      <c r="O114" s="18">
        <f>IF(ISNUMBER(M114), $B118 * N114, "")</f>
        <v>-4299.3630573248338</v>
      </c>
      <c r="Q114" s="146"/>
      <c r="R114" s="146"/>
      <c r="S114" s="146"/>
    </row>
    <row r="115" spans="1:19" ht="17.25" thickBot="1">
      <c r="A115" s="109" t="s">
        <v>337</v>
      </c>
      <c r="B115" s="110">
        <v>110000</v>
      </c>
      <c r="C115" s="70">
        <v>4.5627376400000003E-2</v>
      </c>
      <c r="D115" s="15">
        <v>109350</v>
      </c>
      <c r="E115" s="32">
        <f t="shared" si="58"/>
        <v>-5.909090909090909E-3</v>
      </c>
      <c r="F115" s="18">
        <f>IF(ISNUMBER(D115), $B118 * E115, "")</f>
        <v>-886.36363636363637</v>
      </c>
      <c r="G115" s="31">
        <v>108050</v>
      </c>
      <c r="H115" s="32">
        <f t="shared" si="59"/>
        <v>-1.7727272727272727E-2</v>
      </c>
      <c r="I115" s="91">
        <f>IF(ISNUMBER(G115), $B118 * H115, "")</f>
        <v>-2659.090909090909</v>
      </c>
      <c r="J115" s="15">
        <v>110150</v>
      </c>
      <c r="K115" s="32">
        <f t="shared" si="60"/>
        <v>1.3636363636363637E-3</v>
      </c>
      <c r="L115" s="18">
        <f>IF(ISNUMBER(J115), $B118 * K115, "")</f>
        <v>204.54545454545456</v>
      </c>
      <c r="M115" s="31">
        <v>106300</v>
      </c>
      <c r="N115" s="32">
        <f t="shared" si="61"/>
        <v>-3.3636363636363638E-2</v>
      </c>
      <c r="O115" s="18">
        <f>IF(ISNUMBER(M115), $B118 * N115, "")</f>
        <v>-5045.454545454546</v>
      </c>
      <c r="Q115" s="146"/>
      <c r="R115" s="146"/>
      <c r="S115" s="146"/>
    </row>
    <row r="116" spans="1:19">
      <c r="A116" s="109" t="s">
        <v>62</v>
      </c>
      <c r="B116" s="110">
        <v>10190</v>
      </c>
      <c r="C116" s="70">
        <v>4.1922290399999999E-2</v>
      </c>
      <c r="D116" s="15">
        <v>10130</v>
      </c>
      <c r="E116" s="32">
        <f t="shared" si="58"/>
        <v>-5.8881256133464181E-3</v>
      </c>
      <c r="F116" s="18">
        <f>IF(ISNUMBER(D116), $B118 * E116, "")</f>
        <v>-883.21884200196268</v>
      </c>
      <c r="G116" s="31">
        <v>10120</v>
      </c>
      <c r="H116" s="32">
        <f t="shared" si="59"/>
        <v>-6.8694798822374874E-3</v>
      </c>
      <c r="I116" s="91">
        <f>IF(ISNUMBER(G116), $B118 * H116, "")</f>
        <v>-1030.4219823356232</v>
      </c>
      <c r="J116" s="15">
        <v>10200</v>
      </c>
      <c r="K116" s="32">
        <f t="shared" si="60"/>
        <v>9.813542688910696E-4</v>
      </c>
      <c r="L116" s="18">
        <f>IF(ISNUMBER(J116), $B118 * K116, "")</f>
        <v>147.20314033366043</v>
      </c>
      <c r="M116" s="31">
        <v>9930</v>
      </c>
      <c r="N116" s="32">
        <f t="shared" si="61"/>
        <v>-2.5515210991167811E-2</v>
      </c>
      <c r="O116" s="18">
        <f>IF(ISNUMBER(M116), $B118 * N116, "")</f>
        <v>-3827.2816486751717</v>
      </c>
      <c r="Q116" s="135"/>
      <c r="R116" s="136"/>
      <c r="S116" s="137"/>
    </row>
    <row r="117" spans="1:19" ht="17.25" thickBot="1">
      <c r="A117" s="114" t="s">
        <v>118</v>
      </c>
      <c r="B117" s="115">
        <v>6.83</v>
      </c>
      <c r="C117" s="72">
        <v>4.1158536599999997E-2</v>
      </c>
      <c r="D117" s="24">
        <v>6.73</v>
      </c>
      <c r="E117" s="25">
        <f t="shared" si="58"/>
        <v>-1.4641288433382086E-2</v>
      </c>
      <c r="F117" s="94">
        <f>IF(ISNUMBER(D117), $B118 * E117, "")</f>
        <v>-2196.1932650073127</v>
      </c>
      <c r="G117" s="92">
        <v>6.66</v>
      </c>
      <c r="H117" s="25">
        <f t="shared" si="59"/>
        <v>-2.4890190336749624E-2</v>
      </c>
      <c r="I117" s="93">
        <f>IF(ISNUMBER(G117), $B118 * H117, "")</f>
        <v>-3733.5285505124434</v>
      </c>
      <c r="J117" s="24">
        <v>6.76</v>
      </c>
      <c r="K117" s="25">
        <f t="shared" si="60"/>
        <v>-1.0248901903367538E-2</v>
      </c>
      <c r="L117" s="94">
        <f>IF(ISNUMBER(J117), $B118 * K117, "")</f>
        <v>-1537.3352855051307</v>
      </c>
      <c r="M117" s="92">
        <v>6.52</v>
      </c>
      <c r="N117" s="25">
        <f t="shared" si="61"/>
        <v>-4.5387994143484697E-2</v>
      </c>
      <c r="O117" s="94">
        <f>IF(ISNUMBER(M117), $B118 * N117, "")</f>
        <v>-6808.1991215227044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9.8918508345199156E-3</v>
      </c>
      <c r="F118" s="28">
        <f>SUM(F98:F117)</f>
        <v>29675.552503559753</v>
      </c>
      <c r="G118" s="26" t="s">
        <v>258</v>
      </c>
      <c r="H118" s="27">
        <f>IF(COUNT(H98:H117), SUM(H98:H117) / COUNT(H98:H117), 0)</f>
        <v>2.1279440395854643E-3</v>
      </c>
      <c r="I118" s="28">
        <f>SUM(I98:I117)</f>
        <v>6383.8321187563924</v>
      </c>
      <c r="J118" s="26" t="s">
        <v>258</v>
      </c>
      <c r="K118" s="27">
        <f>IF(COUNT(K98:K117), SUM(K98:K117) / COUNT(K98:K117), 0)</f>
        <v>1.2008929629446597E-2</v>
      </c>
      <c r="L118" s="28">
        <f>SUM(L98:L117)</f>
        <v>36026.788888339797</v>
      </c>
      <c r="M118" s="26" t="s">
        <v>258</v>
      </c>
      <c r="N118" s="27">
        <f>IF(COUNT(N98:N117), SUM(N98:N117) / COUNT(N98:N117), 0)</f>
        <v>-2.0503907386691715E-2</v>
      </c>
      <c r="O118" s="28">
        <f>SUM(O98:O117)</f>
        <v>-61511.722160075136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2023-01-23(월) 오전 00:00</v>
      </c>
      <c r="C123" s="198"/>
      <c r="D123" s="170" t="str">
        <f>TEXT($G$1, "[$-ko-KR]yyyy-mm-dd(ddd) ") &amp; "오후 14:00"</f>
        <v>2023-01-23(월) 오후 14:00</v>
      </c>
      <c r="E123" s="171"/>
      <c r="F123" s="172"/>
      <c r="G123" s="170" t="str">
        <f>TEXT($G$1, "[$-ko-KR]yyyy-mm-dd(ddd) ") &amp; "오후 19:00"</f>
        <v>2023-01-23(월) 오후 19:00</v>
      </c>
      <c r="H123" s="171"/>
      <c r="I123" s="172"/>
      <c r="J123" s="170" t="str">
        <f>TEXT($G$1, "[$-ko-KR]yyyy-mm-dd(ddd) ") &amp; "오후 21:00"</f>
        <v>2023-01-23(월) 오후 21:00</v>
      </c>
      <c r="K123" s="171"/>
      <c r="L123" s="172"/>
      <c r="M123" s="170" t="str">
        <f>TEXT($G$1+1, "[$-ko-KR]yyyy-mm-dd(ddd) ") &amp; "오전 00:00"</f>
        <v>2023-01-24(화)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193</v>
      </c>
      <c r="B125" s="108">
        <v>20.399999999999999</v>
      </c>
      <c r="C125" s="69">
        <v>9.9009900999999997E-3</v>
      </c>
      <c r="D125" s="13">
        <v>20.3</v>
      </c>
      <c r="E125" s="14">
        <f>IF(ISNUMBER(D125), (D125 - $B125) / $B125, "")</f>
        <v>-4.9019607843136213E-3</v>
      </c>
      <c r="F125" s="16">
        <f>IF(ISNUMBER(D125), $B145 * E125, "")</f>
        <v>-735.29411764704321</v>
      </c>
      <c r="G125" s="29">
        <v>20.100000000000001</v>
      </c>
      <c r="H125" s="14">
        <f>IF(ISNUMBER(G125), (G125 - $B125) / $B125, "")</f>
        <v>-1.4705882352941037E-2</v>
      </c>
      <c r="I125" s="90">
        <f>IF(ISNUMBER(G125), $B145 * H125, "")</f>
        <v>-2205.8823529411557</v>
      </c>
      <c r="J125" s="13">
        <v>20.2</v>
      </c>
      <c r="K125" s="14">
        <f>IF(ISNUMBER(J125), (J125 - $B125) / $B125, "")</f>
        <v>-9.8039215686274161E-3</v>
      </c>
      <c r="L125" s="16">
        <f>IF(ISNUMBER(J125), $B145 * K125, "")</f>
        <v>-1470.5882352941123</v>
      </c>
      <c r="M125" s="29">
        <v>19.899999999999999</v>
      </c>
      <c r="N125" s="14">
        <f>IF(ISNUMBER(M125), (M125 - $B125) / $B125, "")</f>
        <v>-2.4509803921568631E-2</v>
      </c>
      <c r="O125" s="16">
        <f>IF(ISNUMBER(M125), $B145 * N125, "")</f>
        <v>-3676.4705882352946</v>
      </c>
      <c r="Q125" s="156"/>
      <c r="R125" s="156"/>
      <c r="S125" s="156"/>
    </row>
    <row r="126" spans="1:19" ht="17.25" thickBot="1">
      <c r="A126" s="109" t="s">
        <v>141</v>
      </c>
      <c r="B126" s="110">
        <v>3.86</v>
      </c>
      <c r="C126" s="70">
        <v>7.8328982000000005E-3</v>
      </c>
      <c r="D126" s="15">
        <v>3.8</v>
      </c>
      <c r="E126" s="32">
        <f t="shared" ref="E126:E129" si="62">IF(ISNUMBER(D126), (D126 - $B126) / $B126, "")</f>
        <v>-1.5544041450777216E-2</v>
      </c>
      <c r="F126" s="18">
        <f>IF(ISNUMBER(D126), $B145 * E126, "")</f>
        <v>-2331.6062176165824</v>
      </c>
      <c r="G126" s="31">
        <v>3.8</v>
      </c>
      <c r="H126" s="32">
        <f t="shared" ref="H126:H129" si="63">IF(ISNUMBER(G126), (G126 - $B126) / $B126, "")</f>
        <v>-1.5544041450777216E-2</v>
      </c>
      <c r="I126" s="91">
        <f>IF(ISNUMBER(G126), $B145 * H126, "")</f>
        <v>-2331.6062176165824</v>
      </c>
      <c r="J126" s="15">
        <v>3.83</v>
      </c>
      <c r="K126" s="32">
        <f t="shared" ref="K126:K129" si="64">IF(ISNUMBER(J126), (J126 - $B126) / $B126, "")</f>
        <v>-7.7720207253885506E-3</v>
      </c>
      <c r="L126" s="18">
        <f>IF(ISNUMBER(J126), $B145 * K126, "")</f>
        <v>-1165.8031088082826</v>
      </c>
      <c r="M126" s="31">
        <v>3.77</v>
      </c>
      <c r="N126" s="32">
        <f t="shared" ref="N126:N129" si="65">IF(ISNUMBER(M126), (M126 - $B126) / $B126, "")</f>
        <v>-2.3316062176165768E-2</v>
      </c>
      <c r="O126" s="18">
        <f>IF(ISNUMBER(M126), $B145 * N126, "")</f>
        <v>-3497.4093264248654</v>
      </c>
      <c r="Q126" s="156"/>
      <c r="R126" s="156"/>
      <c r="S126" s="156"/>
    </row>
    <row r="127" spans="1:19" ht="17.25" thickBot="1">
      <c r="A127" s="109" t="s">
        <v>197</v>
      </c>
      <c r="B127" s="110">
        <v>7.48</v>
      </c>
      <c r="C127" s="70">
        <v>6.7294751E-3</v>
      </c>
      <c r="D127" s="15">
        <v>7.46</v>
      </c>
      <c r="E127" s="32">
        <f t="shared" si="62"/>
        <v>-2.6737967914439117E-3</v>
      </c>
      <c r="F127" s="18">
        <f>IF(ISNUMBER(D127), $B145 * E127, "")</f>
        <v>-401.06951871658674</v>
      </c>
      <c r="G127" s="31">
        <v>7.49</v>
      </c>
      <c r="H127" s="32">
        <f t="shared" si="63"/>
        <v>1.3368983957218966E-3</v>
      </c>
      <c r="I127" s="91">
        <f>IF(ISNUMBER(G127), $B145 * H127, "")</f>
        <v>200.5347593582845</v>
      </c>
      <c r="J127" s="15">
        <v>7.53</v>
      </c>
      <c r="K127" s="32">
        <f t="shared" si="64"/>
        <v>6.6844919786096012E-3</v>
      </c>
      <c r="L127" s="18">
        <f>IF(ISNUMBER(J127), $B145 * K127, "")</f>
        <v>1002.6737967914402</v>
      </c>
      <c r="M127" s="31">
        <v>7.47</v>
      </c>
      <c r="N127" s="32">
        <f t="shared" si="65"/>
        <v>-1.3368983957220153E-3</v>
      </c>
      <c r="O127" s="18">
        <f>IF(ISNUMBER(M127), $B145 * N127, "")</f>
        <v>-200.5347593583023</v>
      </c>
      <c r="Q127" s="146"/>
      <c r="R127" s="146"/>
      <c r="S127" s="146"/>
    </row>
    <row r="128" spans="1:19" ht="17.25" thickBot="1">
      <c r="A128" s="109" t="s">
        <v>181</v>
      </c>
      <c r="B128" s="110">
        <v>4.88</v>
      </c>
      <c r="C128" s="70">
        <v>4.1152263000000001E-3</v>
      </c>
      <c r="D128" s="15">
        <v>4.87</v>
      </c>
      <c r="E128" s="32">
        <f t="shared" si="62"/>
        <v>-2.0491803278688088E-3</v>
      </c>
      <c r="F128" s="18">
        <f>IF(ISNUMBER(D128), $B145 * E128, "")</f>
        <v>-307.37704918032131</v>
      </c>
      <c r="G128" s="31">
        <v>4.8600000000000003</v>
      </c>
      <c r="H128" s="32">
        <f t="shared" si="63"/>
        <v>-4.0983606557376175E-3</v>
      </c>
      <c r="I128" s="91">
        <f>IF(ISNUMBER(G128), $B145 * H128, "")</f>
        <v>-614.75409836064262</v>
      </c>
      <c r="J128" s="15">
        <v>4.87</v>
      </c>
      <c r="K128" s="32">
        <f t="shared" si="64"/>
        <v>-2.0491803278688088E-3</v>
      </c>
      <c r="L128" s="18">
        <f>IF(ISNUMBER(J128), $B145 * K128, "")</f>
        <v>-307.37704918032131</v>
      </c>
      <c r="M128" s="31">
        <v>4.8099999999999996</v>
      </c>
      <c r="N128" s="32">
        <f t="shared" si="65"/>
        <v>-1.4344262295082027E-2</v>
      </c>
      <c r="O128" s="18">
        <f>IF(ISNUMBER(M128), $B145 * N128, "")</f>
        <v>-2151.6393442623039</v>
      </c>
      <c r="Q128" s="146"/>
      <c r="R128" s="146"/>
      <c r="S128" s="146"/>
    </row>
    <row r="129" spans="1:19" ht="17.25" thickBot="1">
      <c r="A129" s="111" t="s">
        <v>203</v>
      </c>
      <c r="B129" s="112">
        <v>3.81</v>
      </c>
      <c r="C129" s="71">
        <v>2.6315789000000002E-3</v>
      </c>
      <c r="D129" s="20">
        <v>3.77</v>
      </c>
      <c r="E129" s="21">
        <f t="shared" si="62"/>
        <v>-1.0498687664042003E-2</v>
      </c>
      <c r="F129" s="22">
        <f>IF(ISNUMBER(D129), $B145 * E129, "")</f>
        <v>-1574.8031496063004</v>
      </c>
      <c r="G129" s="30">
        <v>3.77</v>
      </c>
      <c r="H129" s="21">
        <f t="shared" si="63"/>
        <v>-1.0498687664042003E-2</v>
      </c>
      <c r="I129" s="95">
        <f>IF(ISNUMBER(G129), $B145 * H129, "")</f>
        <v>-1574.8031496063004</v>
      </c>
      <c r="J129" s="20">
        <v>3.8</v>
      </c>
      <c r="K129" s="21">
        <f t="shared" si="64"/>
        <v>-2.6246719160105594E-3</v>
      </c>
      <c r="L129" s="22">
        <f>IF(ISNUMBER(J129), $B145 * K129, "")</f>
        <v>-393.70078740158391</v>
      </c>
      <c r="M129" s="30">
        <v>3.75</v>
      </c>
      <c r="N129" s="21">
        <f t="shared" si="65"/>
        <v>-1.5748031496063006E-2</v>
      </c>
      <c r="O129" s="22">
        <f>IF(ISNUMBER(M129), $B145 * N129, "")</f>
        <v>-2362.204724409451</v>
      </c>
      <c r="Q129" s="146"/>
      <c r="R129" s="146"/>
      <c r="S129" s="146"/>
    </row>
    <row r="130" spans="1:19" ht="17.25" thickBot="1">
      <c r="A130" s="109" t="s">
        <v>350</v>
      </c>
      <c r="B130" s="113">
        <v>7.82</v>
      </c>
      <c r="C130" s="73">
        <v>2.5641026000000002E-3</v>
      </c>
      <c r="D130" s="96">
        <v>7.76</v>
      </c>
      <c r="E130" s="97">
        <f>IF(ISNUMBER(D130), (D130 - $B130) / $B130, "")</f>
        <v>-7.6726342710998078E-3</v>
      </c>
      <c r="F130" s="98">
        <f>IF(ISNUMBER(D130), $B145 * E130, "")</f>
        <v>-1150.8951406649712</v>
      </c>
      <c r="G130" s="99">
        <v>7.76</v>
      </c>
      <c r="H130" s="97">
        <f>IF(ISNUMBER(G130), (G130 - $B130) / $B130, "")</f>
        <v>-7.6726342710998078E-3</v>
      </c>
      <c r="I130" s="100">
        <f>IF(ISNUMBER(G130), $B145 * H130, "")</f>
        <v>-1150.8951406649712</v>
      </c>
      <c r="J130" s="96">
        <v>7.8</v>
      </c>
      <c r="K130" s="97">
        <f>IF(ISNUMBER(J130), (J130 - $B130) / $B130, "")</f>
        <v>-2.5575447570333068E-3</v>
      </c>
      <c r="L130" s="98">
        <f>IF(ISNUMBER(J130), $B145 * K130, "")</f>
        <v>-383.63171355499605</v>
      </c>
      <c r="M130" s="99">
        <v>7.7</v>
      </c>
      <c r="N130" s="97">
        <f>IF(ISNUMBER(M130), (M130 - $B130) / $B130, "")</f>
        <v>-1.5345268542199501E-2</v>
      </c>
      <c r="O130" s="98">
        <f>IF(ISNUMBER(M130), $B145 * N130, "")</f>
        <v>-2301.7902813299252</v>
      </c>
      <c r="Q130" s="146"/>
      <c r="R130" s="146"/>
      <c r="S130" s="146"/>
    </row>
    <row r="131" spans="1:19" ht="17.25" thickBot="1">
      <c r="A131" s="109" t="s">
        <v>107</v>
      </c>
      <c r="B131" s="110">
        <v>46.2</v>
      </c>
      <c r="C131" s="70">
        <v>2.1691974E-3</v>
      </c>
      <c r="D131" s="15">
        <v>45.7</v>
      </c>
      <c r="E131" s="32">
        <f t="shared" ref="E131:E134" si="66">IF(ISNUMBER(D131), (D131 - $B131) / $B131, "")</f>
        <v>-1.0822510822510822E-2</v>
      </c>
      <c r="F131" s="18">
        <f>IF(ISNUMBER(D131), $B145 * E131, "")</f>
        <v>-1623.3766233766232</v>
      </c>
      <c r="G131" s="31">
        <v>45.6</v>
      </c>
      <c r="H131" s="32">
        <f t="shared" ref="H131:H134" si="67">IF(ISNUMBER(G131), (G131 - $B131) / $B131, "")</f>
        <v>-1.2987012987013017E-2</v>
      </c>
      <c r="I131" s="91">
        <f>IF(ISNUMBER(G131), $B145 * H131, "")</f>
        <v>-1948.0519480519526</v>
      </c>
      <c r="J131" s="15">
        <v>45.8</v>
      </c>
      <c r="K131" s="32">
        <f t="shared" ref="K131:K134" si="68">IF(ISNUMBER(J131), (J131 - $B131) / $B131, "")</f>
        <v>-8.6580086580087812E-3</v>
      </c>
      <c r="L131" s="18">
        <f>IF(ISNUMBER(J131), $B145 * K131, "")</f>
        <v>-1298.7012987013172</v>
      </c>
      <c r="M131" s="31">
        <v>45.1</v>
      </c>
      <c r="N131" s="32">
        <f t="shared" ref="N131:N134" si="69">IF(ISNUMBER(M131), (M131 - $B131) / $B131, "")</f>
        <v>-2.3809523809523839E-2</v>
      </c>
      <c r="O131" s="18">
        <f>IF(ISNUMBER(M131), $B145 * N131, "")</f>
        <v>-3571.4285714285761</v>
      </c>
      <c r="Q131" s="146"/>
      <c r="R131" s="146"/>
      <c r="S131" s="146"/>
    </row>
    <row r="132" spans="1:19" ht="17.25" thickBot="1">
      <c r="A132" s="109" t="s">
        <v>333</v>
      </c>
      <c r="B132" s="110">
        <v>5.17</v>
      </c>
      <c r="C132" s="70">
        <v>1.9379845E-3</v>
      </c>
      <c r="D132" s="15">
        <v>5.2</v>
      </c>
      <c r="E132" s="32">
        <f t="shared" si="66"/>
        <v>5.8027079303675528E-3</v>
      </c>
      <c r="F132" s="18">
        <f>IF(ISNUMBER(D132), $B145 * E132, "")</f>
        <v>870.40618955513287</v>
      </c>
      <c r="G132" s="31">
        <v>5.17</v>
      </c>
      <c r="H132" s="32">
        <f t="shared" si="67"/>
        <v>0</v>
      </c>
      <c r="I132" s="91">
        <f>IF(ISNUMBER(G132), $B145 * H132, "")</f>
        <v>0</v>
      </c>
      <c r="J132" s="15">
        <v>5.19</v>
      </c>
      <c r="K132" s="32">
        <f t="shared" si="68"/>
        <v>3.8684719535784259E-3</v>
      </c>
      <c r="L132" s="18">
        <f>IF(ISNUMBER(J132), $B145 * K132, "")</f>
        <v>580.27079303676385</v>
      </c>
      <c r="M132" s="31">
        <v>5.15</v>
      </c>
      <c r="N132" s="32">
        <f t="shared" si="69"/>
        <v>-3.8684719535782542E-3</v>
      </c>
      <c r="O132" s="18">
        <f>IF(ISNUMBER(M132), $B145 * N132, "")</f>
        <v>-580.27079303673816</v>
      </c>
      <c r="Q132" s="146"/>
      <c r="R132" s="146"/>
      <c r="S132" s="146"/>
    </row>
    <row r="133" spans="1:19" ht="17.25" thickBot="1">
      <c r="A133" s="109" t="s">
        <v>97</v>
      </c>
      <c r="B133" s="110">
        <v>1E-3</v>
      </c>
      <c r="C133" s="70">
        <v>0</v>
      </c>
      <c r="D133" s="15">
        <v>1E-3</v>
      </c>
      <c r="E133" s="32">
        <f t="shared" si="66"/>
        <v>0</v>
      </c>
      <c r="F133" s="18">
        <f>IF(ISNUMBER(D133), $B145 * E133, "")</f>
        <v>0</v>
      </c>
      <c r="G133" s="31">
        <v>1E-3</v>
      </c>
      <c r="H133" s="32">
        <f t="shared" si="67"/>
        <v>0</v>
      </c>
      <c r="I133" s="91">
        <f>IF(ISNUMBER(G133), $B145 * H133, "")</f>
        <v>0</v>
      </c>
      <c r="J133" s="15">
        <v>1E-3</v>
      </c>
      <c r="K133" s="32">
        <f t="shared" si="68"/>
        <v>0</v>
      </c>
      <c r="L133" s="18">
        <f>IF(ISNUMBER(J133), $B145 * K133, "")</f>
        <v>0</v>
      </c>
      <c r="M133" s="31">
        <v>8.9999999999999998E-4</v>
      </c>
      <c r="N133" s="32">
        <f t="shared" si="69"/>
        <v>-0.10000000000000005</v>
      </c>
      <c r="O133" s="18">
        <f>IF(ISNUMBER(M133), $B145 * N133, "")</f>
        <v>-15000.000000000007</v>
      </c>
      <c r="Q133" s="33"/>
      <c r="R133" s="33"/>
    </row>
    <row r="134" spans="1:19" ht="17.25" thickBot="1">
      <c r="A134" s="114" t="s">
        <v>209</v>
      </c>
      <c r="B134" s="115">
        <v>94.8</v>
      </c>
      <c r="C134" s="72">
        <v>0</v>
      </c>
      <c r="D134" s="24">
        <v>94</v>
      </c>
      <c r="E134" s="25">
        <f t="shared" si="66"/>
        <v>-8.4388185654008137E-3</v>
      </c>
      <c r="F134" s="94">
        <f>IF(ISNUMBER(D134), $B145 * E134, "")</f>
        <v>-1265.8227848101221</v>
      </c>
      <c r="G134" s="92">
        <v>93.9</v>
      </c>
      <c r="H134" s="25">
        <f t="shared" si="67"/>
        <v>-9.4936708860758594E-3</v>
      </c>
      <c r="I134" s="93">
        <f>IF(ISNUMBER(G134), $B145 * H134, "")</f>
        <v>-1424.0506329113789</v>
      </c>
      <c r="J134" s="24">
        <v>94.1</v>
      </c>
      <c r="K134" s="25">
        <f t="shared" si="68"/>
        <v>-7.3839662447257688E-3</v>
      </c>
      <c r="L134" s="94">
        <f>IF(ISNUMBER(J134), $B145 * K134, "")</f>
        <v>-1107.5949367088654</v>
      </c>
      <c r="M134" s="92">
        <v>92.8</v>
      </c>
      <c r="N134" s="25">
        <f t="shared" si="69"/>
        <v>-2.1097046413502109E-2</v>
      </c>
      <c r="O134" s="94">
        <f>IF(ISNUMBER(M134), $B145 * N134, "")</f>
        <v>-3164.5569620253164</v>
      </c>
      <c r="Q134" s="147"/>
      <c r="R134" s="148"/>
      <c r="S134" s="149"/>
    </row>
    <row r="135" spans="1:19">
      <c r="A135" s="107" t="s">
        <v>221</v>
      </c>
      <c r="B135" s="108">
        <v>22.7</v>
      </c>
      <c r="C135" s="69">
        <v>0</v>
      </c>
      <c r="D135" s="13">
        <v>22.6</v>
      </c>
      <c r="E135" s="14">
        <f>IF(ISNUMBER(D135), (D135 - $B135) / $B135, "")</f>
        <v>-4.4052863436122407E-3</v>
      </c>
      <c r="F135" s="16">
        <f>IF(ISNUMBER(D135), $B145 * E135, "")</f>
        <v>-660.79295154183615</v>
      </c>
      <c r="G135" s="29">
        <v>22.6</v>
      </c>
      <c r="H135" s="14">
        <f>IF(ISNUMBER(G135), (G135 - $B135) / $B135, "")</f>
        <v>-4.4052863436122407E-3</v>
      </c>
      <c r="I135" s="90">
        <f>IF(ISNUMBER(G135), $B145 * H135, "")</f>
        <v>-660.79295154183615</v>
      </c>
      <c r="J135" s="13">
        <v>22.7</v>
      </c>
      <c r="K135" s="14">
        <f>IF(ISNUMBER(J135), (J135 - $B135) / $B135, "")</f>
        <v>0</v>
      </c>
      <c r="L135" s="16">
        <f>IF(ISNUMBER(J135), $B145 * K135, "")</f>
        <v>0</v>
      </c>
      <c r="M135" s="29">
        <v>22.6</v>
      </c>
      <c r="N135" s="14">
        <f>IF(ISNUMBER(M135), (M135 - $B135) / $B135, "")</f>
        <v>-4.4052863436122407E-3</v>
      </c>
      <c r="O135" s="16">
        <f>IF(ISNUMBER(M135), $B145 * N135, "")</f>
        <v>-660.79295154183615</v>
      </c>
      <c r="Q135" s="150"/>
      <c r="R135" s="151"/>
      <c r="S135" s="152"/>
    </row>
    <row r="136" spans="1:19" ht="17.25" thickBot="1">
      <c r="A136" s="109" t="s">
        <v>195</v>
      </c>
      <c r="B136" s="110">
        <v>7</v>
      </c>
      <c r="C136" s="70">
        <v>-1.4265335E-3</v>
      </c>
      <c r="D136" s="15">
        <v>6.93</v>
      </c>
      <c r="E136" s="32">
        <f t="shared" ref="E136:E139" si="70">IF(ISNUMBER(D136), (D136 - $B136) / $B136, "")</f>
        <v>-1.000000000000004E-2</v>
      </c>
      <c r="F136" s="18">
        <f>IF(ISNUMBER(D136), $B145 * E136, "")</f>
        <v>-1500.0000000000059</v>
      </c>
      <c r="G136" s="31">
        <v>6.91</v>
      </c>
      <c r="H136" s="32">
        <f t="shared" ref="H136:H139" si="71">IF(ISNUMBER(G136), (G136 - $B136) / $B136, "")</f>
        <v>-1.2857142857142836E-2</v>
      </c>
      <c r="I136" s="91">
        <f>IF(ISNUMBER(G136), $B145 * H136, "")</f>
        <v>-1928.5714285714255</v>
      </c>
      <c r="J136" s="15">
        <v>6.93</v>
      </c>
      <c r="K136" s="32">
        <f t="shared" ref="K136:K139" si="72">IF(ISNUMBER(J136), (J136 - $B136) / $B136, "")</f>
        <v>-1.000000000000004E-2</v>
      </c>
      <c r="L136" s="18">
        <f>IF(ISNUMBER(J136), $B145 * K136, "")</f>
        <v>-1500.0000000000059</v>
      </c>
      <c r="M136" s="31">
        <v>6.87</v>
      </c>
      <c r="N136" s="32">
        <f t="shared" ref="N136:N139" si="73">IF(ISNUMBER(M136), (M136 - $B136) / $B136, "")</f>
        <v>-1.8571428571428555E-2</v>
      </c>
      <c r="O136" s="18">
        <f>IF(ISNUMBER(M136), $B145 * N136, "")</f>
        <v>-2785.7142857142831</v>
      </c>
      <c r="Q136" s="153"/>
      <c r="R136" s="154"/>
      <c r="S136" s="155"/>
    </row>
    <row r="137" spans="1:19" ht="17.25" thickBot="1">
      <c r="A137" s="109" t="s">
        <v>185</v>
      </c>
      <c r="B137" s="110">
        <v>37.200000000000003</v>
      </c>
      <c r="C137" s="70">
        <v>-2.6809651E-3</v>
      </c>
      <c r="D137" s="15">
        <v>36.5</v>
      </c>
      <c r="E137" s="32">
        <f t="shared" si="70"/>
        <v>-1.8817204301075342E-2</v>
      </c>
      <c r="F137" s="18">
        <f>IF(ISNUMBER(D137), $B145 * E137, "")</f>
        <v>-2822.5806451613012</v>
      </c>
      <c r="G137" s="31">
        <v>36.5</v>
      </c>
      <c r="H137" s="32">
        <f t="shared" si="71"/>
        <v>-1.8817204301075342E-2</v>
      </c>
      <c r="I137" s="91">
        <f>IF(ISNUMBER(G137), $B145 * H137, "")</f>
        <v>-2822.5806451613012</v>
      </c>
      <c r="J137" s="15">
        <v>36.6</v>
      </c>
      <c r="K137" s="32">
        <f t="shared" si="72"/>
        <v>-1.6129032258064554E-2</v>
      </c>
      <c r="L137" s="18">
        <f>IF(ISNUMBER(J137), $B145 * K137, "")</f>
        <v>-2419.354838709683</v>
      </c>
      <c r="M137" s="31">
        <v>36.5</v>
      </c>
      <c r="N137" s="32">
        <f t="shared" si="73"/>
        <v>-1.8817204301075342E-2</v>
      </c>
      <c r="O137" s="18">
        <f>IF(ISNUMBER(M137), $B145 * N137, "")</f>
        <v>-2822.5806451613012</v>
      </c>
      <c r="Q137" s="146"/>
      <c r="R137" s="146"/>
      <c r="S137" s="146"/>
    </row>
    <row r="138" spans="1:19" ht="17.25" thickBot="1">
      <c r="A138" s="109" t="s">
        <v>227</v>
      </c>
      <c r="B138" s="110">
        <v>46.7</v>
      </c>
      <c r="C138" s="70">
        <v>-4.2643923000000002E-3</v>
      </c>
      <c r="D138" s="15">
        <v>48</v>
      </c>
      <c r="E138" s="32">
        <f t="shared" si="70"/>
        <v>2.7837259100642334E-2</v>
      </c>
      <c r="F138" s="18">
        <f>IF(ISNUMBER(D138), $B145 * E138, "")</f>
        <v>4175.5888650963498</v>
      </c>
      <c r="G138" s="31">
        <v>47</v>
      </c>
      <c r="H138" s="32">
        <f t="shared" si="71"/>
        <v>6.4239828693789533E-3</v>
      </c>
      <c r="I138" s="91">
        <f>IF(ISNUMBER(G138), $B145 * H138, "")</f>
        <v>963.59743040684305</v>
      </c>
      <c r="J138" s="15">
        <v>47.3</v>
      </c>
      <c r="K138" s="32">
        <f t="shared" si="72"/>
        <v>1.2847965738757907E-2</v>
      </c>
      <c r="L138" s="18">
        <f>IF(ISNUMBER(J138), $B145 * K138, "")</f>
        <v>1927.1948608136861</v>
      </c>
      <c r="M138" s="31">
        <v>46.5</v>
      </c>
      <c r="N138" s="32">
        <f t="shared" si="73"/>
        <v>-4.2826552462527376E-3</v>
      </c>
      <c r="O138" s="18">
        <f>IF(ISNUMBER(M138), $B145 * N138, "")</f>
        <v>-642.3982869379106</v>
      </c>
      <c r="Q138" s="156"/>
      <c r="R138" s="156"/>
      <c r="S138" s="156"/>
    </row>
    <row r="139" spans="1:19" ht="17.25" thickBot="1">
      <c r="A139" s="111" t="s">
        <v>143</v>
      </c>
      <c r="B139" s="112">
        <v>4.3499999999999996</v>
      </c>
      <c r="C139" s="71">
        <v>-4.5766590000000003E-3</v>
      </c>
      <c r="D139" s="20">
        <v>4.37</v>
      </c>
      <c r="E139" s="21">
        <f t="shared" si="70"/>
        <v>4.597701149425394E-3</v>
      </c>
      <c r="F139" s="22">
        <f>IF(ISNUMBER(D139), $B145 * E139, "")</f>
        <v>689.65517241380905</v>
      </c>
      <c r="G139" s="30">
        <v>4.33</v>
      </c>
      <c r="H139" s="21">
        <f t="shared" si="71"/>
        <v>-4.5977011494251901E-3</v>
      </c>
      <c r="I139" s="95">
        <f>IF(ISNUMBER(G139), $B145 * H139, "")</f>
        <v>-689.65517241377847</v>
      </c>
      <c r="J139" s="20">
        <v>4.3600000000000003</v>
      </c>
      <c r="K139" s="21">
        <f t="shared" si="72"/>
        <v>2.2988505747127989E-3</v>
      </c>
      <c r="L139" s="22">
        <f>IF(ISNUMBER(J139), $B145 * K139, "")</f>
        <v>344.82758620691982</v>
      </c>
      <c r="M139" s="30">
        <v>4.28</v>
      </c>
      <c r="N139" s="21">
        <f t="shared" si="73"/>
        <v>-1.6091954022988367E-2</v>
      </c>
      <c r="O139" s="22">
        <f>IF(ISNUMBER(M139), $B145 * N139, "")</f>
        <v>-2413.7931034482549</v>
      </c>
      <c r="Q139" s="156"/>
      <c r="R139" s="156"/>
      <c r="S139" s="156"/>
    </row>
    <row r="140" spans="1:19" ht="17.25" thickBot="1">
      <c r="A140" s="109" t="s">
        <v>191</v>
      </c>
      <c r="B140" s="113">
        <v>62.9</v>
      </c>
      <c r="C140" s="73">
        <v>-4.7468353999999997E-3</v>
      </c>
      <c r="D140" s="96">
        <v>63.1</v>
      </c>
      <c r="E140" s="97">
        <f>IF(ISNUMBER(D140), (D140 - $B140) / $B140, "")</f>
        <v>3.1796502384738132E-3</v>
      </c>
      <c r="F140" s="98">
        <f>IF(ISNUMBER(D140), $B145 * E140, "")</f>
        <v>476.94753577107195</v>
      </c>
      <c r="G140" s="99">
        <v>62.7</v>
      </c>
      <c r="H140" s="97">
        <f>IF(ISNUMBER(G140), (G140 - $B140) / $B140, "")</f>
        <v>-3.1796502384737E-3</v>
      </c>
      <c r="I140" s="100">
        <f>IF(ISNUMBER(G140), $B145 * H140, "")</f>
        <v>-476.94753577105502</v>
      </c>
      <c r="J140" s="96">
        <v>63.4</v>
      </c>
      <c r="K140" s="97">
        <f>IF(ISNUMBER(J140), (J140 - $B140) / $B140, "")</f>
        <v>7.9491255961844191E-3</v>
      </c>
      <c r="L140" s="98">
        <f>IF(ISNUMBER(J140), $B145 * K140, "")</f>
        <v>1192.3688394276628</v>
      </c>
      <c r="M140" s="99">
        <v>62.6</v>
      </c>
      <c r="N140" s="97">
        <f>IF(ISNUMBER(M140), (M140 - $B140) / $B140, "")</f>
        <v>-4.7694753577106064E-3</v>
      </c>
      <c r="O140" s="98">
        <f>IF(ISNUMBER(M140), $B145 * N140, "")</f>
        <v>-715.42130365659091</v>
      </c>
      <c r="Q140" s="146"/>
      <c r="R140" s="146"/>
      <c r="S140" s="146"/>
    </row>
    <row r="141" spans="1:19" ht="17.25" thickBot="1">
      <c r="A141" s="109" t="s">
        <v>155</v>
      </c>
      <c r="B141" s="110">
        <v>32.1</v>
      </c>
      <c r="C141" s="70">
        <v>-6.1919504999999996E-3</v>
      </c>
      <c r="D141" s="15">
        <v>31.9</v>
      </c>
      <c r="E141" s="32">
        <f t="shared" ref="E141:E144" si="74">IF(ISNUMBER(D141), (D141 - $B141) / $B141, "")</f>
        <v>-6.2305295950156646E-3</v>
      </c>
      <c r="F141" s="18">
        <f>IF(ISNUMBER(D141), $B145 * E141, "")</f>
        <v>-934.57943925234974</v>
      </c>
      <c r="G141" s="31">
        <v>32</v>
      </c>
      <c r="H141" s="32">
        <f t="shared" ref="H141:H144" si="75">IF(ISNUMBER(G141), (G141 - $B141) / $B141, "")</f>
        <v>-3.1152647975078323E-3</v>
      </c>
      <c r="I141" s="91">
        <f>IF(ISNUMBER(G141), $B145 * H141, "")</f>
        <v>-467.28971962617487</v>
      </c>
      <c r="J141" s="15">
        <v>32.200000000000003</v>
      </c>
      <c r="K141" s="32">
        <f t="shared" ref="K141:K144" si="76">IF(ISNUMBER(J141), (J141 - $B141) / $B141, "")</f>
        <v>3.1152647975078323E-3</v>
      </c>
      <c r="L141" s="18">
        <f>IF(ISNUMBER(J141), $B145 * K141, "")</f>
        <v>467.28971962617487</v>
      </c>
      <c r="M141" s="31">
        <v>31.7</v>
      </c>
      <c r="N141" s="32">
        <f t="shared" ref="N141:N144" si="77">IF(ISNUMBER(M141), (M141 - $B141) / $B141, "")</f>
        <v>-1.2461059190031218E-2</v>
      </c>
      <c r="O141" s="18">
        <f>IF(ISNUMBER(M141), $B145 * N141, "")</f>
        <v>-1869.1588785046827</v>
      </c>
      <c r="Q141" s="146"/>
      <c r="R141" s="146"/>
      <c r="S141" s="146"/>
    </row>
    <row r="142" spans="1:19" ht="17.25" thickBot="1">
      <c r="A142" s="109" t="s">
        <v>71</v>
      </c>
      <c r="B142" s="110">
        <v>13</v>
      </c>
      <c r="C142" s="70">
        <v>-7.6335878000000001E-3</v>
      </c>
      <c r="D142" s="15">
        <v>12.9</v>
      </c>
      <c r="E142" s="32">
        <f t="shared" si="74"/>
        <v>-7.692307692307665E-3</v>
      </c>
      <c r="F142" s="18">
        <f>IF(ISNUMBER(D142), $B145 * E142, "")</f>
        <v>-1153.8461538461497</v>
      </c>
      <c r="G142" s="31">
        <v>12.7</v>
      </c>
      <c r="H142" s="32">
        <f t="shared" si="75"/>
        <v>-2.307692307692313E-2</v>
      </c>
      <c r="I142" s="91">
        <f>IF(ISNUMBER(G142), $B145 * H142, "")</f>
        <v>-3461.5384615384696</v>
      </c>
      <c r="J142" s="15">
        <v>12.9</v>
      </c>
      <c r="K142" s="32">
        <f t="shared" si="76"/>
        <v>-7.692307692307665E-3</v>
      </c>
      <c r="L142" s="18">
        <f>IF(ISNUMBER(J142), $B145 * K142, "")</f>
        <v>-1153.8461538461497</v>
      </c>
      <c r="M142" s="31">
        <v>12.6</v>
      </c>
      <c r="N142" s="32">
        <f t="shared" si="77"/>
        <v>-3.0769230769230795E-2</v>
      </c>
      <c r="O142" s="18">
        <f>IF(ISNUMBER(M142), $B145 * N142, "")</f>
        <v>-4615.3846153846189</v>
      </c>
      <c r="Q142" s="146"/>
      <c r="R142" s="146"/>
      <c r="S142" s="146"/>
    </row>
    <row r="143" spans="1:19">
      <c r="A143" s="109" t="s">
        <v>207</v>
      </c>
      <c r="B143" s="110">
        <v>76.5</v>
      </c>
      <c r="C143" s="70">
        <v>-1.03492885E-2</v>
      </c>
      <c r="D143" s="15">
        <v>75.599999999999994</v>
      </c>
      <c r="E143" s="32">
        <f t="shared" si="74"/>
        <v>-1.1764705882353016E-2</v>
      </c>
      <c r="F143" s="18">
        <f>IF(ISNUMBER(D143), $B145 * E143, "")</f>
        <v>-1764.7058823529524</v>
      </c>
      <c r="G143" s="31">
        <v>75.3</v>
      </c>
      <c r="H143" s="32">
        <f t="shared" si="75"/>
        <v>-1.568627450980396E-2</v>
      </c>
      <c r="I143" s="91">
        <f>IF(ISNUMBER(G143), $B145 * H143, "")</f>
        <v>-2352.9411764705937</v>
      </c>
      <c r="J143" s="15">
        <v>75.5</v>
      </c>
      <c r="K143" s="32">
        <f t="shared" si="76"/>
        <v>-1.3071895424836602E-2</v>
      </c>
      <c r="L143" s="18">
        <f>IF(ISNUMBER(J143), $B145 * K143, "")</f>
        <v>-1960.7843137254902</v>
      </c>
      <c r="M143" s="31">
        <v>74.8</v>
      </c>
      <c r="N143" s="32">
        <f t="shared" si="77"/>
        <v>-2.2222222222222258E-2</v>
      </c>
      <c r="O143" s="18">
        <f>IF(ISNUMBER(M143), $B145 * N143, "")</f>
        <v>-3333.3333333333385</v>
      </c>
      <c r="Q143" s="135"/>
      <c r="R143" s="136"/>
      <c r="S143" s="137"/>
    </row>
    <row r="144" spans="1:19" ht="17.25" thickBot="1">
      <c r="A144" s="114" t="s">
        <v>329</v>
      </c>
      <c r="B144" s="115">
        <v>87.8</v>
      </c>
      <c r="C144" s="72">
        <v>-1.67973124E-2</v>
      </c>
      <c r="D144" s="24">
        <v>87.7</v>
      </c>
      <c r="E144" s="25">
        <f t="shared" si="74"/>
        <v>-1.1389521640090469E-3</v>
      </c>
      <c r="F144" s="94">
        <f>IF(ISNUMBER(D144), $B145 * E144, "")</f>
        <v>-170.84282460135705</v>
      </c>
      <c r="G144" s="92">
        <v>87.1</v>
      </c>
      <c r="H144" s="25">
        <f t="shared" si="75"/>
        <v>-7.9726651480638133E-3</v>
      </c>
      <c r="I144" s="93">
        <f>IF(ISNUMBER(G144), $B145 * H144, "")</f>
        <v>-1195.8997722095719</v>
      </c>
      <c r="J144" s="24">
        <v>87.5</v>
      </c>
      <c r="K144" s="25">
        <f t="shared" si="76"/>
        <v>-3.4168564920273024E-3</v>
      </c>
      <c r="L144" s="94">
        <f>IF(ISNUMBER(J144), $B145 * K144, "")</f>
        <v>-512.52847380409537</v>
      </c>
      <c r="M144" s="92">
        <v>84.3</v>
      </c>
      <c r="N144" s="25">
        <f t="shared" si="77"/>
        <v>-3.9863325740318908E-2</v>
      </c>
      <c r="O144" s="94">
        <f>IF(ISNUMBER(M144), $B145 * N144, "")</f>
        <v>-5979.4988610478358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-4.0616649118460461E-3</v>
      </c>
      <c r="F145" s="28">
        <f>SUM(F125:F144)</f>
        <v>-12184.994735538137</v>
      </c>
      <c r="G145" s="26" t="s">
        <v>258</v>
      </c>
      <c r="H145" s="27">
        <f>IF(COUNT(H125:H144), SUM(H125:H144) / COUNT(H125:H144), 0)</f>
        <v>-8.0473760712306865E-3</v>
      </c>
      <c r="I145" s="28">
        <f>SUM(I125:I144)</f>
        <v>-24142.128213692071</v>
      </c>
      <c r="J145" s="26" t="s">
        <v>258</v>
      </c>
      <c r="K145" s="27">
        <f>IF(COUNT(K125:K144), SUM(K125:K144) / COUNT(K125:K144), 0)</f>
        <v>-2.7197617712774189E-3</v>
      </c>
      <c r="L145" s="28">
        <f>SUM(L125:L144)</f>
        <v>-8159.2853138322571</v>
      </c>
      <c r="M145" s="26" t="s">
        <v>258</v>
      </c>
      <c r="N145" s="27">
        <f>IF(COUNT(N125:N144), SUM(N125:N144) / COUNT(N125:N144), 0)</f>
        <v>-2.0781460538413812E-2</v>
      </c>
      <c r="O145" s="28">
        <f>SUM(O125:O144)</f>
        <v>-62344.381615241437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2023-01-23(월) 오전 00:00</v>
      </c>
      <c r="C150" s="198"/>
      <c r="D150" s="170" t="str">
        <f>TEXT($G$1, "[$-ko-KR]yyyy-mm-dd(ddd) ") &amp; "오후 14:00"</f>
        <v>2023-01-23(월) 오후 14:00</v>
      </c>
      <c r="E150" s="171"/>
      <c r="F150" s="172"/>
      <c r="G150" s="170" t="str">
        <f>TEXT($G$1, "[$-ko-KR]yyyy-mm-dd(ddd) ") &amp; "오후 19:00"</f>
        <v>2023-01-23(월) 오후 19:00</v>
      </c>
      <c r="H150" s="171"/>
      <c r="I150" s="172"/>
      <c r="J150" s="170" t="str">
        <f>TEXT($G$1, "[$-ko-KR]yyyy-mm-dd(ddd) ") &amp; "오후 21:00"</f>
        <v>2023-01-23(월) 오후 21:00</v>
      </c>
      <c r="K150" s="171"/>
      <c r="L150" s="172"/>
      <c r="M150" s="170" t="str">
        <f>TEXT($G$1+1, "[$-ko-KR]yyyy-mm-dd(ddd) ") &amp; "오전 00:00"</f>
        <v>2023-01-24(화)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120</v>
      </c>
      <c r="B152" s="108">
        <v>134</v>
      </c>
      <c r="C152" s="69">
        <v>1.51515152E-2</v>
      </c>
      <c r="D152" s="13">
        <v>133</v>
      </c>
      <c r="E152" s="14">
        <f>IF(ISNUMBER(D152), (D152 - $B152) / $B152, "")</f>
        <v>-7.462686567164179E-3</v>
      </c>
      <c r="F152" s="16">
        <f>IF(ISNUMBER(D152), $B172 * E152, "")</f>
        <v>-1119.4029850746269</v>
      </c>
      <c r="G152" s="29">
        <v>134</v>
      </c>
      <c r="H152" s="14">
        <f>IF(ISNUMBER(G152), (G152 - $B152) / $B152, "")</f>
        <v>0</v>
      </c>
      <c r="I152" s="90">
        <f>IF(ISNUMBER(G152), $B172 * H152, "")</f>
        <v>0</v>
      </c>
      <c r="J152" s="13">
        <v>134</v>
      </c>
      <c r="K152" s="14">
        <f>IF(ISNUMBER(J152), (J152 - $B152) / $B152, "")</f>
        <v>0</v>
      </c>
      <c r="L152" s="16">
        <f>IF(ISNUMBER(J152), $B172 * K152, "")</f>
        <v>0</v>
      </c>
      <c r="M152" s="29">
        <v>132</v>
      </c>
      <c r="N152" s="14">
        <f>IF(ISNUMBER(M152), (M152 - $B152) / $B152, "")</f>
        <v>-1.4925373134328358E-2</v>
      </c>
      <c r="O152" s="16">
        <f>IF(ISNUMBER(M152), $B172 * N152, "")</f>
        <v>-2238.8059701492539</v>
      </c>
      <c r="Q152" s="156"/>
      <c r="R152" s="156"/>
      <c r="S152" s="156"/>
    </row>
    <row r="153" spans="1:19" ht="17.25" thickBot="1">
      <c r="A153" s="109" t="s">
        <v>219</v>
      </c>
      <c r="B153" s="110">
        <v>489</v>
      </c>
      <c r="C153" s="70">
        <v>1.4522821599999999E-2</v>
      </c>
      <c r="D153" s="15">
        <v>487</v>
      </c>
      <c r="E153" s="32">
        <f t="shared" ref="E153:E156" si="78">IF(ISNUMBER(D153), (D153 - $B153) / $B153, "")</f>
        <v>-4.0899795501022499E-3</v>
      </c>
      <c r="F153" s="18">
        <f>IF(ISNUMBER(D153), $B172 * E153, "")</f>
        <v>-613.49693251533745</v>
      </c>
      <c r="G153" s="31">
        <v>486</v>
      </c>
      <c r="H153" s="32">
        <f t="shared" ref="H153:H156" si="79">IF(ISNUMBER(G153), (G153 - $B153) / $B153, "")</f>
        <v>-6.1349693251533744E-3</v>
      </c>
      <c r="I153" s="91">
        <f>IF(ISNUMBER(G153), $B172 * H153, "")</f>
        <v>-920.24539877300617</v>
      </c>
      <c r="J153" s="15">
        <v>491</v>
      </c>
      <c r="K153" s="32">
        <f t="shared" ref="K153:K156" si="80">IF(ISNUMBER(J153), (J153 - $B153) / $B153, "")</f>
        <v>4.0899795501022499E-3</v>
      </c>
      <c r="L153" s="18">
        <f>IF(ISNUMBER(J153), $B172 * K153, "")</f>
        <v>613.49693251533745</v>
      </c>
      <c r="M153" s="31">
        <v>481</v>
      </c>
      <c r="N153" s="32">
        <f t="shared" ref="N153:N156" si="81">IF(ISNUMBER(M153), (M153 - $B153) / $B153, "")</f>
        <v>-1.6359918200408999E-2</v>
      </c>
      <c r="O153" s="18">
        <f>IF(ISNUMBER(M153), $B172 * N153, "")</f>
        <v>-2453.9877300613498</v>
      </c>
      <c r="Q153" s="156"/>
      <c r="R153" s="156"/>
      <c r="S153" s="156"/>
    </row>
    <row r="154" spans="1:19" ht="17.25" thickBot="1">
      <c r="A154" s="109" t="s">
        <v>199</v>
      </c>
      <c r="B154" s="110">
        <v>351</v>
      </c>
      <c r="C154" s="70">
        <v>1.4450867100000001E-2</v>
      </c>
      <c r="D154" s="15">
        <v>349</v>
      </c>
      <c r="E154" s="32">
        <f t="shared" si="78"/>
        <v>-5.6980056980056983E-3</v>
      </c>
      <c r="F154" s="18">
        <f>IF(ISNUMBER(D154), $B172 * E154, "")</f>
        <v>-854.70085470085473</v>
      </c>
      <c r="G154" s="31">
        <v>349</v>
      </c>
      <c r="H154" s="32">
        <f t="shared" si="79"/>
        <v>-5.6980056980056983E-3</v>
      </c>
      <c r="I154" s="91">
        <f>IF(ISNUMBER(G154), $B172 * H154, "")</f>
        <v>-854.70085470085473</v>
      </c>
      <c r="J154" s="15">
        <v>352</v>
      </c>
      <c r="K154" s="32">
        <f t="shared" si="80"/>
        <v>2.8490028490028491E-3</v>
      </c>
      <c r="L154" s="18">
        <f>IF(ISNUMBER(J154), $B172 * K154, "")</f>
        <v>427.35042735042737</v>
      </c>
      <c r="M154" s="31">
        <v>345</v>
      </c>
      <c r="N154" s="32">
        <f t="shared" si="81"/>
        <v>-1.7094017094017096E-2</v>
      </c>
      <c r="O154" s="18">
        <f>IF(ISNUMBER(M154), $B172 * N154, "")</f>
        <v>-2564.1025641025644</v>
      </c>
      <c r="Q154" s="146"/>
      <c r="R154" s="146"/>
      <c r="S154" s="146"/>
    </row>
    <row r="155" spans="1:19" ht="17.25" thickBot="1">
      <c r="A155" s="109" t="s">
        <v>213</v>
      </c>
      <c r="B155" s="110">
        <v>534</v>
      </c>
      <c r="C155" s="70">
        <v>1.32827324E-2</v>
      </c>
      <c r="D155" s="15">
        <v>535</v>
      </c>
      <c r="E155" s="32">
        <f t="shared" si="78"/>
        <v>1.8726591760299626E-3</v>
      </c>
      <c r="F155" s="18">
        <f>IF(ISNUMBER(D155), $B172 * E155, "")</f>
        <v>280.89887640449439</v>
      </c>
      <c r="G155" s="31">
        <v>530</v>
      </c>
      <c r="H155" s="32">
        <f t="shared" si="79"/>
        <v>-7.4906367041198503E-3</v>
      </c>
      <c r="I155" s="91">
        <f>IF(ISNUMBER(G155), $B172 * H155, "")</f>
        <v>-1123.5955056179776</v>
      </c>
      <c r="J155" s="15">
        <v>538</v>
      </c>
      <c r="K155" s="32">
        <f t="shared" si="80"/>
        <v>7.4906367041198503E-3</v>
      </c>
      <c r="L155" s="18">
        <f>IF(ISNUMBER(J155), $B172 * K155, "")</f>
        <v>1123.5955056179776</v>
      </c>
      <c r="M155" s="31">
        <v>527</v>
      </c>
      <c r="N155" s="32">
        <f t="shared" si="81"/>
        <v>-1.3108614232209739E-2</v>
      </c>
      <c r="O155" s="18">
        <f>IF(ISNUMBER(M155), $B172 * N155, "")</f>
        <v>-1966.2921348314608</v>
      </c>
      <c r="Q155" s="146"/>
      <c r="R155" s="146"/>
      <c r="S155" s="146"/>
    </row>
    <row r="156" spans="1:19" ht="17.25" thickBot="1">
      <c r="A156" s="111" t="s">
        <v>223</v>
      </c>
      <c r="B156" s="112">
        <v>246</v>
      </c>
      <c r="C156" s="71">
        <v>1.2345679E-2</v>
      </c>
      <c r="D156" s="20">
        <v>244</v>
      </c>
      <c r="E156" s="21">
        <f t="shared" si="78"/>
        <v>-8.130081300813009E-3</v>
      </c>
      <c r="F156" s="22">
        <f>IF(ISNUMBER(D156), $B172 * E156, "")</f>
        <v>-1219.5121951219514</v>
      </c>
      <c r="G156" s="30">
        <v>244</v>
      </c>
      <c r="H156" s="21">
        <f t="shared" si="79"/>
        <v>-8.130081300813009E-3</v>
      </c>
      <c r="I156" s="95">
        <f>IF(ISNUMBER(G156), $B172 * H156, "")</f>
        <v>-1219.5121951219514</v>
      </c>
      <c r="J156" s="20">
        <v>246</v>
      </c>
      <c r="K156" s="21">
        <f t="shared" si="80"/>
        <v>0</v>
      </c>
      <c r="L156" s="22">
        <f>IF(ISNUMBER(J156), $B172 * K156, "")</f>
        <v>0</v>
      </c>
      <c r="M156" s="30">
        <v>242</v>
      </c>
      <c r="N156" s="21">
        <f t="shared" si="81"/>
        <v>-1.6260162601626018E-2</v>
      </c>
      <c r="O156" s="22">
        <f>IF(ISNUMBER(M156), $B172 * N156, "")</f>
        <v>-2439.0243902439029</v>
      </c>
      <c r="Q156" s="146"/>
      <c r="R156" s="146"/>
      <c r="S156" s="146"/>
    </row>
    <row r="157" spans="1:19" ht="17.25" thickBot="1">
      <c r="A157" s="109" t="s">
        <v>89</v>
      </c>
      <c r="B157" s="113">
        <v>509</v>
      </c>
      <c r="C157" s="73">
        <v>1.1928429399999999E-2</v>
      </c>
      <c r="D157" s="96">
        <v>509</v>
      </c>
      <c r="E157" s="97">
        <f>IF(ISNUMBER(D157), (D157 - $B157) / $B157, "")</f>
        <v>0</v>
      </c>
      <c r="F157" s="98">
        <f>IF(ISNUMBER(D157), $B172 * E157, "")</f>
        <v>0</v>
      </c>
      <c r="G157" s="99">
        <v>526</v>
      </c>
      <c r="H157" s="97">
        <f>IF(ISNUMBER(G157), (G157 - $B157) / $B157, "")</f>
        <v>3.3398821218074658E-2</v>
      </c>
      <c r="I157" s="100">
        <f>IF(ISNUMBER(G157), $B172 * H157, "")</f>
        <v>5009.8231827111986</v>
      </c>
      <c r="J157" s="96">
        <v>529</v>
      </c>
      <c r="K157" s="97">
        <f>IF(ISNUMBER(J157), (J157 - $B157) / $B157, "")</f>
        <v>3.9292730844793712E-2</v>
      </c>
      <c r="L157" s="98">
        <f>IF(ISNUMBER(J157), $B172 * K157, "")</f>
        <v>5893.9096267190571</v>
      </c>
      <c r="M157" s="99">
        <v>521</v>
      </c>
      <c r="N157" s="97">
        <f>IF(ISNUMBER(M157), (M157 - $B157) / $B157, "")</f>
        <v>2.3575638506876228E-2</v>
      </c>
      <c r="O157" s="98">
        <f>IF(ISNUMBER(M157), $B172 * N157, "")</f>
        <v>3536.3457760314341</v>
      </c>
      <c r="Q157" s="146"/>
      <c r="R157" s="146"/>
      <c r="S157" s="146"/>
    </row>
    <row r="158" spans="1:19" ht="17.25" thickBot="1">
      <c r="A158" s="109" t="s">
        <v>229</v>
      </c>
      <c r="B158" s="110">
        <v>290</v>
      </c>
      <c r="C158" s="70">
        <v>1.0452961699999999E-2</v>
      </c>
      <c r="D158" s="15">
        <v>290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290</v>
      </c>
      <c r="H158" s="32">
        <f t="shared" ref="H158:H161" si="83">IF(ISNUMBER(G158), (G158 - $B158) / $B158, "")</f>
        <v>0</v>
      </c>
      <c r="I158" s="91">
        <f>IF(ISNUMBER(G158), $B172 * H158, "")</f>
        <v>0</v>
      </c>
      <c r="J158" s="15">
        <v>290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287</v>
      </c>
      <c r="N158" s="32">
        <f t="shared" ref="N158:N161" si="85">IF(ISNUMBER(M158), (M158 - $B158) / $B158, "")</f>
        <v>-1.0344827586206896E-2</v>
      </c>
      <c r="O158" s="18">
        <f>IF(ISNUMBER(M158), $B172 * N158, "")</f>
        <v>-1551.7241379310344</v>
      </c>
      <c r="Q158" s="146"/>
      <c r="R158" s="146"/>
      <c r="S158" s="146"/>
    </row>
    <row r="159" spans="1:19" ht="17.25" thickBot="1">
      <c r="A159" s="109" t="s">
        <v>231</v>
      </c>
      <c r="B159" s="110">
        <v>396</v>
      </c>
      <c r="C159" s="70">
        <v>1.02040816E-2</v>
      </c>
      <c r="D159" s="15">
        <v>402</v>
      </c>
      <c r="E159" s="32">
        <f t="shared" si="82"/>
        <v>1.5151515151515152E-2</v>
      </c>
      <c r="F159" s="18">
        <f>IF(ISNUMBER(D159), $B172 * E159, "")</f>
        <v>2272.727272727273</v>
      </c>
      <c r="G159" s="31">
        <v>401</v>
      </c>
      <c r="H159" s="32">
        <f t="shared" si="83"/>
        <v>1.2626262626262626E-2</v>
      </c>
      <c r="I159" s="91">
        <f>IF(ISNUMBER(G159), $B172 * H159, "")</f>
        <v>1893.939393939394</v>
      </c>
      <c r="J159" s="15">
        <v>407</v>
      </c>
      <c r="K159" s="32">
        <f t="shared" si="84"/>
        <v>2.7777777777777776E-2</v>
      </c>
      <c r="L159" s="18">
        <f>IF(ISNUMBER(J159), $B172 * K159, "")</f>
        <v>4166.6666666666661</v>
      </c>
      <c r="M159" s="31">
        <v>392</v>
      </c>
      <c r="N159" s="32">
        <f t="shared" si="85"/>
        <v>-1.0101010101010102E-2</v>
      </c>
      <c r="O159" s="18">
        <f>IF(ISNUMBER(M159), $B172 * N159, "")</f>
        <v>-1515.1515151515152</v>
      </c>
      <c r="Q159" s="146"/>
      <c r="R159" s="146"/>
      <c r="S159" s="146"/>
    </row>
    <row r="160" spans="1:19" ht="17.25" thickBot="1">
      <c r="A160" s="109" t="s">
        <v>167</v>
      </c>
      <c r="B160" s="110">
        <v>216</v>
      </c>
      <c r="C160" s="70">
        <v>9.3457943999999994E-3</v>
      </c>
      <c r="D160" s="15">
        <v>215</v>
      </c>
      <c r="E160" s="32">
        <f t="shared" si="82"/>
        <v>-4.6296296296296294E-3</v>
      </c>
      <c r="F160" s="18">
        <f>IF(ISNUMBER(D160), $B172 * E160, "")</f>
        <v>-694.44444444444446</v>
      </c>
      <c r="G160" s="31">
        <v>213</v>
      </c>
      <c r="H160" s="32">
        <f t="shared" si="83"/>
        <v>-1.3888888888888888E-2</v>
      </c>
      <c r="I160" s="91">
        <f>IF(ISNUMBER(G160), $B172 * H160, "")</f>
        <v>-2083.333333333333</v>
      </c>
      <c r="J160" s="15">
        <v>215</v>
      </c>
      <c r="K160" s="32">
        <f t="shared" si="84"/>
        <v>-4.6296296296296294E-3</v>
      </c>
      <c r="L160" s="18">
        <f>IF(ISNUMBER(J160), $B172 * K160, "")</f>
        <v>-694.44444444444446</v>
      </c>
      <c r="M160" s="31">
        <v>212</v>
      </c>
      <c r="N160" s="32">
        <f t="shared" si="85"/>
        <v>-1.8518518518518517E-2</v>
      </c>
      <c r="O160" s="18">
        <f>IF(ISNUMBER(M160), $B172 * N160, "")</f>
        <v>-2777.7777777777778</v>
      </c>
      <c r="Q160" s="33"/>
      <c r="R160" s="33"/>
    </row>
    <row r="161" spans="1:19" ht="17.25" thickBot="1">
      <c r="A161" s="114" t="s">
        <v>183</v>
      </c>
      <c r="B161" s="115">
        <v>150</v>
      </c>
      <c r="C161" s="72">
        <v>6.7114093999999999E-3</v>
      </c>
      <c r="D161" s="24">
        <v>149</v>
      </c>
      <c r="E161" s="25">
        <f t="shared" si="82"/>
        <v>-6.6666666666666671E-3</v>
      </c>
      <c r="F161" s="94">
        <f>IF(ISNUMBER(D161), $B172 * E161, "")</f>
        <v>-1000.0000000000001</v>
      </c>
      <c r="G161" s="92">
        <v>148</v>
      </c>
      <c r="H161" s="25">
        <f t="shared" si="83"/>
        <v>-1.3333333333333334E-2</v>
      </c>
      <c r="I161" s="93">
        <f>IF(ISNUMBER(G161), $B172 * H161, "")</f>
        <v>-2000.0000000000002</v>
      </c>
      <c r="J161" s="24">
        <v>150</v>
      </c>
      <c r="K161" s="25">
        <f t="shared" si="84"/>
        <v>0</v>
      </c>
      <c r="L161" s="94">
        <f>IF(ISNUMBER(J161), $B172 * K161, "")</f>
        <v>0</v>
      </c>
      <c r="M161" s="92">
        <v>147</v>
      </c>
      <c r="N161" s="25">
        <f t="shared" si="85"/>
        <v>-0.02</v>
      </c>
      <c r="O161" s="94">
        <f>IF(ISNUMBER(M161), $B172 * N161, "")</f>
        <v>-3000</v>
      </c>
      <c r="Q161" s="147"/>
      <c r="R161" s="148"/>
      <c r="S161" s="149"/>
    </row>
    <row r="162" spans="1:19">
      <c r="A162" s="107" t="s">
        <v>321</v>
      </c>
      <c r="B162" s="108">
        <v>237</v>
      </c>
      <c r="C162" s="69">
        <v>4.2372881000000001E-3</v>
      </c>
      <c r="D162" s="13">
        <v>236</v>
      </c>
      <c r="E162" s="14">
        <f>IF(ISNUMBER(D162), (D162 - $B162) / $B162, "")</f>
        <v>-4.2194092827004216E-3</v>
      </c>
      <c r="F162" s="16">
        <f>IF(ISNUMBER(D162), $B172 * E162, "")</f>
        <v>-632.91139240506322</v>
      </c>
      <c r="G162" s="29">
        <v>236</v>
      </c>
      <c r="H162" s="14">
        <f>IF(ISNUMBER(G162), (G162 - $B162) / $B162, "")</f>
        <v>-4.2194092827004216E-3</v>
      </c>
      <c r="I162" s="90">
        <f>IF(ISNUMBER(G162), $B172 * H162, "")</f>
        <v>-632.91139240506322</v>
      </c>
      <c r="J162" s="13">
        <v>236</v>
      </c>
      <c r="K162" s="14">
        <f>IF(ISNUMBER(J162), (J162 - $B162) / $B162, "")</f>
        <v>-4.2194092827004216E-3</v>
      </c>
      <c r="L162" s="16">
        <f>IF(ISNUMBER(J162), $B172 * K162, "")</f>
        <v>-632.91139240506322</v>
      </c>
      <c r="M162" s="29">
        <v>230</v>
      </c>
      <c r="N162" s="14">
        <f>IF(ISNUMBER(M162), (M162 - $B162) / $B162, "")</f>
        <v>-2.9535864978902954E-2</v>
      </c>
      <c r="O162" s="16">
        <f>IF(ISNUMBER(M162), $B172 * N162, "")</f>
        <v>-4430.3797468354433</v>
      </c>
      <c r="Q162" s="150"/>
      <c r="R162" s="151"/>
      <c r="S162" s="152"/>
    </row>
    <row r="163" spans="1:19" ht="17.25" thickBot="1">
      <c r="A163" s="109" t="s">
        <v>235</v>
      </c>
      <c r="B163" s="110">
        <v>655</v>
      </c>
      <c r="C163" s="70">
        <v>1.5290519999999999E-3</v>
      </c>
      <c r="D163" s="15">
        <v>648</v>
      </c>
      <c r="E163" s="32">
        <f t="shared" ref="E163:E166" si="86">IF(ISNUMBER(D163), (D163 - $B163) / $B163, "")</f>
        <v>-1.0687022900763359E-2</v>
      </c>
      <c r="F163" s="18">
        <f>IF(ISNUMBER(D163), $B172 * E163, "")</f>
        <v>-1603.0534351145038</v>
      </c>
      <c r="G163" s="31">
        <v>647</v>
      </c>
      <c r="H163" s="32">
        <f t="shared" ref="H163:H166" si="87">IF(ISNUMBER(G163), (G163 - $B163) / $B163, "")</f>
        <v>-1.2213740458015267E-2</v>
      </c>
      <c r="I163" s="91">
        <f>IF(ISNUMBER(G163), $B172 * H163, "")</f>
        <v>-1832.06106870229</v>
      </c>
      <c r="J163" s="15">
        <v>652</v>
      </c>
      <c r="K163" s="32">
        <f t="shared" ref="K163:K166" si="88">IF(ISNUMBER(J163), (J163 - $B163) / $B163, "")</f>
        <v>-4.5801526717557254E-3</v>
      </c>
      <c r="L163" s="18">
        <f>IF(ISNUMBER(J163), $B172 * K163, "")</f>
        <v>-687.02290076335885</v>
      </c>
      <c r="M163" s="31">
        <v>643</v>
      </c>
      <c r="N163" s="32">
        <f t="shared" ref="N163:N166" si="89">IF(ISNUMBER(M163), (M163 - $B163) / $B163, "")</f>
        <v>-1.8320610687022901E-2</v>
      </c>
      <c r="O163" s="18">
        <f>IF(ISNUMBER(M163), $B172 * N163, "")</f>
        <v>-2748.0916030534354</v>
      </c>
      <c r="Q163" s="153"/>
      <c r="R163" s="154"/>
      <c r="S163" s="155"/>
    </row>
    <row r="164" spans="1:19" ht="17.25" thickBot="1">
      <c r="A164" s="109" t="s">
        <v>241</v>
      </c>
      <c r="B164" s="110">
        <v>108</v>
      </c>
      <c r="C164" s="70">
        <v>0</v>
      </c>
      <c r="D164" s="15">
        <v>107</v>
      </c>
      <c r="E164" s="32">
        <f t="shared" si="86"/>
        <v>-9.2592592592592587E-3</v>
      </c>
      <c r="F164" s="18">
        <f>IF(ISNUMBER(D164), $B172 * E164, "")</f>
        <v>-1388.8888888888889</v>
      </c>
      <c r="G164" s="31">
        <v>108</v>
      </c>
      <c r="H164" s="32">
        <f t="shared" si="87"/>
        <v>0</v>
      </c>
      <c r="I164" s="91">
        <f>IF(ISNUMBER(G164), $B172 * H164, "")</f>
        <v>0</v>
      </c>
      <c r="J164" s="15">
        <v>110</v>
      </c>
      <c r="K164" s="32">
        <f t="shared" si="88"/>
        <v>1.8518518518518517E-2</v>
      </c>
      <c r="L164" s="18">
        <f>IF(ISNUMBER(J164), $B172 * K164, "")</f>
        <v>2777.7777777777778</v>
      </c>
      <c r="M164" s="31">
        <v>106</v>
      </c>
      <c r="N164" s="32">
        <f t="shared" si="89"/>
        <v>-1.8518518518518517E-2</v>
      </c>
      <c r="O164" s="18">
        <f>IF(ISNUMBER(M164), $B172 * N164, "")</f>
        <v>-2777.7777777777778</v>
      </c>
      <c r="Q164" s="146"/>
      <c r="R164" s="146"/>
      <c r="S164" s="146"/>
    </row>
    <row r="165" spans="1:19" ht="17.25" thickBot="1">
      <c r="A165" s="109" t="s">
        <v>317</v>
      </c>
      <c r="B165" s="110">
        <v>640</v>
      </c>
      <c r="C165" s="70">
        <v>0</v>
      </c>
      <c r="D165" s="15">
        <v>634</v>
      </c>
      <c r="E165" s="32">
        <f t="shared" si="86"/>
        <v>-9.3749999999999997E-3</v>
      </c>
      <c r="F165" s="18">
        <f>IF(ISNUMBER(D165), $B172 * E165, "")</f>
        <v>-1406.25</v>
      </c>
      <c r="G165" s="31">
        <v>633</v>
      </c>
      <c r="H165" s="32">
        <f t="shared" si="87"/>
        <v>-1.0937499999999999E-2</v>
      </c>
      <c r="I165" s="91">
        <f>IF(ISNUMBER(G165), $B172 * H165, "")</f>
        <v>-1640.625</v>
      </c>
      <c r="J165" s="15">
        <v>634</v>
      </c>
      <c r="K165" s="32">
        <f t="shared" si="88"/>
        <v>-9.3749999999999997E-3</v>
      </c>
      <c r="L165" s="18">
        <f>IF(ISNUMBER(J165), $B172 * K165, "")</f>
        <v>-1406.25</v>
      </c>
      <c r="M165" s="31">
        <v>629</v>
      </c>
      <c r="N165" s="32">
        <f t="shared" si="89"/>
        <v>-1.7187500000000001E-2</v>
      </c>
      <c r="O165" s="18">
        <f>IF(ISNUMBER(M165), $B172 * N165, "")</f>
        <v>-2578.125</v>
      </c>
      <c r="Q165" s="156"/>
      <c r="R165" s="156"/>
      <c r="S165" s="156"/>
    </row>
    <row r="166" spans="1:19" ht="17.25" thickBot="1">
      <c r="A166" s="111" t="s">
        <v>176</v>
      </c>
      <c r="B166" s="112">
        <v>365</v>
      </c>
      <c r="C166" s="71">
        <v>0</v>
      </c>
      <c r="D166" s="20">
        <v>361</v>
      </c>
      <c r="E166" s="21">
        <f t="shared" si="86"/>
        <v>-1.0958904109589041E-2</v>
      </c>
      <c r="F166" s="22">
        <f>IF(ISNUMBER(D166), $B172 * E166, "")</f>
        <v>-1643.8356164383563</v>
      </c>
      <c r="G166" s="30">
        <v>363</v>
      </c>
      <c r="H166" s="21">
        <f t="shared" si="87"/>
        <v>-5.4794520547945206E-3</v>
      </c>
      <c r="I166" s="95">
        <f>IF(ISNUMBER(G166), $B172 * H166, "")</f>
        <v>-821.91780821917814</v>
      </c>
      <c r="J166" s="20">
        <v>364</v>
      </c>
      <c r="K166" s="21">
        <f t="shared" si="88"/>
        <v>-2.7397260273972603E-3</v>
      </c>
      <c r="L166" s="22">
        <f>IF(ISNUMBER(J166), $B172 * K166, "")</f>
        <v>-410.95890410958907</v>
      </c>
      <c r="M166" s="30">
        <v>360</v>
      </c>
      <c r="N166" s="21">
        <f t="shared" si="89"/>
        <v>-1.3698630136986301E-2</v>
      </c>
      <c r="O166" s="22">
        <f>IF(ISNUMBER(M166), $B172 * N166, "")</f>
        <v>-2054.794520547945</v>
      </c>
      <c r="Q166" s="156"/>
      <c r="R166" s="156"/>
      <c r="S166" s="156"/>
    </row>
    <row r="167" spans="1:19" ht="17.25" thickBot="1">
      <c r="A167" s="109" t="s">
        <v>66</v>
      </c>
      <c r="B167" s="113">
        <v>802</v>
      </c>
      <c r="C167" s="73">
        <v>-2.4875622000000001E-3</v>
      </c>
      <c r="D167" s="96">
        <v>895</v>
      </c>
      <c r="E167" s="97">
        <f>IF(ISNUMBER(D167), (D167 - $B167) / $B167, "")</f>
        <v>0.11596009975062344</v>
      </c>
      <c r="F167" s="98">
        <f>IF(ISNUMBER(D167), $B172 * E167, "")</f>
        <v>17394.014962593516</v>
      </c>
      <c r="G167" s="99">
        <v>868</v>
      </c>
      <c r="H167" s="97">
        <f>IF(ISNUMBER(G167), (G167 - $B167) / $B167, "")</f>
        <v>8.2294264339152115E-2</v>
      </c>
      <c r="I167" s="100">
        <f>IF(ISNUMBER(G167), $B172 * H167, "")</f>
        <v>12344.139650872818</v>
      </c>
      <c r="J167" s="96">
        <v>894</v>
      </c>
      <c r="K167" s="97">
        <f>IF(ISNUMBER(J167), (J167 - $B167) / $B167, "")</f>
        <v>0.11471321695760599</v>
      </c>
      <c r="L167" s="98">
        <f>IF(ISNUMBER(J167), $B172 * K167, "")</f>
        <v>17206.982543640897</v>
      </c>
      <c r="M167" s="99">
        <v>891</v>
      </c>
      <c r="N167" s="97">
        <f>IF(ISNUMBER(M167), (M167 - $B167) / $B167, "")</f>
        <v>0.11097256857855362</v>
      </c>
      <c r="O167" s="98">
        <f>IF(ISNUMBER(M167), $B172 * N167, "")</f>
        <v>16645.885286783043</v>
      </c>
      <c r="Q167" s="146"/>
      <c r="R167" s="146"/>
      <c r="S167" s="146"/>
    </row>
    <row r="168" spans="1:19" ht="17.25" thickBot="1">
      <c r="A168" s="109" t="s">
        <v>157</v>
      </c>
      <c r="B168" s="110">
        <v>228</v>
      </c>
      <c r="C168" s="70">
        <v>-4.3668122000000004E-3</v>
      </c>
      <c r="D168" s="15">
        <v>226</v>
      </c>
      <c r="E168" s="32">
        <f t="shared" ref="E168:E171" si="90">IF(ISNUMBER(D168), (D168 - $B168) / $B168, "")</f>
        <v>-8.771929824561403E-3</v>
      </c>
      <c r="F168" s="18">
        <f>IF(ISNUMBER(D168), $B172 * E168, "")</f>
        <v>-1315.7894736842104</v>
      </c>
      <c r="G168" s="31">
        <v>225</v>
      </c>
      <c r="H168" s="32">
        <f t="shared" ref="H168:H171" si="91">IF(ISNUMBER(G168), (G168 - $B168) / $B168, "")</f>
        <v>-1.3157894736842105E-2</v>
      </c>
      <c r="I168" s="91">
        <f>IF(ISNUMBER(G168), $B172 * H168, "")</f>
        <v>-1973.6842105263156</v>
      </c>
      <c r="J168" s="15">
        <v>227</v>
      </c>
      <c r="K168" s="32">
        <f t="shared" ref="K168:K171" si="92">IF(ISNUMBER(J168), (J168 - $B168) / $B168, "")</f>
        <v>-4.3859649122807015E-3</v>
      </c>
      <c r="L168" s="18">
        <f>IF(ISNUMBER(J168), $B172 * K168, "")</f>
        <v>-657.8947368421052</v>
      </c>
      <c r="M168" s="31">
        <v>225</v>
      </c>
      <c r="N168" s="32">
        <f t="shared" ref="N168:N171" si="93">IF(ISNUMBER(M168), (M168 - $B168) / $B168, "")</f>
        <v>-1.3157894736842105E-2</v>
      </c>
      <c r="O168" s="18">
        <f>IF(ISNUMBER(M168), $B172 * N168, "")</f>
        <v>-1973.6842105263156</v>
      </c>
      <c r="Q168" s="146"/>
      <c r="R168" s="146"/>
      <c r="S168" s="146"/>
    </row>
    <row r="169" spans="1:19" ht="17.25" thickBot="1">
      <c r="A169" s="109" t="s">
        <v>345</v>
      </c>
      <c r="B169" s="110">
        <v>174</v>
      </c>
      <c r="C169" s="70">
        <v>-5.7142857000000002E-3</v>
      </c>
      <c r="D169" s="15">
        <v>172</v>
      </c>
      <c r="E169" s="32">
        <f t="shared" si="90"/>
        <v>-1.1494252873563218E-2</v>
      </c>
      <c r="F169" s="18">
        <f>IF(ISNUMBER(D169), $B172 * E169, "")</f>
        <v>-1724.1379310344828</v>
      </c>
      <c r="G169" s="31">
        <v>170</v>
      </c>
      <c r="H169" s="32">
        <f t="shared" si="91"/>
        <v>-2.2988505747126436E-2</v>
      </c>
      <c r="I169" s="91">
        <f>IF(ISNUMBER(G169), $B172 * H169, "")</f>
        <v>-3448.2758620689656</v>
      </c>
      <c r="J169" s="15">
        <v>172</v>
      </c>
      <c r="K169" s="32">
        <f t="shared" si="92"/>
        <v>-1.1494252873563218E-2</v>
      </c>
      <c r="L169" s="18">
        <f>IF(ISNUMBER(J169), $B172 * K169, "")</f>
        <v>-1724.1379310344828</v>
      </c>
      <c r="M169" s="31">
        <v>169</v>
      </c>
      <c r="N169" s="32">
        <f t="shared" si="93"/>
        <v>-2.8735632183908046E-2</v>
      </c>
      <c r="O169" s="18">
        <f>IF(ISNUMBER(M169), $B172 * N169, "")</f>
        <v>-4310.3448275862065</v>
      </c>
      <c r="Q169" s="146"/>
      <c r="R169" s="146"/>
      <c r="S169" s="146"/>
    </row>
    <row r="170" spans="1:19">
      <c r="A170" s="109" t="s">
        <v>239</v>
      </c>
      <c r="B170" s="110">
        <v>492</v>
      </c>
      <c r="C170" s="70">
        <v>-6.0606061000000001E-3</v>
      </c>
      <c r="D170" s="15">
        <v>496</v>
      </c>
      <c r="E170" s="32">
        <f t="shared" si="90"/>
        <v>8.130081300813009E-3</v>
      </c>
      <c r="F170" s="18">
        <f>IF(ISNUMBER(D170), $B172 * E170, "")</f>
        <v>1219.5121951219514</v>
      </c>
      <c r="G170" s="31">
        <v>495</v>
      </c>
      <c r="H170" s="32">
        <f t="shared" si="91"/>
        <v>6.0975609756097563E-3</v>
      </c>
      <c r="I170" s="91">
        <f>IF(ISNUMBER(G170), $B172 * H170, "")</f>
        <v>914.63414634146341</v>
      </c>
      <c r="J170" s="15">
        <v>494</v>
      </c>
      <c r="K170" s="32">
        <f t="shared" si="92"/>
        <v>4.0650406504065045E-3</v>
      </c>
      <c r="L170" s="18">
        <f>IF(ISNUMBER(J170), $B172 * K170, "")</f>
        <v>609.75609756097572</v>
      </c>
      <c r="M170" s="31">
        <v>487</v>
      </c>
      <c r="N170" s="32">
        <f t="shared" si="93"/>
        <v>-1.016260162601626E-2</v>
      </c>
      <c r="O170" s="18">
        <f>IF(ISNUMBER(M170), $B172 * N170, "")</f>
        <v>-1524.3902439024389</v>
      </c>
      <c r="Q170" s="135"/>
      <c r="R170" s="136"/>
      <c r="S170" s="137"/>
    </row>
    <row r="171" spans="1:19" ht="17.25" thickBot="1">
      <c r="A171" s="114" t="s">
        <v>215</v>
      </c>
      <c r="B171" s="115">
        <v>404</v>
      </c>
      <c r="C171" s="72">
        <v>-2.88461538E-2</v>
      </c>
      <c r="D171" s="24">
        <v>399</v>
      </c>
      <c r="E171" s="25">
        <f t="shared" si="90"/>
        <v>-1.2376237623762377E-2</v>
      </c>
      <c r="F171" s="94">
        <f>IF(ISNUMBER(D171), $B172 * E171, "")</f>
        <v>-1856.4356435643565</v>
      </c>
      <c r="G171" s="92">
        <v>398</v>
      </c>
      <c r="H171" s="25">
        <f t="shared" si="91"/>
        <v>-1.4851485148514851E-2</v>
      </c>
      <c r="I171" s="93">
        <f>IF(ISNUMBER(G171), $B172 * H171, "")</f>
        <v>-2227.7227722772277</v>
      </c>
      <c r="J171" s="24">
        <v>400</v>
      </c>
      <c r="K171" s="25">
        <f t="shared" si="92"/>
        <v>-9.9009900990099011E-3</v>
      </c>
      <c r="L171" s="94">
        <f>IF(ISNUMBER(J171), $B172 * K171, "")</f>
        <v>-1485.1485148514851</v>
      </c>
      <c r="M171" s="92">
        <v>393</v>
      </c>
      <c r="N171" s="25">
        <f t="shared" si="93"/>
        <v>-2.7227722772277228E-2</v>
      </c>
      <c r="O171" s="94">
        <f>IF(ISNUMBER(M171), $B172 * N171, "")</f>
        <v>-4084.158415841584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1.364764504620052E-3</v>
      </c>
      <c r="F172" s="28">
        <f>SUM(F152:F171)</f>
        <v>4094.2935138601579</v>
      </c>
      <c r="G172" s="26" t="s">
        <v>258</v>
      </c>
      <c r="H172" s="27">
        <f>IF(COUNT(H152:H171), SUM(H152:H171) / COUNT(H152:H171), 0)</f>
        <v>-2.0534967596042971E-4</v>
      </c>
      <c r="I172" s="28">
        <f>SUM(I152:I171)</f>
        <v>-616.04902788129084</v>
      </c>
      <c r="J172" s="26" t="s">
        <v>258</v>
      </c>
      <c r="K172" s="27">
        <f>IF(COUNT(K152:K171), SUM(K152:K171) / COUNT(K152:K171), 0)</f>
        <v>8.3735889177995286E-3</v>
      </c>
      <c r="L172" s="28">
        <f>SUM(L152:L171)</f>
        <v>25120.766753398584</v>
      </c>
      <c r="M172" s="26" t="s">
        <v>258</v>
      </c>
      <c r="N172" s="27">
        <f>IF(COUNT(N152:N171), SUM(N152:N171) / COUNT(N152:N171), 0)</f>
        <v>-8.9354605011685087E-3</v>
      </c>
      <c r="O172" s="28">
        <f>SUM(O152:O171)</f>
        <v>-26806.381503505527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2023-01-23(월) 오전 00:00</v>
      </c>
      <c r="C177" s="198"/>
      <c r="D177" s="170" t="str">
        <f>TEXT($G$1, "[$-ko-KR]yyyy-mm-dd(ddd) ") &amp; "오후 14:00"</f>
        <v>2023-01-23(월) 오후 14:00</v>
      </c>
      <c r="E177" s="171"/>
      <c r="F177" s="172"/>
      <c r="G177" s="170" t="str">
        <f>TEXT($G$1, "[$-ko-KR]yyyy-mm-dd(ddd) ") &amp; "오후 19:00"</f>
        <v>2023-01-23(월) 오후 19:00</v>
      </c>
      <c r="H177" s="171"/>
      <c r="I177" s="172"/>
      <c r="J177" s="170" t="str">
        <f>TEXT($G$1, "[$-ko-KR]yyyy-mm-dd(ddd) ") &amp; "오후 21:00"</f>
        <v>2023-01-23(월) 오후 21:00</v>
      </c>
      <c r="K177" s="171"/>
      <c r="L177" s="172"/>
      <c r="M177" s="170" t="str">
        <f>TEXT($G$1+1, "[$-ko-KR]yyyy-mm-dd(ddd) ") &amp; "오전 00:00"</f>
        <v>2023-01-24(화)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209</v>
      </c>
      <c r="B179" s="108">
        <v>94.8</v>
      </c>
      <c r="C179" s="69">
        <v>0</v>
      </c>
      <c r="D179" s="13">
        <v>94</v>
      </c>
      <c r="E179" s="14">
        <f>IF(ISNUMBER(D179), (D179 - $B179) / $B179, "")</f>
        <v>-8.4388185654008137E-3</v>
      </c>
      <c r="F179" s="16">
        <f>IF(ISNUMBER(D179), $B199 * E179, "")</f>
        <v>-1265.8227848101221</v>
      </c>
      <c r="G179" s="29">
        <v>93.9</v>
      </c>
      <c r="H179" s="14">
        <f>IF(ISNUMBER(G179), (G179 - $B179) / $B179, "")</f>
        <v>-9.4936708860758594E-3</v>
      </c>
      <c r="I179" s="90">
        <f>IF(ISNUMBER(G179), $B199 * H179, "")</f>
        <v>-1424.0506329113789</v>
      </c>
      <c r="J179" s="13">
        <v>94.1</v>
      </c>
      <c r="K179" s="14">
        <f>IF(ISNUMBER(J179), (J179 - $B179) / $B179, "")</f>
        <v>-7.3839662447257688E-3</v>
      </c>
      <c r="L179" s="16">
        <f>IF(ISNUMBER(J179), $B199 * K179, "")</f>
        <v>-1107.5949367088654</v>
      </c>
      <c r="M179" s="29">
        <v>92.8</v>
      </c>
      <c r="N179" s="14">
        <f>IF(ISNUMBER(M179), (M179 - $B179) / $B179, "")</f>
        <v>-2.1097046413502109E-2</v>
      </c>
      <c r="O179" s="16">
        <f>IF(ISNUMBER(M179), $B199 * N179, "")</f>
        <v>-3164.5569620253164</v>
      </c>
      <c r="Q179" s="156"/>
      <c r="R179" s="156"/>
      <c r="S179" s="156"/>
    </row>
    <row r="180" spans="1:19" ht="17.25" thickBot="1">
      <c r="A180" s="109" t="s">
        <v>176</v>
      </c>
      <c r="B180" s="110">
        <v>365</v>
      </c>
      <c r="C180" s="70">
        <v>0</v>
      </c>
      <c r="D180" s="15">
        <v>361</v>
      </c>
      <c r="E180" s="32">
        <f t="shared" ref="E180:E183" si="94">IF(ISNUMBER(D180), (D180 - $B180) / $B180, "")</f>
        <v>-1.0958904109589041E-2</v>
      </c>
      <c r="F180" s="18">
        <f>IF(ISNUMBER(D180), $B199 * E180, "")</f>
        <v>-1643.8356164383563</v>
      </c>
      <c r="G180" s="31">
        <v>363</v>
      </c>
      <c r="H180" s="32">
        <f t="shared" ref="H180:H183" si="95">IF(ISNUMBER(G180), (G180 - $B180) / $B180, "")</f>
        <v>-5.4794520547945206E-3</v>
      </c>
      <c r="I180" s="91">
        <f>IF(ISNUMBER(G180), $B199 * H180, "")</f>
        <v>-821.91780821917814</v>
      </c>
      <c r="J180" s="15">
        <v>364</v>
      </c>
      <c r="K180" s="32">
        <f t="shared" ref="K180:K183" si="96">IF(ISNUMBER(J180), (J180 - $B180) / $B180, "")</f>
        <v>-2.7397260273972603E-3</v>
      </c>
      <c r="L180" s="18">
        <f>IF(ISNUMBER(J180), $B199 * K180, "")</f>
        <v>-410.95890410958907</v>
      </c>
      <c r="M180" s="31">
        <v>360</v>
      </c>
      <c r="N180" s="32">
        <f t="shared" ref="N180:N183" si="97">IF(ISNUMBER(M180), (M180 - $B180) / $B180, "")</f>
        <v>-1.3698630136986301E-2</v>
      </c>
      <c r="O180" s="18">
        <f>IF(ISNUMBER(M180), $B199 * N180, "")</f>
        <v>-2054.794520547945</v>
      </c>
      <c r="Q180" s="156"/>
      <c r="R180" s="156"/>
      <c r="S180" s="156"/>
    </row>
    <row r="181" spans="1:19" ht="17.25" thickBot="1">
      <c r="A181" s="109" t="s">
        <v>221</v>
      </c>
      <c r="B181" s="110">
        <v>22.7</v>
      </c>
      <c r="C181" s="70">
        <v>0</v>
      </c>
      <c r="D181" s="15">
        <v>22.6</v>
      </c>
      <c r="E181" s="32">
        <f t="shared" si="94"/>
        <v>-4.4052863436122407E-3</v>
      </c>
      <c r="F181" s="18">
        <f>IF(ISNUMBER(D181), $B199 * E181, "")</f>
        <v>-660.79295154183615</v>
      </c>
      <c r="G181" s="31">
        <v>22.6</v>
      </c>
      <c r="H181" s="32">
        <f t="shared" si="95"/>
        <v>-4.4052863436122407E-3</v>
      </c>
      <c r="I181" s="91">
        <f>IF(ISNUMBER(G181), $B199 * H181, "")</f>
        <v>-660.79295154183615</v>
      </c>
      <c r="J181" s="15">
        <v>22.7</v>
      </c>
      <c r="K181" s="32">
        <f t="shared" si="96"/>
        <v>0</v>
      </c>
      <c r="L181" s="18">
        <f>IF(ISNUMBER(J181), $B199 * K181, "")</f>
        <v>0</v>
      </c>
      <c r="M181" s="31">
        <v>22.6</v>
      </c>
      <c r="N181" s="32">
        <f t="shared" si="97"/>
        <v>-4.4052863436122407E-3</v>
      </c>
      <c r="O181" s="18">
        <f>IF(ISNUMBER(M181), $B199 * N181, "")</f>
        <v>-660.79295154183615</v>
      </c>
      <c r="Q181" s="146"/>
      <c r="R181" s="146"/>
      <c r="S181" s="146"/>
    </row>
    <row r="182" spans="1:19" ht="17.25" thickBot="1">
      <c r="A182" s="109" t="s">
        <v>195</v>
      </c>
      <c r="B182" s="110">
        <v>7</v>
      </c>
      <c r="C182" s="70">
        <v>-1.4265335E-3</v>
      </c>
      <c r="D182" s="15">
        <v>6.93</v>
      </c>
      <c r="E182" s="32">
        <f t="shared" si="94"/>
        <v>-1.000000000000004E-2</v>
      </c>
      <c r="F182" s="18">
        <f>IF(ISNUMBER(D182), $B199 * E182, "")</f>
        <v>-1500.0000000000059</v>
      </c>
      <c r="G182" s="31">
        <v>6.91</v>
      </c>
      <c r="H182" s="32">
        <f t="shared" si="95"/>
        <v>-1.2857142857142836E-2</v>
      </c>
      <c r="I182" s="91">
        <f>IF(ISNUMBER(G182), $B199 * H182, "")</f>
        <v>-1928.5714285714255</v>
      </c>
      <c r="J182" s="15">
        <v>6.93</v>
      </c>
      <c r="K182" s="32">
        <f t="shared" si="96"/>
        <v>-1.000000000000004E-2</v>
      </c>
      <c r="L182" s="18">
        <f>IF(ISNUMBER(J182), $B199 * K182, "")</f>
        <v>-1500.0000000000059</v>
      </c>
      <c r="M182" s="31">
        <v>6.87</v>
      </c>
      <c r="N182" s="32">
        <f t="shared" si="97"/>
        <v>-1.8571428571428555E-2</v>
      </c>
      <c r="O182" s="18">
        <f>IF(ISNUMBER(M182), $B199 * N182, "")</f>
        <v>-2785.7142857142831</v>
      </c>
      <c r="Q182" s="146"/>
      <c r="R182" s="146"/>
      <c r="S182" s="146"/>
    </row>
    <row r="183" spans="1:19" ht="17.25" thickBot="1">
      <c r="A183" s="111" t="s">
        <v>233</v>
      </c>
      <c r="B183" s="112">
        <v>3180</v>
      </c>
      <c r="C183" s="71">
        <v>-1.5698587E-3</v>
      </c>
      <c r="D183" s="20">
        <v>3170</v>
      </c>
      <c r="E183" s="21">
        <f t="shared" si="94"/>
        <v>-3.1446540880503146E-3</v>
      </c>
      <c r="F183" s="22">
        <f>IF(ISNUMBER(D183), $B199 * E183, "")</f>
        <v>-471.69811320754718</v>
      </c>
      <c r="G183" s="30">
        <v>3160</v>
      </c>
      <c r="H183" s="21">
        <f t="shared" si="95"/>
        <v>-6.2893081761006293E-3</v>
      </c>
      <c r="I183" s="95">
        <f>IF(ISNUMBER(G183), $B199 * H183, "")</f>
        <v>-943.39622641509436</v>
      </c>
      <c r="J183" s="20">
        <v>3180</v>
      </c>
      <c r="K183" s="21">
        <f t="shared" si="96"/>
        <v>0</v>
      </c>
      <c r="L183" s="22">
        <f>IF(ISNUMBER(J183), $B199 * K183, "")</f>
        <v>0</v>
      </c>
      <c r="M183" s="30">
        <v>3150</v>
      </c>
      <c r="N183" s="21">
        <f t="shared" si="97"/>
        <v>-9.433962264150943E-3</v>
      </c>
      <c r="O183" s="22">
        <f>IF(ISNUMBER(M183), $B199 * N183, "")</f>
        <v>-1415.0943396226414</v>
      </c>
      <c r="Q183" s="146"/>
      <c r="R183" s="146"/>
      <c r="S183" s="146"/>
    </row>
    <row r="184" spans="1:19" ht="17.25" thickBot="1">
      <c r="A184" s="109" t="s">
        <v>66</v>
      </c>
      <c r="B184" s="113">
        <v>802</v>
      </c>
      <c r="C184" s="73">
        <v>-2.4875622000000001E-3</v>
      </c>
      <c r="D184" s="96">
        <v>895</v>
      </c>
      <c r="E184" s="97">
        <f>IF(ISNUMBER(D184), (D184 - $B184) / $B184, "")</f>
        <v>0.11596009975062344</v>
      </c>
      <c r="F184" s="98">
        <f>IF(ISNUMBER(D184), $B199 * E184, "")</f>
        <v>17394.014962593516</v>
      </c>
      <c r="G184" s="99">
        <v>868</v>
      </c>
      <c r="H184" s="97">
        <f>IF(ISNUMBER(G184), (G184 - $B184) / $B184, "")</f>
        <v>8.2294264339152115E-2</v>
      </c>
      <c r="I184" s="100">
        <f>IF(ISNUMBER(G184), $B199 * H184, "")</f>
        <v>12344.139650872818</v>
      </c>
      <c r="J184" s="96">
        <v>894</v>
      </c>
      <c r="K184" s="97">
        <f>IF(ISNUMBER(J184), (J184 - $B184) / $B184, "")</f>
        <v>0.11471321695760599</v>
      </c>
      <c r="L184" s="98">
        <f>IF(ISNUMBER(J184), $B199 * K184, "")</f>
        <v>17206.982543640897</v>
      </c>
      <c r="M184" s="99">
        <v>891</v>
      </c>
      <c r="N184" s="97">
        <f>IF(ISNUMBER(M184), (M184 - $B184) / $B184, "")</f>
        <v>0.11097256857855362</v>
      </c>
      <c r="O184" s="98">
        <f>IF(ISNUMBER(M184), $B199 * N184, "")</f>
        <v>16645.885286783043</v>
      </c>
      <c r="Q184" s="146"/>
      <c r="R184" s="146"/>
      <c r="S184" s="146"/>
    </row>
    <row r="185" spans="1:19" ht="17.25" thickBot="1">
      <c r="A185" s="109" t="s">
        <v>185</v>
      </c>
      <c r="B185" s="110">
        <v>37.200000000000003</v>
      </c>
      <c r="C185" s="70">
        <v>-2.6809651E-3</v>
      </c>
      <c r="D185" s="15">
        <v>36.5</v>
      </c>
      <c r="E185" s="32">
        <f t="shared" ref="E185:E188" si="98">IF(ISNUMBER(D185), (D185 - $B185) / $B185, "")</f>
        <v>-1.8817204301075342E-2</v>
      </c>
      <c r="F185" s="18">
        <f>IF(ISNUMBER(D185), $B199 * E185, "")</f>
        <v>-2822.5806451613012</v>
      </c>
      <c r="G185" s="31">
        <v>36.5</v>
      </c>
      <c r="H185" s="32">
        <f t="shared" ref="H185:H188" si="99">IF(ISNUMBER(G185), (G185 - $B185) / $B185, "")</f>
        <v>-1.8817204301075342E-2</v>
      </c>
      <c r="I185" s="91">
        <f>IF(ISNUMBER(G185), $B199 * H185, "")</f>
        <v>-2822.5806451613012</v>
      </c>
      <c r="J185" s="15">
        <v>36.6</v>
      </c>
      <c r="K185" s="32">
        <f t="shared" ref="K185:K188" si="100">IF(ISNUMBER(J185), (J185 - $B185) / $B185, "")</f>
        <v>-1.6129032258064554E-2</v>
      </c>
      <c r="L185" s="18">
        <f>IF(ISNUMBER(J185), $B199 * K185, "")</f>
        <v>-2419.354838709683</v>
      </c>
      <c r="M185" s="31">
        <v>36.5</v>
      </c>
      <c r="N185" s="32">
        <f t="shared" ref="N185:N188" si="101">IF(ISNUMBER(M185), (M185 - $B185) / $B185, "")</f>
        <v>-1.8817204301075342E-2</v>
      </c>
      <c r="O185" s="18">
        <f>IF(ISNUMBER(M185), $B199 * N185, "")</f>
        <v>-2822.5806451613012</v>
      </c>
      <c r="Q185" s="146"/>
      <c r="R185" s="146"/>
      <c r="S185" s="146"/>
    </row>
    <row r="186" spans="1:19" ht="17.25" thickBot="1">
      <c r="A186" s="109" t="s">
        <v>227</v>
      </c>
      <c r="B186" s="110">
        <v>46.7</v>
      </c>
      <c r="C186" s="70">
        <v>-4.2643923000000002E-3</v>
      </c>
      <c r="D186" s="15">
        <v>48</v>
      </c>
      <c r="E186" s="32">
        <f t="shared" si="98"/>
        <v>2.7837259100642334E-2</v>
      </c>
      <c r="F186" s="18">
        <f>IF(ISNUMBER(D186), $B199 * E186, "")</f>
        <v>4175.5888650963498</v>
      </c>
      <c r="G186" s="31">
        <v>47</v>
      </c>
      <c r="H186" s="32">
        <f t="shared" si="99"/>
        <v>6.4239828693789533E-3</v>
      </c>
      <c r="I186" s="91">
        <f>IF(ISNUMBER(G186), $B199 * H186, "")</f>
        <v>963.59743040684305</v>
      </c>
      <c r="J186" s="15">
        <v>47.3</v>
      </c>
      <c r="K186" s="32">
        <f t="shared" si="100"/>
        <v>1.2847965738757907E-2</v>
      </c>
      <c r="L186" s="18">
        <f>IF(ISNUMBER(J186), $B199 * K186, "")</f>
        <v>1927.1948608136861</v>
      </c>
      <c r="M186" s="31">
        <v>46.5</v>
      </c>
      <c r="N186" s="32">
        <f t="shared" si="101"/>
        <v>-4.2826552462527376E-3</v>
      </c>
      <c r="O186" s="18">
        <f>IF(ISNUMBER(M186), $B199 * N186, "")</f>
        <v>-642.3982869379106</v>
      </c>
      <c r="Q186" s="146"/>
      <c r="R186" s="146"/>
      <c r="S186" s="146"/>
    </row>
    <row r="187" spans="1:19" ht="17.25" thickBot="1">
      <c r="A187" s="109" t="s">
        <v>157</v>
      </c>
      <c r="B187" s="110">
        <v>228</v>
      </c>
      <c r="C187" s="70">
        <v>-4.3668122000000004E-3</v>
      </c>
      <c r="D187" s="15">
        <v>226</v>
      </c>
      <c r="E187" s="32">
        <f t="shared" si="98"/>
        <v>-8.771929824561403E-3</v>
      </c>
      <c r="F187" s="18">
        <f>IF(ISNUMBER(D187), $B199 * E187, "")</f>
        <v>-1315.7894736842104</v>
      </c>
      <c r="G187" s="31">
        <v>225</v>
      </c>
      <c r="H187" s="32">
        <f t="shared" si="99"/>
        <v>-1.3157894736842105E-2</v>
      </c>
      <c r="I187" s="91">
        <f>IF(ISNUMBER(G187), $B199 * H187, "")</f>
        <v>-1973.6842105263156</v>
      </c>
      <c r="J187" s="15">
        <v>227</v>
      </c>
      <c r="K187" s="32">
        <f t="shared" si="100"/>
        <v>-4.3859649122807015E-3</v>
      </c>
      <c r="L187" s="18">
        <f>IF(ISNUMBER(J187), $B199 * K187, "")</f>
        <v>-657.8947368421052</v>
      </c>
      <c r="M187" s="31">
        <v>225</v>
      </c>
      <c r="N187" s="32">
        <f t="shared" si="101"/>
        <v>-1.3157894736842105E-2</v>
      </c>
      <c r="O187" s="18">
        <f>IF(ISNUMBER(M187), $B199 * N187, "")</f>
        <v>-1973.6842105263156</v>
      </c>
      <c r="Q187" s="33"/>
      <c r="R187" s="33"/>
    </row>
    <row r="188" spans="1:19" ht="17.25" thickBot="1">
      <c r="A188" s="114" t="s">
        <v>143</v>
      </c>
      <c r="B188" s="115">
        <v>4.3499999999999996</v>
      </c>
      <c r="C188" s="72">
        <v>-4.5766590000000003E-3</v>
      </c>
      <c r="D188" s="24">
        <v>4.37</v>
      </c>
      <c r="E188" s="25">
        <f t="shared" si="98"/>
        <v>4.597701149425394E-3</v>
      </c>
      <c r="F188" s="94">
        <f>IF(ISNUMBER(D188), $B199 * E188, "")</f>
        <v>689.65517241380905</v>
      </c>
      <c r="G188" s="92">
        <v>4.33</v>
      </c>
      <c r="H188" s="25">
        <f t="shared" si="99"/>
        <v>-4.5977011494251901E-3</v>
      </c>
      <c r="I188" s="93">
        <f>IF(ISNUMBER(G188), $B199 * H188, "")</f>
        <v>-689.65517241377847</v>
      </c>
      <c r="J188" s="24">
        <v>4.3600000000000003</v>
      </c>
      <c r="K188" s="25">
        <f t="shared" si="100"/>
        <v>2.2988505747127989E-3</v>
      </c>
      <c r="L188" s="94">
        <f>IF(ISNUMBER(J188), $B199 * K188, "")</f>
        <v>344.82758620691982</v>
      </c>
      <c r="M188" s="92">
        <v>4.28</v>
      </c>
      <c r="N188" s="25">
        <f t="shared" si="101"/>
        <v>-1.6091954022988367E-2</v>
      </c>
      <c r="O188" s="94">
        <f>IF(ISNUMBER(M188), $B199 * N188, "")</f>
        <v>-2413.7931034482549</v>
      </c>
      <c r="Q188" s="147"/>
      <c r="R188" s="148"/>
      <c r="S188" s="149"/>
    </row>
    <row r="189" spans="1:19">
      <c r="A189" s="107" t="s">
        <v>191</v>
      </c>
      <c r="B189" s="108">
        <v>62.9</v>
      </c>
      <c r="C189" s="69">
        <v>-4.7468353999999997E-3</v>
      </c>
      <c r="D189" s="13">
        <v>63.1</v>
      </c>
      <c r="E189" s="14">
        <f>IF(ISNUMBER(D189), (D189 - $B189) / $B189, "")</f>
        <v>3.1796502384738132E-3</v>
      </c>
      <c r="F189" s="16">
        <f>IF(ISNUMBER(D189), $B199 * E189, "")</f>
        <v>476.94753577107195</v>
      </c>
      <c r="G189" s="29">
        <v>62.7</v>
      </c>
      <c r="H189" s="14">
        <f>IF(ISNUMBER(G189), (G189 - $B189) / $B189, "")</f>
        <v>-3.1796502384737E-3</v>
      </c>
      <c r="I189" s="90">
        <f>IF(ISNUMBER(G189), $B199 * H189, "")</f>
        <v>-476.94753577105502</v>
      </c>
      <c r="J189" s="13">
        <v>63.4</v>
      </c>
      <c r="K189" s="14">
        <f>IF(ISNUMBER(J189), (J189 - $B189) / $B189, "")</f>
        <v>7.9491255961844191E-3</v>
      </c>
      <c r="L189" s="16">
        <f>IF(ISNUMBER(J189), $B199 * K189, "")</f>
        <v>1192.3688394276628</v>
      </c>
      <c r="M189" s="29">
        <v>62.6</v>
      </c>
      <c r="N189" s="14">
        <f>IF(ISNUMBER(M189), (M189 - $B189) / $B189, "")</f>
        <v>-4.7694753577106064E-3</v>
      </c>
      <c r="O189" s="16">
        <f>IF(ISNUMBER(M189), $B199 * N189, "")</f>
        <v>-715.42130365659091</v>
      </c>
      <c r="Q189" s="150"/>
      <c r="R189" s="151"/>
      <c r="S189" s="152"/>
    </row>
    <row r="190" spans="1:19" ht="17.25" thickBot="1">
      <c r="A190" s="109" t="s">
        <v>345</v>
      </c>
      <c r="B190" s="110">
        <v>174</v>
      </c>
      <c r="C190" s="70">
        <v>-5.7142857000000002E-3</v>
      </c>
      <c r="D190" s="15">
        <v>172</v>
      </c>
      <c r="E190" s="32">
        <f t="shared" ref="E190:E193" si="102">IF(ISNUMBER(D190), (D190 - $B190) / $B190, "")</f>
        <v>-1.1494252873563218E-2</v>
      </c>
      <c r="F190" s="18">
        <f>IF(ISNUMBER(D190), $B199 * E190, "")</f>
        <v>-1724.1379310344828</v>
      </c>
      <c r="G190" s="31">
        <v>170</v>
      </c>
      <c r="H190" s="32">
        <f t="shared" ref="H190:H193" si="103">IF(ISNUMBER(G190), (G190 - $B190) / $B190, "")</f>
        <v>-2.2988505747126436E-2</v>
      </c>
      <c r="I190" s="91">
        <f>IF(ISNUMBER(G190), $B199 * H190, "")</f>
        <v>-3448.2758620689656</v>
      </c>
      <c r="J190" s="15">
        <v>172</v>
      </c>
      <c r="K190" s="32">
        <f t="shared" ref="K190:K193" si="104">IF(ISNUMBER(J190), (J190 - $B190) / $B190, "")</f>
        <v>-1.1494252873563218E-2</v>
      </c>
      <c r="L190" s="18">
        <f>IF(ISNUMBER(J190), $B199 * K190, "")</f>
        <v>-1724.1379310344828</v>
      </c>
      <c r="M190" s="31">
        <v>169</v>
      </c>
      <c r="N190" s="32">
        <f t="shared" ref="N190:N193" si="105">IF(ISNUMBER(M190), (M190 - $B190) / $B190, "")</f>
        <v>-2.8735632183908046E-2</v>
      </c>
      <c r="O190" s="18">
        <f>IF(ISNUMBER(M190), $B199 * N190, "")</f>
        <v>-4310.3448275862065</v>
      </c>
      <c r="Q190" s="153"/>
      <c r="R190" s="154"/>
      <c r="S190" s="155"/>
    </row>
    <row r="191" spans="1:19" ht="17.25" thickBot="1">
      <c r="A191" s="109" t="s">
        <v>239</v>
      </c>
      <c r="B191" s="110">
        <v>492</v>
      </c>
      <c r="C191" s="70">
        <v>-6.0606061000000001E-3</v>
      </c>
      <c r="D191" s="15">
        <v>496</v>
      </c>
      <c r="E191" s="32">
        <f t="shared" si="102"/>
        <v>8.130081300813009E-3</v>
      </c>
      <c r="F191" s="18">
        <f>IF(ISNUMBER(D191), $B199 * E191, "")</f>
        <v>1219.5121951219514</v>
      </c>
      <c r="G191" s="31">
        <v>495</v>
      </c>
      <c r="H191" s="32">
        <f t="shared" si="103"/>
        <v>6.0975609756097563E-3</v>
      </c>
      <c r="I191" s="91">
        <f>IF(ISNUMBER(G191), $B199 * H191, "")</f>
        <v>914.63414634146341</v>
      </c>
      <c r="J191" s="15">
        <v>494</v>
      </c>
      <c r="K191" s="32">
        <f t="shared" si="104"/>
        <v>4.0650406504065045E-3</v>
      </c>
      <c r="L191" s="18">
        <f>IF(ISNUMBER(J191), $B199 * K191, "")</f>
        <v>609.75609756097572</v>
      </c>
      <c r="M191" s="31">
        <v>487</v>
      </c>
      <c r="N191" s="32">
        <f t="shared" si="105"/>
        <v>-1.016260162601626E-2</v>
      </c>
      <c r="O191" s="18">
        <f>IF(ISNUMBER(M191), $B199 * N191, "")</f>
        <v>-1524.3902439024389</v>
      </c>
      <c r="Q191" s="146"/>
      <c r="R191" s="146"/>
      <c r="S191" s="146"/>
    </row>
    <row r="192" spans="1:19" ht="17.25" thickBot="1">
      <c r="A192" s="109" t="s">
        <v>155</v>
      </c>
      <c r="B192" s="110">
        <v>32.1</v>
      </c>
      <c r="C192" s="70">
        <v>-6.1919504999999996E-3</v>
      </c>
      <c r="D192" s="15">
        <v>31.9</v>
      </c>
      <c r="E192" s="32">
        <f t="shared" si="102"/>
        <v>-6.2305295950156646E-3</v>
      </c>
      <c r="F192" s="18">
        <f>IF(ISNUMBER(D192), $B199 * E192, "")</f>
        <v>-934.57943925234974</v>
      </c>
      <c r="G192" s="31">
        <v>32</v>
      </c>
      <c r="H192" s="32">
        <f t="shared" si="103"/>
        <v>-3.1152647975078323E-3</v>
      </c>
      <c r="I192" s="91">
        <f>IF(ISNUMBER(G192), $B199 * H192, "")</f>
        <v>-467.28971962617487</v>
      </c>
      <c r="J192" s="15">
        <v>32.200000000000003</v>
      </c>
      <c r="K192" s="32">
        <f t="shared" si="104"/>
        <v>3.1152647975078323E-3</v>
      </c>
      <c r="L192" s="18">
        <f>IF(ISNUMBER(J192), $B199 * K192, "")</f>
        <v>467.28971962617487</v>
      </c>
      <c r="M192" s="31">
        <v>31.7</v>
      </c>
      <c r="N192" s="32">
        <f t="shared" si="105"/>
        <v>-1.2461059190031218E-2</v>
      </c>
      <c r="O192" s="18">
        <f>IF(ISNUMBER(M192), $B199 * N192, "")</f>
        <v>-1869.1588785046827</v>
      </c>
      <c r="Q192" s="156"/>
      <c r="R192" s="156"/>
      <c r="S192" s="156"/>
    </row>
    <row r="193" spans="1:19" ht="17.25" thickBot="1">
      <c r="A193" s="111" t="s">
        <v>71</v>
      </c>
      <c r="B193" s="112">
        <v>13</v>
      </c>
      <c r="C193" s="71">
        <v>-7.6335878000000001E-3</v>
      </c>
      <c r="D193" s="20">
        <v>12.9</v>
      </c>
      <c r="E193" s="21">
        <f t="shared" si="102"/>
        <v>-7.692307692307665E-3</v>
      </c>
      <c r="F193" s="22">
        <f>IF(ISNUMBER(D193), $B199 * E193, "")</f>
        <v>-1153.8461538461497</v>
      </c>
      <c r="G193" s="30">
        <v>12.7</v>
      </c>
      <c r="H193" s="21">
        <f t="shared" si="103"/>
        <v>-2.307692307692313E-2</v>
      </c>
      <c r="I193" s="95">
        <f>IF(ISNUMBER(G193), $B199 * H193, "")</f>
        <v>-3461.5384615384696</v>
      </c>
      <c r="J193" s="20">
        <v>12.9</v>
      </c>
      <c r="K193" s="21">
        <f t="shared" si="104"/>
        <v>-7.692307692307665E-3</v>
      </c>
      <c r="L193" s="22">
        <f>IF(ISNUMBER(J193), $B199 * K193, "")</f>
        <v>-1153.8461538461497</v>
      </c>
      <c r="M193" s="30">
        <v>12.6</v>
      </c>
      <c r="N193" s="21">
        <f t="shared" si="105"/>
        <v>-3.0769230769230795E-2</v>
      </c>
      <c r="O193" s="22">
        <f>IF(ISNUMBER(M193), $B199 * N193, "")</f>
        <v>-4615.3846153846189</v>
      </c>
      <c r="Q193" s="156"/>
      <c r="R193" s="156"/>
      <c r="S193" s="156"/>
    </row>
    <row r="194" spans="1:19" ht="17.25" thickBot="1">
      <c r="A194" s="109" t="s">
        <v>207</v>
      </c>
      <c r="B194" s="113">
        <v>76.5</v>
      </c>
      <c r="C194" s="73">
        <v>-1.03492885E-2</v>
      </c>
      <c r="D194" s="96">
        <v>75.599999999999994</v>
      </c>
      <c r="E194" s="97">
        <f>IF(ISNUMBER(D194), (D194 - $B194) / $B194, "")</f>
        <v>-1.1764705882353016E-2</v>
      </c>
      <c r="F194" s="98">
        <f>IF(ISNUMBER(D194), $B199 * E194, "")</f>
        <v>-1764.7058823529524</v>
      </c>
      <c r="G194" s="99">
        <v>75.3</v>
      </c>
      <c r="H194" s="97">
        <f>IF(ISNUMBER(G194), (G194 - $B194) / $B194, "")</f>
        <v>-1.568627450980396E-2</v>
      </c>
      <c r="I194" s="100">
        <f>IF(ISNUMBER(G194), $B199 * H194, "")</f>
        <v>-2352.9411764705937</v>
      </c>
      <c r="J194" s="96">
        <v>75.5</v>
      </c>
      <c r="K194" s="97">
        <f>IF(ISNUMBER(J194), (J194 - $B194) / $B194, "")</f>
        <v>-1.3071895424836602E-2</v>
      </c>
      <c r="L194" s="98">
        <f>IF(ISNUMBER(J194), $B199 * K194, "")</f>
        <v>-1960.7843137254902</v>
      </c>
      <c r="M194" s="99">
        <v>74.8</v>
      </c>
      <c r="N194" s="97">
        <f>IF(ISNUMBER(M194), (M194 - $B194) / $B194, "")</f>
        <v>-2.2222222222222258E-2</v>
      </c>
      <c r="O194" s="98">
        <f>IF(ISNUMBER(M194), $B199 * N194, "")</f>
        <v>-3333.3333333333385</v>
      </c>
      <c r="Q194" s="146"/>
      <c r="R194" s="146"/>
      <c r="S194" s="146"/>
    </row>
    <row r="195" spans="1:19" ht="17.25" thickBot="1">
      <c r="A195" s="109" t="s">
        <v>136</v>
      </c>
      <c r="B195" s="110">
        <v>3235</v>
      </c>
      <c r="C195" s="70">
        <v>-1.6717325200000001E-2</v>
      </c>
      <c r="D195" s="15">
        <v>3205</v>
      </c>
      <c r="E195" s="32">
        <f t="shared" ref="E195:E198" si="106">IF(ISNUMBER(D195), (D195 - $B195) / $B195, "")</f>
        <v>-9.2735703245749607E-3</v>
      </c>
      <c r="F195" s="18">
        <f>IF(ISNUMBER(D195), $B199 * E195, "")</f>
        <v>-1391.0355486862441</v>
      </c>
      <c r="G195" s="31">
        <v>3195</v>
      </c>
      <c r="H195" s="32">
        <f t="shared" ref="H195:H198" si="107">IF(ISNUMBER(G195), (G195 - $B195) / $B195, "")</f>
        <v>-1.2364760432766615E-2</v>
      </c>
      <c r="I195" s="91">
        <f>IF(ISNUMBER(G195), $B199 * H195, "")</f>
        <v>-1854.7140649149922</v>
      </c>
      <c r="J195" s="15">
        <v>3200</v>
      </c>
      <c r="K195" s="32">
        <f t="shared" ref="K195:K198" si="108">IF(ISNUMBER(J195), (J195 - $B195) / $B195, "")</f>
        <v>-1.0819165378670788E-2</v>
      </c>
      <c r="L195" s="18">
        <f>IF(ISNUMBER(J195), $B199 * K195, "")</f>
        <v>-1622.8748068006182</v>
      </c>
      <c r="M195" s="31">
        <v>3165</v>
      </c>
      <c r="N195" s="32">
        <f t="shared" ref="N195:N198" si="109">IF(ISNUMBER(M195), (M195 - $B195) / $B195, "")</f>
        <v>-2.1638330757341576E-2</v>
      </c>
      <c r="O195" s="18">
        <f>IF(ISNUMBER(M195), $B199 * N195, "")</f>
        <v>-3245.7496136012364</v>
      </c>
      <c r="Q195" s="146"/>
      <c r="R195" s="146"/>
      <c r="S195" s="146"/>
    </row>
    <row r="196" spans="1:19" ht="17.25" thickBot="1">
      <c r="A196" s="109" t="s">
        <v>329</v>
      </c>
      <c r="B196" s="110">
        <v>87.8</v>
      </c>
      <c r="C196" s="70">
        <v>-1.67973124E-2</v>
      </c>
      <c r="D196" s="15">
        <v>87.7</v>
      </c>
      <c r="E196" s="32">
        <f t="shared" si="106"/>
        <v>-1.1389521640090469E-3</v>
      </c>
      <c r="F196" s="18">
        <f>IF(ISNUMBER(D196), $B199 * E196, "")</f>
        <v>-170.84282460135705</v>
      </c>
      <c r="G196" s="31">
        <v>87.1</v>
      </c>
      <c r="H196" s="32">
        <f t="shared" si="107"/>
        <v>-7.9726651480638133E-3</v>
      </c>
      <c r="I196" s="91">
        <f>IF(ISNUMBER(G196), $B199 * H196, "")</f>
        <v>-1195.8997722095719</v>
      </c>
      <c r="J196" s="15">
        <v>87.5</v>
      </c>
      <c r="K196" s="32">
        <f t="shared" si="108"/>
        <v>-3.4168564920273024E-3</v>
      </c>
      <c r="L196" s="18">
        <f>IF(ISNUMBER(J196), $B199 * K196, "")</f>
        <v>-512.52847380409537</v>
      </c>
      <c r="M196" s="31">
        <v>84.3</v>
      </c>
      <c r="N196" s="32">
        <f t="shared" si="109"/>
        <v>-3.9863325740318908E-2</v>
      </c>
      <c r="O196" s="18">
        <f>IF(ISNUMBER(M196), $B199 * N196, "")</f>
        <v>-5979.4988610478358</v>
      </c>
      <c r="Q196" s="146"/>
      <c r="R196" s="146"/>
      <c r="S196" s="146"/>
    </row>
    <row r="197" spans="1:19">
      <c r="A197" s="109" t="s">
        <v>215</v>
      </c>
      <c r="B197" s="110">
        <v>404</v>
      </c>
      <c r="C197" s="70">
        <v>-2.88461538E-2</v>
      </c>
      <c r="D197" s="15">
        <v>399</v>
      </c>
      <c r="E197" s="32">
        <f t="shared" si="106"/>
        <v>-1.2376237623762377E-2</v>
      </c>
      <c r="F197" s="18">
        <f>IF(ISNUMBER(D197), $B199 * E197, "")</f>
        <v>-1856.4356435643565</v>
      </c>
      <c r="G197" s="31">
        <v>398</v>
      </c>
      <c r="H197" s="32">
        <f t="shared" si="107"/>
        <v>-1.4851485148514851E-2</v>
      </c>
      <c r="I197" s="91">
        <f>IF(ISNUMBER(G197), $B199 * H197, "")</f>
        <v>-2227.7227722772277</v>
      </c>
      <c r="J197" s="15">
        <v>400</v>
      </c>
      <c r="K197" s="32">
        <f t="shared" si="108"/>
        <v>-9.9009900990099011E-3</v>
      </c>
      <c r="L197" s="18">
        <f>IF(ISNUMBER(J197), $B199 * K197, "")</f>
        <v>-1485.1485148514851</v>
      </c>
      <c r="M197" s="31">
        <v>393</v>
      </c>
      <c r="N197" s="32">
        <f t="shared" si="109"/>
        <v>-2.7227722772277228E-2</v>
      </c>
      <c r="O197" s="18">
        <f>IF(ISNUMBER(M197), $B199 * N197, "")</f>
        <v>-4084.158415841584</v>
      </c>
      <c r="Q197" s="135"/>
      <c r="R197" s="136"/>
      <c r="S197" s="137"/>
    </row>
    <row r="198" spans="1:19" ht="17.25" thickBot="1">
      <c r="A198" s="114" t="s">
        <v>113</v>
      </c>
      <c r="B198" s="115">
        <v>2175</v>
      </c>
      <c r="C198" s="72">
        <v>-3.7610619499999998E-2</v>
      </c>
      <c r="D198" s="24">
        <v>2170</v>
      </c>
      <c r="E198" s="25">
        <f t="shared" si="106"/>
        <v>-2.2988505747126436E-3</v>
      </c>
      <c r="F198" s="94">
        <f>IF(ISNUMBER(D198), $B199 * E198, "")</f>
        <v>-344.82758620689657</v>
      </c>
      <c r="G198" s="92">
        <v>2150</v>
      </c>
      <c r="H198" s="25">
        <f t="shared" si="107"/>
        <v>-1.1494252873563218E-2</v>
      </c>
      <c r="I198" s="93">
        <f>IF(ISNUMBER(G198), $B199 * H198, "")</f>
        <v>-1724.1379310344828</v>
      </c>
      <c r="J198" s="24">
        <v>2165</v>
      </c>
      <c r="K198" s="25">
        <f t="shared" si="108"/>
        <v>-4.5977011494252873E-3</v>
      </c>
      <c r="L198" s="94">
        <f>IF(ISNUMBER(J198), $B199 * K198, "")</f>
        <v>-689.65517241379314</v>
      </c>
      <c r="M198" s="92">
        <v>2110</v>
      </c>
      <c r="N198" s="25">
        <f t="shared" si="109"/>
        <v>-2.9885057471264367E-2</v>
      </c>
      <c r="O198" s="94">
        <f>IF(ISNUMBER(M198), $B199 * N198, "")</f>
        <v>-4482.7586206896549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1.6449293788695107E-3</v>
      </c>
      <c r="F199" s="28">
        <f>SUM(F179:F198)</f>
        <v>4934.7881366085348</v>
      </c>
      <c r="G199" s="26" t="s">
        <v>258</v>
      </c>
      <c r="H199" s="27">
        <f>IF(COUNT(H179:H198), SUM(H179:H198) / COUNT(H179:H198), 0)</f>
        <v>-4.750581714683573E-3</v>
      </c>
      <c r="I199" s="28">
        <f>SUM(I179:I198)</f>
        <v>-14251.745144050717</v>
      </c>
      <c r="J199" s="26" t="s">
        <v>258</v>
      </c>
      <c r="K199" s="27">
        <f>IF(COUNT(K179:K198), SUM(K179:K198) / COUNT(K179:K198), 0)</f>
        <v>2.1678802881433174E-3</v>
      </c>
      <c r="L199" s="28">
        <f>SUM(L179:L198)</f>
        <v>6503.6408644299545</v>
      </c>
      <c r="M199" s="26" t="s">
        <v>258</v>
      </c>
      <c r="N199" s="27">
        <f>IF(COUNT(N179:N198), SUM(N179:N198) / COUNT(N179:N198), 0)</f>
        <v>-1.1815907577430318E-2</v>
      </c>
      <c r="O199" s="28">
        <f>SUM(O179:O198)</f>
        <v>-35447.722732290946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E427C-E8E2-45C3-960B-3C350CA82990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44950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77,751 KRW (2.59%)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351,165 KRW (11.71%)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93,315 KRW (3.11%)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151,379 KRW (5.05%)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2023-01-24(화) 오전 00:00</v>
      </c>
      <c r="C15" s="196"/>
      <c r="D15" s="170" t="str">
        <f>TEXT($G$1, "[$-ko-KR]yyyy-mm-dd(ddd) ") &amp; "오후 14:00"</f>
        <v>2023-01-24(화) 오후 14:00</v>
      </c>
      <c r="E15" s="171"/>
      <c r="F15" s="172"/>
      <c r="G15" s="170" t="str">
        <f>TEXT($G$1, "[$-ko-KR]yyyy-mm-dd(ddd) ") &amp; "오후 19:00"</f>
        <v>2023-01-24(화) 오후 19:00</v>
      </c>
      <c r="H15" s="171"/>
      <c r="I15" s="172"/>
      <c r="J15" s="170" t="str">
        <f>TEXT($G$1, "[$-ko-KR]yyyy-mm-dd(ddd) ") &amp; "오후 21:00"</f>
        <v>2023-01-24(화) 오후 21:00</v>
      </c>
      <c r="K15" s="171"/>
      <c r="L15" s="172"/>
      <c r="M15" s="170" t="str">
        <f>TEXT($G$1+1, "[$-ko-KR]yyyy-mm-dd(ddd) ") &amp; "오전 00:00"</f>
        <v>2023-01-25(수)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2023-01-24(화) 오전 00:00</v>
      </c>
      <c r="C42" s="198"/>
      <c r="D42" s="170" t="str">
        <f>TEXT($G$1, "[$-ko-KR]yyyy-mm-dd(ddd) ") &amp; "오후 14:00"</f>
        <v>2023-01-24(화) 오후 14:00</v>
      </c>
      <c r="E42" s="171"/>
      <c r="F42" s="172"/>
      <c r="G42" s="170" t="str">
        <f>TEXT($G$1, "[$-ko-KR]yyyy-mm-dd(ddd) ") &amp; "오후 19:00"</f>
        <v>2023-01-24(화) 오후 19:00</v>
      </c>
      <c r="H42" s="171"/>
      <c r="I42" s="172"/>
      <c r="J42" s="170" t="str">
        <f>TEXT($G$1, "[$-ko-KR]yyyy-mm-dd(ddd) ") &amp; "오후 21:00"</f>
        <v>2023-01-24(화) 오후 21:00</v>
      </c>
      <c r="K42" s="171"/>
      <c r="L42" s="172"/>
      <c r="M42" s="170" t="str">
        <f>TEXT($G$1+1, "[$-ko-KR]yyyy-mm-dd(ddd) ") &amp; "오전 00:00"</f>
        <v>2023-01-25(수)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323</v>
      </c>
      <c r="B44" s="108">
        <v>4.0399999999999998E-2</v>
      </c>
      <c r="C44" s="69">
        <v>6.3157894699999995E-2</v>
      </c>
      <c r="D44" s="13">
        <v>4.1300000000000003E-2</v>
      </c>
      <c r="E44" s="14">
        <f>IF(ISNUMBER(D44), (D44 - $B44) / $B44, "")</f>
        <v>2.2277227722772401E-2</v>
      </c>
      <c r="F44" s="16">
        <f>IF(ISNUMBER(D44), $B64 * E44, "")</f>
        <v>3341.5841584158602</v>
      </c>
      <c r="G44" s="29">
        <v>4.07E-2</v>
      </c>
      <c r="H44" s="14">
        <f>IF(ISNUMBER(G44), (G44 - $B44) / $B44, "")</f>
        <v>7.425742574257467E-3</v>
      </c>
      <c r="I44" s="90">
        <f>IF(ISNUMBER(G44), $B64 * H44, "")</f>
        <v>1113.86138613862</v>
      </c>
      <c r="J44" s="13">
        <v>4.1000000000000002E-2</v>
      </c>
      <c r="K44" s="14">
        <f>IF(ISNUMBER(J44), (J44 - $B44) / $B44, "")</f>
        <v>1.4851485148514934E-2</v>
      </c>
      <c r="L44" s="16">
        <f>IF(ISNUMBER(J44), $B64 * K44, "")</f>
        <v>2227.72277227724</v>
      </c>
      <c r="M44" s="29">
        <v>4.2000000000000003E-2</v>
      </c>
      <c r="N44" s="14">
        <f>IF(ISNUMBER(M44), (M44 - $B44) / $B44, "")</f>
        <v>3.9603960396039709E-2</v>
      </c>
      <c r="O44" s="16">
        <f>IF(ISNUMBER(M44), $B64 * N44, "")</f>
        <v>5940.5940594059566</v>
      </c>
      <c r="Q44" s="156"/>
      <c r="R44" s="156"/>
      <c r="S44" s="156"/>
    </row>
    <row r="45" spans="1:19" ht="17.25" customHeight="1" thickBot="1">
      <c r="A45" s="109" t="s">
        <v>56</v>
      </c>
      <c r="B45" s="110">
        <v>46.3</v>
      </c>
      <c r="C45" s="70">
        <v>4.3383948E-3</v>
      </c>
      <c r="D45" s="15">
        <v>48.1</v>
      </c>
      <c r="E45" s="32">
        <f t="shared" ref="E45:E48" si="14">IF(ISNUMBER(D45), (D45 - $B45) / $B45, "")</f>
        <v>3.8876889848812192E-2</v>
      </c>
      <c r="F45" s="18">
        <f>IF(ISNUMBER(D45), $B64 * E45, "")</f>
        <v>5831.5334773218292</v>
      </c>
      <c r="G45" s="31">
        <v>47.8</v>
      </c>
      <c r="H45" s="32">
        <f t="shared" ref="H45:H48" si="15">IF(ISNUMBER(G45), (G45 - $B45) / $B45, "")</f>
        <v>3.2397408207343416E-2</v>
      </c>
      <c r="I45" s="91">
        <f>IF(ISNUMBER(G45), $B64 * H45, "")</f>
        <v>4859.6112311015122</v>
      </c>
      <c r="J45" s="15">
        <v>47.8</v>
      </c>
      <c r="K45" s="32">
        <f t="shared" ref="K45:K48" si="16">IF(ISNUMBER(J45), (J45 - $B45) / $B45, "")</f>
        <v>3.2397408207343416E-2</v>
      </c>
      <c r="L45" s="18">
        <f>IF(ISNUMBER(J45), $B64 * K45, "")</f>
        <v>4859.6112311015122</v>
      </c>
      <c r="M45" s="31">
        <v>48.1</v>
      </c>
      <c r="N45" s="32">
        <f t="shared" ref="N45:N48" si="17">IF(ISNUMBER(M45), (M45 - $B45) / $B45, "")</f>
        <v>3.8876889848812192E-2</v>
      </c>
      <c r="O45" s="18">
        <f>IF(ISNUMBER(M45), $B64 * N45, "")</f>
        <v>5831.5334773218292</v>
      </c>
      <c r="Q45" s="156"/>
      <c r="R45" s="156"/>
      <c r="S45" s="156"/>
    </row>
    <row r="46" spans="1:19" ht="17.25" customHeight="1" thickBot="1">
      <c r="A46" s="109" t="s">
        <v>126</v>
      </c>
      <c r="B46" s="110">
        <v>33.9</v>
      </c>
      <c r="C46" s="70">
        <v>2.9585799000000001E-3</v>
      </c>
      <c r="D46" s="15">
        <v>35.299999999999997</v>
      </c>
      <c r="E46" s="32">
        <f t="shared" si="14"/>
        <v>4.1297935103244796E-2</v>
      </c>
      <c r="F46" s="18">
        <f>IF(ISNUMBER(D46), $B64 * E46, "")</f>
        <v>6194.690265486719</v>
      </c>
      <c r="G46" s="31">
        <v>34.799999999999997</v>
      </c>
      <c r="H46" s="32">
        <f t="shared" si="15"/>
        <v>2.6548672566371639E-2</v>
      </c>
      <c r="I46" s="91">
        <f>IF(ISNUMBER(G46), $B64 * H46, "")</f>
        <v>3982.3008849557459</v>
      </c>
      <c r="J46" s="15">
        <v>35</v>
      </c>
      <c r="K46" s="32">
        <f t="shared" si="16"/>
        <v>3.2448377581120985E-2</v>
      </c>
      <c r="L46" s="18">
        <f>IF(ISNUMBER(J46), $B64 * K46, "")</f>
        <v>4867.2566371681478</v>
      </c>
      <c r="M46" s="31">
        <v>35.299999999999997</v>
      </c>
      <c r="N46" s="32">
        <f t="shared" si="17"/>
        <v>4.1297935103244796E-2</v>
      </c>
      <c r="O46" s="18">
        <f>IF(ISNUMBER(M46), $B64 * N46, "")</f>
        <v>6194.690265486719</v>
      </c>
      <c r="Q46" s="146"/>
      <c r="R46" s="146"/>
      <c r="S46" s="146"/>
    </row>
    <row r="47" spans="1:19" ht="17.25" customHeight="1" thickBot="1">
      <c r="A47" s="109" t="s">
        <v>197</v>
      </c>
      <c r="B47" s="110">
        <v>7.47</v>
      </c>
      <c r="C47" s="70">
        <v>1.3404826E-3</v>
      </c>
      <c r="D47" s="15">
        <v>7.82</v>
      </c>
      <c r="E47" s="32">
        <f t="shared" si="14"/>
        <v>4.6854082998661388E-2</v>
      </c>
      <c r="F47" s="18">
        <f>IF(ISNUMBER(D47), $B64 * E47, "")</f>
        <v>7028.1124497992078</v>
      </c>
      <c r="G47" s="31">
        <v>7.88</v>
      </c>
      <c r="H47" s="32">
        <f t="shared" si="15"/>
        <v>5.488621151271756E-2</v>
      </c>
      <c r="I47" s="91">
        <f>IF(ISNUMBER(G47), $B64 * H47, "")</f>
        <v>8232.9317269076346</v>
      </c>
      <c r="J47" s="15">
        <v>9.27</v>
      </c>
      <c r="K47" s="32">
        <f t="shared" si="16"/>
        <v>0.24096385542168672</v>
      </c>
      <c r="L47" s="18">
        <f>IF(ISNUMBER(J47), $B64 * K47, "")</f>
        <v>36144.578313253005</v>
      </c>
      <c r="M47" s="31">
        <v>8.3800000000000008</v>
      </c>
      <c r="N47" s="32">
        <f t="shared" si="17"/>
        <v>0.12182061579651955</v>
      </c>
      <c r="O47" s="18">
        <f>IF(ISNUMBER(M47), $B64 * N47, "")</f>
        <v>18273.092369477934</v>
      </c>
      <c r="Q47" s="146"/>
      <c r="R47" s="146"/>
      <c r="S47" s="146"/>
    </row>
    <row r="48" spans="1:19" ht="17.25" customHeight="1" thickBot="1">
      <c r="A48" s="111" t="s">
        <v>138</v>
      </c>
      <c r="B48" s="112">
        <v>30.5</v>
      </c>
      <c r="C48" s="71">
        <v>0</v>
      </c>
      <c r="D48" s="20">
        <v>33</v>
      </c>
      <c r="E48" s="21">
        <f t="shared" si="14"/>
        <v>8.1967213114754092E-2</v>
      </c>
      <c r="F48" s="22">
        <f>IF(ISNUMBER(D48), $B64 * E48, "")</f>
        <v>12295.081967213115</v>
      </c>
      <c r="G48" s="30">
        <v>32.5</v>
      </c>
      <c r="H48" s="21">
        <f t="shared" si="15"/>
        <v>6.5573770491803282E-2</v>
      </c>
      <c r="I48" s="95">
        <f>IF(ISNUMBER(G48), $B64 * H48, "")</f>
        <v>9836.0655737704928</v>
      </c>
      <c r="J48" s="20">
        <v>32.5</v>
      </c>
      <c r="K48" s="21">
        <f t="shared" si="16"/>
        <v>6.5573770491803282E-2</v>
      </c>
      <c r="L48" s="22">
        <f>IF(ISNUMBER(J48), $B64 * K48, "")</f>
        <v>9836.0655737704928</v>
      </c>
      <c r="M48" s="30">
        <v>32.799999999999997</v>
      </c>
      <c r="N48" s="21">
        <f t="shared" si="17"/>
        <v>7.5409836065573679E-2</v>
      </c>
      <c r="O48" s="22">
        <f>IF(ISNUMBER(M48), $B64 * N48, "")</f>
        <v>11311.475409836052</v>
      </c>
      <c r="Q48" s="146"/>
      <c r="R48" s="146"/>
      <c r="S48" s="146"/>
    </row>
    <row r="49" spans="1:19" ht="17.25" customHeight="1" thickBot="1">
      <c r="A49" s="109" t="s">
        <v>349</v>
      </c>
      <c r="B49" s="113">
        <v>29.9</v>
      </c>
      <c r="C49" s="73">
        <v>0</v>
      </c>
      <c r="D49" s="96">
        <v>56</v>
      </c>
      <c r="E49" s="97">
        <f>IF(ISNUMBER(D49), (D49 - $B49) / $B49, "")</f>
        <v>0.8729096989966556</v>
      </c>
      <c r="F49" s="98">
        <f>IF(ISNUMBER(D49), $B64 * E49, "")</f>
        <v>130936.45484949835</v>
      </c>
      <c r="G49" s="99">
        <v>55.8</v>
      </c>
      <c r="H49" s="97">
        <f>IF(ISNUMBER(G49), (G49 - $B49) / $B49, "")</f>
        <v>0.86622073578595316</v>
      </c>
      <c r="I49" s="100">
        <f>IF(ISNUMBER(G49), $B64 * H49, "")</f>
        <v>129933.11036789298</v>
      </c>
      <c r="J49" s="96">
        <v>75.5</v>
      </c>
      <c r="K49" s="97">
        <f>IF(ISNUMBER(J49), (J49 - $B49) / $B49, "")</f>
        <v>1.5250836120401339</v>
      </c>
      <c r="L49" s="98">
        <f>IF(ISNUMBER(J49), $B64 * K49, "")</f>
        <v>228762.54180602008</v>
      </c>
      <c r="M49" s="99">
        <v>69</v>
      </c>
      <c r="N49" s="97">
        <f>IF(ISNUMBER(M49), (M49 - $B49) / $B49, "")</f>
        <v>1.3076923076923077</v>
      </c>
      <c r="O49" s="98">
        <f>IF(ISNUMBER(M49), $B64 * N49, "")</f>
        <v>196153.84615384616</v>
      </c>
      <c r="Q49" s="146"/>
      <c r="R49" s="146"/>
      <c r="S49" s="146"/>
    </row>
    <row r="50" spans="1:19" ht="17.25" customHeight="1" thickBot="1">
      <c r="A50" s="109" t="s">
        <v>227</v>
      </c>
      <c r="B50" s="110">
        <v>46.5</v>
      </c>
      <c r="C50" s="70">
        <v>-4.2826551999999999E-3</v>
      </c>
      <c r="D50" s="15">
        <v>48.6</v>
      </c>
      <c r="E50" s="32">
        <f t="shared" ref="E50:E53" si="18">IF(ISNUMBER(D50), (D50 - $B50) / $B50, "")</f>
        <v>4.5161290322580677E-2</v>
      </c>
      <c r="F50" s="18">
        <f>IF(ISNUMBER(D50), $B64 * E50, "")</f>
        <v>6774.1935483871011</v>
      </c>
      <c r="G50" s="31">
        <v>48</v>
      </c>
      <c r="H50" s="32">
        <f t="shared" ref="H50:H53" si="19">IF(ISNUMBER(G50), (G50 - $B50) / $B50, "")</f>
        <v>3.2258064516129031E-2</v>
      </c>
      <c r="I50" s="91">
        <f>IF(ISNUMBER(G50), $B64 * H50, "")</f>
        <v>4838.7096774193551</v>
      </c>
      <c r="J50" s="15">
        <v>49.2</v>
      </c>
      <c r="K50" s="32">
        <f t="shared" ref="K50:K53" si="20">IF(ISNUMBER(J50), (J50 - $B50) / $B50, "")</f>
        <v>5.8064516129032316E-2</v>
      </c>
      <c r="L50" s="18">
        <f>IF(ISNUMBER(J50), $B64 * K50, "")</f>
        <v>8709.6774193548481</v>
      </c>
      <c r="M50" s="31">
        <v>48.8</v>
      </c>
      <c r="N50" s="32">
        <f t="shared" ref="N50:N53" si="21">IF(ISNUMBER(M50), (M50 - $B50) / $B50, "")</f>
        <v>4.9462365591397786E-2</v>
      </c>
      <c r="O50" s="18">
        <f>IF(ISNUMBER(M50), $B64 * N50, "")</f>
        <v>7419.354838709668</v>
      </c>
      <c r="Q50" s="146"/>
      <c r="R50" s="146"/>
      <c r="S50" s="146"/>
    </row>
    <row r="51" spans="1:19" ht="17.25" customHeight="1" thickBot="1">
      <c r="A51" s="109" t="s">
        <v>333</v>
      </c>
      <c r="B51" s="110">
        <v>5.15</v>
      </c>
      <c r="C51" s="70">
        <v>-5.7915058E-3</v>
      </c>
      <c r="D51" s="15">
        <v>5.38</v>
      </c>
      <c r="E51" s="32">
        <f t="shared" si="18"/>
        <v>4.4660194174757188E-2</v>
      </c>
      <c r="F51" s="18">
        <f>IF(ISNUMBER(D51), $B64 * E51, "")</f>
        <v>6699.0291262135779</v>
      </c>
      <c r="G51" s="31">
        <v>5.36</v>
      </c>
      <c r="H51" s="32">
        <f t="shared" si="19"/>
        <v>4.0776699029126201E-2</v>
      </c>
      <c r="I51" s="91">
        <f>IF(ISNUMBER(G51), $B64 * H51, "")</f>
        <v>6116.50485436893</v>
      </c>
      <c r="J51" s="15">
        <v>5.46</v>
      </c>
      <c r="K51" s="32">
        <f t="shared" si="20"/>
        <v>6.0194174757281477E-2</v>
      </c>
      <c r="L51" s="18">
        <f>IF(ISNUMBER(J51), $B64 * K51, "")</f>
        <v>9029.1262135922207</v>
      </c>
      <c r="M51" s="31">
        <v>5.34</v>
      </c>
      <c r="N51" s="32">
        <f t="shared" si="21"/>
        <v>3.6893203883495047E-2</v>
      </c>
      <c r="O51" s="18">
        <f>IF(ISNUMBER(M51), $B64 * N51, "")</f>
        <v>5533.9805825242574</v>
      </c>
      <c r="Q51" s="146"/>
      <c r="R51" s="146"/>
      <c r="S51" s="146"/>
    </row>
    <row r="52" spans="1:19" ht="17.25" customHeight="1" thickBot="1">
      <c r="A52" s="109" t="s">
        <v>145</v>
      </c>
      <c r="B52" s="110">
        <v>76.8</v>
      </c>
      <c r="C52" s="70">
        <v>-6.4683053000000003E-3</v>
      </c>
      <c r="D52" s="15">
        <v>78.8</v>
      </c>
      <c r="E52" s="32">
        <f t="shared" si="18"/>
        <v>2.6041666666666668E-2</v>
      </c>
      <c r="F52" s="18">
        <f>IF(ISNUMBER(D52), $B64 * E52, "")</f>
        <v>3906.25</v>
      </c>
      <c r="G52" s="31">
        <v>78.3</v>
      </c>
      <c r="H52" s="32">
        <f t="shared" si="19"/>
        <v>1.953125E-2</v>
      </c>
      <c r="I52" s="91">
        <f>IF(ISNUMBER(G52), $B64 * H52, "")</f>
        <v>2929.6875</v>
      </c>
      <c r="J52" s="15">
        <v>78.099999999999994</v>
      </c>
      <c r="K52" s="32">
        <f t="shared" si="20"/>
        <v>1.6927083333333297E-2</v>
      </c>
      <c r="L52" s="18">
        <f>IF(ISNUMBER(J52), $B64 * K52, "")</f>
        <v>2539.0624999999945</v>
      </c>
      <c r="M52" s="31">
        <v>77.599999999999994</v>
      </c>
      <c r="N52" s="32">
        <f t="shared" si="21"/>
        <v>1.041666666666663E-2</v>
      </c>
      <c r="O52" s="18">
        <f>IF(ISNUMBER(M52), $B64 * N52, "")</f>
        <v>1562.4999999999945</v>
      </c>
      <c r="Q52" s="33"/>
      <c r="R52" s="33"/>
    </row>
    <row r="53" spans="1:19" ht="17.25" customHeight="1" thickBot="1">
      <c r="A53" s="114" t="s">
        <v>352</v>
      </c>
      <c r="B53" s="115">
        <v>1.49E-2</v>
      </c>
      <c r="C53" s="72">
        <v>-6.6666666999999997E-3</v>
      </c>
      <c r="D53" s="24">
        <v>1.5100000000000001E-2</v>
      </c>
      <c r="E53" s="25">
        <f t="shared" si="18"/>
        <v>1.3422818791946343E-2</v>
      </c>
      <c r="F53" s="94">
        <f>IF(ISNUMBER(D53), $B64 * E53, "")</f>
        <v>2013.4228187919514</v>
      </c>
      <c r="G53" s="92">
        <v>1.4999999999999999E-2</v>
      </c>
      <c r="H53" s="25">
        <f t="shared" si="19"/>
        <v>6.7114093959731135E-3</v>
      </c>
      <c r="I53" s="93">
        <f>IF(ISNUMBER(G53), $B64 * H53, "")</f>
        <v>1006.7114093959671</v>
      </c>
      <c r="J53" s="24">
        <v>1.49E-2</v>
      </c>
      <c r="K53" s="25">
        <f t="shared" si="20"/>
        <v>0</v>
      </c>
      <c r="L53" s="94">
        <f>IF(ISNUMBER(J53), $B64 * K53, "")</f>
        <v>0</v>
      </c>
      <c r="M53" s="92">
        <v>1.49E-2</v>
      </c>
      <c r="N53" s="25">
        <f t="shared" si="21"/>
        <v>0</v>
      </c>
      <c r="O53" s="94">
        <f>IF(ISNUMBER(M53), $B64 * N53, "")</f>
        <v>0</v>
      </c>
      <c r="Q53" s="147"/>
      <c r="R53" s="148"/>
      <c r="S53" s="149"/>
    </row>
    <row r="54" spans="1:19" ht="17.25" customHeight="1">
      <c r="A54" s="107" t="s">
        <v>324</v>
      </c>
      <c r="B54" s="108">
        <v>96.9</v>
      </c>
      <c r="C54" s="69">
        <v>-7.1721310999999996E-3</v>
      </c>
      <c r="D54" s="13">
        <v>102</v>
      </c>
      <c r="E54" s="14">
        <f>IF(ISNUMBER(D54), (D54 - $B54) / $B54, "")</f>
        <v>5.2631578947368363E-2</v>
      </c>
      <c r="F54" s="16">
        <f>IF(ISNUMBER(D54), $B64 * E54, "")</f>
        <v>7894.7368421052543</v>
      </c>
      <c r="G54" s="29">
        <v>100</v>
      </c>
      <c r="H54" s="14">
        <f>IF(ISNUMBER(G54), (G54 - $B54) / $B54, "")</f>
        <v>3.1991744066047413E-2</v>
      </c>
      <c r="I54" s="90">
        <f>IF(ISNUMBER(G54), $B64 * H54, "")</f>
        <v>4798.761609907112</v>
      </c>
      <c r="J54" s="13">
        <v>101</v>
      </c>
      <c r="K54" s="14">
        <f>IF(ISNUMBER(J54), (J54 - $B54) / $B54, "")</f>
        <v>4.2311661506707884E-2</v>
      </c>
      <c r="L54" s="16">
        <f>IF(ISNUMBER(J54), $B64 * K54, "")</f>
        <v>6346.7492260061827</v>
      </c>
      <c r="M54" s="29">
        <v>103</v>
      </c>
      <c r="N54" s="14">
        <f>IF(ISNUMBER(M54), (M54 - $B54) / $B54, "")</f>
        <v>6.2951496388028827E-2</v>
      </c>
      <c r="O54" s="16">
        <f>IF(ISNUMBER(M54), $B64 * N54, "")</f>
        <v>9442.724458204324</v>
      </c>
      <c r="Q54" s="150"/>
      <c r="R54" s="151"/>
      <c r="S54" s="152"/>
    </row>
    <row r="55" spans="1:19" ht="17.25" customHeight="1" thickBot="1">
      <c r="A55" s="109" t="s">
        <v>122</v>
      </c>
      <c r="B55" s="110">
        <v>27.6</v>
      </c>
      <c r="C55" s="70">
        <v>-7.1942446E-3</v>
      </c>
      <c r="D55" s="15">
        <v>29</v>
      </c>
      <c r="E55" s="32">
        <f t="shared" ref="E55:E58" si="22">IF(ISNUMBER(D55), (D55 - $B55) / $B55, "")</f>
        <v>5.0724637681159368E-2</v>
      </c>
      <c r="F55" s="18">
        <f>IF(ISNUMBER(D55), $B64 * E55, "")</f>
        <v>7608.6956521739048</v>
      </c>
      <c r="G55" s="31">
        <v>28.8</v>
      </c>
      <c r="H55" s="32">
        <f t="shared" ref="H55:H58" si="23">IF(ISNUMBER(G55), (G55 - $B55) / $B55, "")</f>
        <v>4.3478260869565188E-2</v>
      </c>
      <c r="I55" s="91">
        <f>IF(ISNUMBER(G55), $B64 * H55, "")</f>
        <v>6521.7391304347784</v>
      </c>
      <c r="J55" s="15">
        <v>28.6</v>
      </c>
      <c r="K55" s="32">
        <f t="shared" ref="K55:K58" si="24">IF(ISNUMBER(J55), (J55 - $B55) / $B55, "")</f>
        <v>3.6231884057971016E-2</v>
      </c>
      <c r="L55" s="18">
        <f>IF(ISNUMBER(J55), $B64 * K55, "")</f>
        <v>5434.782608695652</v>
      </c>
      <c r="M55" s="31">
        <v>28.7</v>
      </c>
      <c r="N55" s="32">
        <f t="shared" ref="N55:N58" si="25">IF(ISNUMBER(M55), (M55 - $B55) / $B55, "")</f>
        <v>3.9855072463768036E-2</v>
      </c>
      <c r="O55" s="18">
        <f>IF(ISNUMBER(M55), $B64 * N55, "")</f>
        <v>5978.2608695652052</v>
      </c>
      <c r="Q55" s="153"/>
      <c r="R55" s="154"/>
      <c r="S55" s="155"/>
    </row>
    <row r="56" spans="1:19" ht="17.25" customHeight="1" thickBot="1">
      <c r="A56" s="109" t="s">
        <v>141</v>
      </c>
      <c r="B56" s="110">
        <v>3.77</v>
      </c>
      <c r="C56" s="70">
        <v>-7.8947367999999997E-3</v>
      </c>
      <c r="D56" s="15">
        <v>4.18</v>
      </c>
      <c r="E56" s="32">
        <f t="shared" si="22"/>
        <v>0.10875331564986729</v>
      </c>
      <c r="F56" s="18">
        <f>IF(ISNUMBER(D56), $B64 * E56, "")</f>
        <v>16312.997347480094</v>
      </c>
      <c r="G56" s="31">
        <v>4.16</v>
      </c>
      <c r="H56" s="32">
        <f t="shared" si="23"/>
        <v>0.10344827586206899</v>
      </c>
      <c r="I56" s="91">
        <f>IF(ISNUMBER(G56), $B64 * H56, "")</f>
        <v>15517.24137931035</v>
      </c>
      <c r="J56" s="15">
        <v>4.21</v>
      </c>
      <c r="K56" s="32">
        <f t="shared" si="24"/>
        <v>0.11671087533156498</v>
      </c>
      <c r="L56" s="18">
        <f>IF(ISNUMBER(J56), $B64 * K56, "")</f>
        <v>17506.631299734745</v>
      </c>
      <c r="M56" s="31">
        <v>4.09</v>
      </c>
      <c r="N56" s="32">
        <f t="shared" si="25"/>
        <v>8.488063660477449E-2</v>
      </c>
      <c r="O56" s="18">
        <f>IF(ISNUMBER(M56), $B64 * N56, "")</f>
        <v>12732.095490716174</v>
      </c>
      <c r="Q56" s="146"/>
      <c r="R56" s="146"/>
      <c r="S56" s="146"/>
    </row>
    <row r="57" spans="1:19" ht="17.25" customHeight="1" thickBot="1">
      <c r="A57" s="109" t="s">
        <v>203</v>
      </c>
      <c r="B57" s="110">
        <v>3.75</v>
      </c>
      <c r="C57" s="70">
        <v>-7.9365079000000005E-3</v>
      </c>
      <c r="D57" s="15">
        <v>4.0199999999999996</v>
      </c>
      <c r="E57" s="32">
        <f t="shared" si="22"/>
        <v>7.1999999999999884E-2</v>
      </c>
      <c r="F57" s="18">
        <f>IF(ISNUMBER(D57), $B64 * E57, "")</f>
        <v>10799.999999999982</v>
      </c>
      <c r="G57" s="31">
        <v>3.94</v>
      </c>
      <c r="H57" s="32">
        <f t="shared" si="23"/>
        <v>5.0666666666666652E-2</v>
      </c>
      <c r="I57" s="91">
        <f>IF(ISNUMBER(G57), $B64 * H57, "")</f>
        <v>7599.9999999999982</v>
      </c>
      <c r="J57" s="15">
        <v>4.07</v>
      </c>
      <c r="K57" s="32">
        <f t="shared" si="24"/>
        <v>8.5333333333333414E-2</v>
      </c>
      <c r="L57" s="18">
        <f>IF(ISNUMBER(J57), $B64 * K57, "")</f>
        <v>12800.000000000013</v>
      </c>
      <c r="M57" s="31">
        <v>4.0199999999999996</v>
      </c>
      <c r="N57" s="32">
        <f t="shared" si="25"/>
        <v>7.1999999999999884E-2</v>
      </c>
      <c r="O57" s="18">
        <f>IF(ISNUMBER(M57), $B64 * N57, "")</f>
        <v>10799.999999999982</v>
      </c>
      <c r="Q57" s="156"/>
      <c r="R57" s="156"/>
      <c r="S57" s="156"/>
    </row>
    <row r="58" spans="1:19" ht="17.25" customHeight="1" thickBot="1">
      <c r="A58" s="111" t="s">
        <v>64</v>
      </c>
      <c r="B58" s="112">
        <v>12.1</v>
      </c>
      <c r="C58" s="71">
        <v>-8.1967212999999994E-3</v>
      </c>
      <c r="D58" s="20">
        <v>12.8</v>
      </c>
      <c r="E58" s="21">
        <f t="shared" si="22"/>
        <v>5.7851239669421579E-2</v>
      </c>
      <c r="F58" s="22">
        <f>IF(ISNUMBER(D58), $B64 * E58, "")</f>
        <v>8677.6859504132372</v>
      </c>
      <c r="G58" s="30">
        <v>12.6</v>
      </c>
      <c r="H58" s="21">
        <f t="shared" si="23"/>
        <v>4.1322314049586778E-2</v>
      </c>
      <c r="I58" s="95">
        <f>IF(ISNUMBER(G58), $B64 * H58, "")</f>
        <v>6198.3471074380168</v>
      </c>
      <c r="J58" s="20">
        <v>12.6</v>
      </c>
      <c r="K58" s="21">
        <f t="shared" si="24"/>
        <v>4.1322314049586778E-2</v>
      </c>
      <c r="L58" s="22">
        <f>IF(ISNUMBER(J58), $B64 * K58, "")</f>
        <v>6198.3471074380168</v>
      </c>
      <c r="M58" s="30">
        <v>12.7</v>
      </c>
      <c r="N58" s="21">
        <f t="shared" si="25"/>
        <v>4.9586776859504106E-2</v>
      </c>
      <c r="O58" s="22">
        <f>IF(ISNUMBER(M58), $B64 * N58, "")</f>
        <v>7438.0165289256156</v>
      </c>
      <c r="Q58" s="156"/>
      <c r="R58" s="156"/>
      <c r="S58" s="156"/>
    </row>
    <row r="59" spans="1:19" ht="17.25" customHeight="1" thickBot="1">
      <c r="A59" s="109" t="s">
        <v>221</v>
      </c>
      <c r="B59" s="113">
        <v>22.6</v>
      </c>
      <c r="C59" s="73">
        <v>-8.7719297999999998E-3</v>
      </c>
      <c r="D59" s="96">
        <v>24.1</v>
      </c>
      <c r="E59" s="97">
        <f>IF(ISNUMBER(D59), (D59 - $B59) / $B59, "")</f>
        <v>6.6371681415929196E-2</v>
      </c>
      <c r="F59" s="98">
        <f>IF(ISNUMBER(D59), $B64 * E59, "")</f>
        <v>9955.7522123893796</v>
      </c>
      <c r="G59" s="99">
        <v>23.6</v>
      </c>
      <c r="H59" s="97">
        <f>IF(ISNUMBER(G59), (G59 - $B59) / $B59, "")</f>
        <v>4.4247787610619468E-2</v>
      </c>
      <c r="I59" s="100">
        <f>IF(ISNUMBER(G59), $B64 * H59, "")</f>
        <v>6637.1681415929206</v>
      </c>
      <c r="J59" s="96">
        <v>24.1</v>
      </c>
      <c r="K59" s="97">
        <f>IF(ISNUMBER(J59), (J59 - $B59) / $B59, "")</f>
        <v>6.6371681415929196E-2</v>
      </c>
      <c r="L59" s="98">
        <f>IF(ISNUMBER(J59), $B64 * K59, "")</f>
        <v>9955.7522123893796</v>
      </c>
      <c r="M59" s="99">
        <v>23.7</v>
      </c>
      <c r="N59" s="97">
        <f>IF(ISNUMBER(M59), (M59 - $B59) / $B59, "")</f>
        <v>4.8672566371681318E-2</v>
      </c>
      <c r="O59" s="98">
        <f>IF(ISNUMBER(M59), $B64 * N59, "")</f>
        <v>7300.884955752198</v>
      </c>
      <c r="Q59" s="146"/>
      <c r="R59" s="146"/>
      <c r="S59" s="146"/>
    </row>
    <row r="60" spans="1:19" ht="17.25" customHeight="1" thickBot="1">
      <c r="A60" s="109" t="s">
        <v>191</v>
      </c>
      <c r="B60" s="110">
        <v>62.6</v>
      </c>
      <c r="C60" s="70">
        <v>-9.4936709000000008E-3</v>
      </c>
      <c r="D60" s="15">
        <v>65.400000000000006</v>
      </c>
      <c r="E60" s="32">
        <f t="shared" ref="E60:E63" si="26">IF(ISNUMBER(D60), (D60 - $B60) / $B60, "")</f>
        <v>4.47284345047924E-2</v>
      </c>
      <c r="F60" s="18">
        <f>IF(ISNUMBER(D60), $B64 * E60, "")</f>
        <v>6709.2651757188596</v>
      </c>
      <c r="G60" s="31">
        <v>65</v>
      </c>
      <c r="H60" s="32">
        <f t="shared" ref="H60:H63" si="27">IF(ISNUMBER(G60), (G60 - $B60) / $B60, "")</f>
        <v>3.8338658146964834E-2</v>
      </c>
      <c r="I60" s="91">
        <f>IF(ISNUMBER(G60), $B64 * H60, "")</f>
        <v>5750.7987220447249</v>
      </c>
      <c r="J60" s="15">
        <v>66.599999999999994</v>
      </c>
      <c r="K60" s="32">
        <f t="shared" ref="K60:K63" si="28">IF(ISNUMBER(J60), (J60 - $B60) / $B60, "")</f>
        <v>6.3897763578274647E-2</v>
      </c>
      <c r="L60" s="18">
        <f>IF(ISNUMBER(J60), $B64 * K60, "")</f>
        <v>9584.6645367411966</v>
      </c>
      <c r="M60" s="31">
        <v>67.5</v>
      </c>
      <c r="N60" s="32">
        <f t="shared" ref="N60:N63" si="29">IF(ISNUMBER(M60), (M60 - $B60) / $B60, "")</f>
        <v>7.8274760383386557E-2</v>
      </c>
      <c r="O60" s="18">
        <f>IF(ISNUMBER(M60), $B64 * N60, "")</f>
        <v>11741.214057507983</v>
      </c>
      <c r="Q60" s="146"/>
      <c r="R60" s="146"/>
      <c r="S60" s="146"/>
    </row>
    <row r="61" spans="1:19" ht="17.25" customHeight="1" thickBot="1">
      <c r="A61" s="109" t="s">
        <v>185</v>
      </c>
      <c r="B61" s="110">
        <v>36.5</v>
      </c>
      <c r="C61" s="70">
        <v>-1.0840108399999999E-2</v>
      </c>
      <c r="D61" s="15">
        <v>38.700000000000003</v>
      </c>
      <c r="E61" s="32">
        <f t="shared" si="26"/>
        <v>6.0273972602739805E-2</v>
      </c>
      <c r="F61" s="18">
        <f>IF(ISNUMBER(D61), $B64 * E61, "")</f>
        <v>9041.0958904109702</v>
      </c>
      <c r="G61" s="31">
        <v>38.5</v>
      </c>
      <c r="H61" s="32">
        <f t="shared" si="27"/>
        <v>5.4794520547945202E-2</v>
      </c>
      <c r="I61" s="91">
        <f>IF(ISNUMBER(G61), $B64 * H61, "")</f>
        <v>8219.17808219178</v>
      </c>
      <c r="J61" s="15">
        <v>39.5</v>
      </c>
      <c r="K61" s="32">
        <f t="shared" si="28"/>
        <v>8.2191780821917804E-2</v>
      </c>
      <c r="L61" s="18">
        <f>IF(ISNUMBER(J61), $B64 * K61, "")</f>
        <v>12328.767123287671</v>
      </c>
      <c r="M61" s="31">
        <v>39</v>
      </c>
      <c r="N61" s="32">
        <f t="shared" si="29"/>
        <v>6.8493150684931503E-2</v>
      </c>
      <c r="O61" s="18">
        <f>IF(ISNUMBER(M61), $B64 * N61, "")</f>
        <v>10273.972602739725</v>
      </c>
      <c r="Q61" s="146"/>
      <c r="R61" s="146"/>
      <c r="S61" s="146"/>
    </row>
    <row r="62" spans="1:19" ht="17.25" customHeight="1">
      <c r="A62" s="109" t="s">
        <v>143</v>
      </c>
      <c r="B62" s="110">
        <v>4.28</v>
      </c>
      <c r="C62" s="70">
        <v>-1.1547344100000001E-2</v>
      </c>
      <c r="D62" s="15">
        <v>4.5199999999999996</v>
      </c>
      <c r="E62" s="32">
        <f t="shared" si="26"/>
        <v>5.6074766355140027E-2</v>
      </c>
      <c r="F62" s="18">
        <f>IF(ISNUMBER(D62), $B64 * E62, "")</f>
        <v>8411.2149532710046</v>
      </c>
      <c r="G62" s="31">
        <v>4.5</v>
      </c>
      <c r="H62" s="32">
        <f t="shared" si="27"/>
        <v>5.1401869158878441E-2</v>
      </c>
      <c r="I62" s="91">
        <f>IF(ISNUMBER(G62), $B64 * H62, "")</f>
        <v>7710.2803738317662</v>
      </c>
      <c r="J62" s="15">
        <v>4.6900000000000004</v>
      </c>
      <c r="K62" s="32">
        <f t="shared" si="28"/>
        <v>9.579439252336451E-2</v>
      </c>
      <c r="L62" s="18">
        <f>IF(ISNUMBER(J62), $B64 * K62, "")</f>
        <v>14369.158878504677</v>
      </c>
      <c r="M62" s="31">
        <v>4.59</v>
      </c>
      <c r="N62" s="32">
        <f t="shared" si="29"/>
        <v>7.2429906542055986E-2</v>
      </c>
      <c r="O62" s="18">
        <f>IF(ISNUMBER(M62), $B64 * N62, "")</f>
        <v>10864.485981308399</v>
      </c>
      <c r="Q62" s="135"/>
      <c r="R62" s="136"/>
      <c r="S62" s="137"/>
    </row>
    <row r="63" spans="1:19" ht="17.25" customHeight="1" thickBot="1">
      <c r="A63" s="114" t="s">
        <v>237</v>
      </c>
      <c r="B63" s="115">
        <v>30.6</v>
      </c>
      <c r="C63" s="72">
        <v>-1.2903225799999999E-2</v>
      </c>
      <c r="D63" s="24">
        <v>32.1</v>
      </c>
      <c r="E63" s="25">
        <f t="shared" si="26"/>
        <v>4.9019607843137254E-2</v>
      </c>
      <c r="F63" s="94">
        <f>IF(ISNUMBER(D63), $B64 * E63, "")</f>
        <v>7352.9411764705883</v>
      </c>
      <c r="G63" s="92">
        <v>31.8</v>
      </c>
      <c r="H63" s="25">
        <f t="shared" si="27"/>
        <v>3.9215686274509776E-2</v>
      </c>
      <c r="I63" s="93">
        <f>IF(ISNUMBER(G63), $B64 * H63, "")</f>
        <v>5882.3529411764666</v>
      </c>
      <c r="J63" s="24">
        <v>31.8</v>
      </c>
      <c r="K63" s="25">
        <f t="shared" si="28"/>
        <v>3.9215686274509776E-2</v>
      </c>
      <c r="L63" s="94">
        <f>IF(ISNUMBER(J63), $B64 * K63, "")</f>
        <v>5882.3529411764666</v>
      </c>
      <c r="M63" s="92">
        <v>31.9</v>
      </c>
      <c r="N63" s="25">
        <f t="shared" si="29"/>
        <v>4.2483660130718859E-2</v>
      </c>
      <c r="O63" s="94">
        <f>IF(ISNUMBER(M63), $B64 * N63, "")</f>
        <v>6372.549019607829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9.2594912620520303E-2</v>
      </c>
      <c r="F64" s="28">
        <f>SUM(F44:F63)</f>
        <v>277784.73786156101</v>
      </c>
      <c r="G64" s="26" t="s">
        <v>258</v>
      </c>
      <c r="H64" s="27">
        <f>IF(COUNT(H44:H63), SUM(H44:H63) / COUNT(H44:H63), 0)</f>
        <v>8.256178736662638E-2</v>
      </c>
      <c r="I64" s="28">
        <f>SUM(I44:I63)</f>
        <v>247685.36209987919</v>
      </c>
      <c r="J64" s="26" t="s">
        <v>258</v>
      </c>
      <c r="K64" s="27">
        <f>IF(COUNT(K44:K63), SUM(K44:K63) / COUNT(K44:K63), 0)</f>
        <v>0.13579428280017053</v>
      </c>
      <c r="L64" s="28">
        <f>SUM(L44:L63)</f>
        <v>407382.8484005116</v>
      </c>
      <c r="M64" s="26" t="s">
        <v>258</v>
      </c>
      <c r="N64" s="27">
        <f>IF(COUNT(N44:N63), SUM(N44:N63) / COUNT(N44:N63), 0)</f>
        <v>0.11705509037364532</v>
      </c>
      <c r="O64" s="28">
        <f>SUM(O44:O63)</f>
        <v>351165.27112093597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2023-01-24(화) 오전 00:00</v>
      </c>
      <c r="C69" s="198"/>
      <c r="D69" s="170" t="str">
        <f>TEXT($G$1, "[$-ko-KR]yyyy-mm-dd(ddd) ") &amp; "오후 14:00"</f>
        <v>2023-01-24(화) 오후 14:00</v>
      </c>
      <c r="E69" s="171"/>
      <c r="F69" s="172"/>
      <c r="G69" s="170" t="str">
        <f>TEXT($G$1, "[$-ko-KR]yyyy-mm-dd(ddd) ") &amp; "오후 19:00"</f>
        <v>2023-01-24(화) 오후 19:00</v>
      </c>
      <c r="H69" s="171"/>
      <c r="I69" s="172"/>
      <c r="J69" s="170" t="str">
        <f>TEXT($G$1, "[$-ko-KR]yyyy-mm-dd(ddd) ") &amp; "오후 21:00"</f>
        <v>2023-01-24(화) 오후 21:00</v>
      </c>
      <c r="K69" s="171"/>
      <c r="L69" s="172"/>
      <c r="M69" s="170" t="str">
        <f>TEXT($G$1+1, "[$-ko-KR]yyyy-mm-dd(ddd) ") &amp; "오전 00:00"</f>
        <v>2023-01-25(수)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319</v>
      </c>
      <c r="B71" s="108">
        <v>754</v>
      </c>
      <c r="C71" s="69">
        <v>0.1968253968</v>
      </c>
      <c r="D71" s="13">
        <v>730</v>
      </c>
      <c r="E71" s="14">
        <f>IF(ISNUMBER(D71), (D71 - $B71) / $B71, "")</f>
        <v>-3.1830238726790451E-2</v>
      </c>
      <c r="F71" s="16">
        <f>IF(ISNUMBER(D71), $B91 * E71, "")</f>
        <v>-4774.5358090185673</v>
      </c>
      <c r="G71" s="29">
        <v>724</v>
      </c>
      <c r="H71" s="14">
        <f>IF(ISNUMBER(G71), (G71 - $B71) / $B71, "")</f>
        <v>-3.9787798408488062E-2</v>
      </c>
      <c r="I71" s="90">
        <f>IF(ISNUMBER(G71), $B91 * H71, "")</f>
        <v>-5968.1697612732096</v>
      </c>
      <c r="J71" s="13">
        <v>719</v>
      </c>
      <c r="K71" s="14">
        <f>IF(ISNUMBER(J71), (J71 - $B71) / $B71, "")</f>
        <v>-4.6419098143236075E-2</v>
      </c>
      <c r="L71" s="16">
        <f>IF(ISNUMBER(J71), $B91 * K71, "")</f>
        <v>-6962.8647214854109</v>
      </c>
      <c r="M71" s="29">
        <v>714</v>
      </c>
      <c r="N71" s="14">
        <f>IF(ISNUMBER(M71), (M71 - $B71) / $B71, "")</f>
        <v>-5.3050397877984087E-2</v>
      </c>
      <c r="O71" s="16">
        <f>IF(ISNUMBER(M71), $B91 * N71, "")</f>
        <v>-7957.5596816976131</v>
      </c>
      <c r="Q71" s="156"/>
      <c r="R71" s="156"/>
      <c r="S71" s="156"/>
    </row>
    <row r="72" spans="1:19" ht="17.25" thickBot="1">
      <c r="A72" s="109" t="s">
        <v>341</v>
      </c>
      <c r="B72" s="110">
        <v>944</v>
      </c>
      <c r="C72" s="70">
        <v>0.1015169195</v>
      </c>
      <c r="D72" s="15">
        <v>947</v>
      </c>
      <c r="E72" s="32">
        <f t="shared" ref="E72:E75" si="30">IF(ISNUMBER(D72), (D72 - $B72) / $B72, "")</f>
        <v>3.1779661016949155E-3</v>
      </c>
      <c r="F72" s="18">
        <f>IF(ISNUMBER(D72), $B91 * E72, "")</f>
        <v>476.69491525423734</v>
      </c>
      <c r="G72" s="31">
        <v>930</v>
      </c>
      <c r="H72" s="32">
        <f t="shared" ref="H72:H75" si="31">IF(ISNUMBER(G72), (G72 - $B72) / $B72, "")</f>
        <v>-1.4830508474576272E-2</v>
      </c>
      <c r="I72" s="91">
        <f>IF(ISNUMBER(G72), $B91 * H72, "")</f>
        <v>-2224.5762711864409</v>
      </c>
      <c r="J72" s="15">
        <v>929</v>
      </c>
      <c r="K72" s="32">
        <f t="shared" ref="K72:K75" si="32">IF(ISNUMBER(J72), (J72 - $B72) / $B72, "")</f>
        <v>-1.5889830508474576E-2</v>
      </c>
      <c r="L72" s="18">
        <f>IF(ISNUMBER(J72), $B91 * K72, "")</f>
        <v>-2383.4745762711864</v>
      </c>
      <c r="M72" s="31">
        <v>922</v>
      </c>
      <c r="N72" s="32">
        <f t="shared" ref="N72:N75" si="33">IF(ISNUMBER(M72), (M72 - $B72) / $B72, "")</f>
        <v>-2.3305084745762712E-2</v>
      </c>
      <c r="O72" s="18">
        <f>IF(ISNUMBER(M72), $B91 * N72, "")</f>
        <v>-3495.7627118644068</v>
      </c>
      <c r="Q72" s="156"/>
      <c r="R72" s="156"/>
      <c r="S72" s="156"/>
    </row>
    <row r="73" spans="1:19" ht="17.25" thickBot="1">
      <c r="A73" s="109" t="s">
        <v>66</v>
      </c>
      <c r="B73" s="110">
        <v>891</v>
      </c>
      <c r="C73" s="70">
        <v>7.7388149899999994E-2</v>
      </c>
      <c r="D73" s="15">
        <v>859</v>
      </c>
      <c r="E73" s="32">
        <f t="shared" si="30"/>
        <v>-3.5914702581369251E-2</v>
      </c>
      <c r="F73" s="18">
        <f>IF(ISNUMBER(D73), $B91 * E73, "")</f>
        <v>-5387.2053872053875</v>
      </c>
      <c r="G73" s="31">
        <v>853</v>
      </c>
      <c r="H73" s="32">
        <f t="shared" si="31"/>
        <v>-4.2648709315375982E-2</v>
      </c>
      <c r="I73" s="91">
        <f>IF(ISNUMBER(G73), $B91 * H73, "")</f>
        <v>-6397.3063973063972</v>
      </c>
      <c r="J73" s="15">
        <v>855</v>
      </c>
      <c r="K73" s="32">
        <f t="shared" si="32"/>
        <v>-4.0404040404040407E-2</v>
      </c>
      <c r="L73" s="18">
        <f>IF(ISNUMBER(J73), $B91 * K73, "")</f>
        <v>-6060.606060606061</v>
      </c>
      <c r="M73" s="31">
        <v>855</v>
      </c>
      <c r="N73" s="32">
        <f t="shared" si="33"/>
        <v>-4.0404040404040407E-2</v>
      </c>
      <c r="O73" s="18">
        <f>IF(ISNUMBER(M73), $B91 * N73, "")</f>
        <v>-6060.606060606061</v>
      </c>
      <c r="Q73" s="146"/>
      <c r="R73" s="146"/>
      <c r="S73" s="146"/>
    </row>
    <row r="74" spans="1:19" ht="17.25" thickBot="1">
      <c r="A74" s="109" t="s">
        <v>89</v>
      </c>
      <c r="B74" s="110">
        <v>521</v>
      </c>
      <c r="C74" s="70">
        <v>3.9920159699999999E-2</v>
      </c>
      <c r="D74" s="15">
        <v>527</v>
      </c>
      <c r="E74" s="32">
        <f t="shared" si="30"/>
        <v>1.1516314779270634E-2</v>
      </c>
      <c r="F74" s="18">
        <f>IF(ISNUMBER(D74), $B91 * E74, "")</f>
        <v>1727.447216890595</v>
      </c>
      <c r="G74" s="31">
        <v>529</v>
      </c>
      <c r="H74" s="32">
        <f t="shared" si="31"/>
        <v>1.5355086372360844E-2</v>
      </c>
      <c r="I74" s="91">
        <f>IF(ISNUMBER(G74), $B91 * H74, "")</f>
        <v>2303.2629558541266</v>
      </c>
      <c r="J74" s="15">
        <v>526</v>
      </c>
      <c r="K74" s="32">
        <f t="shared" si="32"/>
        <v>9.5969289827255271E-3</v>
      </c>
      <c r="L74" s="18">
        <f>IF(ISNUMBER(J74), $B91 * K74, "")</f>
        <v>1439.5393474088291</v>
      </c>
      <c r="M74" s="31">
        <v>527</v>
      </c>
      <c r="N74" s="32">
        <f t="shared" si="33"/>
        <v>1.1516314779270634E-2</v>
      </c>
      <c r="O74" s="18">
        <f>IF(ISNUMBER(M74), $B91 * N74, "")</f>
        <v>1727.447216890595</v>
      </c>
      <c r="Q74" s="146"/>
      <c r="R74" s="146"/>
      <c r="S74" s="146"/>
    </row>
    <row r="75" spans="1:19" ht="17.25" thickBot="1">
      <c r="A75" s="111" t="s">
        <v>79</v>
      </c>
      <c r="B75" s="112">
        <v>316</v>
      </c>
      <c r="C75" s="71">
        <v>3.2679738600000001E-2</v>
      </c>
      <c r="D75" s="20">
        <v>329</v>
      </c>
      <c r="E75" s="21">
        <f t="shared" si="30"/>
        <v>4.1139240506329111E-2</v>
      </c>
      <c r="F75" s="22">
        <f>IF(ISNUMBER(D75), $B91 * E75, "")</f>
        <v>6170.8860759493664</v>
      </c>
      <c r="G75" s="30">
        <v>325</v>
      </c>
      <c r="H75" s="21">
        <f t="shared" si="31"/>
        <v>2.8481012658227847E-2</v>
      </c>
      <c r="I75" s="95">
        <f>IF(ISNUMBER(G75), $B91 * H75, "")</f>
        <v>4272.1518987341769</v>
      </c>
      <c r="J75" s="20">
        <v>325</v>
      </c>
      <c r="K75" s="21">
        <f t="shared" si="32"/>
        <v>2.8481012658227847E-2</v>
      </c>
      <c r="L75" s="22">
        <f>IF(ISNUMBER(J75), $B91 * K75, "")</f>
        <v>4272.1518987341769</v>
      </c>
      <c r="M75" s="30">
        <v>326</v>
      </c>
      <c r="N75" s="21">
        <f t="shared" si="33"/>
        <v>3.1645569620253167E-2</v>
      </c>
      <c r="O75" s="22">
        <f>IF(ISNUMBER(M75), $B91 * N75, "")</f>
        <v>4746.835443037975</v>
      </c>
      <c r="Q75" s="146"/>
      <c r="R75" s="146"/>
      <c r="S75" s="146"/>
    </row>
    <row r="76" spans="1:19" ht="17.25" thickBot="1">
      <c r="A76" s="109" t="s">
        <v>51</v>
      </c>
      <c r="B76" s="113">
        <v>116</v>
      </c>
      <c r="C76" s="73">
        <v>2.65486726E-2</v>
      </c>
      <c r="D76" s="96">
        <v>118</v>
      </c>
      <c r="E76" s="97">
        <f>IF(ISNUMBER(D76), (D76 - $B76) / $B76, "")</f>
        <v>1.7241379310344827E-2</v>
      </c>
      <c r="F76" s="98">
        <f>IF(ISNUMBER(D76), $B91 * E76, "")</f>
        <v>2586.2068965517242</v>
      </c>
      <c r="G76" s="99">
        <v>118</v>
      </c>
      <c r="H76" s="97">
        <f>IF(ISNUMBER(G76), (G76 - $B76) / $B76, "")</f>
        <v>1.7241379310344827E-2</v>
      </c>
      <c r="I76" s="100">
        <f>IF(ISNUMBER(G76), $B91 * H76, "")</f>
        <v>2586.2068965517242</v>
      </c>
      <c r="J76" s="96">
        <v>118</v>
      </c>
      <c r="K76" s="97">
        <f>IF(ISNUMBER(J76), (J76 - $B76) / $B76, "")</f>
        <v>1.7241379310344827E-2</v>
      </c>
      <c r="L76" s="98">
        <f>IF(ISNUMBER(J76), $B91 * K76, "")</f>
        <v>2586.2068965517242</v>
      </c>
      <c r="M76" s="99">
        <v>118</v>
      </c>
      <c r="N76" s="97">
        <f>IF(ISNUMBER(M76), (M76 - $B76) / $B76, "")</f>
        <v>1.7241379310344827E-2</v>
      </c>
      <c r="O76" s="98">
        <f>IF(ISNUMBER(M76), $B91 * N76, "")</f>
        <v>2586.2068965517242</v>
      </c>
      <c r="Q76" s="146"/>
      <c r="R76" s="146"/>
      <c r="S76" s="146"/>
    </row>
    <row r="77" spans="1:19" ht="17.25" thickBot="1">
      <c r="A77" s="109" t="s">
        <v>105</v>
      </c>
      <c r="B77" s="110">
        <v>252</v>
      </c>
      <c r="C77" s="70">
        <v>2.4390243900000001E-2</v>
      </c>
      <c r="D77" s="15">
        <v>335</v>
      </c>
      <c r="E77" s="32">
        <f t="shared" ref="E77:E80" si="34">IF(ISNUMBER(D77), (D77 - $B77) / $B77, "")</f>
        <v>0.32936507936507936</v>
      </c>
      <c r="F77" s="18">
        <f>IF(ISNUMBER(D77), $B91 * E77, "")</f>
        <v>49404.761904761901</v>
      </c>
      <c r="G77" s="31">
        <v>327</v>
      </c>
      <c r="H77" s="32">
        <f t="shared" ref="H77:H80" si="35">IF(ISNUMBER(G77), (G77 - $B77) / $B77, "")</f>
        <v>0.29761904761904762</v>
      </c>
      <c r="I77" s="91">
        <f>IF(ISNUMBER(G77), $B91 * H77, "")</f>
        <v>44642.857142857145</v>
      </c>
      <c r="J77" s="15">
        <v>330</v>
      </c>
      <c r="K77" s="32">
        <f t="shared" ref="K77:K80" si="36">IF(ISNUMBER(J77), (J77 - $B77) / $B77, "")</f>
        <v>0.30952380952380953</v>
      </c>
      <c r="L77" s="18">
        <f>IF(ISNUMBER(J77), $B91 * K77, "")</f>
        <v>46428.571428571428</v>
      </c>
      <c r="M77" s="31">
        <v>302</v>
      </c>
      <c r="N77" s="32">
        <f t="shared" ref="N77:N80" si="37">IF(ISNUMBER(M77), (M77 - $B77) / $B77, "")</f>
        <v>0.1984126984126984</v>
      </c>
      <c r="O77" s="18">
        <f>IF(ISNUMBER(M77), $B91 * N77, "")</f>
        <v>29761.90476190476</v>
      </c>
      <c r="Q77" s="146"/>
      <c r="R77" s="146"/>
      <c r="S77" s="146"/>
    </row>
    <row r="78" spans="1:19" ht="17.25" thickBot="1">
      <c r="A78" s="109" t="s">
        <v>332</v>
      </c>
      <c r="B78" s="110">
        <v>657</v>
      </c>
      <c r="C78" s="70">
        <v>2.3364486E-2</v>
      </c>
      <c r="D78" s="15">
        <v>672</v>
      </c>
      <c r="E78" s="32">
        <f t="shared" si="34"/>
        <v>2.2831050228310501E-2</v>
      </c>
      <c r="F78" s="18">
        <f>IF(ISNUMBER(D78), $B91 * E78, "")</f>
        <v>3424.6575342465753</v>
      </c>
      <c r="G78" s="31">
        <v>667</v>
      </c>
      <c r="H78" s="32">
        <f t="shared" si="35"/>
        <v>1.5220700152207001E-2</v>
      </c>
      <c r="I78" s="91">
        <f>IF(ISNUMBER(G78), $B91 * H78, "")</f>
        <v>2283.1050228310501</v>
      </c>
      <c r="J78" s="15">
        <v>663</v>
      </c>
      <c r="K78" s="32">
        <f t="shared" si="36"/>
        <v>9.1324200913242004E-3</v>
      </c>
      <c r="L78" s="18">
        <f>IF(ISNUMBER(J78), $B91 * K78, "")</f>
        <v>1369.8630136986301</v>
      </c>
      <c r="M78" s="31">
        <v>675</v>
      </c>
      <c r="N78" s="32">
        <f t="shared" si="37"/>
        <v>2.7397260273972601E-2</v>
      </c>
      <c r="O78" s="18">
        <f>IF(ISNUMBER(M78), $B91 * N78, "")</f>
        <v>4109.58904109589</v>
      </c>
      <c r="Q78" s="146"/>
      <c r="R78" s="146"/>
      <c r="S78" s="146"/>
    </row>
    <row r="79" spans="1:19" ht="17.25" thickBot="1">
      <c r="A79" s="109" t="s">
        <v>101</v>
      </c>
      <c r="B79" s="110">
        <v>254</v>
      </c>
      <c r="C79" s="70">
        <v>1.6E-2</v>
      </c>
      <c r="D79" s="15">
        <v>263</v>
      </c>
      <c r="E79" s="32">
        <f t="shared" si="34"/>
        <v>3.5433070866141732E-2</v>
      </c>
      <c r="F79" s="18">
        <f>IF(ISNUMBER(D79), $B91 * E79, "")</f>
        <v>5314.9606299212601</v>
      </c>
      <c r="G79" s="31">
        <v>265</v>
      </c>
      <c r="H79" s="32">
        <f t="shared" si="35"/>
        <v>4.3307086614173228E-2</v>
      </c>
      <c r="I79" s="91">
        <f>IF(ISNUMBER(G79), $B91 * H79, "")</f>
        <v>6496.0629921259842</v>
      </c>
      <c r="J79" s="15">
        <v>261</v>
      </c>
      <c r="K79" s="32">
        <f t="shared" si="36"/>
        <v>2.7559055118110236E-2</v>
      </c>
      <c r="L79" s="18">
        <f>IF(ISNUMBER(J79), $B91 * K79, "")</f>
        <v>4133.858267716535</v>
      </c>
      <c r="M79" s="31">
        <v>264</v>
      </c>
      <c r="N79" s="32">
        <f t="shared" si="37"/>
        <v>3.937007874015748E-2</v>
      </c>
      <c r="O79" s="18">
        <f>IF(ISNUMBER(M79), $B91 * N79, "")</f>
        <v>5905.5118110236217</v>
      </c>
      <c r="Q79" s="33"/>
      <c r="R79" s="33"/>
    </row>
    <row r="80" spans="1:19" ht="17.25" thickBot="1">
      <c r="A80" s="114" t="s">
        <v>326</v>
      </c>
      <c r="B80" s="115">
        <v>309</v>
      </c>
      <c r="C80" s="72">
        <v>6.5146580000000004E-3</v>
      </c>
      <c r="D80" s="24">
        <v>319</v>
      </c>
      <c r="E80" s="25">
        <f t="shared" si="34"/>
        <v>3.2362459546925564E-2</v>
      </c>
      <c r="F80" s="94">
        <f>IF(ISNUMBER(D80), $B91 * E80, "")</f>
        <v>4854.3689320388348</v>
      </c>
      <c r="G80" s="92">
        <v>315</v>
      </c>
      <c r="H80" s="25">
        <f t="shared" si="35"/>
        <v>1.9417475728155338E-2</v>
      </c>
      <c r="I80" s="93">
        <f>IF(ISNUMBER(G80), $B91 * H80, "")</f>
        <v>2912.6213592233007</v>
      </c>
      <c r="J80" s="24">
        <v>315</v>
      </c>
      <c r="K80" s="25">
        <f t="shared" si="36"/>
        <v>1.9417475728155338E-2</v>
      </c>
      <c r="L80" s="94">
        <f>IF(ISNUMBER(J80), $B91 * K80, "")</f>
        <v>2912.6213592233007</v>
      </c>
      <c r="M80" s="92">
        <v>314</v>
      </c>
      <c r="N80" s="25">
        <f t="shared" si="37"/>
        <v>1.6181229773462782E-2</v>
      </c>
      <c r="O80" s="94">
        <f>IF(ISNUMBER(M80), $B91 * N80, "")</f>
        <v>2427.1844660194174</v>
      </c>
      <c r="Q80" s="147"/>
      <c r="R80" s="148"/>
      <c r="S80" s="149"/>
    </row>
    <row r="81" spans="1:19">
      <c r="A81" s="107" t="s">
        <v>330</v>
      </c>
      <c r="B81" s="108">
        <v>347</v>
      </c>
      <c r="C81" s="69">
        <v>5.7971014E-3</v>
      </c>
      <c r="D81" s="13">
        <v>369</v>
      </c>
      <c r="E81" s="14">
        <f>IF(ISNUMBER(D81), (D81 - $B81) / $B81, "")</f>
        <v>6.3400576368876083E-2</v>
      </c>
      <c r="F81" s="16">
        <f>IF(ISNUMBER(D81), $B91 * E81, "")</f>
        <v>9510.0864553314132</v>
      </c>
      <c r="G81" s="29">
        <v>369</v>
      </c>
      <c r="H81" s="14">
        <f>IF(ISNUMBER(G81), (G81 - $B81) / $B81, "")</f>
        <v>6.3400576368876083E-2</v>
      </c>
      <c r="I81" s="90">
        <f>IF(ISNUMBER(G81), $B91 * H81, "")</f>
        <v>9510.0864553314132</v>
      </c>
      <c r="J81" s="13">
        <v>364</v>
      </c>
      <c r="K81" s="14">
        <f>IF(ISNUMBER(J81), (J81 - $B81) / $B81, "")</f>
        <v>4.8991354466858789E-2</v>
      </c>
      <c r="L81" s="16">
        <f>IF(ISNUMBER(J81), $B91 * K81, "")</f>
        <v>7348.703170028818</v>
      </c>
      <c r="M81" s="29">
        <v>371</v>
      </c>
      <c r="N81" s="14">
        <f>IF(ISNUMBER(M81), (M81 - $B81) / $B81, "")</f>
        <v>6.9164265129683003E-2</v>
      </c>
      <c r="O81" s="16">
        <f>IF(ISNUMBER(M81), $B91 * N81, "")</f>
        <v>10374.639769452451</v>
      </c>
      <c r="Q81" s="150"/>
      <c r="R81" s="151"/>
      <c r="S81" s="152"/>
    </row>
    <row r="82" spans="1:19" ht="17.25" thickBot="1">
      <c r="A82" s="109" t="s">
        <v>161</v>
      </c>
      <c r="B82" s="110">
        <v>350</v>
      </c>
      <c r="C82" s="70">
        <v>5.7471264000000001E-3</v>
      </c>
      <c r="D82" s="15">
        <v>372</v>
      </c>
      <c r="E82" s="32">
        <f t="shared" ref="E82:E85" si="38">IF(ISNUMBER(D82), (D82 - $B82) / $B82, "")</f>
        <v>6.2857142857142861E-2</v>
      </c>
      <c r="F82" s="18">
        <f>IF(ISNUMBER(D82), $B91 * E82, "")</f>
        <v>9428.5714285714294</v>
      </c>
      <c r="G82" s="31">
        <v>362</v>
      </c>
      <c r="H82" s="32">
        <f t="shared" ref="H82:H85" si="39">IF(ISNUMBER(G82), (G82 - $B82) / $B82, "")</f>
        <v>3.4285714285714287E-2</v>
      </c>
      <c r="I82" s="91">
        <f>IF(ISNUMBER(G82), $B91 * H82, "")</f>
        <v>5142.8571428571431</v>
      </c>
      <c r="J82" s="15">
        <v>362</v>
      </c>
      <c r="K82" s="32">
        <f t="shared" ref="K82:K85" si="40">IF(ISNUMBER(J82), (J82 - $B82) / $B82, "")</f>
        <v>3.4285714285714287E-2</v>
      </c>
      <c r="L82" s="18">
        <f>IF(ISNUMBER(J82), $B91 * K82, "")</f>
        <v>5142.8571428571431</v>
      </c>
      <c r="M82" s="31">
        <v>364</v>
      </c>
      <c r="N82" s="32">
        <f t="shared" ref="N82:N85" si="41">IF(ISNUMBER(M82), (M82 - $B82) / $B82, "")</f>
        <v>0.04</v>
      </c>
      <c r="O82" s="18">
        <f>IF(ISNUMBER(M82), $B91 * N82, "")</f>
        <v>6000</v>
      </c>
      <c r="Q82" s="153"/>
      <c r="R82" s="154"/>
      <c r="S82" s="155"/>
    </row>
    <row r="83" spans="1:19" ht="17.25" thickBot="1">
      <c r="A83" s="109" t="s">
        <v>187</v>
      </c>
      <c r="B83" s="110">
        <v>910</v>
      </c>
      <c r="C83" s="70">
        <v>4.4150109999999999E-3</v>
      </c>
      <c r="D83" s="15">
        <v>933</v>
      </c>
      <c r="E83" s="32">
        <f t="shared" si="38"/>
        <v>2.5274725274725275E-2</v>
      </c>
      <c r="F83" s="18">
        <f>IF(ISNUMBER(D83), $B91 * E83, "")</f>
        <v>3791.2087912087914</v>
      </c>
      <c r="G83" s="31">
        <v>916</v>
      </c>
      <c r="H83" s="32">
        <f t="shared" si="39"/>
        <v>6.5934065934065934E-3</v>
      </c>
      <c r="I83" s="91">
        <f>IF(ISNUMBER(G83), $B91 * H83, "")</f>
        <v>989.01098901098896</v>
      </c>
      <c r="J83" s="15">
        <v>917</v>
      </c>
      <c r="K83" s="32">
        <f t="shared" si="40"/>
        <v>7.6923076923076927E-3</v>
      </c>
      <c r="L83" s="18">
        <f>IF(ISNUMBER(J83), $B91 * K83, "")</f>
        <v>1153.8461538461538</v>
      </c>
      <c r="M83" s="31">
        <v>923</v>
      </c>
      <c r="N83" s="32">
        <f t="shared" si="41"/>
        <v>1.4285714285714285E-2</v>
      </c>
      <c r="O83" s="18">
        <f>IF(ISNUMBER(M83), $B91 * N83, "")</f>
        <v>2142.8571428571427</v>
      </c>
      <c r="Q83" s="146"/>
      <c r="R83" s="146"/>
      <c r="S83" s="146"/>
    </row>
    <row r="84" spans="1:19" ht="17.25" thickBot="1">
      <c r="A84" s="109" t="s">
        <v>85</v>
      </c>
      <c r="B84" s="110">
        <v>170</v>
      </c>
      <c r="C84" s="70">
        <v>0</v>
      </c>
      <c r="D84" s="15">
        <v>184</v>
      </c>
      <c r="E84" s="32">
        <f t="shared" si="38"/>
        <v>8.2352941176470587E-2</v>
      </c>
      <c r="F84" s="18">
        <f>IF(ISNUMBER(D84), $B91 * E84, "")</f>
        <v>12352.941176470587</v>
      </c>
      <c r="G84" s="31">
        <v>185</v>
      </c>
      <c r="H84" s="32">
        <f t="shared" si="39"/>
        <v>8.8235294117647065E-2</v>
      </c>
      <c r="I84" s="91">
        <f>IF(ISNUMBER(G84), $B91 * H84, "")</f>
        <v>13235.294117647059</v>
      </c>
      <c r="J84" s="15">
        <v>184</v>
      </c>
      <c r="K84" s="32">
        <f t="shared" si="40"/>
        <v>8.2352941176470587E-2</v>
      </c>
      <c r="L84" s="18">
        <f>IF(ISNUMBER(J84), $B91 * K84, "")</f>
        <v>12352.941176470587</v>
      </c>
      <c r="M84" s="31">
        <v>181</v>
      </c>
      <c r="N84" s="32">
        <f t="shared" si="41"/>
        <v>6.4705882352941183E-2</v>
      </c>
      <c r="O84" s="18">
        <f>IF(ISNUMBER(M84), $B91 * N84, "")</f>
        <v>9705.8823529411766</v>
      </c>
      <c r="Q84" s="156"/>
      <c r="R84" s="156"/>
      <c r="S84" s="156"/>
    </row>
    <row r="85" spans="1:19" ht="17.25" thickBot="1">
      <c r="A85" s="111" t="s">
        <v>103</v>
      </c>
      <c r="B85" s="112">
        <v>284</v>
      </c>
      <c r="C85" s="71">
        <v>0</v>
      </c>
      <c r="D85" s="20">
        <v>300</v>
      </c>
      <c r="E85" s="21">
        <f t="shared" si="38"/>
        <v>5.6338028169014086E-2</v>
      </c>
      <c r="F85" s="22">
        <f>IF(ISNUMBER(D85), $B91 * E85, "")</f>
        <v>8450.7042253521122</v>
      </c>
      <c r="G85" s="30">
        <v>295</v>
      </c>
      <c r="H85" s="21">
        <f t="shared" si="39"/>
        <v>3.873239436619718E-2</v>
      </c>
      <c r="I85" s="95">
        <f>IF(ISNUMBER(G85), $B91 * H85, "")</f>
        <v>5809.859154929577</v>
      </c>
      <c r="J85" s="20">
        <v>293</v>
      </c>
      <c r="K85" s="21">
        <f t="shared" si="40"/>
        <v>3.1690140845070422E-2</v>
      </c>
      <c r="L85" s="22">
        <f>IF(ISNUMBER(J85), $B91 * K85, "")</f>
        <v>4753.5211267605637</v>
      </c>
      <c r="M85" s="30">
        <v>294</v>
      </c>
      <c r="N85" s="21">
        <f t="shared" si="41"/>
        <v>3.5211267605633804E-2</v>
      </c>
      <c r="O85" s="22">
        <f>IF(ISNUMBER(M85), $B91 * N85, "")</f>
        <v>5281.6901408450703</v>
      </c>
      <c r="Q85" s="156"/>
      <c r="R85" s="156"/>
      <c r="S85" s="156"/>
    </row>
    <row r="86" spans="1:19" ht="17.25" thickBot="1">
      <c r="A86" s="109" t="s">
        <v>229</v>
      </c>
      <c r="B86" s="113">
        <v>287</v>
      </c>
      <c r="C86" s="73">
        <v>-3.4722222000000001E-3</v>
      </c>
      <c r="D86" s="96">
        <v>301</v>
      </c>
      <c r="E86" s="97">
        <f>IF(ISNUMBER(D86), (D86 - $B86) / $B86, "")</f>
        <v>4.878048780487805E-2</v>
      </c>
      <c r="F86" s="98">
        <f>IF(ISNUMBER(D86), $B91 * E86, "")</f>
        <v>7317.0731707317073</v>
      </c>
      <c r="G86" s="99">
        <v>295</v>
      </c>
      <c r="H86" s="97">
        <f>IF(ISNUMBER(G86), (G86 - $B86) / $B86, "")</f>
        <v>2.7874564459930314E-2</v>
      </c>
      <c r="I86" s="100">
        <f>IF(ISNUMBER(G86), $B91 * H86, "")</f>
        <v>4181.1846689895474</v>
      </c>
      <c r="J86" s="96">
        <v>298</v>
      </c>
      <c r="K86" s="97">
        <f>IF(ISNUMBER(J86), (J86 - $B86) / $B86, "")</f>
        <v>3.8327526132404179E-2</v>
      </c>
      <c r="L86" s="98">
        <f>IF(ISNUMBER(J86), $B91 * K86, "")</f>
        <v>5749.1289198606264</v>
      </c>
      <c r="M86" s="99">
        <v>300</v>
      </c>
      <c r="N86" s="97">
        <f>IF(ISNUMBER(M86), (M86 - $B86) / $B86, "")</f>
        <v>4.5296167247386762E-2</v>
      </c>
      <c r="O86" s="98">
        <f>IF(ISNUMBER(M86), $B91 * N86, "")</f>
        <v>6794.4250871080139</v>
      </c>
      <c r="Q86" s="146"/>
      <c r="R86" s="146"/>
      <c r="S86" s="146"/>
    </row>
    <row r="87" spans="1:19" ht="17.25" thickBot="1">
      <c r="A87" s="109" t="s">
        <v>169</v>
      </c>
      <c r="B87" s="110">
        <v>279</v>
      </c>
      <c r="C87" s="70">
        <v>-7.1174376999999997E-3</v>
      </c>
      <c r="D87" s="15">
        <v>298</v>
      </c>
      <c r="E87" s="32">
        <f t="shared" ref="E87:E90" si="42">IF(ISNUMBER(D87), (D87 - $B87) / $B87, "")</f>
        <v>6.8100358422939072E-2</v>
      </c>
      <c r="F87" s="18">
        <f>IF(ISNUMBER(D87), $B91 * E87, "")</f>
        <v>10215.053763440861</v>
      </c>
      <c r="G87" s="31">
        <v>294</v>
      </c>
      <c r="H87" s="32">
        <f t="shared" ref="H87:H90" si="43">IF(ISNUMBER(G87), (G87 - $B87) / $B87, "")</f>
        <v>5.3763440860215055E-2</v>
      </c>
      <c r="I87" s="91">
        <f>IF(ISNUMBER(G87), $B91 * H87, "")</f>
        <v>8064.5161290322585</v>
      </c>
      <c r="J87" s="15">
        <v>293</v>
      </c>
      <c r="K87" s="32">
        <f t="shared" ref="K87:K90" si="44">IF(ISNUMBER(J87), (J87 - $B87) / $B87, "")</f>
        <v>5.0179211469534052E-2</v>
      </c>
      <c r="L87" s="18">
        <f>IF(ISNUMBER(J87), $B91 * K87, "")</f>
        <v>7526.8817204301076</v>
      </c>
      <c r="M87" s="31">
        <v>293</v>
      </c>
      <c r="N87" s="32">
        <f t="shared" ref="N87:N90" si="45">IF(ISNUMBER(M87), (M87 - $B87) / $B87, "")</f>
        <v>5.0179211469534052E-2</v>
      </c>
      <c r="O87" s="18">
        <f>IF(ISNUMBER(M87), $B91 * N87, "")</f>
        <v>7526.8817204301076</v>
      </c>
      <c r="Q87" s="146"/>
      <c r="R87" s="146"/>
      <c r="S87" s="146"/>
    </row>
    <row r="88" spans="1:19" ht="17.25" thickBot="1">
      <c r="A88" s="109" t="s">
        <v>205</v>
      </c>
      <c r="B88" s="110">
        <v>120</v>
      </c>
      <c r="C88" s="70">
        <v>-8.2644628000000005E-3</v>
      </c>
      <c r="D88" s="15">
        <v>136</v>
      </c>
      <c r="E88" s="32">
        <f t="shared" si="42"/>
        <v>0.13333333333333333</v>
      </c>
      <c r="F88" s="18">
        <f>IF(ISNUMBER(D88), $B91 * E88, "")</f>
        <v>20000</v>
      </c>
      <c r="G88" s="31">
        <v>127</v>
      </c>
      <c r="H88" s="32">
        <f t="shared" si="43"/>
        <v>5.8333333333333334E-2</v>
      </c>
      <c r="I88" s="91">
        <f>IF(ISNUMBER(G88), $B91 * H88, "")</f>
        <v>8750</v>
      </c>
      <c r="J88" s="15">
        <v>126</v>
      </c>
      <c r="K88" s="32">
        <f t="shared" si="44"/>
        <v>0.05</v>
      </c>
      <c r="L88" s="18">
        <f>IF(ISNUMBER(J88), $B91 * K88, "")</f>
        <v>7500</v>
      </c>
      <c r="M88" s="31">
        <v>127</v>
      </c>
      <c r="N88" s="32">
        <f t="shared" si="45"/>
        <v>5.8333333333333334E-2</v>
      </c>
      <c r="O88" s="18">
        <f>IF(ISNUMBER(M88), $B91 * N88, "")</f>
        <v>8750</v>
      </c>
      <c r="Q88" s="146"/>
      <c r="R88" s="146"/>
      <c r="S88" s="146"/>
    </row>
    <row r="89" spans="1:19">
      <c r="A89" s="109" t="s">
        <v>81</v>
      </c>
      <c r="B89" s="110">
        <v>467</v>
      </c>
      <c r="C89" s="70">
        <v>-8.4925690000000002E-3</v>
      </c>
      <c r="D89" s="15">
        <v>473</v>
      </c>
      <c r="E89" s="32">
        <f t="shared" si="42"/>
        <v>1.284796573875803E-2</v>
      </c>
      <c r="F89" s="18">
        <f>IF(ISNUMBER(D89), $B91 * E89, "")</f>
        <v>1927.1948608137045</v>
      </c>
      <c r="G89" s="31">
        <v>472</v>
      </c>
      <c r="H89" s="32">
        <f t="shared" si="43"/>
        <v>1.0706638115631691E-2</v>
      </c>
      <c r="I89" s="91">
        <f>IF(ISNUMBER(G89), $B91 * H89, "")</f>
        <v>1605.9957173447535</v>
      </c>
      <c r="J89" s="15">
        <v>471</v>
      </c>
      <c r="K89" s="32">
        <f t="shared" si="44"/>
        <v>8.5653104925053538E-3</v>
      </c>
      <c r="L89" s="18">
        <f>IF(ISNUMBER(J89), $B91 * K89, "")</f>
        <v>1284.796573875803</v>
      </c>
      <c r="M89" s="31">
        <v>468</v>
      </c>
      <c r="N89" s="32">
        <f t="shared" si="45"/>
        <v>2.1413276231263384E-3</v>
      </c>
      <c r="O89" s="18">
        <f>IF(ISNUMBER(M89), $B91 * N89, "")</f>
        <v>321.19914346895075</v>
      </c>
      <c r="Q89" s="135"/>
      <c r="R89" s="136"/>
      <c r="S89" s="137"/>
    </row>
    <row r="90" spans="1:19" ht="17.25" thickBot="1">
      <c r="A90" s="114" t="s">
        <v>157</v>
      </c>
      <c r="B90" s="115">
        <v>225</v>
      </c>
      <c r="C90" s="72">
        <v>-8.8105726999999998E-3</v>
      </c>
      <c r="D90" s="24">
        <v>229</v>
      </c>
      <c r="E90" s="25">
        <f t="shared" si="42"/>
        <v>1.7777777777777778E-2</v>
      </c>
      <c r="F90" s="94">
        <f>IF(ISNUMBER(D90), $B91 * E90, "")</f>
        <v>2666.6666666666665</v>
      </c>
      <c r="G90" s="92">
        <v>228</v>
      </c>
      <c r="H90" s="25">
        <f t="shared" si="43"/>
        <v>1.3333333333333334E-2</v>
      </c>
      <c r="I90" s="93">
        <f>IF(ISNUMBER(G90), $B91 * H90, "")</f>
        <v>2000.0000000000002</v>
      </c>
      <c r="J90" s="24">
        <v>228</v>
      </c>
      <c r="K90" s="25">
        <f t="shared" si="44"/>
        <v>1.3333333333333334E-2</v>
      </c>
      <c r="L90" s="94">
        <f>IF(ISNUMBER(J90), $B91 * K90, "")</f>
        <v>2000.0000000000002</v>
      </c>
      <c r="M90" s="92">
        <v>229</v>
      </c>
      <c r="N90" s="25">
        <f t="shared" si="45"/>
        <v>1.7777777777777778E-2</v>
      </c>
      <c r="O90" s="94">
        <f>IF(ISNUMBER(M90), $B91 * N90, "")</f>
        <v>2666.6666666666665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4.9819247815992604E-2</v>
      </c>
      <c r="F91" s="28">
        <f>SUM(F71:F90)</f>
        <v>149457.74344797779</v>
      </c>
      <c r="G91" s="26" t="s">
        <v>258</v>
      </c>
      <c r="H91" s="27">
        <f>IF(COUNT(H71:H90), SUM(H71:H90) / COUNT(H71:H90), 0)</f>
        <v>3.6731673404518057E-2</v>
      </c>
      <c r="I91" s="28">
        <f>SUM(I71:I90)</f>
        <v>110195.02021355421</v>
      </c>
      <c r="J91" s="26" t="s">
        <v>258</v>
      </c>
      <c r="K91" s="27">
        <f>IF(COUNT(K71:K90), SUM(K71:K90) / COUNT(K71:K90), 0)</f>
        <v>3.4182847612557257E-2</v>
      </c>
      <c r="L91" s="28">
        <f>SUM(L71:L90)</f>
        <v>102548.54283767178</v>
      </c>
      <c r="M91" s="26" t="s">
        <v>258</v>
      </c>
      <c r="N91" s="27">
        <f>IF(COUNT(N71:N90), SUM(N71:N90) / COUNT(N71:N90), 0)</f>
        <v>3.1104997735375162E-2</v>
      </c>
      <c r="O91" s="28">
        <f>SUM(O71:O90)</f>
        <v>93314.99320612548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2023-01-24(화) 오전 00:00</v>
      </c>
      <c r="C96" s="198"/>
      <c r="D96" s="170" t="str">
        <f>TEXT($G$1, "[$-ko-KR]yyyy-mm-dd(ddd) ") &amp; "오후 14:00"</f>
        <v>2023-01-24(화) 오후 14:00</v>
      </c>
      <c r="E96" s="171"/>
      <c r="F96" s="172"/>
      <c r="G96" s="170" t="str">
        <f>TEXT($G$1, "[$-ko-KR]yyyy-mm-dd(ddd) ") &amp; "오후 19:00"</f>
        <v>2023-01-24(화) 오후 19:00</v>
      </c>
      <c r="H96" s="171"/>
      <c r="I96" s="172"/>
      <c r="J96" s="170" t="str">
        <f>TEXT($G$1, "[$-ko-KR]yyyy-mm-dd(ddd) ") &amp; "오후 21:00"</f>
        <v>2023-01-24(화) 오후 21:00</v>
      </c>
      <c r="K96" s="171"/>
      <c r="L96" s="172"/>
      <c r="M96" s="170" t="str">
        <f>TEXT($G$1+1, "[$-ko-KR]yyyy-mm-dd(ddd) ") &amp; "오전 00:00"</f>
        <v>2023-01-25(수)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319</v>
      </c>
      <c r="B98" s="108">
        <v>754</v>
      </c>
      <c r="C98" s="69">
        <v>0.1968253968</v>
      </c>
      <c r="D98" s="13">
        <v>730</v>
      </c>
      <c r="E98" s="14">
        <f>IF(ISNUMBER(D98), (D98 - $B98) / $B98, "")</f>
        <v>-3.1830238726790451E-2</v>
      </c>
      <c r="F98" s="16">
        <f>IF(ISNUMBER(D98), $B118 * E98, "")</f>
        <v>-4774.5358090185673</v>
      </c>
      <c r="G98" s="29">
        <v>724</v>
      </c>
      <c r="H98" s="14">
        <f>IF(ISNUMBER(G98), (G98 - $B98) / $B98, "")</f>
        <v>-3.9787798408488062E-2</v>
      </c>
      <c r="I98" s="90">
        <f>IF(ISNUMBER(G98), $B118 * H98, "")</f>
        <v>-5968.1697612732096</v>
      </c>
      <c r="J98" s="13">
        <v>719</v>
      </c>
      <c r="K98" s="14">
        <f>IF(ISNUMBER(J98), (J98 - $B98) / $B98, "")</f>
        <v>-4.6419098143236075E-2</v>
      </c>
      <c r="L98" s="16">
        <f>IF(ISNUMBER(J98), $B118 * K98, "")</f>
        <v>-6962.8647214854109</v>
      </c>
      <c r="M98" s="29">
        <v>714</v>
      </c>
      <c r="N98" s="14">
        <f>IF(ISNUMBER(M98), (M98 - $B98) / $B98, "")</f>
        <v>-5.3050397877984087E-2</v>
      </c>
      <c r="O98" s="16">
        <f>IF(ISNUMBER(M98), $B118 * N98, "")</f>
        <v>-7957.5596816976131</v>
      </c>
      <c r="Q98" s="156"/>
      <c r="R98" s="156"/>
      <c r="S98" s="156"/>
    </row>
    <row r="99" spans="1:19" ht="17.25" thickBot="1">
      <c r="A99" s="109" t="s">
        <v>341</v>
      </c>
      <c r="B99" s="110">
        <v>944</v>
      </c>
      <c r="C99" s="70">
        <v>0.1015169195</v>
      </c>
      <c r="D99" s="15">
        <v>947</v>
      </c>
      <c r="E99" s="32">
        <f t="shared" ref="E99:E102" si="46">IF(ISNUMBER(D99), (D99 - $B99) / $B99, "")</f>
        <v>3.1779661016949155E-3</v>
      </c>
      <c r="F99" s="18">
        <f>IF(ISNUMBER(D99), $B118 * E99, "")</f>
        <v>476.69491525423734</v>
      </c>
      <c r="G99" s="31">
        <v>930</v>
      </c>
      <c r="H99" s="32">
        <f t="shared" ref="H99:H102" si="47">IF(ISNUMBER(G99), (G99 - $B99) / $B99, "")</f>
        <v>-1.4830508474576272E-2</v>
      </c>
      <c r="I99" s="91">
        <f>IF(ISNUMBER(G99), $B118 * H99, "")</f>
        <v>-2224.5762711864409</v>
      </c>
      <c r="J99" s="15">
        <v>929</v>
      </c>
      <c r="K99" s="32">
        <f t="shared" ref="K99:K102" si="48">IF(ISNUMBER(J99), (J99 - $B99) / $B99, "")</f>
        <v>-1.5889830508474576E-2</v>
      </c>
      <c r="L99" s="18">
        <f>IF(ISNUMBER(J99), $B118 * K99, "")</f>
        <v>-2383.4745762711864</v>
      </c>
      <c r="M99" s="31">
        <v>922</v>
      </c>
      <c r="N99" s="32">
        <f t="shared" ref="N99:N102" si="49">IF(ISNUMBER(M99), (M99 - $B99) / $B99, "")</f>
        <v>-2.3305084745762712E-2</v>
      </c>
      <c r="O99" s="18">
        <f>IF(ISNUMBER(M99), $B118 * N99, "")</f>
        <v>-3495.7627118644068</v>
      </c>
      <c r="Q99" s="156"/>
      <c r="R99" s="156"/>
      <c r="S99" s="156"/>
    </row>
    <row r="100" spans="1:19" ht="17.25" thickBot="1">
      <c r="A100" s="109" t="s">
        <v>66</v>
      </c>
      <c r="B100" s="110">
        <v>891</v>
      </c>
      <c r="C100" s="70">
        <v>7.7388149899999994E-2</v>
      </c>
      <c r="D100" s="15">
        <v>859</v>
      </c>
      <c r="E100" s="32">
        <f t="shared" si="46"/>
        <v>-3.5914702581369251E-2</v>
      </c>
      <c r="F100" s="18">
        <f>IF(ISNUMBER(D100), $B118 * E100, "")</f>
        <v>-5387.2053872053875</v>
      </c>
      <c r="G100" s="31">
        <v>853</v>
      </c>
      <c r="H100" s="32">
        <f t="shared" si="47"/>
        <v>-4.2648709315375982E-2</v>
      </c>
      <c r="I100" s="91">
        <f>IF(ISNUMBER(G100), $B118 * H100, "")</f>
        <v>-6397.3063973063972</v>
      </c>
      <c r="J100" s="15">
        <v>855</v>
      </c>
      <c r="K100" s="32">
        <f t="shared" si="48"/>
        <v>-4.0404040404040407E-2</v>
      </c>
      <c r="L100" s="18">
        <f>IF(ISNUMBER(J100), $B118 * K100, "")</f>
        <v>-6060.606060606061</v>
      </c>
      <c r="M100" s="31">
        <v>855</v>
      </c>
      <c r="N100" s="32">
        <f t="shared" si="49"/>
        <v>-4.0404040404040407E-2</v>
      </c>
      <c r="O100" s="18">
        <f>IF(ISNUMBER(M100), $B118 * N100, "")</f>
        <v>-6060.606060606061</v>
      </c>
      <c r="Q100" s="146"/>
      <c r="R100" s="146"/>
      <c r="S100" s="146"/>
    </row>
    <row r="101" spans="1:19" ht="17.25" thickBot="1">
      <c r="A101" s="109" t="s">
        <v>323</v>
      </c>
      <c r="B101" s="110">
        <v>4.0399999999999998E-2</v>
      </c>
      <c r="C101" s="70">
        <v>6.3157894699999995E-2</v>
      </c>
      <c r="D101" s="15">
        <v>4.1300000000000003E-2</v>
      </c>
      <c r="E101" s="32">
        <f t="shared" si="46"/>
        <v>2.2277227722772401E-2</v>
      </c>
      <c r="F101" s="18">
        <f>IF(ISNUMBER(D101), $B118 * E101, "")</f>
        <v>3341.5841584158602</v>
      </c>
      <c r="G101" s="31">
        <v>4.07E-2</v>
      </c>
      <c r="H101" s="32">
        <f t="shared" si="47"/>
        <v>7.425742574257467E-3</v>
      </c>
      <c r="I101" s="91">
        <f>IF(ISNUMBER(G101), $B118 * H101, "")</f>
        <v>1113.86138613862</v>
      </c>
      <c r="J101" s="15">
        <v>4.1000000000000002E-2</v>
      </c>
      <c r="K101" s="32">
        <f t="shared" si="48"/>
        <v>1.4851485148514934E-2</v>
      </c>
      <c r="L101" s="18">
        <f>IF(ISNUMBER(J101), $B118 * K101, "")</f>
        <v>2227.72277227724</v>
      </c>
      <c r="M101" s="31">
        <v>4.2000000000000003E-2</v>
      </c>
      <c r="N101" s="32">
        <f t="shared" si="49"/>
        <v>3.9603960396039709E-2</v>
      </c>
      <c r="O101" s="18">
        <f>IF(ISNUMBER(M101), $B118 * N101, "")</f>
        <v>5940.5940594059566</v>
      </c>
      <c r="Q101" s="146"/>
      <c r="R101" s="146"/>
      <c r="S101" s="146"/>
    </row>
    <row r="102" spans="1:19" ht="17.25" thickBot="1">
      <c r="A102" s="111" t="s">
        <v>335</v>
      </c>
      <c r="B102" s="112">
        <v>3175</v>
      </c>
      <c r="C102" s="71">
        <v>5.6572379399999997E-2</v>
      </c>
      <c r="D102" s="20">
        <v>3220</v>
      </c>
      <c r="E102" s="21">
        <f t="shared" si="46"/>
        <v>1.4173228346456693E-2</v>
      </c>
      <c r="F102" s="22">
        <f>IF(ISNUMBER(D102), $B118 * E102, "")</f>
        <v>2125.9842519685039</v>
      </c>
      <c r="G102" s="30">
        <v>3170</v>
      </c>
      <c r="H102" s="21">
        <f t="shared" si="47"/>
        <v>-1.5748031496062992E-3</v>
      </c>
      <c r="I102" s="95">
        <f>IF(ISNUMBER(G102), $B118 * H102, "")</f>
        <v>-236.22047244094489</v>
      </c>
      <c r="J102" s="20">
        <v>3150</v>
      </c>
      <c r="K102" s="21">
        <f t="shared" si="48"/>
        <v>-7.874015748031496E-3</v>
      </c>
      <c r="L102" s="22">
        <f>IF(ISNUMBER(J102), $B118 * K102, "")</f>
        <v>-1181.1023622047244</v>
      </c>
      <c r="M102" s="30">
        <v>3160</v>
      </c>
      <c r="N102" s="21">
        <f t="shared" si="49"/>
        <v>-4.7244094488188976E-3</v>
      </c>
      <c r="O102" s="22">
        <f>IF(ISNUMBER(M102), $B118 * N102, "")</f>
        <v>-708.66141732283461</v>
      </c>
      <c r="Q102" s="146"/>
      <c r="R102" s="146"/>
      <c r="S102" s="146"/>
    </row>
    <row r="103" spans="1:19" ht="17.25" thickBot="1">
      <c r="A103" s="109" t="s">
        <v>89</v>
      </c>
      <c r="B103" s="113">
        <v>521</v>
      </c>
      <c r="C103" s="73">
        <v>3.9920159699999999E-2</v>
      </c>
      <c r="D103" s="96">
        <v>527</v>
      </c>
      <c r="E103" s="97">
        <f>IF(ISNUMBER(D103), (D103 - $B103) / $B103, "")</f>
        <v>1.1516314779270634E-2</v>
      </c>
      <c r="F103" s="98">
        <f>IF(ISNUMBER(D103), $B118 * E103, "")</f>
        <v>1727.447216890595</v>
      </c>
      <c r="G103" s="99">
        <v>529</v>
      </c>
      <c r="H103" s="97">
        <f>IF(ISNUMBER(G103), (G103 - $B103) / $B103, "")</f>
        <v>1.5355086372360844E-2</v>
      </c>
      <c r="I103" s="100">
        <f>IF(ISNUMBER(G103), $B118 * H103, "")</f>
        <v>2303.2629558541266</v>
      </c>
      <c r="J103" s="96">
        <v>526</v>
      </c>
      <c r="K103" s="97">
        <f>IF(ISNUMBER(J103), (J103 - $B103) / $B103, "")</f>
        <v>9.5969289827255271E-3</v>
      </c>
      <c r="L103" s="98">
        <f>IF(ISNUMBER(J103), $B118 * K103, "")</f>
        <v>1439.5393474088291</v>
      </c>
      <c r="M103" s="99">
        <v>527</v>
      </c>
      <c r="N103" s="97">
        <f>IF(ISNUMBER(M103), (M103 - $B103) / $B103, "")</f>
        <v>1.1516314779270634E-2</v>
      </c>
      <c r="O103" s="98">
        <f>IF(ISNUMBER(M103), $B118 * N103, "")</f>
        <v>1727.447216890595</v>
      </c>
      <c r="Q103" s="146"/>
      <c r="R103" s="146"/>
      <c r="S103" s="146"/>
    </row>
    <row r="104" spans="1:19" ht="17.25" thickBot="1">
      <c r="A104" s="109" t="s">
        <v>77</v>
      </c>
      <c r="B104" s="110">
        <v>166250</v>
      </c>
      <c r="C104" s="70">
        <v>3.4536403200000003E-2</v>
      </c>
      <c r="D104" s="15">
        <v>170900</v>
      </c>
      <c r="E104" s="32">
        <f t="shared" ref="E104:E107" si="50">IF(ISNUMBER(D104), (D104 - $B104) / $B104, "")</f>
        <v>2.7969924812030075E-2</v>
      </c>
      <c r="F104" s="18">
        <f>IF(ISNUMBER(D104), $B118 * E104, "")</f>
        <v>4195.4887218045114</v>
      </c>
      <c r="G104" s="31">
        <v>169150</v>
      </c>
      <c r="H104" s="32">
        <f t="shared" ref="H104:H107" si="51">IF(ISNUMBER(G104), (G104 - $B104) / $B104, "")</f>
        <v>1.744360902255639E-2</v>
      </c>
      <c r="I104" s="91">
        <f>IF(ISNUMBER(G104), $B118 * H104, "")</f>
        <v>2616.5413533834585</v>
      </c>
      <c r="J104" s="15">
        <v>166700</v>
      </c>
      <c r="K104" s="32">
        <f t="shared" ref="K104:K107" si="52">IF(ISNUMBER(J104), (J104 - $B104) / $B104, "")</f>
        <v>2.7067669172932329E-3</v>
      </c>
      <c r="L104" s="18">
        <f>IF(ISNUMBER(J104), $B118 * K104, "")</f>
        <v>406.01503759398491</v>
      </c>
      <c r="M104" s="31">
        <v>167250</v>
      </c>
      <c r="N104" s="32">
        <f t="shared" ref="N104:N107" si="53">IF(ISNUMBER(M104), (M104 - $B104) / $B104, "")</f>
        <v>6.0150375939849628E-3</v>
      </c>
      <c r="O104" s="18">
        <f>IF(ISNUMBER(M104), $B118 * N104, "")</f>
        <v>902.25563909774439</v>
      </c>
      <c r="Q104" s="146"/>
      <c r="R104" s="146"/>
      <c r="S104" s="146"/>
    </row>
    <row r="105" spans="1:19" ht="17.25" thickBot="1">
      <c r="A105" s="109" t="s">
        <v>79</v>
      </c>
      <c r="B105" s="110">
        <v>316</v>
      </c>
      <c r="C105" s="70">
        <v>3.2679738600000001E-2</v>
      </c>
      <c r="D105" s="15">
        <v>329</v>
      </c>
      <c r="E105" s="32">
        <f t="shared" si="50"/>
        <v>4.1139240506329111E-2</v>
      </c>
      <c r="F105" s="18">
        <f>IF(ISNUMBER(D105), $B118 * E105, "")</f>
        <v>6170.8860759493664</v>
      </c>
      <c r="G105" s="31">
        <v>325</v>
      </c>
      <c r="H105" s="32">
        <f t="shared" si="51"/>
        <v>2.8481012658227847E-2</v>
      </c>
      <c r="I105" s="91">
        <f>IF(ISNUMBER(G105), $B118 * H105, "")</f>
        <v>4272.1518987341769</v>
      </c>
      <c r="J105" s="15">
        <v>325</v>
      </c>
      <c r="K105" s="32">
        <f t="shared" si="52"/>
        <v>2.8481012658227847E-2</v>
      </c>
      <c r="L105" s="18">
        <f>IF(ISNUMBER(J105), $B118 * K105, "")</f>
        <v>4272.1518987341769</v>
      </c>
      <c r="M105" s="31">
        <v>326</v>
      </c>
      <c r="N105" s="32">
        <f t="shared" si="53"/>
        <v>3.1645569620253167E-2</v>
      </c>
      <c r="O105" s="18">
        <f>IF(ISNUMBER(M105), $B118 * N105, "")</f>
        <v>4746.835443037975</v>
      </c>
      <c r="Q105" s="146"/>
      <c r="R105" s="146"/>
      <c r="S105" s="146"/>
    </row>
    <row r="106" spans="1:19" ht="17.25" thickBot="1">
      <c r="A106" s="109" t="s">
        <v>51</v>
      </c>
      <c r="B106" s="110">
        <v>116</v>
      </c>
      <c r="C106" s="70">
        <v>2.65486726E-2</v>
      </c>
      <c r="D106" s="15">
        <v>118</v>
      </c>
      <c r="E106" s="32">
        <f t="shared" si="50"/>
        <v>1.7241379310344827E-2</v>
      </c>
      <c r="F106" s="18">
        <f>IF(ISNUMBER(D106), $B118 * E106, "")</f>
        <v>2586.2068965517242</v>
      </c>
      <c r="G106" s="31">
        <v>118</v>
      </c>
      <c r="H106" s="32">
        <f t="shared" si="51"/>
        <v>1.7241379310344827E-2</v>
      </c>
      <c r="I106" s="91">
        <f>IF(ISNUMBER(G106), $B118 * H106, "")</f>
        <v>2586.2068965517242</v>
      </c>
      <c r="J106" s="15">
        <v>118</v>
      </c>
      <c r="K106" s="32">
        <f t="shared" si="52"/>
        <v>1.7241379310344827E-2</v>
      </c>
      <c r="L106" s="18">
        <f>IF(ISNUMBER(J106), $B118 * K106, "")</f>
        <v>2586.2068965517242</v>
      </c>
      <c r="M106" s="31">
        <v>118</v>
      </c>
      <c r="N106" s="32">
        <f t="shared" si="53"/>
        <v>1.7241379310344827E-2</v>
      </c>
      <c r="O106" s="18">
        <f>IF(ISNUMBER(M106), $B118 * N106, "")</f>
        <v>2586.2068965517242</v>
      </c>
      <c r="Q106" s="33"/>
      <c r="R106" s="33"/>
    </row>
    <row r="107" spans="1:19" ht="17.25" thickBot="1">
      <c r="A107" s="114" t="s">
        <v>105</v>
      </c>
      <c r="B107" s="115">
        <v>252</v>
      </c>
      <c r="C107" s="72">
        <v>2.4390243900000001E-2</v>
      </c>
      <c r="D107" s="24">
        <v>335</v>
      </c>
      <c r="E107" s="25">
        <f t="shared" si="50"/>
        <v>0.32936507936507936</v>
      </c>
      <c r="F107" s="94">
        <f>IF(ISNUMBER(D107), $B118 * E107, "")</f>
        <v>49404.761904761901</v>
      </c>
      <c r="G107" s="92">
        <v>327</v>
      </c>
      <c r="H107" s="25">
        <f t="shared" si="51"/>
        <v>0.29761904761904762</v>
      </c>
      <c r="I107" s="93">
        <f>IF(ISNUMBER(G107), $B118 * H107, "")</f>
        <v>44642.857142857145</v>
      </c>
      <c r="J107" s="24">
        <v>330</v>
      </c>
      <c r="K107" s="25">
        <f t="shared" si="52"/>
        <v>0.30952380952380953</v>
      </c>
      <c r="L107" s="94">
        <f>IF(ISNUMBER(J107), $B118 * K107, "")</f>
        <v>46428.571428571428</v>
      </c>
      <c r="M107" s="92">
        <v>302</v>
      </c>
      <c r="N107" s="25">
        <f t="shared" si="53"/>
        <v>0.1984126984126984</v>
      </c>
      <c r="O107" s="94">
        <f>IF(ISNUMBER(M107), $B118 * N107, "")</f>
        <v>29761.90476190476</v>
      </c>
      <c r="Q107" s="147"/>
      <c r="R107" s="148"/>
      <c r="S107" s="149"/>
    </row>
    <row r="108" spans="1:19">
      <c r="A108" s="107" t="s">
        <v>332</v>
      </c>
      <c r="B108" s="108">
        <v>657</v>
      </c>
      <c r="C108" s="69">
        <v>2.3364486E-2</v>
      </c>
      <c r="D108" s="13">
        <v>672</v>
      </c>
      <c r="E108" s="14">
        <f>IF(ISNUMBER(D108), (D108 - $B108) / $B108, "")</f>
        <v>2.2831050228310501E-2</v>
      </c>
      <c r="F108" s="16">
        <f>IF(ISNUMBER(D108), $B118 * E108, "")</f>
        <v>3424.6575342465753</v>
      </c>
      <c r="G108" s="29">
        <v>667</v>
      </c>
      <c r="H108" s="14">
        <f>IF(ISNUMBER(G108), (G108 - $B108) / $B108, "")</f>
        <v>1.5220700152207001E-2</v>
      </c>
      <c r="I108" s="90">
        <f>IF(ISNUMBER(G108), $B118 * H108, "")</f>
        <v>2283.1050228310501</v>
      </c>
      <c r="J108" s="13">
        <v>663</v>
      </c>
      <c r="K108" s="14">
        <f>IF(ISNUMBER(J108), (J108 - $B108) / $B108, "")</f>
        <v>9.1324200913242004E-3</v>
      </c>
      <c r="L108" s="16">
        <f>IF(ISNUMBER(J108), $B118 * K108, "")</f>
        <v>1369.8630136986301</v>
      </c>
      <c r="M108" s="29">
        <v>675</v>
      </c>
      <c r="N108" s="14">
        <f>IF(ISNUMBER(M108), (M108 - $B108) / $B108, "")</f>
        <v>2.7397260273972601E-2</v>
      </c>
      <c r="O108" s="16">
        <f>IF(ISNUMBER(M108), $B118 * N108, "")</f>
        <v>4109.58904109589</v>
      </c>
      <c r="Q108" s="150"/>
      <c r="R108" s="151"/>
      <c r="S108" s="152"/>
    </row>
    <row r="109" spans="1:19" ht="17.25" thickBot="1">
      <c r="A109" s="109" t="s">
        <v>128</v>
      </c>
      <c r="B109" s="110">
        <v>7945</v>
      </c>
      <c r="C109" s="70">
        <v>2.2522522499999999E-2</v>
      </c>
      <c r="D109" s="15">
        <v>8280</v>
      </c>
      <c r="E109" s="32">
        <f t="shared" ref="E109:E112" si="54">IF(ISNUMBER(D109), (D109 - $B109) / $B109, "")</f>
        <v>4.2164883574575207E-2</v>
      </c>
      <c r="F109" s="18">
        <f>IF(ISNUMBER(D109), $B118 * E109, "")</f>
        <v>6324.7325361862813</v>
      </c>
      <c r="G109" s="31">
        <v>8180</v>
      </c>
      <c r="H109" s="32">
        <f t="shared" ref="H109:H112" si="55">IF(ISNUMBER(G109), (G109 - $B109) / $B109, "")</f>
        <v>2.9578351164254248E-2</v>
      </c>
      <c r="I109" s="91">
        <f>IF(ISNUMBER(G109), $B118 * H109, "")</f>
        <v>4436.7526746381373</v>
      </c>
      <c r="J109" s="15">
        <v>8115</v>
      </c>
      <c r="K109" s="32">
        <f t="shared" ref="K109:K112" si="56">IF(ISNUMBER(J109), (J109 - $B109) / $B109, "")</f>
        <v>2.1397105097545627E-2</v>
      </c>
      <c r="L109" s="18">
        <f>IF(ISNUMBER(J109), $B118 * K109, "")</f>
        <v>3209.5657646318441</v>
      </c>
      <c r="M109" s="31">
        <v>8080</v>
      </c>
      <c r="N109" s="32">
        <f t="shared" ref="N109:N112" si="57">IF(ISNUMBER(M109), (M109 - $B109) / $B109, "")</f>
        <v>1.6991818753933293E-2</v>
      </c>
      <c r="O109" s="18">
        <f>IF(ISNUMBER(M109), $B118 * N109, "")</f>
        <v>2548.7728130899941</v>
      </c>
      <c r="Q109" s="153"/>
      <c r="R109" s="154"/>
      <c r="S109" s="155"/>
    </row>
    <row r="110" spans="1:19" ht="17.25" thickBot="1">
      <c r="A110" s="109" t="s">
        <v>151</v>
      </c>
      <c r="B110" s="110">
        <v>2985</v>
      </c>
      <c r="C110" s="70">
        <v>2.0512820500000001E-2</v>
      </c>
      <c r="D110" s="15">
        <v>3045</v>
      </c>
      <c r="E110" s="32">
        <f t="shared" si="54"/>
        <v>2.0100502512562814E-2</v>
      </c>
      <c r="F110" s="18">
        <f>IF(ISNUMBER(D110), $B118 * E110, "")</f>
        <v>3015.075376884422</v>
      </c>
      <c r="G110" s="31">
        <v>3025</v>
      </c>
      <c r="H110" s="32">
        <f t="shared" si="55"/>
        <v>1.340033500837521E-2</v>
      </c>
      <c r="I110" s="91">
        <f>IF(ISNUMBER(G110), $B118 * H110, "")</f>
        <v>2010.0502512562814</v>
      </c>
      <c r="J110" s="15">
        <v>3040</v>
      </c>
      <c r="K110" s="32">
        <f t="shared" si="56"/>
        <v>1.8425460636515914E-2</v>
      </c>
      <c r="L110" s="18">
        <f>IF(ISNUMBER(J110), $B118 * K110, "")</f>
        <v>2763.8190954773872</v>
      </c>
      <c r="M110" s="31">
        <v>3080</v>
      </c>
      <c r="N110" s="32">
        <f t="shared" si="57"/>
        <v>3.1825795644891124E-2</v>
      </c>
      <c r="O110" s="18">
        <f>IF(ISNUMBER(M110), $B118 * N110, "")</f>
        <v>4773.8693467336689</v>
      </c>
      <c r="Q110" s="146"/>
      <c r="R110" s="146"/>
      <c r="S110" s="146"/>
    </row>
    <row r="111" spans="1:19" ht="17.25" thickBot="1">
      <c r="A111" s="109" t="s">
        <v>101</v>
      </c>
      <c r="B111" s="110">
        <v>254</v>
      </c>
      <c r="C111" s="70">
        <v>1.6E-2</v>
      </c>
      <c r="D111" s="15">
        <v>263</v>
      </c>
      <c r="E111" s="32">
        <f t="shared" si="54"/>
        <v>3.5433070866141732E-2</v>
      </c>
      <c r="F111" s="18">
        <f>IF(ISNUMBER(D111), $B118 * E111, "")</f>
        <v>5314.9606299212601</v>
      </c>
      <c r="G111" s="31">
        <v>265</v>
      </c>
      <c r="H111" s="32">
        <f t="shared" si="55"/>
        <v>4.3307086614173228E-2</v>
      </c>
      <c r="I111" s="91">
        <f>IF(ISNUMBER(G111), $B118 * H111, "")</f>
        <v>6496.0629921259842</v>
      </c>
      <c r="J111" s="15">
        <v>261</v>
      </c>
      <c r="K111" s="32">
        <f t="shared" si="56"/>
        <v>2.7559055118110236E-2</v>
      </c>
      <c r="L111" s="18">
        <f>IF(ISNUMBER(J111), $B118 * K111, "")</f>
        <v>4133.858267716535</v>
      </c>
      <c r="M111" s="31">
        <v>264</v>
      </c>
      <c r="N111" s="32">
        <f t="shared" si="57"/>
        <v>3.937007874015748E-2</v>
      </c>
      <c r="O111" s="18">
        <f>IF(ISNUMBER(M111), $B118 * N111, "")</f>
        <v>5905.5118110236217</v>
      </c>
      <c r="Q111" s="156"/>
      <c r="R111" s="156"/>
      <c r="S111" s="156"/>
    </row>
    <row r="112" spans="1:19" ht="17.25" thickBot="1">
      <c r="A112" s="111" t="s">
        <v>326</v>
      </c>
      <c r="B112" s="112">
        <v>309</v>
      </c>
      <c r="C112" s="71">
        <v>6.5146580000000004E-3</v>
      </c>
      <c r="D112" s="20">
        <v>319</v>
      </c>
      <c r="E112" s="21">
        <f t="shared" si="54"/>
        <v>3.2362459546925564E-2</v>
      </c>
      <c r="F112" s="22">
        <f>IF(ISNUMBER(D112), $B118 * E112, "")</f>
        <v>4854.3689320388348</v>
      </c>
      <c r="G112" s="30">
        <v>315</v>
      </c>
      <c r="H112" s="21">
        <f t="shared" si="55"/>
        <v>1.9417475728155338E-2</v>
      </c>
      <c r="I112" s="95">
        <f>IF(ISNUMBER(G112), $B118 * H112, "")</f>
        <v>2912.6213592233007</v>
      </c>
      <c r="J112" s="20">
        <v>315</v>
      </c>
      <c r="K112" s="21">
        <f t="shared" si="56"/>
        <v>1.9417475728155338E-2</v>
      </c>
      <c r="L112" s="22">
        <f>IF(ISNUMBER(J112), $B118 * K112, "")</f>
        <v>2912.6213592233007</v>
      </c>
      <c r="M112" s="30">
        <v>314</v>
      </c>
      <c r="N112" s="21">
        <f t="shared" si="57"/>
        <v>1.6181229773462782E-2</v>
      </c>
      <c r="O112" s="22">
        <f>IF(ISNUMBER(M112), $B118 * N112, "")</f>
        <v>2427.1844660194174</v>
      </c>
      <c r="Q112" s="156"/>
      <c r="R112" s="156"/>
      <c r="S112" s="156"/>
    </row>
    <row r="113" spans="1:19" ht="17.25" thickBot="1">
      <c r="A113" s="109" t="s">
        <v>330</v>
      </c>
      <c r="B113" s="113">
        <v>347</v>
      </c>
      <c r="C113" s="73">
        <v>5.7971014E-3</v>
      </c>
      <c r="D113" s="96">
        <v>369</v>
      </c>
      <c r="E113" s="97">
        <f>IF(ISNUMBER(D113), (D113 - $B113) / $B113, "")</f>
        <v>6.3400576368876083E-2</v>
      </c>
      <c r="F113" s="98">
        <f>IF(ISNUMBER(D113), $B118 * E113, "")</f>
        <v>9510.0864553314132</v>
      </c>
      <c r="G113" s="99">
        <v>369</v>
      </c>
      <c r="H113" s="97">
        <f>IF(ISNUMBER(G113), (G113 - $B113) / $B113, "")</f>
        <v>6.3400576368876083E-2</v>
      </c>
      <c r="I113" s="100">
        <f>IF(ISNUMBER(G113), $B118 * H113, "")</f>
        <v>9510.0864553314132</v>
      </c>
      <c r="J113" s="96">
        <v>364</v>
      </c>
      <c r="K113" s="97">
        <f>IF(ISNUMBER(J113), (J113 - $B113) / $B113, "")</f>
        <v>4.8991354466858789E-2</v>
      </c>
      <c r="L113" s="98">
        <f>IF(ISNUMBER(J113), $B118 * K113, "")</f>
        <v>7348.703170028818</v>
      </c>
      <c r="M113" s="99">
        <v>371</v>
      </c>
      <c r="N113" s="97">
        <f>IF(ISNUMBER(M113), (M113 - $B113) / $B113, "")</f>
        <v>6.9164265129683003E-2</v>
      </c>
      <c r="O113" s="98">
        <f>IF(ISNUMBER(M113), $B118 * N113, "")</f>
        <v>10374.639769452451</v>
      </c>
      <c r="Q113" s="146"/>
      <c r="R113" s="146"/>
      <c r="S113" s="146"/>
    </row>
    <row r="114" spans="1:19" ht="17.25" thickBot="1">
      <c r="A114" s="109" t="s">
        <v>161</v>
      </c>
      <c r="B114" s="110">
        <v>350</v>
      </c>
      <c r="C114" s="70">
        <v>5.7471264000000001E-3</v>
      </c>
      <c r="D114" s="15">
        <v>372</v>
      </c>
      <c r="E114" s="32">
        <f t="shared" ref="E114:E117" si="58">IF(ISNUMBER(D114), (D114 - $B114) / $B114, "")</f>
        <v>6.2857142857142861E-2</v>
      </c>
      <c r="F114" s="18">
        <f>IF(ISNUMBER(D114), $B118 * E114, "")</f>
        <v>9428.5714285714294</v>
      </c>
      <c r="G114" s="31">
        <v>362</v>
      </c>
      <c r="H114" s="32">
        <f t="shared" ref="H114:H117" si="59">IF(ISNUMBER(G114), (G114 - $B114) / $B114, "")</f>
        <v>3.4285714285714287E-2</v>
      </c>
      <c r="I114" s="91">
        <f>IF(ISNUMBER(G114), $B118 * H114, "")</f>
        <v>5142.8571428571431</v>
      </c>
      <c r="J114" s="15">
        <v>362</v>
      </c>
      <c r="K114" s="32">
        <f t="shared" ref="K114:K117" si="60">IF(ISNUMBER(J114), (J114 - $B114) / $B114, "")</f>
        <v>3.4285714285714287E-2</v>
      </c>
      <c r="L114" s="18">
        <f>IF(ISNUMBER(J114), $B118 * K114, "")</f>
        <v>5142.8571428571431</v>
      </c>
      <c r="M114" s="31">
        <v>364</v>
      </c>
      <c r="N114" s="32">
        <f t="shared" ref="N114:N117" si="61">IF(ISNUMBER(M114), (M114 - $B114) / $B114, "")</f>
        <v>0.04</v>
      </c>
      <c r="O114" s="18">
        <f>IF(ISNUMBER(M114), $B118 * N114, "")</f>
        <v>6000</v>
      </c>
      <c r="Q114" s="146"/>
      <c r="R114" s="146"/>
      <c r="S114" s="146"/>
    </row>
    <row r="115" spans="1:19" ht="17.25" thickBot="1">
      <c r="A115" s="109" t="s">
        <v>187</v>
      </c>
      <c r="B115" s="110">
        <v>910</v>
      </c>
      <c r="C115" s="70">
        <v>4.4150109999999999E-3</v>
      </c>
      <c r="D115" s="15">
        <v>933</v>
      </c>
      <c r="E115" s="32">
        <f t="shared" si="58"/>
        <v>2.5274725274725275E-2</v>
      </c>
      <c r="F115" s="18">
        <f>IF(ISNUMBER(D115), $B118 * E115, "")</f>
        <v>3791.2087912087914</v>
      </c>
      <c r="G115" s="31">
        <v>916</v>
      </c>
      <c r="H115" s="32">
        <f t="shared" si="59"/>
        <v>6.5934065934065934E-3</v>
      </c>
      <c r="I115" s="91">
        <f>IF(ISNUMBER(G115), $B118 * H115, "")</f>
        <v>989.01098901098896</v>
      </c>
      <c r="J115" s="15">
        <v>917</v>
      </c>
      <c r="K115" s="32">
        <f t="shared" si="60"/>
        <v>7.6923076923076927E-3</v>
      </c>
      <c r="L115" s="18">
        <f>IF(ISNUMBER(J115), $B118 * K115, "")</f>
        <v>1153.8461538461538</v>
      </c>
      <c r="M115" s="31">
        <v>923</v>
      </c>
      <c r="N115" s="32">
        <f t="shared" si="61"/>
        <v>1.4285714285714285E-2</v>
      </c>
      <c r="O115" s="18">
        <f>IF(ISNUMBER(M115), $B118 * N115, "")</f>
        <v>2142.8571428571427</v>
      </c>
      <c r="Q115" s="146"/>
      <c r="R115" s="146"/>
      <c r="S115" s="146"/>
    </row>
    <row r="116" spans="1:19">
      <c r="A116" s="109" t="s">
        <v>56</v>
      </c>
      <c r="B116" s="110">
        <v>46.3</v>
      </c>
      <c r="C116" s="70">
        <v>4.3383948E-3</v>
      </c>
      <c r="D116" s="15">
        <v>48.1</v>
      </c>
      <c r="E116" s="32">
        <f t="shared" si="58"/>
        <v>3.8876889848812192E-2</v>
      </c>
      <c r="F116" s="18">
        <f>IF(ISNUMBER(D116), $B118 * E116, "")</f>
        <v>5831.5334773218292</v>
      </c>
      <c r="G116" s="31">
        <v>47.8</v>
      </c>
      <c r="H116" s="32">
        <f t="shared" si="59"/>
        <v>3.2397408207343416E-2</v>
      </c>
      <c r="I116" s="91">
        <f>IF(ISNUMBER(G116), $B118 * H116, "")</f>
        <v>4859.6112311015122</v>
      </c>
      <c r="J116" s="15">
        <v>47.8</v>
      </c>
      <c r="K116" s="32">
        <f t="shared" si="60"/>
        <v>3.2397408207343416E-2</v>
      </c>
      <c r="L116" s="18">
        <f>IF(ISNUMBER(J116), $B118 * K116, "")</f>
        <v>4859.6112311015122</v>
      </c>
      <c r="M116" s="31">
        <v>48.1</v>
      </c>
      <c r="N116" s="32">
        <f t="shared" si="61"/>
        <v>3.8876889848812192E-2</v>
      </c>
      <c r="O116" s="18">
        <f>IF(ISNUMBER(M116), $B118 * N116, "")</f>
        <v>5831.5334773218292</v>
      </c>
      <c r="Q116" s="135"/>
      <c r="R116" s="136"/>
      <c r="S116" s="137"/>
    </row>
    <row r="117" spans="1:19" ht="17.25" thickBot="1">
      <c r="A117" s="114" t="s">
        <v>126</v>
      </c>
      <c r="B117" s="115">
        <v>33.9</v>
      </c>
      <c r="C117" s="72">
        <v>2.9585799000000001E-3</v>
      </c>
      <c r="D117" s="24">
        <v>35.299999999999997</v>
      </c>
      <c r="E117" s="25">
        <f t="shared" si="58"/>
        <v>4.1297935103244796E-2</v>
      </c>
      <c r="F117" s="94">
        <f>IF(ISNUMBER(D117), $B118 * E117, "")</f>
        <v>6194.690265486719</v>
      </c>
      <c r="G117" s="92">
        <v>34.799999999999997</v>
      </c>
      <c r="H117" s="25">
        <f t="shared" si="59"/>
        <v>2.6548672566371639E-2</v>
      </c>
      <c r="I117" s="93">
        <f>IF(ISNUMBER(G117), $B118 * H117, "")</f>
        <v>3982.3008849557459</v>
      </c>
      <c r="J117" s="24">
        <v>35</v>
      </c>
      <c r="K117" s="25">
        <f t="shared" si="60"/>
        <v>3.2448377581120985E-2</v>
      </c>
      <c r="L117" s="94">
        <f>IF(ISNUMBER(J117), $B118 * K117, "")</f>
        <v>4867.2566371681478</v>
      </c>
      <c r="M117" s="92">
        <v>35.299999999999997</v>
      </c>
      <c r="N117" s="25">
        <f t="shared" si="61"/>
        <v>4.1297935103244796E-2</v>
      </c>
      <c r="O117" s="94">
        <f>IF(ISNUMBER(M117), $B118 * N117, "")</f>
        <v>6194.690265486719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3.9185732790856763E-2</v>
      </c>
      <c r="F118" s="28">
        <f>SUM(F98:F117)</f>
        <v>117557.1983725703</v>
      </c>
      <c r="G118" s="26" t="s">
        <v>258</v>
      </c>
      <c r="H118" s="27">
        <f>IF(COUNT(H98:H117), SUM(H98:H117) / COUNT(H98:H117), 0)</f>
        <v>2.8443689244881266E-2</v>
      </c>
      <c r="I118" s="28">
        <f>SUM(I98:I117)</f>
        <v>85331.067734643817</v>
      </c>
      <c r="J118" s="26" t="s">
        <v>258</v>
      </c>
      <c r="K118" s="27">
        <f>IF(COUNT(K98:K117), SUM(K98:K117) / COUNT(K98:K117), 0)</f>
        <v>2.6178053832106495E-2</v>
      </c>
      <c r="L118" s="28">
        <f>SUM(L98:L117)</f>
        <v>78534.161496319488</v>
      </c>
      <c r="M118" s="26" t="s">
        <v>258</v>
      </c>
      <c r="N118" s="27">
        <f>IF(COUNT(N98:N117), SUM(N98:N117) / COUNT(N98:N117), 0)</f>
        <v>2.5917100759492856E-2</v>
      </c>
      <c r="O118" s="28">
        <f>SUM(O98:O117)</f>
        <v>77751.302278478572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2023-01-24(화) 오전 00:00</v>
      </c>
      <c r="C123" s="198"/>
      <c r="D123" s="170" t="str">
        <f>TEXT($G$1, "[$-ko-KR]yyyy-mm-dd(ddd) ") &amp; "오후 14:00"</f>
        <v>2023-01-24(화) 오후 14:00</v>
      </c>
      <c r="E123" s="171"/>
      <c r="F123" s="172"/>
      <c r="G123" s="170" t="str">
        <f>TEXT($G$1, "[$-ko-KR]yyyy-mm-dd(ddd) ") &amp; "오후 19:00"</f>
        <v>2023-01-24(화) 오후 19:00</v>
      </c>
      <c r="H123" s="171"/>
      <c r="I123" s="172"/>
      <c r="J123" s="170" t="str">
        <f>TEXT($G$1, "[$-ko-KR]yyyy-mm-dd(ddd) ") &amp; "오후 21:00"</f>
        <v>2023-01-24(화) 오후 21:00</v>
      </c>
      <c r="K123" s="171"/>
      <c r="L123" s="172"/>
      <c r="M123" s="170" t="str">
        <f>TEXT($G$1+1, "[$-ko-KR]yyyy-mm-dd(ddd) ") &amp; "오전 00:00"</f>
        <v>2023-01-25(수)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191</v>
      </c>
      <c r="B125" s="108">
        <v>62.6</v>
      </c>
      <c r="C125" s="69">
        <v>-9.4936709000000008E-3</v>
      </c>
      <c r="D125" s="13">
        <v>65.400000000000006</v>
      </c>
      <c r="E125" s="14">
        <f>IF(ISNUMBER(D125), (D125 - $B125) / $B125, "")</f>
        <v>4.47284345047924E-2</v>
      </c>
      <c r="F125" s="16">
        <f>IF(ISNUMBER(D125), $B145 * E125, "")</f>
        <v>6709.2651757188596</v>
      </c>
      <c r="G125" s="29">
        <v>65</v>
      </c>
      <c r="H125" s="14">
        <f>IF(ISNUMBER(G125), (G125 - $B125) / $B125, "")</f>
        <v>3.8338658146964834E-2</v>
      </c>
      <c r="I125" s="90">
        <f>IF(ISNUMBER(G125), $B145 * H125, "")</f>
        <v>5750.7987220447249</v>
      </c>
      <c r="J125" s="13">
        <v>66.599999999999994</v>
      </c>
      <c r="K125" s="14">
        <f>IF(ISNUMBER(J125), (J125 - $B125) / $B125, "")</f>
        <v>6.3897763578274647E-2</v>
      </c>
      <c r="L125" s="16">
        <f>IF(ISNUMBER(J125), $B145 * K125, "")</f>
        <v>9584.6645367411966</v>
      </c>
      <c r="M125" s="29">
        <v>67.5</v>
      </c>
      <c r="N125" s="14">
        <f>IF(ISNUMBER(M125), (M125 - $B125) / $B125, "")</f>
        <v>7.8274760383386557E-2</v>
      </c>
      <c r="O125" s="16">
        <f>IF(ISNUMBER(M125), $B145 * N125, "")</f>
        <v>11741.214057507983</v>
      </c>
      <c r="Q125" s="156"/>
      <c r="R125" s="156"/>
      <c r="S125" s="156"/>
    </row>
    <row r="126" spans="1:19" ht="17.25" thickBot="1">
      <c r="A126" s="109" t="s">
        <v>185</v>
      </c>
      <c r="B126" s="110">
        <v>36.5</v>
      </c>
      <c r="C126" s="70">
        <v>-1.0840108399999999E-2</v>
      </c>
      <c r="D126" s="15">
        <v>38.700000000000003</v>
      </c>
      <c r="E126" s="32">
        <f t="shared" ref="E126:E129" si="62">IF(ISNUMBER(D126), (D126 - $B126) / $B126, "")</f>
        <v>6.0273972602739805E-2</v>
      </c>
      <c r="F126" s="18">
        <f>IF(ISNUMBER(D126), $B145 * E126, "")</f>
        <v>9041.0958904109702</v>
      </c>
      <c r="G126" s="31">
        <v>38.5</v>
      </c>
      <c r="H126" s="32">
        <f t="shared" ref="H126:H129" si="63">IF(ISNUMBER(G126), (G126 - $B126) / $B126, "")</f>
        <v>5.4794520547945202E-2</v>
      </c>
      <c r="I126" s="91">
        <f>IF(ISNUMBER(G126), $B145 * H126, "")</f>
        <v>8219.17808219178</v>
      </c>
      <c r="J126" s="15">
        <v>39.5</v>
      </c>
      <c r="K126" s="32">
        <f t="shared" ref="K126:K129" si="64">IF(ISNUMBER(J126), (J126 - $B126) / $B126, "")</f>
        <v>8.2191780821917804E-2</v>
      </c>
      <c r="L126" s="18">
        <f>IF(ISNUMBER(J126), $B145 * K126, "")</f>
        <v>12328.767123287671</v>
      </c>
      <c r="M126" s="31">
        <v>39</v>
      </c>
      <c r="N126" s="32">
        <f t="shared" ref="N126:N129" si="65">IF(ISNUMBER(M126), (M126 - $B126) / $B126, "")</f>
        <v>6.8493150684931503E-2</v>
      </c>
      <c r="O126" s="18">
        <f>IF(ISNUMBER(M126), $B145 * N126, "")</f>
        <v>10273.972602739725</v>
      </c>
      <c r="Q126" s="156"/>
      <c r="R126" s="156"/>
      <c r="S126" s="156"/>
    </row>
    <row r="127" spans="1:19" ht="17.25" thickBot="1">
      <c r="A127" s="109" t="s">
        <v>143</v>
      </c>
      <c r="B127" s="110">
        <v>4.28</v>
      </c>
      <c r="C127" s="70">
        <v>-1.1547344100000001E-2</v>
      </c>
      <c r="D127" s="15">
        <v>4.5199999999999996</v>
      </c>
      <c r="E127" s="32">
        <f t="shared" si="62"/>
        <v>5.6074766355140027E-2</v>
      </c>
      <c r="F127" s="18">
        <f>IF(ISNUMBER(D127), $B145 * E127, "")</f>
        <v>8411.2149532710046</v>
      </c>
      <c r="G127" s="31">
        <v>4.5</v>
      </c>
      <c r="H127" s="32">
        <f t="shared" si="63"/>
        <v>5.1401869158878441E-2</v>
      </c>
      <c r="I127" s="91">
        <f>IF(ISNUMBER(G127), $B145 * H127, "")</f>
        <v>7710.2803738317662</v>
      </c>
      <c r="J127" s="15">
        <v>4.6900000000000004</v>
      </c>
      <c r="K127" s="32">
        <f t="shared" si="64"/>
        <v>9.579439252336451E-2</v>
      </c>
      <c r="L127" s="18">
        <f>IF(ISNUMBER(J127), $B145 * K127, "")</f>
        <v>14369.158878504677</v>
      </c>
      <c r="M127" s="31">
        <v>4.59</v>
      </c>
      <c r="N127" s="32">
        <f t="shared" si="65"/>
        <v>7.2429906542055986E-2</v>
      </c>
      <c r="O127" s="18">
        <f>IF(ISNUMBER(M127), $B145 * N127, "")</f>
        <v>10864.485981308399</v>
      </c>
      <c r="Q127" s="146"/>
      <c r="R127" s="146"/>
      <c r="S127" s="146"/>
    </row>
    <row r="128" spans="1:19" ht="17.25" thickBot="1">
      <c r="A128" s="109" t="s">
        <v>237</v>
      </c>
      <c r="B128" s="110">
        <v>30.6</v>
      </c>
      <c r="C128" s="70">
        <v>-1.2903225799999999E-2</v>
      </c>
      <c r="D128" s="15">
        <v>32.1</v>
      </c>
      <c r="E128" s="32">
        <f t="shared" si="62"/>
        <v>4.9019607843137254E-2</v>
      </c>
      <c r="F128" s="18">
        <f>IF(ISNUMBER(D128), $B145 * E128, "")</f>
        <v>7352.9411764705883</v>
      </c>
      <c r="G128" s="31">
        <v>31.8</v>
      </c>
      <c r="H128" s="32">
        <f t="shared" si="63"/>
        <v>3.9215686274509776E-2</v>
      </c>
      <c r="I128" s="91">
        <f>IF(ISNUMBER(G128), $B145 * H128, "")</f>
        <v>5882.3529411764666</v>
      </c>
      <c r="J128" s="15">
        <v>31.8</v>
      </c>
      <c r="K128" s="32">
        <f t="shared" si="64"/>
        <v>3.9215686274509776E-2</v>
      </c>
      <c r="L128" s="18">
        <f>IF(ISNUMBER(J128), $B145 * K128, "")</f>
        <v>5882.3529411764666</v>
      </c>
      <c r="M128" s="31">
        <v>31.9</v>
      </c>
      <c r="N128" s="32">
        <f t="shared" si="65"/>
        <v>4.2483660130718859E-2</v>
      </c>
      <c r="O128" s="18">
        <f>IF(ISNUMBER(M128), $B145 * N128, "")</f>
        <v>6372.549019607829</v>
      </c>
      <c r="Q128" s="146"/>
      <c r="R128" s="146"/>
      <c r="S128" s="146"/>
    </row>
    <row r="129" spans="1:19" ht="17.25" thickBot="1">
      <c r="A129" s="111" t="s">
        <v>132</v>
      </c>
      <c r="B129" s="112">
        <v>57.7</v>
      </c>
      <c r="C129" s="71">
        <v>-1.3675213699999999E-2</v>
      </c>
      <c r="D129" s="20">
        <v>60.1</v>
      </c>
      <c r="E129" s="21">
        <f t="shared" si="62"/>
        <v>4.159445407279027E-2</v>
      </c>
      <c r="F129" s="22">
        <f>IF(ISNUMBER(D129), $B145 * E129, "")</f>
        <v>6239.1681109185402</v>
      </c>
      <c r="G129" s="30">
        <v>59.2</v>
      </c>
      <c r="H129" s="21">
        <f t="shared" si="63"/>
        <v>2.5996533795493933E-2</v>
      </c>
      <c r="I129" s="95">
        <f>IF(ISNUMBER(G129), $B145 * H129, "")</f>
        <v>3899.48006932409</v>
      </c>
      <c r="J129" s="20">
        <v>60.4</v>
      </c>
      <c r="K129" s="21">
        <f t="shared" si="64"/>
        <v>4.6793760831889006E-2</v>
      </c>
      <c r="L129" s="22">
        <f>IF(ISNUMBER(J129), $B145 * K129, "")</f>
        <v>7019.064124783351</v>
      </c>
      <c r="M129" s="30">
        <v>59.3</v>
      </c>
      <c r="N129" s="21">
        <f t="shared" si="65"/>
        <v>2.7729636048526764E-2</v>
      </c>
      <c r="O129" s="22">
        <f>IF(ISNUMBER(M129), $B145 * N129, "")</f>
        <v>4159.4454072790149</v>
      </c>
      <c r="Q129" s="146"/>
      <c r="R129" s="146"/>
      <c r="S129" s="146"/>
    </row>
    <row r="130" spans="1:19" ht="17.25" thickBot="1">
      <c r="A130" s="109" t="s">
        <v>124</v>
      </c>
      <c r="B130" s="113">
        <v>35.200000000000003</v>
      </c>
      <c r="C130" s="73">
        <v>-1.40056022E-2</v>
      </c>
      <c r="D130" s="96">
        <v>36.9</v>
      </c>
      <c r="E130" s="97">
        <f>IF(ISNUMBER(D130), (D130 - $B130) / $B130, "")</f>
        <v>4.8295454545454419E-2</v>
      </c>
      <c r="F130" s="98">
        <f>IF(ISNUMBER(D130), $B145 * E130, "")</f>
        <v>7244.3181818181629</v>
      </c>
      <c r="G130" s="99">
        <v>36.4</v>
      </c>
      <c r="H130" s="97">
        <f>IF(ISNUMBER(G130), (G130 - $B130) / $B130, "")</f>
        <v>3.409090909090897E-2</v>
      </c>
      <c r="I130" s="100">
        <f>IF(ISNUMBER(G130), $B145 * H130, "")</f>
        <v>5113.6363636363458</v>
      </c>
      <c r="J130" s="96">
        <v>36.9</v>
      </c>
      <c r="K130" s="97">
        <f>IF(ISNUMBER(J130), (J130 - $B130) / $B130, "")</f>
        <v>4.8295454545454419E-2</v>
      </c>
      <c r="L130" s="98">
        <f>IF(ISNUMBER(J130), $B145 * K130, "")</f>
        <v>7244.3181818181629</v>
      </c>
      <c r="M130" s="99">
        <v>36.700000000000003</v>
      </c>
      <c r="N130" s="97">
        <f>IF(ISNUMBER(M130), (M130 - $B130) / $B130, "")</f>
        <v>4.261363636363636E-2</v>
      </c>
      <c r="O130" s="98">
        <f>IF(ISNUMBER(M130), $B145 * N130, "")</f>
        <v>6392.045454545454</v>
      </c>
      <c r="Q130" s="146"/>
      <c r="R130" s="146"/>
      <c r="S130" s="146"/>
    </row>
    <row r="131" spans="1:19" ht="17.25" thickBot="1">
      <c r="A131" s="109" t="s">
        <v>193</v>
      </c>
      <c r="B131" s="110">
        <v>19.899999999999999</v>
      </c>
      <c r="C131" s="70">
        <v>-1.4851485100000001E-2</v>
      </c>
      <c r="D131" s="15">
        <v>21</v>
      </c>
      <c r="E131" s="32">
        <f t="shared" ref="E131:E134" si="66">IF(ISNUMBER(D131), (D131 - $B131) / $B131, "")</f>
        <v>5.5276381909547811E-2</v>
      </c>
      <c r="F131" s="18">
        <f>IF(ISNUMBER(D131), $B145 * E131, "")</f>
        <v>8291.4572864321726</v>
      </c>
      <c r="G131" s="31">
        <v>20.9</v>
      </c>
      <c r="H131" s="32">
        <f t="shared" ref="H131:H134" si="67">IF(ISNUMBER(G131), (G131 - $B131) / $B131, "")</f>
        <v>5.0251256281407038E-2</v>
      </c>
      <c r="I131" s="91">
        <f>IF(ISNUMBER(G131), $B145 * H131, "")</f>
        <v>7537.6884422110561</v>
      </c>
      <c r="J131" s="15">
        <v>21.2</v>
      </c>
      <c r="K131" s="32">
        <f t="shared" ref="K131:K134" si="68">IF(ISNUMBER(J131), (J131 - $B131) / $B131, "")</f>
        <v>6.5326633165829193E-2</v>
      </c>
      <c r="L131" s="18">
        <f>IF(ISNUMBER(J131), $B145 * K131, "")</f>
        <v>9798.9949748743784</v>
      </c>
      <c r="M131" s="31">
        <v>20.8</v>
      </c>
      <c r="N131" s="32">
        <f t="shared" ref="N131:N134" si="69">IF(ISNUMBER(M131), (M131 - $B131) / $B131, "")</f>
        <v>4.5226130653266444E-2</v>
      </c>
      <c r="O131" s="18">
        <f>IF(ISNUMBER(M131), $B145 * N131, "")</f>
        <v>6783.9195979899669</v>
      </c>
      <c r="Q131" s="146"/>
      <c r="R131" s="146"/>
      <c r="S131" s="146"/>
    </row>
    <row r="132" spans="1:19" ht="17.25" thickBot="1">
      <c r="A132" s="109" t="s">
        <v>155</v>
      </c>
      <c r="B132" s="110">
        <v>31.7</v>
      </c>
      <c r="C132" s="70">
        <v>-1.5527950299999999E-2</v>
      </c>
      <c r="D132" s="15">
        <v>33.299999999999997</v>
      </c>
      <c r="E132" s="32">
        <f t="shared" si="66"/>
        <v>5.0473186119873753E-2</v>
      </c>
      <c r="F132" s="18">
        <f>IF(ISNUMBER(D132), $B145 * E132, "")</f>
        <v>7570.977917981063</v>
      </c>
      <c r="G132" s="31">
        <v>32.9</v>
      </c>
      <c r="H132" s="32">
        <f t="shared" si="67"/>
        <v>3.7854889589905343E-2</v>
      </c>
      <c r="I132" s="91">
        <f>IF(ISNUMBER(G132), $B145 * H132, "")</f>
        <v>5678.2334384858013</v>
      </c>
      <c r="J132" s="15">
        <v>33.299999999999997</v>
      </c>
      <c r="K132" s="32">
        <f t="shared" si="68"/>
        <v>5.0473186119873753E-2</v>
      </c>
      <c r="L132" s="18">
        <f>IF(ISNUMBER(J132), $B145 * K132, "")</f>
        <v>7570.977917981063</v>
      </c>
      <c r="M132" s="31">
        <v>33.4</v>
      </c>
      <c r="N132" s="32">
        <f t="shared" si="69"/>
        <v>5.3627760252365909E-2</v>
      </c>
      <c r="O132" s="18">
        <f>IF(ISNUMBER(M132), $B145 * N132, "")</f>
        <v>8044.1640378548864</v>
      </c>
      <c r="Q132" s="146"/>
      <c r="R132" s="146"/>
      <c r="S132" s="146"/>
    </row>
    <row r="133" spans="1:19" ht="17.25" thickBot="1">
      <c r="A133" s="109" t="s">
        <v>195</v>
      </c>
      <c r="B133" s="110">
        <v>6.87</v>
      </c>
      <c r="C133" s="70">
        <v>-1.5759312300000002E-2</v>
      </c>
      <c r="D133" s="15">
        <v>7.14</v>
      </c>
      <c r="E133" s="32">
        <f t="shared" si="66"/>
        <v>3.9301310043668061E-2</v>
      </c>
      <c r="F133" s="18">
        <f>IF(ISNUMBER(D133), $B145 * E133, "")</f>
        <v>5895.1965065502091</v>
      </c>
      <c r="G133" s="31">
        <v>7.08</v>
      </c>
      <c r="H133" s="32">
        <f t="shared" si="67"/>
        <v>3.0567685589519646E-2</v>
      </c>
      <c r="I133" s="91">
        <f>IF(ISNUMBER(G133), $B145 * H133, "")</f>
        <v>4585.1528384279472</v>
      </c>
      <c r="J133" s="15">
        <v>7.52</v>
      </c>
      <c r="K133" s="32">
        <f t="shared" si="68"/>
        <v>9.4614264919941696E-2</v>
      </c>
      <c r="L133" s="18">
        <f>IF(ISNUMBER(J133), $B145 * K133, "")</f>
        <v>14192.139737991254</v>
      </c>
      <c r="M133" s="31">
        <v>7.22</v>
      </c>
      <c r="N133" s="32">
        <f t="shared" si="69"/>
        <v>5.0946142649199368E-2</v>
      </c>
      <c r="O133" s="18">
        <f>IF(ISNUMBER(M133), $B145 * N133, "")</f>
        <v>7641.9213973799051</v>
      </c>
      <c r="Q133" s="33"/>
      <c r="R133" s="33"/>
    </row>
    <row r="134" spans="1:19" ht="17.25" thickBot="1">
      <c r="A134" s="114" t="s">
        <v>217</v>
      </c>
      <c r="B134" s="115">
        <v>83.4</v>
      </c>
      <c r="C134" s="72">
        <v>-1.6509434E-2</v>
      </c>
      <c r="D134" s="24">
        <v>89.9</v>
      </c>
      <c r="E134" s="25">
        <f t="shared" si="66"/>
        <v>7.7937649880095924E-2</v>
      </c>
      <c r="F134" s="94">
        <f>IF(ISNUMBER(D134), $B145 * E134, "")</f>
        <v>11690.647482014389</v>
      </c>
      <c r="G134" s="92">
        <v>93.3</v>
      </c>
      <c r="H134" s="25">
        <f t="shared" si="67"/>
        <v>0.11870503597122291</v>
      </c>
      <c r="I134" s="93">
        <f>IF(ISNUMBER(G134), $B145 * H134, "")</f>
        <v>17805.755395683434</v>
      </c>
      <c r="J134" s="24">
        <v>93.8</v>
      </c>
      <c r="K134" s="25">
        <f t="shared" si="68"/>
        <v>0.12470023980815337</v>
      </c>
      <c r="L134" s="94">
        <f>IF(ISNUMBER(J134), $B145 * K134, "")</f>
        <v>18705.035971223006</v>
      </c>
      <c r="M134" s="92">
        <v>91.5</v>
      </c>
      <c r="N134" s="25">
        <f t="shared" si="69"/>
        <v>9.7122302158273305E-2</v>
      </c>
      <c r="O134" s="94">
        <f>IF(ISNUMBER(M134), $B145 * N134, "")</f>
        <v>14568.345323740996</v>
      </c>
      <c r="Q134" s="147"/>
      <c r="R134" s="148"/>
      <c r="S134" s="149"/>
    </row>
    <row r="135" spans="1:19">
      <c r="A135" s="107" t="s">
        <v>107</v>
      </c>
      <c r="B135" s="108">
        <v>45.1</v>
      </c>
      <c r="C135" s="69">
        <v>-1.7429193900000001E-2</v>
      </c>
      <c r="D135" s="13">
        <v>48.2</v>
      </c>
      <c r="E135" s="14">
        <f>IF(ISNUMBER(D135), (D135 - $B135) / $B135, "")</f>
        <v>6.8736141906873646E-2</v>
      </c>
      <c r="F135" s="16">
        <f>IF(ISNUMBER(D135), $B145 * E135, "")</f>
        <v>10310.421286031047</v>
      </c>
      <c r="G135" s="29">
        <v>46.7</v>
      </c>
      <c r="H135" s="14">
        <f>IF(ISNUMBER(G135), (G135 - $B135) / $B135, "")</f>
        <v>3.54767184035477E-2</v>
      </c>
      <c r="I135" s="90">
        <f>IF(ISNUMBER(G135), $B145 * H135, "")</f>
        <v>5321.5077605321549</v>
      </c>
      <c r="J135" s="13">
        <v>47.9</v>
      </c>
      <c r="K135" s="14">
        <f>IF(ISNUMBER(J135), (J135 - $B135) / $B135, "")</f>
        <v>6.208425720620836E-2</v>
      </c>
      <c r="L135" s="16">
        <f>IF(ISNUMBER(J135), $B145 * K135, "")</f>
        <v>9312.6385809312542</v>
      </c>
      <c r="M135" s="29">
        <v>47.6</v>
      </c>
      <c r="N135" s="14">
        <f>IF(ISNUMBER(M135), (M135 - $B135) / $B135, "")</f>
        <v>5.5432372505543233E-2</v>
      </c>
      <c r="O135" s="16">
        <f>IF(ISNUMBER(M135), $B145 * N135, "")</f>
        <v>8314.8558758314848</v>
      </c>
      <c r="Q135" s="150"/>
      <c r="R135" s="151"/>
      <c r="S135" s="152"/>
    </row>
    <row r="136" spans="1:19" ht="17.25" thickBot="1">
      <c r="A136" s="109" t="s">
        <v>181</v>
      </c>
      <c r="B136" s="110">
        <v>4.8099999999999996</v>
      </c>
      <c r="C136" s="70">
        <v>-1.8367346900000001E-2</v>
      </c>
      <c r="D136" s="15">
        <v>5.05</v>
      </c>
      <c r="E136" s="32">
        <f t="shared" ref="E136:E139" si="70">IF(ISNUMBER(D136), (D136 - $B136) / $B136, "")</f>
        <v>4.9896049896049947E-2</v>
      </c>
      <c r="F136" s="18">
        <f>IF(ISNUMBER(D136), $B145 * E136, "")</f>
        <v>7484.4074844074921</v>
      </c>
      <c r="G136" s="31">
        <v>5.03</v>
      </c>
      <c r="H136" s="32">
        <f t="shared" ref="H136:H139" si="71">IF(ISNUMBER(G136), (G136 - $B136) / $B136, "")</f>
        <v>4.5738045738045872E-2</v>
      </c>
      <c r="I136" s="91">
        <f>IF(ISNUMBER(G136), $B145 * H136, "")</f>
        <v>6860.7068607068804</v>
      </c>
      <c r="J136" s="15">
        <v>5.21</v>
      </c>
      <c r="K136" s="32">
        <f t="shared" ref="K136:K139" si="72">IF(ISNUMBER(J136), (J136 - $B136) / $B136, "")</f>
        <v>8.3160083160083234E-2</v>
      </c>
      <c r="L136" s="18">
        <f>IF(ISNUMBER(J136), $B145 * K136, "")</f>
        <v>12474.012474012485</v>
      </c>
      <c r="M136" s="31">
        <v>5.13</v>
      </c>
      <c r="N136" s="32">
        <f t="shared" ref="N136:N139" si="73">IF(ISNUMBER(M136), (M136 - $B136) / $B136, "")</f>
        <v>6.6528066528066587E-2</v>
      </c>
      <c r="O136" s="18">
        <f>IF(ISNUMBER(M136), $B145 * N136, "")</f>
        <v>9979.2099792099889</v>
      </c>
      <c r="Q136" s="153"/>
      <c r="R136" s="154"/>
      <c r="S136" s="155"/>
    </row>
    <row r="137" spans="1:19" ht="17.25" thickBot="1">
      <c r="A137" s="109" t="s">
        <v>118</v>
      </c>
      <c r="B137" s="110">
        <v>6.52</v>
      </c>
      <c r="C137" s="70">
        <v>-1.9548872200000001E-2</v>
      </c>
      <c r="D137" s="15">
        <v>6.99</v>
      </c>
      <c r="E137" s="32">
        <f t="shared" si="70"/>
        <v>7.2085889570552245E-2</v>
      </c>
      <c r="F137" s="18">
        <f>IF(ISNUMBER(D137), $B145 * E137, "")</f>
        <v>10812.883435582837</v>
      </c>
      <c r="G137" s="31">
        <v>7.09</v>
      </c>
      <c r="H137" s="32">
        <f t="shared" si="71"/>
        <v>8.7423312883435633E-2</v>
      </c>
      <c r="I137" s="91">
        <f>IF(ISNUMBER(G137), $B145 * H137, "")</f>
        <v>13113.496932515345</v>
      </c>
      <c r="J137" s="15">
        <v>7.11</v>
      </c>
      <c r="K137" s="32">
        <f t="shared" si="72"/>
        <v>9.0490797546012386E-2</v>
      </c>
      <c r="L137" s="18">
        <f>IF(ISNUMBER(J137), $B145 * K137, "")</f>
        <v>13573.619631901858</v>
      </c>
      <c r="M137" s="31">
        <v>7.18</v>
      </c>
      <c r="N137" s="32">
        <f t="shared" si="73"/>
        <v>0.1012269938650307</v>
      </c>
      <c r="O137" s="18">
        <f>IF(ISNUMBER(M137), $B145 * N137, "")</f>
        <v>15184.049079754604</v>
      </c>
      <c r="Q137" s="146"/>
      <c r="R137" s="146"/>
      <c r="S137" s="146"/>
    </row>
    <row r="138" spans="1:19" ht="17.25" thickBot="1">
      <c r="A138" s="109" t="s">
        <v>209</v>
      </c>
      <c r="B138" s="110">
        <v>92.8</v>
      </c>
      <c r="C138" s="70">
        <v>-2.0063358E-2</v>
      </c>
      <c r="D138" s="15">
        <v>98</v>
      </c>
      <c r="E138" s="32">
        <f t="shared" si="70"/>
        <v>5.6034482758620725E-2</v>
      </c>
      <c r="F138" s="18">
        <f>IF(ISNUMBER(D138), $B145 * E138, "")</f>
        <v>8405.1724137931087</v>
      </c>
      <c r="G138" s="31">
        <v>96.3</v>
      </c>
      <c r="H138" s="32">
        <f t="shared" si="71"/>
        <v>3.7715517241379309E-2</v>
      </c>
      <c r="I138" s="91">
        <f>IF(ISNUMBER(G138), $B145 * H138, "")</f>
        <v>5657.3275862068967</v>
      </c>
      <c r="J138" s="15">
        <v>98</v>
      </c>
      <c r="K138" s="32">
        <f t="shared" si="72"/>
        <v>5.6034482758620725E-2</v>
      </c>
      <c r="L138" s="18">
        <f>IF(ISNUMBER(J138), $B145 * K138, "")</f>
        <v>8405.1724137931087</v>
      </c>
      <c r="M138" s="31">
        <v>97.8</v>
      </c>
      <c r="N138" s="32">
        <f t="shared" si="73"/>
        <v>5.387931034482759E-2</v>
      </c>
      <c r="O138" s="18">
        <f>IF(ISNUMBER(M138), $B145 * N138, "")</f>
        <v>8081.8965517241386</v>
      </c>
      <c r="Q138" s="156"/>
      <c r="R138" s="156"/>
      <c r="S138" s="156"/>
    </row>
    <row r="139" spans="1:19" ht="17.25" thickBot="1">
      <c r="A139" s="111" t="s">
        <v>207</v>
      </c>
      <c r="B139" s="112">
        <v>74.8</v>
      </c>
      <c r="C139" s="71">
        <v>-2.0942408400000001E-2</v>
      </c>
      <c r="D139" s="20">
        <v>76.7</v>
      </c>
      <c r="E139" s="21">
        <f t="shared" si="70"/>
        <v>2.5401069518716655E-2</v>
      </c>
      <c r="F139" s="22">
        <f>IF(ISNUMBER(D139), $B145 * E139, "")</f>
        <v>3810.1604278074983</v>
      </c>
      <c r="G139" s="30">
        <v>76.400000000000006</v>
      </c>
      <c r="H139" s="21">
        <f t="shared" si="71"/>
        <v>2.1390374331550915E-2</v>
      </c>
      <c r="I139" s="95">
        <f>IF(ISNUMBER(G139), $B145 * H139, "")</f>
        <v>3208.5561497326371</v>
      </c>
      <c r="J139" s="20">
        <v>77.599999999999994</v>
      </c>
      <c r="K139" s="21">
        <f t="shared" si="72"/>
        <v>3.7433155080213866E-2</v>
      </c>
      <c r="L139" s="22">
        <f>IF(ISNUMBER(J139), $B145 * K139, "")</f>
        <v>5614.9732620320801</v>
      </c>
      <c r="M139" s="30">
        <v>77.3</v>
      </c>
      <c r="N139" s="21">
        <f t="shared" si="73"/>
        <v>3.342245989304813E-2</v>
      </c>
      <c r="O139" s="22">
        <f>IF(ISNUMBER(M139), $B145 * N139, "")</f>
        <v>5013.3689839572198</v>
      </c>
      <c r="Q139" s="156"/>
      <c r="R139" s="156"/>
      <c r="S139" s="156"/>
    </row>
    <row r="140" spans="1:19" ht="17.25" thickBot="1">
      <c r="A140" s="109" t="s">
        <v>329</v>
      </c>
      <c r="B140" s="113">
        <v>84.3</v>
      </c>
      <c r="C140" s="73">
        <v>-2.3174970999999999E-2</v>
      </c>
      <c r="D140" s="96">
        <v>86</v>
      </c>
      <c r="E140" s="97">
        <f>IF(ISNUMBER(D140), (D140 - $B140) / $B140, "")</f>
        <v>2.0166073546856501E-2</v>
      </c>
      <c r="F140" s="98">
        <f>IF(ISNUMBER(D140), $B145 * E140, "")</f>
        <v>3024.9110320284749</v>
      </c>
      <c r="G140" s="99">
        <v>85.3</v>
      </c>
      <c r="H140" s="97">
        <f>IF(ISNUMBER(G140), (G140 - $B140) / $B140, "")</f>
        <v>1.1862396204033215E-2</v>
      </c>
      <c r="I140" s="100">
        <f>IF(ISNUMBER(G140), $B145 * H140, "")</f>
        <v>1779.3594306049822</v>
      </c>
      <c r="J140" s="96">
        <v>85.3</v>
      </c>
      <c r="K140" s="97">
        <f>IF(ISNUMBER(J140), (J140 - $B140) / $B140, "")</f>
        <v>1.1862396204033215E-2</v>
      </c>
      <c r="L140" s="98">
        <f>IF(ISNUMBER(J140), $B145 * K140, "")</f>
        <v>1779.3594306049822</v>
      </c>
      <c r="M140" s="99">
        <v>85.7</v>
      </c>
      <c r="N140" s="97">
        <f>IF(ISNUMBER(M140), (M140 - $B140) / $B140, "")</f>
        <v>1.6607354685646569E-2</v>
      </c>
      <c r="O140" s="98">
        <f>IF(ISNUMBER(M140), $B145 * N140, "")</f>
        <v>2491.1032028469854</v>
      </c>
      <c r="Q140" s="146"/>
      <c r="R140" s="146"/>
      <c r="S140" s="146"/>
    </row>
    <row r="141" spans="1:19" ht="17.25" thickBot="1">
      <c r="A141" s="109" t="s">
        <v>71</v>
      </c>
      <c r="B141" s="110">
        <v>12.6</v>
      </c>
      <c r="C141" s="70">
        <v>-2.3255814E-2</v>
      </c>
      <c r="D141" s="15">
        <v>13.2</v>
      </c>
      <c r="E141" s="32">
        <f t="shared" ref="E141:E144" si="74">IF(ISNUMBER(D141), (D141 - $B141) / $B141, "")</f>
        <v>4.7619047619047596E-2</v>
      </c>
      <c r="F141" s="18">
        <f>IF(ISNUMBER(D141), $B145 * E141, "")</f>
        <v>7142.8571428571395</v>
      </c>
      <c r="G141" s="31">
        <v>13</v>
      </c>
      <c r="H141" s="32">
        <f t="shared" ref="H141:H144" si="75">IF(ISNUMBER(G141), (G141 - $B141) / $B141, "")</f>
        <v>3.1746031746031772E-2</v>
      </c>
      <c r="I141" s="91">
        <f>IF(ISNUMBER(G141), $B145 * H141, "")</f>
        <v>4761.904761904766</v>
      </c>
      <c r="J141" s="15">
        <v>13.3</v>
      </c>
      <c r="K141" s="32">
        <f t="shared" ref="K141:K144" si="76">IF(ISNUMBER(J141), (J141 - $B141) / $B141, "")</f>
        <v>5.5555555555555643E-2</v>
      </c>
      <c r="L141" s="18">
        <f>IF(ISNUMBER(J141), $B145 * K141, "")</f>
        <v>8333.3333333333467</v>
      </c>
      <c r="M141" s="31">
        <v>13.1</v>
      </c>
      <c r="N141" s="32">
        <f t="shared" ref="N141:N144" si="77">IF(ISNUMBER(M141), (M141 - $B141) / $B141, "")</f>
        <v>3.968253968253968E-2</v>
      </c>
      <c r="O141" s="18">
        <f>IF(ISNUMBER(M141), $B145 * N141, "")</f>
        <v>5952.3809523809523</v>
      </c>
      <c r="Q141" s="146"/>
      <c r="R141" s="146"/>
      <c r="S141" s="146"/>
    </row>
    <row r="142" spans="1:19" ht="17.25" thickBot="1">
      <c r="A142" s="109" t="s">
        <v>350</v>
      </c>
      <c r="B142" s="110">
        <v>7.7</v>
      </c>
      <c r="C142" s="70">
        <v>-2.4081115300000001E-2</v>
      </c>
      <c r="D142" s="15">
        <v>7.95</v>
      </c>
      <c r="E142" s="32">
        <f t="shared" si="74"/>
        <v>3.2467532467532464E-2</v>
      </c>
      <c r="F142" s="18">
        <f>IF(ISNUMBER(D142), $B145 * E142, "")</f>
        <v>4870.1298701298692</v>
      </c>
      <c r="G142" s="31">
        <v>7.93</v>
      </c>
      <c r="H142" s="32">
        <f t="shared" si="75"/>
        <v>2.9870129870129811E-2</v>
      </c>
      <c r="I142" s="91">
        <f>IF(ISNUMBER(G142), $B145 * H142, "")</f>
        <v>4480.5194805194715</v>
      </c>
      <c r="J142" s="15">
        <v>8.2100000000000009</v>
      </c>
      <c r="K142" s="32">
        <f t="shared" si="76"/>
        <v>6.6233766233766325E-2</v>
      </c>
      <c r="L142" s="18">
        <f>IF(ISNUMBER(J142), $B145 * K142, "")</f>
        <v>9935.0649350649492</v>
      </c>
      <c r="M142" s="31">
        <v>8.11</v>
      </c>
      <c r="N142" s="32">
        <f t="shared" si="77"/>
        <v>5.3246753246753147E-2</v>
      </c>
      <c r="O142" s="18">
        <f>IF(ISNUMBER(M142), $B145 * N142, "")</f>
        <v>7987.0129870129722</v>
      </c>
      <c r="Q142" s="146"/>
      <c r="R142" s="146"/>
      <c r="S142" s="146"/>
    </row>
    <row r="143" spans="1:19">
      <c r="A143" s="109" t="s">
        <v>225</v>
      </c>
      <c r="B143" s="110">
        <v>67.099999999999994</v>
      </c>
      <c r="C143" s="70">
        <v>-2.6124818599999999E-2</v>
      </c>
      <c r="D143" s="15">
        <v>67.7</v>
      </c>
      <c r="E143" s="32">
        <f t="shared" si="74"/>
        <v>8.9418777943369391E-3</v>
      </c>
      <c r="F143" s="18">
        <f>IF(ISNUMBER(D143), $B145 * E143, "")</f>
        <v>1341.2816691505409</v>
      </c>
      <c r="G143" s="31">
        <v>67.099999999999994</v>
      </c>
      <c r="H143" s="32">
        <f t="shared" si="75"/>
        <v>0</v>
      </c>
      <c r="I143" s="91">
        <f>IF(ISNUMBER(G143), $B145 * H143, "")</f>
        <v>0</v>
      </c>
      <c r="J143" s="15">
        <v>67.8</v>
      </c>
      <c r="K143" s="32">
        <f t="shared" si="76"/>
        <v>1.0432190760059655E-2</v>
      </c>
      <c r="L143" s="18">
        <f>IF(ISNUMBER(J143), $B145 * K143, "")</f>
        <v>1564.8286140089483</v>
      </c>
      <c r="M143" s="31">
        <v>67.7</v>
      </c>
      <c r="N143" s="32">
        <f t="shared" si="77"/>
        <v>8.9418777943369391E-3</v>
      </c>
      <c r="O143" s="18">
        <f>IF(ISNUMBER(M143), $B145 * N143, "")</f>
        <v>1341.2816691505409</v>
      </c>
      <c r="Q143" s="135"/>
      <c r="R143" s="136"/>
      <c r="S143" s="137"/>
    </row>
    <row r="144" spans="1:19" ht="17.25" thickBot="1">
      <c r="A144" s="114" t="s">
        <v>97</v>
      </c>
      <c r="B144" s="115">
        <v>8.9999999999999998E-4</v>
      </c>
      <c r="C144" s="72">
        <v>-0.1</v>
      </c>
      <c r="D144" s="24">
        <v>8.9999999999999998E-4</v>
      </c>
      <c r="E144" s="25">
        <f t="shared" si="74"/>
        <v>0</v>
      </c>
      <c r="F144" s="94">
        <f>IF(ISNUMBER(D144), $B145 * E144, "")</f>
        <v>0</v>
      </c>
      <c r="G144" s="92">
        <v>8.9999999999999998E-4</v>
      </c>
      <c r="H144" s="25">
        <f t="shared" si="75"/>
        <v>0</v>
      </c>
      <c r="I144" s="93">
        <f>IF(ISNUMBER(G144), $B145 * H144, "")</f>
        <v>0</v>
      </c>
      <c r="J144" s="24">
        <v>1E-3</v>
      </c>
      <c r="K144" s="25">
        <f t="shared" si="76"/>
        <v>0.11111111111111116</v>
      </c>
      <c r="L144" s="94">
        <f>IF(ISNUMBER(J144), $B145 * K144, "")</f>
        <v>16666.666666666675</v>
      </c>
      <c r="M144" s="92">
        <v>8.9999999999999998E-4</v>
      </c>
      <c r="N144" s="25">
        <f t="shared" si="77"/>
        <v>0</v>
      </c>
      <c r="O144" s="94">
        <f>IF(ISNUMBER(M144), $B145 * N144, "")</f>
        <v>0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4.5216169147791321E-2</v>
      </c>
      <c r="F145" s="28">
        <f>SUM(F125:F144)</f>
        <v>135648.50744337399</v>
      </c>
      <c r="G145" s="26" t="s">
        <v>258</v>
      </c>
      <c r="H145" s="27">
        <f>IF(COUNT(H125:H144), SUM(H125:H144) / COUNT(H125:H144), 0)</f>
        <v>3.9121978543245513E-2</v>
      </c>
      <c r="I145" s="28">
        <f>SUM(I125:I144)</f>
        <v>117365.93562973656</v>
      </c>
      <c r="J145" s="26" t="s">
        <v>258</v>
      </c>
      <c r="K145" s="27">
        <f>IF(COUNT(K125:K144), SUM(K125:K144) / COUNT(K125:K144), 0)</f>
        <v>6.4785047910243643E-2</v>
      </c>
      <c r="L145" s="28">
        <f>SUM(L125:L144)</f>
        <v>194355.14373073092</v>
      </c>
      <c r="M145" s="26" t="s">
        <v>258</v>
      </c>
      <c r="N145" s="27">
        <f>IF(COUNT(N125:N144), SUM(N125:N144) / COUNT(N125:N144), 0)</f>
        <v>5.0395740720607686E-2</v>
      </c>
      <c r="O145" s="28">
        <f>SUM(O125:O144)</f>
        <v>151187.22216182307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2023-01-24(화) 오전 00:00</v>
      </c>
      <c r="C150" s="198"/>
      <c r="D150" s="170" t="str">
        <f>TEXT($G$1, "[$-ko-KR]yyyy-mm-dd(ddd) ") &amp; "오후 14:00"</f>
        <v>2023-01-24(화) 오후 14:00</v>
      </c>
      <c r="E150" s="171"/>
      <c r="F150" s="172"/>
      <c r="G150" s="170" t="str">
        <f>TEXT($G$1, "[$-ko-KR]yyyy-mm-dd(ddd) ") &amp; "오후 19:00"</f>
        <v>2023-01-24(화) 오후 19:00</v>
      </c>
      <c r="H150" s="171"/>
      <c r="I150" s="172"/>
      <c r="J150" s="170" t="str">
        <f>TEXT($G$1, "[$-ko-KR]yyyy-mm-dd(ddd) ") &amp; "오후 21:00"</f>
        <v>2023-01-24(화) 오후 21:00</v>
      </c>
      <c r="K150" s="171"/>
      <c r="L150" s="172"/>
      <c r="M150" s="170" t="str">
        <f>TEXT($G$1+1, "[$-ko-KR]yyyy-mm-dd(ddd) ") &amp; "오전 00:00"</f>
        <v>2023-01-25(수)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183</v>
      </c>
      <c r="B152" s="108">
        <v>147</v>
      </c>
      <c r="C152" s="69">
        <v>-1.34228188E-2</v>
      </c>
      <c r="D152" s="13">
        <v>160</v>
      </c>
      <c r="E152" s="14">
        <f>IF(ISNUMBER(D152), (D152 - $B152) / $B152, "")</f>
        <v>8.8435374149659865E-2</v>
      </c>
      <c r="F152" s="16">
        <f>IF(ISNUMBER(D152), $B172 * E152, "")</f>
        <v>13265.306122448979</v>
      </c>
      <c r="G152" s="29">
        <v>154</v>
      </c>
      <c r="H152" s="14">
        <f>IF(ISNUMBER(G152), (G152 - $B152) / $B152, "")</f>
        <v>4.7619047619047616E-2</v>
      </c>
      <c r="I152" s="90">
        <f>IF(ISNUMBER(G152), $B172 * H152, "")</f>
        <v>7142.8571428571422</v>
      </c>
      <c r="J152" s="13">
        <v>155</v>
      </c>
      <c r="K152" s="14">
        <f>IF(ISNUMBER(J152), (J152 - $B152) / $B152, "")</f>
        <v>5.4421768707482991E-2</v>
      </c>
      <c r="L152" s="16">
        <f>IF(ISNUMBER(J152), $B172 * K152, "")</f>
        <v>8163.2653061224482</v>
      </c>
      <c r="M152" s="29">
        <v>155</v>
      </c>
      <c r="N152" s="14">
        <f>IF(ISNUMBER(M152), (M152 - $B152) / $B152, "")</f>
        <v>5.4421768707482991E-2</v>
      </c>
      <c r="O152" s="16">
        <f>IF(ISNUMBER(M152), $B172 * N152, "")</f>
        <v>8163.2653061224482</v>
      </c>
      <c r="Q152" s="156"/>
      <c r="R152" s="156"/>
      <c r="S152" s="156"/>
    </row>
    <row r="153" spans="1:19" ht="17.25" thickBot="1">
      <c r="A153" s="109" t="s">
        <v>167</v>
      </c>
      <c r="B153" s="110">
        <v>212</v>
      </c>
      <c r="C153" s="70">
        <v>-1.39534884E-2</v>
      </c>
      <c r="D153" s="15">
        <v>226</v>
      </c>
      <c r="E153" s="32">
        <f t="shared" ref="E153:E156" si="78">IF(ISNUMBER(D153), (D153 - $B153) / $B153, "")</f>
        <v>6.6037735849056603E-2</v>
      </c>
      <c r="F153" s="18">
        <f>IF(ISNUMBER(D153), $B172 * E153, "")</f>
        <v>9905.6603773584902</v>
      </c>
      <c r="G153" s="31">
        <v>218</v>
      </c>
      <c r="H153" s="32">
        <f t="shared" ref="H153:H156" si="79">IF(ISNUMBER(G153), (G153 - $B153) / $B153, "")</f>
        <v>2.8301886792452831E-2</v>
      </c>
      <c r="I153" s="91">
        <f>IF(ISNUMBER(G153), $B172 * H153, "")</f>
        <v>4245.2830188679245</v>
      </c>
      <c r="J153" s="15">
        <v>222</v>
      </c>
      <c r="K153" s="32">
        <f t="shared" ref="K153:K156" si="80">IF(ISNUMBER(J153), (J153 - $B153) / $B153, "")</f>
        <v>4.716981132075472E-2</v>
      </c>
      <c r="L153" s="18">
        <f>IF(ISNUMBER(J153), $B172 * K153, "")</f>
        <v>7075.4716981132078</v>
      </c>
      <c r="M153" s="31">
        <v>223</v>
      </c>
      <c r="N153" s="32">
        <f t="shared" ref="N153:N156" si="81">IF(ISNUMBER(M153), (M153 - $B153) / $B153, "")</f>
        <v>5.1886792452830191E-2</v>
      </c>
      <c r="O153" s="18">
        <f>IF(ISNUMBER(M153), $B172 * N153, "")</f>
        <v>7783.0188679245284</v>
      </c>
      <c r="Q153" s="156"/>
      <c r="R153" s="156"/>
      <c r="S153" s="156"/>
    </row>
    <row r="154" spans="1:19" ht="17.25" thickBot="1">
      <c r="A154" s="109" t="s">
        <v>120</v>
      </c>
      <c r="B154" s="110">
        <v>132</v>
      </c>
      <c r="C154" s="70">
        <v>-1.49253731E-2</v>
      </c>
      <c r="D154" s="15">
        <v>140</v>
      </c>
      <c r="E154" s="32">
        <f t="shared" si="78"/>
        <v>6.0606060606060608E-2</v>
      </c>
      <c r="F154" s="18">
        <f>IF(ISNUMBER(D154), $B172 * E154, "")</f>
        <v>9090.9090909090919</v>
      </c>
      <c r="G154" s="31">
        <v>139</v>
      </c>
      <c r="H154" s="32">
        <f t="shared" si="79"/>
        <v>5.3030303030303032E-2</v>
      </c>
      <c r="I154" s="91">
        <f>IF(ISNUMBER(G154), $B172 * H154, "")</f>
        <v>7954.545454545455</v>
      </c>
      <c r="J154" s="15">
        <v>141</v>
      </c>
      <c r="K154" s="32">
        <f t="shared" si="80"/>
        <v>6.8181818181818177E-2</v>
      </c>
      <c r="L154" s="18">
        <f>IF(ISNUMBER(J154), $B172 * K154, "")</f>
        <v>10227.272727272726</v>
      </c>
      <c r="M154" s="31">
        <v>139</v>
      </c>
      <c r="N154" s="32">
        <f t="shared" si="81"/>
        <v>5.3030303030303032E-2</v>
      </c>
      <c r="O154" s="18">
        <f>IF(ISNUMBER(M154), $B172 * N154, "")</f>
        <v>7954.545454545455</v>
      </c>
      <c r="Q154" s="146"/>
      <c r="R154" s="146"/>
      <c r="S154" s="146"/>
    </row>
    <row r="155" spans="1:19" ht="17.25" thickBot="1">
      <c r="A155" s="109" t="s">
        <v>317</v>
      </c>
      <c r="B155" s="110">
        <v>629</v>
      </c>
      <c r="C155" s="70">
        <v>-1.5649452300000002E-2</v>
      </c>
      <c r="D155" s="15">
        <v>645</v>
      </c>
      <c r="E155" s="32">
        <f t="shared" si="78"/>
        <v>2.5437201907790145E-2</v>
      </c>
      <c r="F155" s="18">
        <f>IF(ISNUMBER(D155), $B172 * E155, "")</f>
        <v>3815.5802861685215</v>
      </c>
      <c r="G155" s="31">
        <v>642</v>
      </c>
      <c r="H155" s="32">
        <f t="shared" si="79"/>
        <v>2.066772655007949E-2</v>
      </c>
      <c r="I155" s="91">
        <f>IF(ISNUMBER(G155), $B172 * H155, "")</f>
        <v>3100.1589825119236</v>
      </c>
      <c r="J155" s="15">
        <v>643</v>
      </c>
      <c r="K155" s="32">
        <f t="shared" si="80"/>
        <v>2.2257551669316374E-2</v>
      </c>
      <c r="L155" s="18">
        <f>IF(ISNUMBER(J155), $B172 * K155, "")</f>
        <v>3338.6327503974562</v>
      </c>
      <c r="M155" s="31">
        <v>645</v>
      </c>
      <c r="N155" s="32">
        <f t="shared" si="81"/>
        <v>2.5437201907790145E-2</v>
      </c>
      <c r="O155" s="18">
        <f>IF(ISNUMBER(M155), $B172 * N155, "")</f>
        <v>3815.5802861685215</v>
      </c>
      <c r="Q155" s="146"/>
      <c r="R155" s="146"/>
      <c r="S155" s="146"/>
    </row>
    <row r="156" spans="1:19" ht="17.25" thickBot="1">
      <c r="A156" s="111" t="s">
        <v>223</v>
      </c>
      <c r="B156" s="112">
        <v>242</v>
      </c>
      <c r="C156" s="71">
        <v>-1.6260162599999999E-2</v>
      </c>
      <c r="D156" s="20">
        <v>252</v>
      </c>
      <c r="E156" s="21">
        <f t="shared" si="78"/>
        <v>4.1322314049586778E-2</v>
      </c>
      <c r="F156" s="22">
        <f>IF(ISNUMBER(D156), $B172 * E156, "")</f>
        <v>6198.3471074380168</v>
      </c>
      <c r="G156" s="30">
        <v>249</v>
      </c>
      <c r="H156" s="21">
        <f t="shared" si="79"/>
        <v>2.8925619834710745E-2</v>
      </c>
      <c r="I156" s="95">
        <f>IF(ISNUMBER(G156), $B172 * H156, "")</f>
        <v>4338.8429752066113</v>
      </c>
      <c r="J156" s="20">
        <v>250</v>
      </c>
      <c r="K156" s="21">
        <f t="shared" si="80"/>
        <v>3.3057851239669422E-2</v>
      </c>
      <c r="L156" s="22">
        <f>IF(ISNUMBER(J156), $B172 * K156, "")</f>
        <v>4958.6776859504134</v>
      </c>
      <c r="M156" s="30">
        <v>250</v>
      </c>
      <c r="N156" s="21">
        <f t="shared" si="81"/>
        <v>3.3057851239669422E-2</v>
      </c>
      <c r="O156" s="22">
        <f>IF(ISNUMBER(M156), $B172 * N156, "")</f>
        <v>4958.6776859504134</v>
      </c>
      <c r="Q156" s="146"/>
      <c r="R156" s="146"/>
      <c r="S156" s="146"/>
    </row>
    <row r="157" spans="1:19" ht="17.25" thickBot="1">
      <c r="A157" s="109" t="s">
        <v>176</v>
      </c>
      <c r="B157" s="113">
        <v>360</v>
      </c>
      <c r="C157" s="73">
        <v>-1.6393442599999999E-2</v>
      </c>
      <c r="D157" s="96">
        <v>372</v>
      </c>
      <c r="E157" s="97">
        <f>IF(ISNUMBER(D157), (D157 - $B157) / $B157, "")</f>
        <v>3.3333333333333333E-2</v>
      </c>
      <c r="F157" s="98">
        <f>IF(ISNUMBER(D157), $B172 * E157, "")</f>
        <v>5000</v>
      </c>
      <c r="G157" s="99">
        <v>368</v>
      </c>
      <c r="H157" s="97">
        <f>IF(ISNUMBER(G157), (G157 - $B157) / $B157, "")</f>
        <v>2.2222222222222223E-2</v>
      </c>
      <c r="I157" s="100">
        <f>IF(ISNUMBER(G157), $B172 * H157, "")</f>
        <v>3333.3333333333335</v>
      </c>
      <c r="J157" s="96">
        <v>372</v>
      </c>
      <c r="K157" s="97">
        <f>IF(ISNUMBER(J157), (J157 - $B157) / $B157, "")</f>
        <v>3.3333333333333333E-2</v>
      </c>
      <c r="L157" s="98">
        <f>IF(ISNUMBER(J157), $B172 * K157, "")</f>
        <v>5000</v>
      </c>
      <c r="M157" s="99">
        <v>372</v>
      </c>
      <c r="N157" s="97">
        <f>IF(ISNUMBER(M157), (M157 - $B157) / $B157, "")</f>
        <v>3.3333333333333333E-2</v>
      </c>
      <c r="O157" s="98">
        <f>IF(ISNUMBER(M157), $B172 * N157, "")</f>
        <v>5000</v>
      </c>
      <c r="Q157" s="146"/>
      <c r="R157" s="146"/>
      <c r="S157" s="146"/>
    </row>
    <row r="158" spans="1:19" ht="17.25" thickBot="1">
      <c r="A158" s="109" t="s">
        <v>199</v>
      </c>
      <c r="B158" s="110">
        <v>345</v>
      </c>
      <c r="C158" s="70">
        <v>-1.7094017100000001E-2</v>
      </c>
      <c r="D158" s="15">
        <v>382</v>
      </c>
      <c r="E158" s="32">
        <f t="shared" ref="E158:E161" si="82">IF(ISNUMBER(D158), (D158 - $B158) / $B158, "")</f>
        <v>0.1072463768115942</v>
      </c>
      <c r="F158" s="18">
        <f>IF(ISNUMBER(D158), $B172 * E158, "")</f>
        <v>16086.95652173913</v>
      </c>
      <c r="G158" s="31">
        <v>370</v>
      </c>
      <c r="H158" s="32">
        <f t="shared" ref="H158:H161" si="83">IF(ISNUMBER(G158), (G158 - $B158) / $B158, "")</f>
        <v>7.2463768115942032E-2</v>
      </c>
      <c r="I158" s="91">
        <f>IF(ISNUMBER(G158), $B172 * H158, "")</f>
        <v>10869.565217391304</v>
      </c>
      <c r="J158" s="15">
        <v>372</v>
      </c>
      <c r="K158" s="32">
        <f t="shared" ref="K158:K161" si="84">IF(ISNUMBER(J158), (J158 - $B158) / $B158, "")</f>
        <v>7.8260869565217397E-2</v>
      </c>
      <c r="L158" s="18">
        <f>IF(ISNUMBER(J158), $B172 * K158, "")</f>
        <v>11739.13043478261</v>
      </c>
      <c r="M158" s="31">
        <v>374</v>
      </c>
      <c r="N158" s="32">
        <f t="shared" ref="N158:N161" si="85">IF(ISNUMBER(M158), (M158 - $B158) / $B158, "")</f>
        <v>8.4057971014492749E-2</v>
      </c>
      <c r="O158" s="18">
        <f>IF(ISNUMBER(M158), $B172 * N158, "")</f>
        <v>12608.695652173912</v>
      </c>
      <c r="Q158" s="146"/>
      <c r="R158" s="146"/>
      <c r="S158" s="146"/>
    </row>
    <row r="159" spans="1:19" ht="17.25" thickBot="1">
      <c r="A159" s="109" t="s">
        <v>253</v>
      </c>
      <c r="B159" s="110">
        <v>108</v>
      </c>
      <c r="C159" s="70">
        <v>-1.8181818200000002E-2</v>
      </c>
      <c r="D159" s="15">
        <v>112</v>
      </c>
      <c r="E159" s="32">
        <f t="shared" si="82"/>
        <v>3.7037037037037035E-2</v>
      </c>
      <c r="F159" s="18">
        <f>IF(ISNUMBER(D159), $B172 * E159, "")</f>
        <v>5555.5555555555557</v>
      </c>
      <c r="G159" s="31">
        <v>111</v>
      </c>
      <c r="H159" s="32">
        <f t="shared" si="83"/>
        <v>2.7777777777777776E-2</v>
      </c>
      <c r="I159" s="91">
        <f>IF(ISNUMBER(G159), $B172 * H159, "")</f>
        <v>4166.6666666666661</v>
      </c>
      <c r="J159" s="15">
        <v>111</v>
      </c>
      <c r="K159" s="32">
        <f t="shared" si="84"/>
        <v>2.7777777777777776E-2</v>
      </c>
      <c r="L159" s="18">
        <f>IF(ISNUMBER(J159), $B172 * K159, "")</f>
        <v>4166.6666666666661</v>
      </c>
      <c r="M159" s="31">
        <v>110</v>
      </c>
      <c r="N159" s="32">
        <f t="shared" si="85"/>
        <v>1.8518518518518517E-2</v>
      </c>
      <c r="O159" s="18">
        <f>IF(ISNUMBER(M159), $B172 * N159, "")</f>
        <v>2777.7777777777778</v>
      </c>
      <c r="Q159" s="146"/>
      <c r="R159" s="146"/>
      <c r="S159" s="146"/>
    </row>
    <row r="160" spans="1:19" ht="17.25" thickBot="1">
      <c r="A160" s="109" t="s">
        <v>235</v>
      </c>
      <c r="B160" s="110">
        <v>643</v>
      </c>
      <c r="C160" s="70">
        <v>-1.83206107E-2</v>
      </c>
      <c r="D160" s="15">
        <v>663</v>
      </c>
      <c r="E160" s="32">
        <f t="shared" si="82"/>
        <v>3.110419906687403E-2</v>
      </c>
      <c r="F160" s="18">
        <f>IF(ISNUMBER(D160), $B172 * E160, "")</f>
        <v>4665.6298600311047</v>
      </c>
      <c r="G160" s="31">
        <v>656</v>
      </c>
      <c r="H160" s="32">
        <f t="shared" si="83"/>
        <v>2.0217729393468119E-2</v>
      </c>
      <c r="I160" s="91">
        <f>IF(ISNUMBER(G160), $B172 * H160, "")</f>
        <v>3032.6594090202179</v>
      </c>
      <c r="J160" s="15">
        <v>659</v>
      </c>
      <c r="K160" s="32">
        <f t="shared" si="84"/>
        <v>2.4883359253499222E-2</v>
      </c>
      <c r="L160" s="18">
        <f>IF(ISNUMBER(J160), $B172 * K160, "")</f>
        <v>3732.5038880248835</v>
      </c>
      <c r="M160" s="31">
        <v>666</v>
      </c>
      <c r="N160" s="32">
        <f t="shared" si="85"/>
        <v>3.5769828926905133E-2</v>
      </c>
      <c r="O160" s="18">
        <f>IF(ISNUMBER(M160), $B172 * N160, "")</f>
        <v>5365.4743390357698</v>
      </c>
      <c r="Q160" s="33"/>
      <c r="R160" s="33"/>
    </row>
    <row r="161" spans="1:19" ht="17.25" thickBot="1">
      <c r="A161" s="114" t="s">
        <v>219</v>
      </c>
      <c r="B161" s="115">
        <v>481</v>
      </c>
      <c r="C161" s="72">
        <v>-1.8367346900000001E-2</v>
      </c>
      <c r="D161" s="24">
        <v>500</v>
      </c>
      <c r="E161" s="25">
        <f t="shared" si="82"/>
        <v>3.9501039501039503E-2</v>
      </c>
      <c r="F161" s="94">
        <f>IF(ISNUMBER(D161), $B172 * E161, "")</f>
        <v>5925.1559251559256</v>
      </c>
      <c r="G161" s="92">
        <v>490</v>
      </c>
      <c r="H161" s="25">
        <f t="shared" si="83"/>
        <v>1.8711018711018712E-2</v>
      </c>
      <c r="I161" s="93">
        <f>IF(ISNUMBER(G161), $B172 * H161, "")</f>
        <v>2806.6528066528067</v>
      </c>
      <c r="J161" s="24">
        <v>492</v>
      </c>
      <c r="K161" s="25">
        <f t="shared" si="84"/>
        <v>2.286902286902287E-2</v>
      </c>
      <c r="L161" s="94">
        <f>IF(ISNUMBER(J161), $B172 * K161, "")</f>
        <v>3430.3534303534307</v>
      </c>
      <c r="M161" s="92">
        <v>497</v>
      </c>
      <c r="N161" s="25">
        <f t="shared" si="85"/>
        <v>3.3264033264033266E-2</v>
      </c>
      <c r="O161" s="94">
        <f>IF(ISNUMBER(M161), $B172 * N161, "")</f>
        <v>4989.6049896049899</v>
      </c>
      <c r="Q161" s="147"/>
      <c r="R161" s="148"/>
      <c r="S161" s="149"/>
    </row>
    <row r="162" spans="1:19">
      <c r="A162" s="107" t="s">
        <v>149</v>
      </c>
      <c r="B162" s="108">
        <v>532</v>
      </c>
      <c r="C162" s="69">
        <v>-1.8450184500000001E-2</v>
      </c>
      <c r="D162" s="13">
        <v>542</v>
      </c>
      <c r="E162" s="14">
        <f>IF(ISNUMBER(D162), (D162 - $B162) / $B162, "")</f>
        <v>1.8796992481203006E-2</v>
      </c>
      <c r="F162" s="16">
        <f>IF(ISNUMBER(D162), $B172 * E162, "")</f>
        <v>2819.5488721804509</v>
      </c>
      <c r="G162" s="29">
        <v>544</v>
      </c>
      <c r="H162" s="14">
        <f>IF(ISNUMBER(G162), (G162 - $B162) / $B162, "")</f>
        <v>2.2556390977443608E-2</v>
      </c>
      <c r="I162" s="90">
        <f>IF(ISNUMBER(G162), $B172 * H162, "")</f>
        <v>3383.458646616541</v>
      </c>
      <c r="J162" s="13">
        <v>542</v>
      </c>
      <c r="K162" s="14">
        <f>IF(ISNUMBER(J162), (J162 - $B162) / $B162, "")</f>
        <v>1.8796992481203006E-2</v>
      </c>
      <c r="L162" s="16">
        <f>IF(ISNUMBER(J162), $B172 * K162, "")</f>
        <v>2819.5488721804509</v>
      </c>
      <c r="M162" s="29">
        <v>540</v>
      </c>
      <c r="N162" s="14">
        <f>IF(ISNUMBER(M162), (M162 - $B162) / $B162, "")</f>
        <v>1.5037593984962405E-2</v>
      </c>
      <c r="O162" s="16">
        <f>IF(ISNUMBER(M162), $B172 * N162, "")</f>
        <v>2255.6390977443607</v>
      </c>
      <c r="Q162" s="150"/>
      <c r="R162" s="151"/>
      <c r="S162" s="152"/>
    </row>
    <row r="163" spans="1:19" ht="17.25" thickBot="1">
      <c r="A163" s="109" t="s">
        <v>201</v>
      </c>
      <c r="B163" s="110">
        <v>285</v>
      </c>
      <c r="C163" s="70">
        <v>-2.0618556699999999E-2</v>
      </c>
      <c r="D163" s="15">
        <v>323</v>
      </c>
      <c r="E163" s="32">
        <f t="shared" ref="E163:E166" si="86">IF(ISNUMBER(D163), (D163 - $B163) / $B163, "")</f>
        <v>0.13333333333333333</v>
      </c>
      <c r="F163" s="18">
        <f>IF(ISNUMBER(D163), $B172 * E163, "")</f>
        <v>20000</v>
      </c>
      <c r="G163" s="31">
        <v>313</v>
      </c>
      <c r="H163" s="32">
        <f t="shared" ref="H163:H166" si="87">IF(ISNUMBER(G163), (G163 - $B163) / $B163, "")</f>
        <v>9.8245614035087719E-2</v>
      </c>
      <c r="I163" s="91">
        <f>IF(ISNUMBER(G163), $B172 * H163, "")</f>
        <v>14736.842105263158</v>
      </c>
      <c r="J163" s="15">
        <v>311</v>
      </c>
      <c r="K163" s="32">
        <f t="shared" ref="K163:K166" si="88">IF(ISNUMBER(J163), (J163 - $B163) / $B163, "")</f>
        <v>9.1228070175438603E-2</v>
      </c>
      <c r="L163" s="18">
        <f>IF(ISNUMBER(J163), $B172 * K163, "")</f>
        <v>13684.21052631579</v>
      </c>
      <c r="M163" s="31">
        <v>303</v>
      </c>
      <c r="N163" s="32">
        <f t="shared" ref="N163:N166" si="89">IF(ISNUMBER(M163), (M163 - $B163) / $B163, "")</f>
        <v>6.3157894736842107E-2</v>
      </c>
      <c r="O163" s="18">
        <f>IF(ISNUMBER(M163), $B172 * N163, "")</f>
        <v>9473.6842105263167</v>
      </c>
      <c r="Q163" s="153"/>
      <c r="R163" s="154"/>
      <c r="S163" s="155"/>
    </row>
    <row r="164" spans="1:19" ht="17.25" thickBot="1">
      <c r="A164" s="109" t="s">
        <v>231</v>
      </c>
      <c r="B164" s="110">
        <v>392</v>
      </c>
      <c r="C164" s="70">
        <v>-2.2443890300000002E-2</v>
      </c>
      <c r="D164" s="15">
        <v>415</v>
      </c>
      <c r="E164" s="32">
        <f t="shared" si="86"/>
        <v>5.8673469387755105E-2</v>
      </c>
      <c r="F164" s="18">
        <f>IF(ISNUMBER(D164), $B172 * E164, "")</f>
        <v>8801.0204081632655</v>
      </c>
      <c r="G164" s="31">
        <v>408</v>
      </c>
      <c r="H164" s="32">
        <f t="shared" si="87"/>
        <v>4.0816326530612242E-2</v>
      </c>
      <c r="I164" s="91">
        <f>IF(ISNUMBER(G164), $B172 * H164, "")</f>
        <v>6122.4489795918362</v>
      </c>
      <c r="J164" s="15">
        <v>411</v>
      </c>
      <c r="K164" s="32">
        <f t="shared" si="88"/>
        <v>4.8469387755102039E-2</v>
      </c>
      <c r="L164" s="18">
        <f>IF(ISNUMBER(J164), $B172 * K164, "")</f>
        <v>7270.408163265306</v>
      </c>
      <c r="M164" s="31">
        <v>414</v>
      </c>
      <c r="N164" s="32">
        <f t="shared" si="89"/>
        <v>5.6122448979591837E-2</v>
      </c>
      <c r="O164" s="18">
        <f>IF(ISNUMBER(M164), $B172 * N164, "")</f>
        <v>8418.3673469387759</v>
      </c>
      <c r="Q164" s="146"/>
      <c r="R164" s="146"/>
      <c r="S164" s="146"/>
    </row>
    <row r="165" spans="1:19" ht="17.25" thickBot="1">
      <c r="A165" s="109" t="s">
        <v>345</v>
      </c>
      <c r="B165" s="110">
        <v>169</v>
      </c>
      <c r="C165" s="70">
        <v>-2.3121387300000001E-2</v>
      </c>
      <c r="D165" s="15">
        <v>189</v>
      </c>
      <c r="E165" s="32">
        <f t="shared" si="86"/>
        <v>0.11834319526627218</v>
      </c>
      <c r="F165" s="18">
        <f>IF(ISNUMBER(D165), $B172 * E165, "")</f>
        <v>17751.479289940828</v>
      </c>
      <c r="G165" s="31">
        <v>190</v>
      </c>
      <c r="H165" s="32">
        <f t="shared" si="87"/>
        <v>0.1242603550295858</v>
      </c>
      <c r="I165" s="91">
        <f>IF(ISNUMBER(G165), $B172 * H165, "")</f>
        <v>18639.053254437869</v>
      </c>
      <c r="J165" s="15">
        <v>231</v>
      </c>
      <c r="K165" s="32">
        <f t="shared" si="88"/>
        <v>0.36686390532544377</v>
      </c>
      <c r="L165" s="18">
        <f>IF(ISNUMBER(J165), $B172 * K165, "")</f>
        <v>55029.585798816566</v>
      </c>
      <c r="M165" s="31">
        <v>276</v>
      </c>
      <c r="N165" s="32">
        <f t="shared" si="89"/>
        <v>0.63313609467455623</v>
      </c>
      <c r="O165" s="18">
        <f>IF(ISNUMBER(M165), $B172 * N165, "")</f>
        <v>94970.414201183434</v>
      </c>
      <c r="Q165" s="156"/>
      <c r="R165" s="156"/>
      <c r="S165" s="156"/>
    </row>
    <row r="166" spans="1:19" ht="17.25" thickBot="1">
      <c r="A166" s="111" t="s">
        <v>239</v>
      </c>
      <c r="B166" s="112">
        <v>487</v>
      </c>
      <c r="C166" s="71">
        <v>-2.4048096200000001E-2</v>
      </c>
      <c r="D166" s="20">
        <v>511</v>
      </c>
      <c r="E166" s="21">
        <f t="shared" si="86"/>
        <v>4.9281314168377825E-2</v>
      </c>
      <c r="F166" s="22">
        <f>IF(ISNUMBER(D166), $B172 * E166, "")</f>
        <v>7392.1971252566736</v>
      </c>
      <c r="G166" s="30">
        <v>499</v>
      </c>
      <c r="H166" s="21">
        <f t="shared" si="87"/>
        <v>2.4640657084188913E-2</v>
      </c>
      <c r="I166" s="95">
        <f>IF(ISNUMBER(G166), $B172 * H166, "")</f>
        <v>3696.0985626283368</v>
      </c>
      <c r="J166" s="20">
        <v>504</v>
      </c>
      <c r="K166" s="21">
        <f t="shared" si="88"/>
        <v>3.4907597535934289E-2</v>
      </c>
      <c r="L166" s="22">
        <f>IF(ISNUMBER(J166), $B172 * K166, "")</f>
        <v>5236.1396303901429</v>
      </c>
      <c r="M166" s="30">
        <v>507</v>
      </c>
      <c r="N166" s="21">
        <f t="shared" si="89"/>
        <v>4.1067761806981518E-2</v>
      </c>
      <c r="O166" s="22">
        <f>IF(ISNUMBER(M166), $B172 * N166, "")</f>
        <v>6160.1642710472279</v>
      </c>
      <c r="Q166" s="156"/>
      <c r="R166" s="156"/>
      <c r="S166" s="156"/>
    </row>
    <row r="167" spans="1:19" ht="17.25" thickBot="1">
      <c r="A167" s="109" t="s">
        <v>321</v>
      </c>
      <c r="B167" s="113">
        <v>230</v>
      </c>
      <c r="C167" s="73">
        <v>-2.54237288E-2</v>
      </c>
      <c r="D167" s="96">
        <v>245</v>
      </c>
      <c r="E167" s="97">
        <f>IF(ISNUMBER(D167), (D167 - $B167) / $B167, "")</f>
        <v>6.5217391304347824E-2</v>
      </c>
      <c r="F167" s="98">
        <f>IF(ISNUMBER(D167), $B172 * E167, "")</f>
        <v>9782.608695652174</v>
      </c>
      <c r="G167" s="99">
        <v>238</v>
      </c>
      <c r="H167" s="97">
        <f>IF(ISNUMBER(G167), (G167 - $B167) / $B167, "")</f>
        <v>3.4782608695652174E-2</v>
      </c>
      <c r="I167" s="100">
        <f>IF(ISNUMBER(G167), $B172 * H167, "")</f>
        <v>5217.391304347826</v>
      </c>
      <c r="J167" s="96">
        <v>239</v>
      </c>
      <c r="K167" s="97">
        <f>IF(ISNUMBER(J167), (J167 - $B167) / $B167, "")</f>
        <v>3.9130434782608699E-2</v>
      </c>
      <c r="L167" s="98">
        <f>IF(ISNUMBER(J167), $B172 * K167, "")</f>
        <v>5869.5652173913049</v>
      </c>
      <c r="M167" s="99">
        <v>243</v>
      </c>
      <c r="N167" s="97">
        <f>IF(ISNUMBER(M167), (M167 - $B167) / $B167, "")</f>
        <v>5.6521739130434782E-2</v>
      </c>
      <c r="O167" s="98">
        <f>IF(ISNUMBER(M167), $B172 * N167, "")</f>
        <v>8478.2608695652179</v>
      </c>
      <c r="Q167" s="146"/>
      <c r="R167" s="146"/>
      <c r="S167" s="146"/>
    </row>
    <row r="168" spans="1:19" ht="17.25" thickBot="1">
      <c r="A168" s="109" t="s">
        <v>60</v>
      </c>
      <c r="B168" s="110">
        <v>882</v>
      </c>
      <c r="C168" s="70">
        <v>-2.86343612E-2</v>
      </c>
      <c r="D168" s="15">
        <v>907</v>
      </c>
      <c r="E168" s="32">
        <f t="shared" ref="E168:E171" si="90">IF(ISNUMBER(D168), (D168 - $B168) / $B168, "")</f>
        <v>2.834467120181406E-2</v>
      </c>
      <c r="F168" s="18">
        <f>IF(ISNUMBER(D168), $B172 * E168, "")</f>
        <v>4251.7006802721089</v>
      </c>
      <c r="G168" s="31">
        <v>899</v>
      </c>
      <c r="H168" s="32">
        <f t="shared" ref="H168:H171" si="91">IF(ISNUMBER(G168), (G168 - $B168) / $B168, "")</f>
        <v>1.927437641723356E-2</v>
      </c>
      <c r="I168" s="91">
        <f>IF(ISNUMBER(G168), $B172 * H168, "")</f>
        <v>2891.1564625850338</v>
      </c>
      <c r="J168" s="15">
        <v>894</v>
      </c>
      <c r="K168" s="32">
        <f t="shared" ref="K168:K171" si="92">IF(ISNUMBER(J168), (J168 - $B168) / $B168, "")</f>
        <v>1.3605442176870748E-2</v>
      </c>
      <c r="L168" s="18">
        <f>IF(ISNUMBER(J168), $B172 * K168, "")</f>
        <v>2040.8163265306121</v>
      </c>
      <c r="M168" s="31">
        <v>888</v>
      </c>
      <c r="N168" s="32">
        <f t="shared" ref="N168:N171" si="93">IF(ISNUMBER(M168), (M168 - $B168) / $B168, "")</f>
        <v>6.8027210884353739E-3</v>
      </c>
      <c r="O168" s="18">
        <f>IF(ISNUMBER(M168), $B172 * N168, "")</f>
        <v>1020.408163265306</v>
      </c>
      <c r="Q168" s="146"/>
      <c r="R168" s="146"/>
      <c r="S168" s="146"/>
    </row>
    <row r="169" spans="1:19" ht="17.25" thickBot="1">
      <c r="A169" s="109" t="s">
        <v>215</v>
      </c>
      <c r="B169" s="110">
        <v>393</v>
      </c>
      <c r="C169" s="70">
        <v>-2.9629629599999999E-2</v>
      </c>
      <c r="D169" s="15">
        <v>410</v>
      </c>
      <c r="E169" s="32">
        <f t="shared" si="90"/>
        <v>4.3256997455470736E-2</v>
      </c>
      <c r="F169" s="18">
        <f>IF(ISNUMBER(D169), $B172 * E169, "")</f>
        <v>6488.5496183206105</v>
      </c>
      <c r="G169" s="31">
        <v>408</v>
      </c>
      <c r="H169" s="32">
        <f t="shared" si="91"/>
        <v>3.8167938931297711E-2</v>
      </c>
      <c r="I169" s="91">
        <f>IF(ISNUMBER(G169), $B172 * H169, "")</f>
        <v>5725.1908396946565</v>
      </c>
      <c r="J169" s="15">
        <v>405</v>
      </c>
      <c r="K169" s="32">
        <f t="shared" si="92"/>
        <v>3.0534351145038167E-2</v>
      </c>
      <c r="L169" s="18">
        <f>IF(ISNUMBER(J169), $B172 * K169, "")</f>
        <v>4580.1526717557254</v>
      </c>
      <c r="M169" s="31">
        <v>407</v>
      </c>
      <c r="N169" s="32">
        <f t="shared" si="93"/>
        <v>3.5623409669211195E-2</v>
      </c>
      <c r="O169" s="18">
        <f>IF(ISNUMBER(M169), $B172 * N169, "")</f>
        <v>5343.5114503816794</v>
      </c>
      <c r="Q169" s="146"/>
      <c r="R169" s="146"/>
      <c r="S169" s="146"/>
    </row>
    <row r="170" spans="1:19">
      <c r="A170" s="109" t="s">
        <v>111</v>
      </c>
      <c r="B170" s="110">
        <v>980</v>
      </c>
      <c r="C170" s="70">
        <v>-2.9702970299999999E-2</v>
      </c>
      <c r="D170" s="15">
        <v>1000</v>
      </c>
      <c r="E170" s="32">
        <f t="shared" si="90"/>
        <v>2.0408163265306121E-2</v>
      </c>
      <c r="F170" s="18">
        <f>IF(ISNUMBER(D170), $B172 * E170, "")</f>
        <v>3061.2244897959181</v>
      </c>
      <c r="G170" s="31">
        <v>990</v>
      </c>
      <c r="H170" s="32">
        <f t="shared" si="91"/>
        <v>1.020408163265306E-2</v>
      </c>
      <c r="I170" s="91">
        <f>IF(ISNUMBER(G170), $B172 * H170, "")</f>
        <v>1530.612244897959</v>
      </c>
      <c r="J170" s="15">
        <v>984</v>
      </c>
      <c r="K170" s="32">
        <f t="shared" si="92"/>
        <v>4.0816326530612249E-3</v>
      </c>
      <c r="L170" s="18">
        <f>IF(ISNUMBER(J170), $B172 * K170, "")</f>
        <v>612.24489795918373</v>
      </c>
      <c r="M170" s="31">
        <v>975</v>
      </c>
      <c r="N170" s="32">
        <f t="shared" si="93"/>
        <v>-5.1020408163265302E-3</v>
      </c>
      <c r="O170" s="18">
        <f>IF(ISNUMBER(M170), $B172 * N170, "")</f>
        <v>-765.30612244897952</v>
      </c>
      <c r="Q170" s="135"/>
      <c r="R170" s="136"/>
      <c r="S170" s="137"/>
    </row>
    <row r="171" spans="1:19" ht="17.25" thickBot="1">
      <c r="A171" s="114" t="s">
        <v>68</v>
      </c>
      <c r="B171" s="115">
        <v>717</v>
      </c>
      <c r="C171" s="72">
        <v>-4.1443850300000001E-2</v>
      </c>
      <c r="D171" s="24">
        <v>706</v>
      </c>
      <c r="E171" s="25">
        <f t="shared" si="90"/>
        <v>-1.5341701534170154E-2</v>
      </c>
      <c r="F171" s="94">
        <f>IF(ISNUMBER(D171), $B172 * E171, "")</f>
        <v>-2301.2552301255232</v>
      </c>
      <c r="G171" s="92">
        <v>690</v>
      </c>
      <c r="H171" s="25">
        <f t="shared" si="91"/>
        <v>-3.7656903765690378E-2</v>
      </c>
      <c r="I171" s="93">
        <f>IF(ISNUMBER(G171), $B172 * H171, "")</f>
        <v>-5648.5355648535569</v>
      </c>
      <c r="J171" s="24">
        <v>686</v>
      </c>
      <c r="K171" s="25">
        <f t="shared" si="92"/>
        <v>-4.3235704323570434E-2</v>
      </c>
      <c r="L171" s="94">
        <f>IF(ISNUMBER(J171), $B172 * K171, "")</f>
        <v>-6485.3556485355648</v>
      </c>
      <c r="M171" s="92">
        <v>692</v>
      </c>
      <c r="N171" s="25">
        <f t="shared" si="93"/>
        <v>-3.4867503486750349E-2</v>
      </c>
      <c r="O171" s="94">
        <f>IF(ISNUMBER(M171), $B172 * N171, "")</f>
        <v>-5230.1255230125525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5.2518724932087105E-2</v>
      </c>
      <c r="F172" s="28">
        <f>SUM(F152:F171)</f>
        <v>157556.17479626127</v>
      </c>
      <c r="G172" s="26" t="s">
        <v>258</v>
      </c>
      <c r="H172" s="27">
        <f>IF(COUNT(H152:H171), SUM(H152:H171) / COUNT(H152:H171), 0)</f>
        <v>3.5761427280754349E-2</v>
      </c>
      <c r="I172" s="28">
        <f>SUM(I152:I171)</f>
        <v>107284.28184226302</v>
      </c>
      <c r="J172" s="26" t="s">
        <v>258</v>
      </c>
      <c r="K172" s="27">
        <f>IF(COUNT(K152:K171), SUM(K152:K171) / COUNT(K152:K171), 0)</f>
        <v>5.0829763681251118E-2</v>
      </c>
      <c r="L172" s="28">
        <f>SUM(L152:L171)</f>
        <v>152489.29104375336</v>
      </c>
      <c r="M172" s="26" t="s">
        <v>258</v>
      </c>
      <c r="N172" s="27">
        <f>IF(COUNT(N152:N171), SUM(N152:N171) / COUNT(N152:N171), 0)</f>
        <v>6.4513886108164858E-2</v>
      </c>
      <c r="O172" s="28">
        <f>SUM(O152:O171)</f>
        <v>193541.65832449458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2023-01-24(화) 오전 00:00</v>
      </c>
      <c r="C177" s="198"/>
      <c r="D177" s="170" t="str">
        <f>TEXT($G$1, "[$-ko-KR]yyyy-mm-dd(ddd) ") &amp; "오후 14:00"</f>
        <v>2023-01-24(화) 오후 14:00</v>
      </c>
      <c r="E177" s="171"/>
      <c r="F177" s="172"/>
      <c r="G177" s="170" t="str">
        <f>TEXT($G$1, "[$-ko-KR]yyyy-mm-dd(ddd) ") &amp; "오후 19:00"</f>
        <v>2023-01-24(화) 오후 19:00</v>
      </c>
      <c r="H177" s="171"/>
      <c r="I177" s="172"/>
      <c r="J177" s="170" t="str">
        <f>TEXT($G$1, "[$-ko-KR]yyyy-mm-dd(ddd) ") &amp; "오후 21:00"</f>
        <v>2023-01-24(화) 오후 21:00</v>
      </c>
      <c r="K177" s="171"/>
      <c r="L177" s="172"/>
      <c r="M177" s="170" t="str">
        <f>TEXT($G$1+1, "[$-ko-KR]yyyy-mm-dd(ddd) ") &amp; "오전 00:00"</f>
        <v>2023-01-25(수)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345</v>
      </c>
      <c r="B179" s="108">
        <v>169</v>
      </c>
      <c r="C179" s="69">
        <v>-2.3121387300000001E-2</v>
      </c>
      <c r="D179" s="13">
        <v>189</v>
      </c>
      <c r="E179" s="14">
        <f>IF(ISNUMBER(D179), (D179 - $B179) / $B179, "")</f>
        <v>0.11834319526627218</v>
      </c>
      <c r="F179" s="16">
        <f>IF(ISNUMBER(D179), $B199 * E179, "")</f>
        <v>17751.479289940828</v>
      </c>
      <c r="G179" s="29">
        <v>190</v>
      </c>
      <c r="H179" s="14">
        <f>IF(ISNUMBER(G179), (G179 - $B179) / $B179, "")</f>
        <v>0.1242603550295858</v>
      </c>
      <c r="I179" s="90">
        <f>IF(ISNUMBER(G179), $B199 * H179, "")</f>
        <v>18639.053254437869</v>
      </c>
      <c r="J179" s="13">
        <v>231</v>
      </c>
      <c r="K179" s="14">
        <f>IF(ISNUMBER(J179), (J179 - $B179) / $B179, "")</f>
        <v>0.36686390532544377</v>
      </c>
      <c r="L179" s="16">
        <f>IF(ISNUMBER(J179), $B199 * K179, "")</f>
        <v>55029.585798816566</v>
      </c>
      <c r="M179" s="29">
        <v>276</v>
      </c>
      <c r="N179" s="14">
        <f>IF(ISNUMBER(M179), (M179 - $B179) / $B179, "")</f>
        <v>0.63313609467455623</v>
      </c>
      <c r="O179" s="16">
        <f>IF(ISNUMBER(M179), $B199 * N179, "")</f>
        <v>94970.414201183434</v>
      </c>
      <c r="Q179" s="156"/>
      <c r="R179" s="156"/>
      <c r="S179" s="156"/>
    </row>
    <row r="180" spans="1:19" ht="17.25" thickBot="1">
      <c r="A180" s="109" t="s">
        <v>329</v>
      </c>
      <c r="B180" s="110">
        <v>84.3</v>
      </c>
      <c r="C180" s="70">
        <v>-2.3174970999999999E-2</v>
      </c>
      <c r="D180" s="15">
        <v>86</v>
      </c>
      <c r="E180" s="32">
        <f t="shared" ref="E180:E183" si="94">IF(ISNUMBER(D180), (D180 - $B180) / $B180, "")</f>
        <v>2.0166073546856501E-2</v>
      </c>
      <c r="F180" s="18">
        <f>IF(ISNUMBER(D180), $B199 * E180, "")</f>
        <v>3024.9110320284749</v>
      </c>
      <c r="G180" s="31">
        <v>85.3</v>
      </c>
      <c r="H180" s="32">
        <f t="shared" ref="H180:H183" si="95">IF(ISNUMBER(G180), (G180 - $B180) / $B180, "")</f>
        <v>1.1862396204033215E-2</v>
      </c>
      <c r="I180" s="91">
        <f>IF(ISNUMBER(G180), $B199 * H180, "")</f>
        <v>1779.3594306049822</v>
      </c>
      <c r="J180" s="15">
        <v>85.3</v>
      </c>
      <c r="K180" s="32">
        <f t="shared" ref="K180:K183" si="96">IF(ISNUMBER(J180), (J180 - $B180) / $B180, "")</f>
        <v>1.1862396204033215E-2</v>
      </c>
      <c r="L180" s="18">
        <f>IF(ISNUMBER(J180), $B199 * K180, "")</f>
        <v>1779.3594306049822</v>
      </c>
      <c r="M180" s="31">
        <v>85.7</v>
      </c>
      <c r="N180" s="32">
        <f t="shared" ref="N180:N183" si="97">IF(ISNUMBER(M180), (M180 - $B180) / $B180, "")</f>
        <v>1.6607354685646569E-2</v>
      </c>
      <c r="O180" s="18">
        <f>IF(ISNUMBER(M180), $B199 * N180, "")</f>
        <v>2491.1032028469854</v>
      </c>
      <c r="Q180" s="156"/>
      <c r="R180" s="156"/>
      <c r="S180" s="156"/>
    </row>
    <row r="181" spans="1:19" ht="17.25" thickBot="1">
      <c r="A181" s="109" t="s">
        <v>71</v>
      </c>
      <c r="B181" s="110">
        <v>12.6</v>
      </c>
      <c r="C181" s="70">
        <v>-2.3255814E-2</v>
      </c>
      <c r="D181" s="15">
        <v>13.2</v>
      </c>
      <c r="E181" s="32">
        <f t="shared" si="94"/>
        <v>4.7619047619047596E-2</v>
      </c>
      <c r="F181" s="18">
        <f>IF(ISNUMBER(D181), $B199 * E181, "")</f>
        <v>7142.8571428571395</v>
      </c>
      <c r="G181" s="31">
        <v>13</v>
      </c>
      <c r="H181" s="32">
        <f t="shared" si="95"/>
        <v>3.1746031746031772E-2</v>
      </c>
      <c r="I181" s="91">
        <f>IF(ISNUMBER(G181), $B199 * H181, "")</f>
        <v>4761.904761904766</v>
      </c>
      <c r="J181" s="15">
        <v>13.3</v>
      </c>
      <c r="K181" s="32">
        <f t="shared" si="96"/>
        <v>5.5555555555555643E-2</v>
      </c>
      <c r="L181" s="18">
        <f>IF(ISNUMBER(J181), $B199 * K181, "")</f>
        <v>8333.3333333333467</v>
      </c>
      <c r="M181" s="31">
        <v>13.1</v>
      </c>
      <c r="N181" s="32">
        <f t="shared" si="97"/>
        <v>3.968253968253968E-2</v>
      </c>
      <c r="O181" s="18">
        <f>IF(ISNUMBER(M181), $B199 * N181, "")</f>
        <v>5952.3809523809523</v>
      </c>
      <c r="Q181" s="146"/>
      <c r="R181" s="146"/>
      <c r="S181" s="146"/>
    </row>
    <row r="182" spans="1:19" ht="17.25" thickBot="1">
      <c r="A182" s="109" t="s">
        <v>174</v>
      </c>
      <c r="B182" s="110">
        <v>16090</v>
      </c>
      <c r="C182" s="70">
        <v>-2.3665048500000001E-2</v>
      </c>
      <c r="D182" s="15">
        <v>16460</v>
      </c>
      <c r="E182" s="32">
        <f t="shared" si="94"/>
        <v>2.2995649471721565E-2</v>
      </c>
      <c r="F182" s="18">
        <f>IF(ISNUMBER(D182), $B199 * E182, "")</f>
        <v>3449.3474207582349</v>
      </c>
      <c r="G182" s="31">
        <v>16270</v>
      </c>
      <c r="H182" s="32">
        <f t="shared" si="95"/>
        <v>1.1187072715972654E-2</v>
      </c>
      <c r="I182" s="91">
        <f>IF(ISNUMBER(G182), $B199 * H182, "")</f>
        <v>1678.0609073958981</v>
      </c>
      <c r="J182" s="15">
        <v>16260</v>
      </c>
      <c r="K182" s="32">
        <f t="shared" si="96"/>
        <v>1.0565568676196395E-2</v>
      </c>
      <c r="L182" s="18">
        <f>IF(ISNUMBER(J182), $B199 * K182, "")</f>
        <v>1584.8353014294592</v>
      </c>
      <c r="M182" s="31">
        <v>16400</v>
      </c>
      <c r="N182" s="32">
        <f t="shared" si="97"/>
        <v>1.9266625233064015E-2</v>
      </c>
      <c r="O182" s="18">
        <f>IF(ISNUMBER(M182), $B199 * N182, "")</f>
        <v>2889.9937849596022</v>
      </c>
      <c r="Q182" s="146"/>
      <c r="R182" s="146"/>
      <c r="S182" s="146"/>
    </row>
    <row r="183" spans="1:19" ht="17.25" thickBot="1">
      <c r="A183" s="111" t="s">
        <v>339</v>
      </c>
      <c r="B183" s="112">
        <v>1220</v>
      </c>
      <c r="C183" s="71">
        <v>-2.4E-2</v>
      </c>
      <c r="D183" s="20">
        <v>1260</v>
      </c>
      <c r="E183" s="21">
        <f t="shared" si="94"/>
        <v>3.2786885245901641E-2</v>
      </c>
      <c r="F183" s="22">
        <f>IF(ISNUMBER(D183), $B199 * E183, "")</f>
        <v>4918.0327868852464</v>
      </c>
      <c r="G183" s="30">
        <v>1265</v>
      </c>
      <c r="H183" s="21">
        <f t="shared" si="95"/>
        <v>3.6885245901639344E-2</v>
      </c>
      <c r="I183" s="95">
        <f>IF(ISNUMBER(G183), $B199 * H183, "")</f>
        <v>5532.7868852459014</v>
      </c>
      <c r="J183" s="20">
        <v>1260</v>
      </c>
      <c r="K183" s="21">
        <f t="shared" si="96"/>
        <v>3.2786885245901641E-2</v>
      </c>
      <c r="L183" s="22">
        <f>IF(ISNUMBER(J183), $B199 * K183, "")</f>
        <v>4918.0327868852464</v>
      </c>
      <c r="M183" s="30">
        <v>1245</v>
      </c>
      <c r="N183" s="21">
        <f t="shared" si="97"/>
        <v>2.0491803278688523E-2</v>
      </c>
      <c r="O183" s="22">
        <f>IF(ISNUMBER(M183), $B199 * N183, "")</f>
        <v>3073.7704918032787</v>
      </c>
      <c r="Q183" s="146"/>
      <c r="R183" s="146"/>
      <c r="S183" s="146"/>
    </row>
    <row r="184" spans="1:19" ht="17.25" thickBot="1">
      <c r="A184" s="109" t="s">
        <v>239</v>
      </c>
      <c r="B184" s="113">
        <v>487</v>
      </c>
      <c r="C184" s="73">
        <v>-2.4048096200000001E-2</v>
      </c>
      <c r="D184" s="96">
        <v>511</v>
      </c>
      <c r="E184" s="97">
        <f>IF(ISNUMBER(D184), (D184 - $B184) / $B184, "")</f>
        <v>4.9281314168377825E-2</v>
      </c>
      <c r="F184" s="98">
        <f>IF(ISNUMBER(D184), $B199 * E184, "")</f>
        <v>7392.1971252566736</v>
      </c>
      <c r="G184" s="99">
        <v>499</v>
      </c>
      <c r="H184" s="97">
        <f>IF(ISNUMBER(G184), (G184 - $B184) / $B184, "")</f>
        <v>2.4640657084188913E-2</v>
      </c>
      <c r="I184" s="100">
        <f>IF(ISNUMBER(G184), $B199 * H184, "")</f>
        <v>3696.0985626283368</v>
      </c>
      <c r="J184" s="96">
        <v>504</v>
      </c>
      <c r="K184" s="97">
        <f>IF(ISNUMBER(J184), (J184 - $B184) / $B184, "")</f>
        <v>3.4907597535934289E-2</v>
      </c>
      <c r="L184" s="98">
        <f>IF(ISNUMBER(J184), $B199 * K184, "")</f>
        <v>5236.1396303901429</v>
      </c>
      <c r="M184" s="99">
        <v>507</v>
      </c>
      <c r="N184" s="97">
        <f>IF(ISNUMBER(M184), (M184 - $B184) / $B184, "")</f>
        <v>4.1067761806981518E-2</v>
      </c>
      <c r="O184" s="98">
        <f>IF(ISNUMBER(M184), $B199 * N184, "")</f>
        <v>6160.1642710472279</v>
      </c>
      <c r="Q184" s="146"/>
      <c r="R184" s="146"/>
      <c r="S184" s="146"/>
    </row>
    <row r="185" spans="1:19" ht="17.25" thickBot="1">
      <c r="A185" s="109" t="s">
        <v>350</v>
      </c>
      <c r="B185" s="110">
        <v>7.7</v>
      </c>
      <c r="C185" s="70">
        <v>-2.4081115300000001E-2</v>
      </c>
      <c r="D185" s="15">
        <v>7.95</v>
      </c>
      <c r="E185" s="32">
        <f t="shared" ref="E185:E188" si="98">IF(ISNUMBER(D185), (D185 - $B185) / $B185, "")</f>
        <v>3.2467532467532464E-2</v>
      </c>
      <c r="F185" s="18">
        <f>IF(ISNUMBER(D185), $B199 * E185, "")</f>
        <v>4870.1298701298692</v>
      </c>
      <c r="G185" s="31">
        <v>7.93</v>
      </c>
      <c r="H185" s="32">
        <f t="shared" ref="H185:H188" si="99">IF(ISNUMBER(G185), (G185 - $B185) / $B185, "")</f>
        <v>2.9870129870129811E-2</v>
      </c>
      <c r="I185" s="91">
        <f>IF(ISNUMBER(G185), $B199 * H185, "")</f>
        <v>4480.5194805194715</v>
      </c>
      <c r="J185" s="15">
        <v>8.2100000000000009</v>
      </c>
      <c r="K185" s="32">
        <f t="shared" ref="K185:K188" si="100">IF(ISNUMBER(J185), (J185 - $B185) / $B185, "")</f>
        <v>6.6233766233766325E-2</v>
      </c>
      <c r="L185" s="18">
        <f>IF(ISNUMBER(J185), $B199 * K185, "")</f>
        <v>9935.0649350649492</v>
      </c>
      <c r="M185" s="31">
        <v>8.11</v>
      </c>
      <c r="N185" s="32">
        <f t="shared" ref="N185:N188" si="101">IF(ISNUMBER(M185), (M185 - $B185) / $B185, "")</f>
        <v>5.3246753246753147E-2</v>
      </c>
      <c r="O185" s="18">
        <f>IF(ISNUMBER(M185), $B199 * N185, "")</f>
        <v>7987.0129870129722</v>
      </c>
      <c r="Q185" s="146"/>
      <c r="R185" s="146"/>
      <c r="S185" s="146"/>
    </row>
    <row r="186" spans="1:19" ht="17.25" thickBot="1">
      <c r="A186" s="109" t="s">
        <v>130</v>
      </c>
      <c r="B186" s="110">
        <v>1005</v>
      </c>
      <c r="C186" s="70">
        <v>-2.42718447E-2</v>
      </c>
      <c r="D186" s="15">
        <v>1035</v>
      </c>
      <c r="E186" s="32">
        <f t="shared" si="98"/>
        <v>2.9850746268656716E-2</v>
      </c>
      <c r="F186" s="18">
        <f>IF(ISNUMBER(D186), $B199 * E186, "")</f>
        <v>4477.6119402985078</v>
      </c>
      <c r="G186" s="31">
        <v>1030</v>
      </c>
      <c r="H186" s="32">
        <f t="shared" si="99"/>
        <v>2.4875621890547265E-2</v>
      </c>
      <c r="I186" s="91">
        <f>IF(ISNUMBER(G186), $B199 * H186, "")</f>
        <v>3731.34328358209</v>
      </c>
      <c r="J186" s="15">
        <v>1030</v>
      </c>
      <c r="K186" s="32">
        <f t="shared" si="100"/>
        <v>2.4875621890547265E-2</v>
      </c>
      <c r="L186" s="18">
        <f>IF(ISNUMBER(J186), $B199 * K186, "")</f>
        <v>3731.34328358209</v>
      </c>
      <c r="M186" s="31">
        <v>1030</v>
      </c>
      <c r="N186" s="32">
        <f t="shared" si="101"/>
        <v>2.4875621890547265E-2</v>
      </c>
      <c r="O186" s="18">
        <f>IF(ISNUMBER(M186), $B199 * N186, "")</f>
        <v>3731.34328358209</v>
      </c>
      <c r="Q186" s="146"/>
      <c r="R186" s="146"/>
      <c r="S186" s="146"/>
    </row>
    <row r="187" spans="1:19" ht="17.25" thickBot="1">
      <c r="A187" s="109" t="s">
        <v>321</v>
      </c>
      <c r="B187" s="110">
        <v>230</v>
      </c>
      <c r="C187" s="70">
        <v>-2.54237288E-2</v>
      </c>
      <c r="D187" s="15">
        <v>245</v>
      </c>
      <c r="E187" s="32">
        <f t="shared" si="98"/>
        <v>6.5217391304347824E-2</v>
      </c>
      <c r="F187" s="18">
        <f>IF(ISNUMBER(D187), $B199 * E187, "")</f>
        <v>9782.608695652174</v>
      </c>
      <c r="G187" s="31">
        <v>238</v>
      </c>
      <c r="H187" s="32">
        <f t="shared" si="99"/>
        <v>3.4782608695652174E-2</v>
      </c>
      <c r="I187" s="91">
        <f>IF(ISNUMBER(G187), $B199 * H187, "")</f>
        <v>5217.391304347826</v>
      </c>
      <c r="J187" s="15">
        <v>239</v>
      </c>
      <c r="K187" s="32">
        <f t="shared" si="100"/>
        <v>3.9130434782608699E-2</v>
      </c>
      <c r="L187" s="18">
        <f>IF(ISNUMBER(J187), $B199 * K187, "")</f>
        <v>5869.5652173913049</v>
      </c>
      <c r="M187" s="31">
        <v>243</v>
      </c>
      <c r="N187" s="32">
        <f t="shared" si="101"/>
        <v>5.6521739130434782E-2</v>
      </c>
      <c r="O187" s="18">
        <f>IF(ISNUMBER(M187), $B199 * N187, "")</f>
        <v>8478.2608695652179</v>
      </c>
      <c r="Q187" s="33"/>
      <c r="R187" s="33"/>
    </row>
    <row r="188" spans="1:19" ht="17.25" thickBot="1">
      <c r="A188" s="114" t="s">
        <v>225</v>
      </c>
      <c r="B188" s="115">
        <v>67.099999999999994</v>
      </c>
      <c r="C188" s="72">
        <v>-2.6124818599999999E-2</v>
      </c>
      <c r="D188" s="24">
        <v>67.7</v>
      </c>
      <c r="E188" s="25">
        <f t="shared" si="98"/>
        <v>8.9418777943369391E-3</v>
      </c>
      <c r="F188" s="94">
        <f>IF(ISNUMBER(D188), $B199 * E188, "")</f>
        <v>1341.2816691505409</v>
      </c>
      <c r="G188" s="92">
        <v>67.099999999999994</v>
      </c>
      <c r="H188" s="25">
        <f t="shared" si="99"/>
        <v>0</v>
      </c>
      <c r="I188" s="93">
        <f>IF(ISNUMBER(G188), $B199 * H188, "")</f>
        <v>0</v>
      </c>
      <c r="J188" s="24">
        <v>67.8</v>
      </c>
      <c r="K188" s="25">
        <f t="shared" si="100"/>
        <v>1.0432190760059655E-2</v>
      </c>
      <c r="L188" s="94">
        <f>IF(ISNUMBER(J188), $B199 * K188, "")</f>
        <v>1564.8286140089483</v>
      </c>
      <c r="M188" s="92">
        <v>67.7</v>
      </c>
      <c r="N188" s="25">
        <f t="shared" si="101"/>
        <v>8.9418777943369391E-3</v>
      </c>
      <c r="O188" s="94">
        <f>IF(ISNUMBER(M188), $B199 * N188, "")</f>
        <v>1341.2816691505409</v>
      </c>
      <c r="Q188" s="147"/>
      <c r="R188" s="148"/>
      <c r="S188" s="149"/>
    </row>
    <row r="189" spans="1:19">
      <c r="A189" s="107" t="s">
        <v>189</v>
      </c>
      <c r="B189" s="108">
        <v>1450</v>
      </c>
      <c r="C189" s="69">
        <v>-2.68456376E-2</v>
      </c>
      <c r="D189" s="13">
        <v>1540</v>
      </c>
      <c r="E189" s="14">
        <f>IF(ISNUMBER(D189), (D189 - $B189) / $B189, "")</f>
        <v>6.2068965517241378E-2</v>
      </c>
      <c r="F189" s="16">
        <f>IF(ISNUMBER(D189), $B199 * E189, "")</f>
        <v>9310.3448275862065</v>
      </c>
      <c r="G189" s="29">
        <v>1520</v>
      </c>
      <c r="H189" s="14">
        <f>IF(ISNUMBER(G189), (G189 - $B189) / $B189, "")</f>
        <v>4.8275862068965517E-2</v>
      </c>
      <c r="I189" s="90">
        <f>IF(ISNUMBER(G189), $B199 * H189, "")</f>
        <v>7241.3793103448279</v>
      </c>
      <c r="J189" s="13">
        <v>1505</v>
      </c>
      <c r="K189" s="14">
        <f>IF(ISNUMBER(J189), (J189 - $B189) / $B189, "")</f>
        <v>3.793103448275862E-2</v>
      </c>
      <c r="L189" s="16">
        <f>IF(ISNUMBER(J189), $B199 * K189, "")</f>
        <v>5689.6551724137926</v>
      </c>
      <c r="M189" s="29">
        <v>1500</v>
      </c>
      <c r="N189" s="14">
        <f>IF(ISNUMBER(M189), (M189 - $B189) / $B189, "")</f>
        <v>3.4482758620689655E-2</v>
      </c>
      <c r="O189" s="16">
        <f>IF(ISNUMBER(M189), $B199 * N189, "")</f>
        <v>5172.4137931034484</v>
      </c>
      <c r="Q189" s="150"/>
      <c r="R189" s="151"/>
      <c r="S189" s="152"/>
    </row>
    <row r="190" spans="1:19" ht="17.25" thickBot="1">
      <c r="A190" s="109" t="s">
        <v>60</v>
      </c>
      <c r="B190" s="110">
        <v>882</v>
      </c>
      <c r="C190" s="70">
        <v>-2.86343612E-2</v>
      </c>
      <c r="D190" s="15">
        <v>907</v>
      </c>
      <c r="E190" s="32">
        <f t="shared" ref="E190:E193" si="102">IF(ISNUMBER(D190), (D190 - $B190) / $B190, "")</f>
        <v>2.834467120181406E-2</v>
      </c>
      <c r="F190" s="18">
        <f>IF(ISNUMBER(D190), $B199 * E190, "")</f>
        <v>4251.7006802721089</v>
      </c>
      <c r="G190" s="31">
        <v>899</v>
      </c>
      <c r="H190" s="32">
        <f t="shared" ref="H190:H193" si="103">IF(ISNUMBER(G190), (G190 - $B190) / $B190, "")</f>
        <v>1.927437641723356E-2</v>
      </c>
      <c r="I190" s="91">
        <f>IF(ISNUMBER(G190), $B199 * H190, "")</f>
        <v>2891.1564625850338</v>
      </c>
      <c r="J190" s="15">
        <v>894</v>
      </c>
      <c r="K190" s="32">
        <f t="shared" ref="K190:K193" si="104">IF(ISNUMBER(J190), (J190 - $B190) / $B190, "")</f>
        <v>1.3605442176870748E-2</v>
      </c>
      <c r="L190" s="18">
        <f>IF(ISNUMBER(J190), $B199 * K190, "")</f>
        <v>2040.8163265306121</v>
      </c>
      <c r="M190" s="31">
        <v>888</v>
      </c>
      <c r="N190" s="32">
        <f t="shared" ref="N190:N193" si="105">IF(ISNUMBER(M190), (M190 - $B190) / $B190, "")</f>
        <v>6.8027210884353739E-3</v>
      </c>
      <c r="O190" s="18">
        <f>IF(ISNUMBER(M190), $B199 * N190, "")</f>
        <v>1020.408163265306</v>
      </c>
      <c r="Q190" s="153"/>
      <c r="R190" s="154"/>
      <c r="S190" s="155"/>
    </row>
    <row r="191" spans="1:19" ht="17.25" thickBot="1">
      <c r="A191" s="109" t="s">
        <v>215</v>
      </c>
      <c r="B191" s="110">
        <v>393</v>
      </c>
      <c r="C191" s="70">
        <v>-2.9629629599999999E-2</v>
      </c>
      <c r="D191" s="15">
        <v>410</v>
      </c>
      <c r="E191" s="32">
        <f t="shared" si="102"/>
        <v>4.3256997455470736E-2</v>
      </c>
      <c r="F191" s="18">
        <f>IF(ISNUMBER(D191), $B199 * E191, "")</f>
        <v>6488.5496183206105</v>
      </c>
      <c r="G191" s="31">
        <v>408</v>
      </c>
      <c r="H191" s="32">
        <f t="shared" si="103"/>
        <v>3.8167938931297711E-2</v>
      </c>
      <c r="I191" s="91">
        <f>IF(ISNUMBER(G191), $B199 * H191, "")</f>
        <v>5725.1908396946565</v>
      </c>
      <c r="J191" s="15">
        <v>405</v>
      </c>
      <c r="K191" s="32">
        <f t="shared" si="104"/>
        <v>3.0534351145038167E-2</v>
      </c>
      <c r="L191" s="18">
        <f>IF(ISNUMBER(J191), $B199 * K191, "")</f>
        <v>4580.1526717557254</v>
      </c>
      <c r="M191" s="31">
        <v>407</v>
      </c>
      <c r="N191" s="32">
        <f t="shared" si="105"/>
        <v>3.5623409669211195E-2</v>
      </c>
      <c r="O191" s="18">
        <f>IF(ISNUMBER(M191), $B199 * N191, "")</f>
        <v>5343.5114503816794</v>
      </c>
      <c r="Q191" s="146"/>
      <c r="R191" s="146"/>
      <c r="S191" s="146"/>
    </row>
    <row r="192" spans="1:19" ht="17.25" thickBot="1">
      <c r="A192" s="109" t="s">
        <v>111</v>
      </c>
      <c r="B192" s="110">
        <v>980</v>
      </c>
      <c r="C192" s="70">
        <v>-2.9702970299999999E-2</v>
      </c>
      <c r="D192" s="15">
        <v>1000</v>
      </c>
      <c r="E192" s="32">
        <f t="shared" si="102"/>
        <v>2.0408163265306121E-2</v>
      </c>
      <c r="F192" s="18">
        <f>IF(ISNUMBER(D192), $B199 * E192, "")</f>
        <v>3061.2244897959181</v>
      </c>
      <c r="G192" s="31">
        <v>990</v>
      </c>
      <c r="H192" s="32">
        <f t="shared" si="103"/>
        <v>1.020408163265306E-2</v>
      </c>
      <c r="I192" s="91">
        <f>IF(ISNUMBER(G192), $B199 * H192, "")</f>
        <v>1530.612244897959</v>
      </c>
      <c r="J192" s="15">
        <v>984</v>
      </c>
      <c r="K192" s="32">
        <f t="shared" si="104"/>
        <v>4.0816326530612249E-3</v>
      </c>
      <c r="L192" s="18">
        <f>IF(ISNUMBER(J192), $B199 * K192, "")</f>
        <v>612.24489795918373</v>
      </c>
      <c r="M192" s="31">
        <v>975</v>
      </c>
      <c r="N192" s="32">
        <f t="shared" si="105"/>
        <v>-5.1020408163265302E-3</v>
      </c>
      <c r="O192" s="18">
        <f>IF(ISNUMBER(M192), $B199 * N192, "")</f>
        <v>-765.30612244897952</v>
      </c>
      <c r="Q192" s="156"/>
      <c r="R192" s="156"/>
      <c r="S192" s="156"/>
    </row>
    <row r="193" spans="1:19" ht="17.25" thickBot="1">
      <c r="A193" s="111" t="s">
        <v>163</v>
      </c>
      <c r="B193" s="112">
        <v>7380</v>
      </c>
      <c r="C193" s="71">
        <v>-3.0860144499999999E-2</v>
      </c>
      <c r="D193" s="20">
        <v>7505</v>
      </c>
      <c r="E193" s="21">
        <f t="shared" si="102"/>
        <v>1.6937669376693765E-2</v>
      </c>
      <c r="F193" s="22">
        <f>IF(ISNUMBER(D193), $B199 * E193, "")</f>
        <v>2540.6504065040649</v>
      </c>
      <c r="G193" s="30">
        <v>7450</v>
      </c>
      <c r="H193" s="21">
        <f t="shared" si="103"/>
        <v>9.485094850948509E-3</v>
      </c>
      <c r="I193" s="95">
        <f>IF(ISNUMBER(G193), $B199 * H193, "")</f>
        <v>1422.7642276422764</v>
      </c>
      <c r="J193" s="20">
        <v>7485</v>
      </c>
      <c r="K193" s="21">
        <f t="shared" si="104"/>
        <v>1.4227642276422764E-2</v>
      </c>
      <c r="L193" s="22">
        <f>IF(ISNUMBER(J193), $B199 * K193, "")</f>
        <v>2134.1463414634145</v>
      </c>
      <c r="M193" s="30">
        <v>7500</v>
      </c>
      <c r="N193" s="21">
        <f t="shared" si="105"/>
        <v>1.6260162601626018E-2</v>
      </c>
      <c r="O193" s="22">
        <f>IF(ISNUMBER(M193), $B199 * N193, "")</f>
        <v>2439.0243902439029</v>
      </c>
      <c r="Q193" s="156"/>
      <c r="R193" s="156"/>
      <c r="S193" s="156"/>
    </row>
    <row r="194" spans="1:19" ht="17.25" thickBot="1">
      <c r="A194" s="109" t="s">
        <v>328</v>
      </c>
      <c r="B194" s="113">
        <v>16140</v>
      </c>
      <c r="C194" s="73">
        <v>-3.3532934100000002E-2</v>
      </c>
      <c r="D194" s="96">
        <v>16360</v>
      </c>
      <c r="E194" s="97">
        <f>IF(ISNUMBER(D194), (D194 - $B194) / $B194, "")</f>
        <v>1.3630731102850062E-2</v>
      </c>
      <c r="F194" s="98">
        <f>IF(ISNUMBER(D194), $B199 * E194, "")</f>
        <v>2044.6096654275093</v>
      </c>
      <c r="G194" s="99">
        <v>16210</v>
      </c>
      <c r="H194" s="97">
        <f>IF(ISNUMBER(G194), (G194 - $B194) / $B194, "")</f>
        <v>4.3370508054522928E-3</v>
      </c>
      <c r="I194" s="100">
        <f>IF(ISNUMBER(G194), $B199 * H194, "")</f>
        <v>650.55762081784394</v>
      </c>
      <c r="J194" s="96">
        <v>16010</v>
      </c>
      <c r="K194" s="97">
        <f>IF(ISNUMBER(J194), (J194 - $B194) / $B194, "")</f>
        <v>-8.0545229244113996E-3</v>
      </c>
      <c r="L194" s="98">
        <f>IF(ISNUMBER(J194), $B199 * K194, "")</f>
        <v>-1208.1784386617098</v>
      </c>
      <c r="M194" s="99">
        <v>16040</v>
      </c>
      <c r="N194" s="97">
        <f>IF(ISNUMBER(M194), (M194 - $B194) / $B194, "")</f>
        <v>-6.1957868649318466E-3</v>
      </c>
      <c r="O194" s="98">
        <f>IF(ISNUMBER(M194), $B199 * N194, "")</f>
        <v>-929.36802973977694</v>
      </c>
      <c r="Q194" s="146"/>
      <c r="R194" s="146"/>
      <c r="S194" s="146"/>
    </row>
    <row r="195" spans="1:19" ht="17.25" thickBot="1">
      <c r="A195" s="109" t="s">
        <v>73</v>
      </c>
      <c r="B195" s="110">
        <v>16110</v>
      </c>
      <c r="C195" s="70">
        <v>-3.35932813E-2</v>
      </c>
      <c r="D195" s="15">
        <v>16600</v>
      </c>
      <c r="E195" s="32">
        <f t="shared" ref="E195:E198" si="106">IF(ISNUMBER(D195), (D195 - $B195) / $B195, "")</f>
        <v>3.0415890751086281E-2</v>
      </c>
      <c r="F195" s="18">
        <f>IF(ISNUMBER(D195), $B199 * E195, "")</f>
        <v>4562.3836126629421</v>
      </c>
      <c r="G195" s="31">
        <v>16360</v>
      </c>
      <c r="H195" s="32">
        <f t="shared" ref="H195:H198" si="107">IF(ISNUMBER(G195), (G195 - $B195) / $B195, "")</f>
        <v>1.5518311607697082E-2</v>
      </c>
      <c r="I195" s="91">
        <f>IF(ISNUMBER(G195), $B199 * H195, "")</f>
        <v>2327.7467411545622</v>
      </c>
      <c r="J195" s="15">
        <v>16290</v>
      </c>
      <c r="K195" s="32">
        <f t="shared" ref="K195:K198" si="108">IF(ISNUMBER(J195), (J195 - $B195) / $B195, "")</f>
        <v>1.11731843575419E-2</v>
      </c>
      <c r="L195" s="18">
        <f>IF(ISNUMBER(J195), $B199 * K195, "")</f>
        <v>1675.977653631285</v>
      </c>
      <c r="M195" s="31">
        <v>16240</v>
      </c>
      <c r="N195" s="32">
        <f t="shared" ref="N195:N198" si="109">IF(ISNUMBER(M195), (M195 - $B195) / $B195, "")</f>
        <v>8.0695220360024831E-3</v>
      </c>
      <c r="O195" s="18">
        <f>IF(ISNUMBER(M195), $B199 * N195, "")</f>
        <v>1210.4283054003724</v>
      </c>
      <c r="Q195" s="146"/>
      <c r="R195" s="146"/>
      <c r="S195" s="146"/>
    </row>
    <row r="196" spans="1:19" ht="17.25" thickBot="1">
      <c r="A196" s="109" t="s">
        <v>113</v>
      </c>
      <c r="B196" s="110">
        <v>2110</v>
      </c>
      <c r="C196" s="70">
        <v>-4.09090909E-2</v>
      </c>
      <c r="D196" s="15">
        <v>2140</v>
      </c>
      <c r="E196" s="32">
        <f t="shared" si="106"/>
        <v>1.4218009478672985E-2</v>
      </c>
      <c r="F196" s="18">
        <f>IF(ISNUMBER(D196), $B199 * E196, "")</f>
        <v>2132.7014218009476</v>
      </c>
      <c r="G196" s="31">
        <v>2125</v>
      </c>
      <c r="H196" s="32">
        <f t="shared" si="107"/>
        <v>7.1090047393364926E-3</v>
      </c>
      <c r="I196" s="91">
        <f>IF(ISNUMBER(G196), $B199 * H196, "")</f>
        <v>1066.3507109004738</v>
      </c>
      <c r="J196" s="15">
        <v>2160</v>
      </c>
      <c r="K196" s="32">
        <f t="shared" si="108"/>
        <v>2.3696682464454975E-2</v>
      </c>
      <c r="L196" s="18">
        <f>IF(ISNUMBER(J196), $B199 * K196, "")</f>
        <v>3554.502369668246</v>
      </c>
      <c r="M196" s="31">
        <v>2195</v>
      </c>
      <c r="N196" s="32">
        <f t="shared" si="109"/>
        <v>4.0284360189573459E-2</v>
      </c>
      <c r="O196" s="18">
        <f>IF(ISNUMBER(M196), $B199 * N196, "")</f>
        <v>6042.654028436019</v>
      </c>
      <c r="Q196" s="146"/>
      <c r="R196" s="146"/>
      <c r="S196" s="146"/>
    </row>
    <row r="197" spans="1:19">
      <c r="A197" s="109" t="s">
        <v>68</v>
      </c>
      <c r="B197" s="110">
        <v>717</v>
      </c>
      <c r="C197" s="70">
        <v>-4.1443850300000001E-2</v>
      </c>
      <c r="D197" s="15">
        <v>706</v>
      </c>
      <c r="E197" s="32">
        <f t="shared" si="106"/>
        <v>-1.5341701534170154E-2</v>
      </c>
      <c r="F197" s="18">
        <f>IF(ISNUMBER(D197), $B199 * E197, "")</f>
        <v>-2301.2552301255232</v>
      </c>
      <c r="G197" s="31">
        <v>690</v>
      </c>
      <c r="H197" s="32">
        <f t="shared" si="107"/>
        <v>-3.7656903765690378E-2</v>
      </c>
      <c r="I197" s="91">
        <f>IF(ISNUMBER(G197), $B199 * H197, "")</f>
        <v>-5648.5355648535569</v>
      </c>
      <c r="J197" s="15">
        <v>686</v>
      </c>
      <c r="K197" s="32">
        <f t="shared" si="108"/>
        <v>-4.3235704323570434E-2</v>
      </c>
      <c r="L197" s="18">
        <f>IF(ISNUMBER(J197), $B199 * K197, "")</f>
        <v>-6485.3556485355648</v>
      </c>
      <c r="M197" s="31">
        <v>692</v>
      </c>
      <c r="N197" s="32">
        <f t="shared" si="109"/>
        <v>-3.4867503486750349E-2</v>
      </c>
      <c r="O197" s="18">
        <f>IF(ISNUMBER(M197), $B199 * N197, "")</f>
        <v>-5230.1255230125525</v>
      </c>
      <c r="Q197" s="135"/>
      <c r="R197" s="136"/>
      <c r="S197" s="137"/>
    </row>
    <row r="198" spans="1:19" ht="17.25" thickBot="1">
      <c r="A198" s="114" t="s">
        <v>97</v>
      </c>
      <c r="B198" s="115">
        <v>8.9999999999999998E-4</v>
      </c>
      <c r="C198" s="72">
        <v>-0.1</v>
      </c>
      <c r="D198" s="24">
        <v>8.9999999999999998E-4</v>
      </c>
      <c r="E198" s="25">
        <f t="shared" si="106"/>
        <v>0</v>
      </c>
      <c r="F198" s="94">
        <f>IF(ISNUMBER(D198), $B199 * E198, "")</f>
        <v>0</v>
      </c>
      <c r="G198" s="92">
        <v>8.9999999999999998E-4</v>
      </c>
      <c r="H198" s="25">
        <f t="shared" si="107"/>
        <v>0</v>
      </c>
      <c r="I198" s="93">
        <f>IF(ISNUMBER(G198), $B199 * H198, "")</f>
        <v>0</v>
      </c>
      <c r="J198" s="24">
        <v>1E-3</v>
      </c>
      <c r="K198" s="25">
        <f t="shared" si="108"/>
        <v>0.11111111111111116</v>
      </c>
      <c r="L198" s="94">
        <f>IF(ISNUMBER(J198), $B199 * K198, "")</f>
        <v>16666.666666666675</v>
      </c>
      <c r="M198" s="92">
        <v>8.9999999999999998E-4</v>
      </c>
      <c r="N198" s="25">
        <f t="shared" si="109"/>
        <v>0</v>
      </c>
      <c r="O198" s="94">
        <f>IF(ISNUMBER(M198), $B199 * N198, "")</f>
        <v>0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3.2080455488400828E-2</v>
      </c>
      <c r="F199" s="28">
        <f>SUM(F179:F198)</f>
        <v>96241.366465202475</v>
      </c>
      <c r="G199" s="26" t="s">
        <v>258</v>
      </c>
      <c r="H199" s="27">
        <f>IF(COUNT(H179:H198), SUM(H179:H198) / COUNT(H179:H198), 0)</f>
        <v>2.2241246821283738E-2</v>
      </c>
      <c r="I199" s="28">
        <f>SUM(I179:I198)</f>
        <v>66723.740463851209</v>
      </c>
      <c r="J199" s="26" t="s">
        <v>258</v>
      </c>
      <c r="K199" s="27">
        <f>IF(COUNT(K179:K198), SUM(K179:K198) / COUNT(K179:K198), 0)</f>
        <v>4.2414238781466232E-2</v>
      </c>
      <c r="L199" s="28">
        <f>SUM(L179:L198)</f>
        <v>127242.71634439871</v>
      </c>
      <c r="M199" s="26" t="s">
        <v>258</v>
      </c>
      <c r="N199" s="27">
        <f>IF(COUNT(N179:N198), SUM(N179:N198) / COUNT(N179:N198), 0)</f>
        <v>5.0459788723053914E-2</v>
      </c>
      <c r="O199" s="28">
        <f>SUM(O179:O198)</f>
        <v>151379.36616916172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0EBCD-38FD-4D7F-AE45-FDBC715D5628}">
  <sheetPr codeName="Sheet2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44951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-219,084 KRW (-7.30%)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-133,955 KRW (-4.47%)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-238,760 KRW (-7.96%)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-147,409 KRW (-4.91%)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2023-01-25(수) 오전 00:00</v>
      </c>
      <c r="C15" s="196"/>
      <c r="D15" s="170" t="str">
        <f>TEXT($G$1, "[$-ko-KR]yyyy-mm-dd(ddd) ") &amp; "오후 14:00"</f>
        <v>2023-01-25(수) 오후 14:00</v>
      </c>
      <c r="E15" s="171"/>
      <c r="F15" s="172"/>
      <c r="G15" s="170" t="str">
        <f>TEXT($G$1, "[$-ko-KR]yyyy-mm-dd(ddd) ") &amp; "오후 19:00"</f>
        <v>2023-01-25(수) 오후 19:00</v>
      </c>
      <c r="H15" s="171"/>
      <c r="I15" s="172"/>
      <c r="J15" s="170" t="str">
        <f>TEXT($G$1, "[$-ko-KR]yyyy-mm-dd(ddd) ") &amp; "오후 21:00"</f>
        <v>2023-01-25(수) 오후 21:00</v>
      </c>
      <c r="K15" s="171"/>
      <c r="L15" s="172"/>
      <c r="M15" s="170" t="str">
        <f>TEXT($G$1+1, "[$-ko-KR]yyyy-mm-dd(ddd) ") &amp; "오전 00:00"</f>
        <v>2023-01-26(목)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2023-01-25(수) 오전 00:00</v>
      </c>
      <c r="C42" s="198"/>
      <c r="D42" s="170" t="str">
        <f>TEXT($G$1, "[$-ko-KR]yyyy-mm-dd(ddd) ") &amp; "오후 14:00"</f>
        <v>2023-01-25(수) 오후 14:00</v>
      </c>
      <c r="E42" s="171"/>
      <c r="F42" s="172"/>
      <c r="G42" s="170" t="str">
        <f>TEXT($G$1, "[$-ko-KR]yyyy-mm-dd(ddd) ") &amp; "오후 19:00"</f>
        <v>2023-01-25(수) 오후 19:00</v>
      </c>
      <c r="H42" s="171"/>
      <c r="I42" s="172"/>
      <c r="J42" s="170" t="str">
        <f>TEXT($G$1, "[$-ko-KR]yyyy-mm-dd(ddd) ") &amp; "오후 21:00"</f>
        <v>2023-01-25(수) 오후 21:00</v>
      </c>
      <c r="K42" s="171"/>
      <c r="L42" s="172"/>
      <c r="M42" s="170" t="str">
        <f>TEXT($G$1+1, "[$-ko-KR]yyyy-mm-dd(ddd) ") &amp; "오전 00:00"</f>
        <v>2023-01-26(목)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349</v>
      </c>
      <c r="B44" s="108">
        <v>69</v>
      </c>
      <c r="C44" s="69">
        <v>0.2410071942</v>
      </c>
      <c r="D44" s="13">
        <v>63.3</v>
      </c>
      <c r="E44" s="14">
        <f>IF(ISNUMBER(D44), (D44 - $B44) / $B44, "")</f>
        <v>-8.260869565217395E-2</v>
      </c>
      <c r="F44" s="16">
        <f>IF(ISNUMBER(D44), $B64 * E44, "")</f>
        <v>-12391.304347826092</v>
      </c>
      <c r="G44" s="29">
        <v>66.2</v>
      </c>
      <c r="H44" s="14">
        <f>IF(ISNUMBER(G44), (G44 - $B44) / $B44, "")</f>
        <v>-4.0579710144927492E-2</v>
      </c>
      <c r="I44" s="90">
        <f>IF(ISNUMBER(G44), $B64 * H44, "")</f>
        <v>-6086.9565217391237</v>
      </c>
      <c r="J44" s="13">
        <v>61.6</v>
      </c>
      <c r="K44" s="14">
        <f>IF(ISNUMBER(J44), (J44 - $B44) / $B44, "")</f>
        <v>-0.10724637681159419</v>
      </c>
      <c r="L44" s="16">
        <f>IF(ISNUMBER(J44), $B64 * K44, "")</f>
        <v>-16086.956521739128</v>
      </c>
      <c r="M44" s="29">
        <v>60.8</v>
      </c>
      <c r="N44" s="14">
        <f>IF(ISNUMBER(M44), (M44 - $B44) / $B44, "")</f>
        <v>-0.11884057971014497</v>
      </c>
      <c r="O44" s="16">
        <f>IF(ISNUMBER(M44), $B64 * N44, "")</f>
        <v>-17826.086956521747</v>
      </c>
      <c r="Q44" s="156"/>
      <c r="R44" s="156"/>
      <c r="S44" s="156"/>
    </row>
    <row r="45" spans="1:19" ht="17.25" customHeight="1" thickBot="1">
      <c r="A45" s="109" t="s">
        <v>197</v>
      </c>
      <c r="B45" s="110">
        <v>8.3800000000000008</v>
      </c>
      <c r="C45" s="70">
        <v>7.1611253200000002E-2</v>
      </c>
      <c r="D45" s="15">
        <v>8.06</v>
      </c>
      <c r="E45" s="32">
        <f t="shared" ref="E45:E48" si="14">IF(ISNUMBER(D45), (D45 - $B45) / $B45, "")</f>
        <v>-3.8186157517899791E-2</v>
      </c>
      <c r="F45" s="18">
        <f>IF(ISNUMBER(D45), $B64 * E45, "")</f>
        <v>-5727.9236276849688</v>
      </c>
      <c r="G45" s="31">
        <v>8.19</v>
      </c>
      <c r="H45" s="32">
        <f t="shared" ref="H45:H48" si="15">IF(ISNUMBER(G45), (G45 - $B45) / $B45, "")</f>
        <v>-2.2673031026253135E-2</v>
      </c>
      <c r="I45" s="91">
        <f>IF(ISNUMBER(G45), $B64 * H45, "")</f>
        <v>-3400.9546539379703</v>
      </c>
      <c r="J45" s="15">
        <v>8.18</v>
      </c>
      <c r="K45" s="32">
        <f t="shared" ref="K45:K48" si="16">IF(ISNUMBER(J45), (J45 - $B45) / $B45, "")</f>
        <v>-2.3866348448687475E-2</v>
      </c>
      <c r="L45" s="18">
        <f>IF(ISNUMBER(J45), $B64 * K45, "")</f>
        <v>-3579.9522673031211</v>
      </c>
      <c r="M45" s="31">
        <v>7.95</v>
      </c>
      <c r="N45" s="32">
        <f t="shared" ref="N45:N48" si="17">IF(ISNUMBER(M45), (M45 - $B45) / $B45, "")</f>
        <v>-5.131264916467787E-2</v>
      </c>
      <c r="O45" s="18">
        <f>IF(ISNUMBER(M45), $B64 * N45, "")</f>
        <v>-7696.8973747016807</v>
      </c>
      <c r="Q45" s="156"/>
      <c r="R45" s="156"/>
      <c r="S45" s="156"/>
    </row>
    <row r="46" spans="1:19" ht="17.25" customHeight="1" thickBot="1">
      <c r="A46" s="109" t="s">
        <v>217</v>
      </c>
      <c r="B46" s="110">
        <v>91.5</v>
      </c>
      <c r="C46" s="70">
        <v>6.76779463E-2</v>
      </c>
      <c r="D46" s="15">
        <v>91.9</v>
      </c>
      <c r="E46" s="32">
        <f t="shared" si="14"/>
        <v>4.3715846994536144E-3</v>
      </c>
      <c r="F46" s="18">
        <f>IF(ISNUMBER(D46), $B64 * E46, "")</f>
        <v>655.73770491804214</v>
      </c>
      <c r="G46" s="31">
        <v>87.8</v>
      </c>
      <c r="H46" s="32">
        <f t="shared" si="15"/>
        <v>-4.0437158469945389E-2</v>
      </c>
      <c r="I46" s="91">
        <f>IF(ISNUMBER(G46), $B64 * H46, "")</f>
        <v>-6065.5737704918083</v>
      </c>
      <c r="J46" s="15">
        <v>87.2</v>
      </c>
      <c r="K46" s="32">
        <f t="shared" si="16"/>
        <v>-4.6994535519125649E-2</v>
      </c>
      <c r="L46" s="18">
        <f>IF(ISNUMBER(J46), $B64 * K46, "")</f>
        <v>-7049.1803278688476</v>
      </c>
      <c r="M46" s="31">
        <v>85.1</v>
      </c>
      <c r="N46" s="32">
        <f t="shared" si="17"/>
        <v>-6.9945355191256886E-2</v>
      </c>
      <c r="O46" s="18">
        <f>IF(ISNUMBER(M46), $B64 * N46, "")</f>
        <v>-10491.803278688532</v>
      </c>
      <c r="Q46" s="146"/>
      <c r="R46" s="146"/>
      <c r="S46" s="146"/>
    </row>
    <row r="47" spans="1:19" ht="17.25" customHeight="1" thickBot="1">
      <c r="A47" s="109" t="s">
        <v>141</v>
      </c>
      <c r="B47" s="110">
        <v>4.09</v>
      </c>
      <c r="C47" s="70">
        <v>5.1413881699999997E-2</v>
      </c>
      <c r="D47" s="15">
        <v>3.92</v>
      </c>
      <c r="E47" s="32">
        <f t="shared" si="14"/>
        <v>-4.1564792176039103E-2</v>
      </c>
      <c r="F47" s="18">
        <f>IF(ISNUMBER(D47), $B64 * E47, "")</f>
        <v>-6234.7188264058659</v>
      </c>
      <c r="G47" s="31">
        <v>3.92</v>
      </c>
      <c r="H47" s="32">
        <f t="shared" si="15"/>
        <v>-4.1564792176039103E-2</v>
      </c>
      <c r="I47" s="91">
        <f>IF(ISNUMBER(G47), $B64 * H47, "")</f>
        <v>-6234.7188264058659</v>
      </c>
      <c r="J47" s="15">
        <v>4.05</v>
      </c>
      <c r="K47" s="32">
        <f t="shared" si="16"/>
        <v>-9.7799511002445074E-3</v>
      </c>
      <c r="L47" s="18">
        <f>IF(ISNUMBER(J47), $B64 * K47, "")</f>
        <v>-1466.992665036676</v>
      </c>
      <c r="M47" s="31">
        <v>3.91</v>
      </c>
      <c r="N47" s="32">
        <f t="shared" si="17"/>
        <v>-4.4009779951100177E-2</v>
      </c>
      <c r="O47" s="18">
        <f>IF(ISNUMBER(M47), $B64 * N47, "")</f>
        <v>-6601.4669926650267</v>
      </c>
      <c r="Q47" s="146"/>
      <c r="R47" s="146"/>
      <c r="S47" s="146"/>
    </row>
    <row r="48" spans="1:19" ht="17.25" customHeight="1" thickBot="1">
      <c r="A48" s="111" t="s">
        <v>118</v>
      </c>
      <c r="B48" s="112">
        <v>7.18</v>
      </c>
      <c r="C48" s="71">
        <v>4.6647230300000002E-2</v>
      </c>
      <c r="D48" s="20">
        <v>6.85</v>
      </c>
      <c r="E48" s="21">
        <f t="shared" si="14"/>
        <v>-4.5961002785515334E-2</v>
      </c>
      <c r="F48" s="22">
        <f>IF(ISNUMBER(D48), $B64 * E48, "")</f>
        <v>-6894.1504178272999</v>
      </c>
      <c r="G48" s="30">
        <v>6.95</v>
      </c>
      <c r="H48" s="21">
        <f t="shared" si="15"/>
        <v>-3.2033426183843951E-2</v>
      </c>
      <c r="I48" s="95">
        <f>IF(ISNUMBER(G48), $B64 * H48, "")</f>
        <v>-4805.0139275765923</v>
      </c>
      <c r="J48" s="20">
        <v>6.94</v>
      </c>
      <c r="K48" s="21">
        <f t="shared" si="16"/>
        <v>-3.3426183844011047E-2</v>
      </c>
      <c r="L48" s="22">
        <f>IF(ISNUMBER(J48), $B64 * K48, "")</f>
        <v>-5013.9275766016572</v>
      </c>
      <c r="M48" s="30">
        <v>6.74</v>
      </c>
      <c r="N48" s="21">
        <f t="shared" si="17"/>
        <v>-6.1281337047353696E-2</v>
      </c>
      <c r="O48" s="22">
        <f>IF(ISNUMBER(M48), $B64 * N48, "")</f>
        <v>-9192.200557103055</v>
      </c>
      <c r="Q48" s="146"/>
      <c r="R48" s="146"/>
      <c r="S48" s="146"/>
    </row>
    <row r="49" spans="1:19" ht="17.25" customHeight="1" thickBot="1">
      <c r="A49" s="109" t="s">
        <v>323</v>
      </c>
      <c r="B49" s="113">
        <v>4.2000000000000003E-2</v>
      </c>
      <c r="C49" s="73">
        <v>3.19410319E-2</v>
      </c>
      <c r="D49" s="96">
        <v>4.1700000000000001E-2</v>
      </c>
      <c r="E49" s="97">
        <f>IF(ISNUMBER(D49), (D49 - $B49) / $B49, "")</f>
        <v>-7.1428571428571817E-3</v>
      </c>
      <c r="F49" s="98">
        <f>IF(ISNUMBER(D49), $B64 * E49, "")</f>
        <v>-1071.4285714285772</v>
      </c>
      <c r="G49" s="99">
        <v>4.1799999999999997E-2</v>
      </c>
      <c r="H49" s="97">
        <f>IF(ISNUMBER(G49), (G49 - $B49) / $B49, "")</f>
        <v>-4.7619047619048976E-3</v>
      </c>
      <c r="I49" s="100">
        <f>IF(ISNUMBER(G49), $B64 * H49, "")</f>
        <v>-714.28571428573468</v>
      </c>
      <c r="J49" s="96">
        <v>4.19E-2</v>
      </c>
      <c r="K49" s="97">
        <f>IF(ISNUMBER(J49), (J49 - $B49) / $B49, "")</f>
        <v>-2.3809523809524488E-3</v>
      </c>
      <c r="L49" s="98">
        <f>IF(ISNUMBER(J49), $B64 * K49, "")</f>
        <v>-357.14285714286734</v>
      </c>
      <c r="M49" s="99">
        <v>4.1599999999999998E-2</v>
      </c>
      <c r="N49" s="97">
        <f>IF(ISNUMBER(M49), (M49 - $B49) / $B49, "")</f>
        <v>-9.5238095238096305E-3</v>
      </c>
      <c r="O49" s="98">
        <f>IF(ISNUMBER(M49), $B64 * N49, "")</f>
        <v>-1428.5714285714446</v>
      </c>
      <c r="Q49" s="146"/>
      <c r="R49" s="146"/>
      <c r="S49" s="146"/>
    </row>
    <row r="50" spans="1:19" ht="17.25" customHeight="1" thickBot="1">
      <c r="A50" s="109" t="s">
        <v>191</v>
      </c>
      <c r="B50" s="110">
        <v>67.5</v>
      </c>
      <c r="C50" s="70">
        <v>2.8963414600000001E-2</v>
      </c>
      <c r="D50" s="15">
        <v>66.099999999999994</v>
      </c>
      <c r="E50" s="32">
        <f t="shared" ref="E50:E53" si="18">IF(ISNUMBER(D50), (D50 - $B50) / $B50, "")</f>
        <v>-2.0740740740740823E-2</v>
      </c>
      <c r="F50" s="18">
        <f>IF(ISNUMBER(D50), $B64 * E50, "")</f>
        <v>-3111.1111111111236</v>
      </c>
      <c r="G50" s="31">
        <v>79</v>
      </c>
      <c r="H50" s="32">
        <f t="shared" ref="H50:H53" si="19">IF(ISNUMBER(G50), (G50 - $B50) / $B50, "")</f>
        <v>0.17037037037037037</v>
      </c>
      <c r="I50" s="91">
        <f>IF(ISNUMBER(G50), $B64 * H50, "")</f>
        <v>25555.555555555555</v>
      </c>
      <c r="J50" s="15">
        <v>74.7</v>
      </c>
      <c r="K50" s="32">
        <f t="shared" ref="K50:K53" si="20">IF(ISNUMBER(J50), (J50 - $B50) / $B50, "")</f>
        <v>0.10666666666666672</v>
      </c>
      <c r="L50" s="18">
        <f>IF(ISNUMBER(J50), $B64 * K50, "")</f>
        <v>16000.000000000007</v>
      </c>
      <c r="M50" s="31">
        <v>72.2</v>
      </c>
      <c r="N50" s="32">
        <f t="shared" ref="N50:N53" si="21">IF(ISNUMBER(M50), (M50 - $B50) / $B50, "")</f>
        <v>6.9629629629629666E-2</v>
      </c>
      <c r="O50" s="18">
        <f>IF(ISNUMBER(M50), $B64 * N50, "")</f>
        <v>10444.444444444451</v>
      </c>
      <c r="Q50" s="146"/>
      <c r="R50" s="146"/>
      <c r="S50" s="146"/>
    </row>
    <row r="51" spans="1:19" ht="17.25" customHeight="1" thickBot="1">
      <c r="A51" s="109" t="s">
        <v>203</v>
      </c>
      <c r="B51" s="110">
        <v>4.0199999999999996</v>
      </c>
      <c r="C51" s="70">
        <v>2.0304568499999998E-2</v>
      </c>
      <c r="D51" s="15">
        <v>3.9</v>
      </c>
      <c r="E51" s="32">
        <f t="shared" si="18"/>
        <v>-2.9850746268656636E-2</v>
      </c>
      <c r="F51" s="18">
        <f>IF(ISNUMBER(D51), $B64 * E51, "")</f>
        <v>-4477.611940298495</v>
      </c>
      <c r="G51" s="31">
        <v>3.93</v>
      </c>
      <c r="H51" s="32">
        <f t="shared" si="19"/>
        <v>-2.2388059701492394E-2</v>
      </c>
      <c r="I51" s="91">
        <f>IF(ISNUMBER(G51), $B64 * H51, "")</f>
        <v>-3358.208955223859</v>
      </c>
      <c r="J51" s="15">
        <v>4</v>
      </c>
      <c r="K51" s="32">
        <f t="shared" si="20"/>
        <v>-4.9751243781093468E-3</v>
      </c>
      <c r="L51" s="18">
        <f>IF(ISNUMBER(J51), $B64 * K51, "")</f>
        <v>-746.26865671640201</v>
      </c>
      <c r="M51" s="31">
        <v>3.87</v>
      </c>
      <c r="N51" s="32">
        <f t="shared" si="21"/>
        <v>-3.7313432835820767E-2</v>
      </c>
      <c r="O51" s="18">
        <f>IF(ISNUMBER(M51), $B64 * N51, "")</f>
        <v>-5597.0149253731151</v>
      </c>
      <c r="Q51" s="146"/>
      <c r="R51" s="146"/>
      <c r="S51" s="146"/>
    </row>
    <row r="52" spans="1:19" ht="17.25" customHeight="1" thickBot="1">
      <c r="A52" s="109" t="s">
        <v>143</v>
      </c>
      <c r="B52" s="110">
        <v>4.59</v>
      </c>
      <c r="C52" s="70">
        <v>0.02</v>
      </c>
      <c r="D52" s="15">
        <v>4.32</v>
      </c>
      <c r="E52" s="32">
        <f t="shared" si="18"/>
        <v>-5.8823529411764615E-2</v>
      </c>
      <c r="F52" s="18">
        <f>IF(ISNUMBER(D52), $B64 * E52, "")</f>
        <v>-8823.5294117646918</v>
      </c>
      <c r="G52" s="31">
        <v>4.47</v>
      </c>
      <c r="H52" s="32">
        <f t="shared" si="19"/>
        <v>-2.6143790849673228E-2</v>
      </c>
      <c r="I52" s="91">
        <f>IF(ISNUMBER(G52), $B64 * H52, "")</f>
        <v>-3921.568627450984</v>
      </c>
      <c r="J52" s="15">
        <v>4.5999999999999996</v>
      </c>
      <c r="K52" s="32">
        <f t="shared" si="20"/>
        <v>2.1786492374727207E-3</v>
      </c>
      <c r="L52" s="18">
        <f>IF(ISNUMBER(J52), $B64 * K52, "")</f>
        <v>326.79738562090813</v>
      </c>
      <c r="M52" s="31">
        <v>4.34</v>
      </c>
      <c r="N52" s="32">
        <f t="shared" si="21"/>
        <v>-5.4466230936819175E-2</v>
      </c>
      <c r="O52" s="18">
        <f>IF(ISNUMBER(M52), $B64 * N52, "")</f>
        <v>-8169.9346405228762</v>
      </c>
      <c r="Q52" s="33"/>
      <c r="R52" s="33"/>
    </row>
    <row r="53" spans="1:19" ht="17.25" customHeight="1" thickBot="1">
      <c r="A53" s="114" t="s">
        <v>181</v>
      </c>
      <c r="B53" s="115">
        <v>5.13</v>
      </c>
      <c r="C53" s="72">
        <v>1.9880715699999999E-2</v>
      </c>
      <c r="D53" s="24">
        <v>4.84</v>
      </c>
      <c r="E53" s="25">
        <f t="shared" si="18"/>
        <v>-5.6530214424951278E-2</v>
      </c>
      <c r="F53" s="94">
        <f>IF(ISNUMBER(D53), $B64 * E53, "")</f>
        <v>-8479.5321637426914</v>
      </c>
      <c r="G53" s="92">
        <v>4.8600000000000003</v>
      </c>
      <c r="H53" s="25">
        <f t="shared" si="19"/>
        <v>-5.2631578947368342E-2</v>
      </c>
      <c r="I53" s="93">
        <f>IF(ISNUMBER(G53), $B64 * H53, "")</f>
        <v>-7894.7368421052515</v>
      </c>
      <c r="J53" s="24">
        <v>4.96</v>
      </c>
      <c r="K53" s="25">
        <f t="shared" si="20"/>
        <v>-3.3138401559454175E-2</v>
      </c>
      <c r="L53" s="94">
        <f>IF(ISNUMBER(J53), $B64 * K53, "")</f>
        <v>-4970.7602339181267</v>
      </c>
      <c r="M53" s="92">
        <v>4.75</v>
      </c>
      <c r="N53" s="25">
        <f t="shared" si="21"/>
        <v>-7.4074074074074056E-2</v>
      </c>
      <c r="O53" s="94">
        <f>IF(ISNUMBER(M53), $B64 * N53, "")</f>
        <v>-11111.111111111108</v>
      </c>
      <c r="Q53" s="147"/>
      <c r="R53" s="148"/>
      <c r="S53" s="149"/>
    </row>
    <row r="54" spans="1:19" ht="17.25" customHeight="1">
      <c r="A54" s="107" t="s">
        <v>155</v>
      </c>
      <c r="B54" s="108">
        <v>33.4</v>
      </c>
      <c r="C54" s="69">
        <v>1.8292682899999999E-2</v>
      </c>
      <c r="D54" s="13">
        <v>31.6</v>
      </c>
      <c r="E54" s="14">
        <f>IF(ISNUMBER(D54), (D54 - $B54) / $B54, "")</f>
        <v>-5.3892215568862194E-2</v>
      </c>
      <c r="F54" s="16">
        <f>IF(ISNUMBER(D54), $B64 * E54, "")</f>
        <v>-8083.832335329329</v>
      </c>
      <c r="G54" s="29">
        <v>32.200000000000003</v>
      </c>
      <c r="H54" s="14">
        <f>IF(ISNUMBER(G54), (G54 - $B54) / $B54, "")</f>
        <v>-3.5928143712574724E-2</v>
      </c>
      <c r="I54" s="90">
        <f>IF(ISNUMBER(G54), $B64 * H54, "")</f>
        <v>-5389.2215568862084</v>
      </c>
      <c r="J54" s="13">
        <v>31.8</v>
      </c>
      <c r="K54" s="14">
        <f>IF(ISNUMBER(J54), (J54 - $B54) / $B54, "")</f>
        <v>-4.7904191616766408E-2</v>
      </c>
      <c r="L54" s="16">
        <f>IF(ISNUMBER(J54), $B64 * K54, "")</f>
        <v>-7185.6287425149612</v>
      </c>
      <c r="M54" s="29">
        <v>31.7</v>
      </c>
      <c r="N54" s="14">
        <f>IF(ISNUMBER(M54), (M54 - $B54) / $B54, "")</f>
        <v>-5.0898203592814349E-2</v>
      </c>
      <c r="O54" s="16">
        <f>IF(ISNUMBER(M54), $B64 * N54, "")</f>
        <v>-7634.7305389221519</v>
      </c>
      <c r="Q54" s="150"/>
      <c r="R54" s="151"/>
      <c r="S54" s="152"/>
    </row>
    <row r="55" spans="1:19" ht="17.25" customHeight="1" thickBot="1">
      <c r="A55" s="109" t="s">
        <v>195</v>
      </c>
      <c r="B55" s="110">
        <v>7.22</v>
      </c>
      <c r="C55" s="70">
        <v>1.4044943799999999E-2</v>
      </c>
      <c r="D55" s="15">
        <v>6.91</v>
      </c>
      <c r="E55" s="32">
        <f t="shared" ref="E55:E58" si="22">IF(ISNUMBER(D55), (D55 - $B55) / $B55, "")</f>
        <v>-4.2936288088642603E-2</v>
      </c>
      <c r="F55" s="18">
        <f>IF(ISNUMBER(D55), $B64 * E55, "")</f>
        <v>-6440.4432132963902</v>
      </c>
      <c r="G55" s="31">
        <v>7.04</v>
      </c>
      <c r="H55" s="32">
        <f t="shared" ref="H55:H58" si="23">IF(ISNUMBER(G55), (G55 - $B55) / $B55, "")</f>
        <v>-2.4930747922437636E-2</v>
      </c>
      <c r="I55" s="91">
        <f>IF(ISNUMBER(G55), $B64 * H55, "")</f>
        <v>-3739.6121883656456</v>
      </c>
      <c r="J55" s="15">
        <v>7.08</v>
      </c>
      <c r="K55" s="32">
        <f t="shared" ref="K55:K58" si="24">IF(ISNUMBER(J55), (J55 - $B55) / $B55, "")</f>
        <v>-1.9390581717451481E-2</v>
      </c>
      <c r="L55" s="18">
        <f>IF(ISNUMBER(J55), $B64 * K55, "")</f>
        <v>-2908.5872576177221</v>
      </c>
      <c r="M55" s="31">
        <v>6.93</v>
      </c>
      <c r="N55" s="32">
        <f t="shared" ref="N55:N58" si="25">IF(ISNUMBER(M55), (M55 - $B55) / $B55, "")</f>
        <v>-4.016620498614959E-2</v>
      </c>
      <c r="O55" s="18">
        <f>IF(ISNUMBER(M55), $B64 * N55, "")</f>
        <v>-6024.9307479224381</v>
      </c>
      <c r="Q55" s="153"/>
      <c r="R55" s="154"/>
      <c r="S55" s="155"/>
    </row>
    <row r="56" spans="1:19" ht="17.25" customHeight="1" thickBot="1">
      <c r="A56" s="109" t="s">
        <v>107</v>
      </c>
      <c r="B56" s="110">
        <v>47.6</v>
      </c>
      <c r="C56" s="70">
        <v>8.4745762999999998E-3</v>
      </c>
      <c r="D56" s="15">
        <v>45.1</v>
      </c>
      <c r="E56" s="32">
        <f t="shared" si="22"/>
        <v>-5.2521008403361345E-2</v>
      </c>
      <c r="F56" s="18">
        <f>IF(ISNUMBER(D56), $B64 * E56, "")</f>
        <v>-7878.1512605042017</v>
      </c>
      <c r="G56" s="31">
        <v>45.8</v>
      </c>
      <c r="H56" s="32">
        <f t="shared" si="23"/>
        <v>-3.7815126050420256E-2</v>
      </c>
      <c r="I56" s="91">
        <f>IF(ISNUMBER(G56), $B64 * H56, "")</f>
        <v>-5672.2689075630387</v>
      </c>
      <c r="J56" s="15">
        <v>45.9</v>
      </c>
      <c r="K56" s="32">
        <f t="shared" si="24"/>
        <v>-3.5714285714285775E-2</v>
      </c>
      <c r="L56" s="18">
        <f>IF(ISNUMBER(J56), $B64 * K56, "")</f>
        <v>-5357.142857142866</v>
      </c>
      <c r="M56" s="31">
        <v>44.7</v>
      </c>
      <c r="N56" s="32">
        <f t="shared" si="25"/>
        <v>-6.0924369747899131E-2</v>
      </c>
      <c r="O56" s="18">
        <f>IF(ISNUMBER(M56), $B64 * N56, "")</f>
        <v>-9138.65546218487</v>
      </c>
      <c r="Q56" s="146"/>
      <c r="R56" s="146"/>
      <c r="S56" s="146"/>
    </row>
    <row r="57" spans="1:19" ht="17.25" customHeight="1" thickBot="1">
      <c r="A57" s="109" t="s">
        <v>209</v>
      </c>
      <c r="B57" s="110">
        <v>97.8</v>
      </c>
      <c r="C57" s="70">
        <v>8.2474226999999997E-3</v>
      </c>
      <c r="D57" s="15">
        <v>94.7</v>
      </c>
      <c r="E57" s="32">
        <f t="shared" si="22"/>
        <v>-3.1697341513292378E-2</v>
      </c>
      <c r="F57" s="18">
        <f>IF(ISNUMBER(D57), $B64 * E57, "")</f>
        <v>-4754.6012269938565</v>
      </c>
      <c r="G57" s="31">
        <v>93.3</v>
      </c>
      <c r="H57" s="32">
        <f t="shared" si="23"/>
        <v>-4.6012269938650305E-2</v>
      </c>
      <c r="I57" s="91">
        <f>IF(ISNUMBER(G57), $B64 * H57, "")</f>
        <v>-6901.8404907975455</v>
      </c>
      <c r="J57" s="15">
        <v>93.5</v>
      </c>
      <c r="K57" s="32">
        <f t="shared" si="24"/>
        <v>-4.3967280163599153E-2</v>
      </c>
      <c r="L57" s="18">
        <f>IF(ISNUMBER(J57), $B64 * K57, "")</f>
        <v>-6595.0920245398729</v>
      </c>
      <c r="M57" s="31">
        <v>92.3</v>
      </c>
      <c r="N57" s="32">
        <f t="shared" si="25"/>
        <v>-5.6237218813905934E-2</v>
      </c>
      <c r="O57" s="18">
        <f>IF(ISNUMBER(M57), $B64 * N57, "")</f>
        <v>-8435.5828220858893</v>
      </c>
      <c r="Q57" s="156"/>
      <c r="R57" s="156"/>
      <c r="S57" s="156"/>
    </row>
    <row r="58" spans="1:19" ht="17.25" customHeight="1" thickBot="1">
      <c r="A58" s="111" t="s">
        <v>64</v>
      </c>
      <c r="B58" s="112">
        <v>12.7</v>
      </c>
      <c r="C58" s="71">
        <v>7.9365079000000005E-3</v>
      </c>
      <c r="D58" s="20">
        <v>12.1</v>
      </c>
      <c r="E58" s="21">
        <f t="shared" si="22"/>
        <v>-4.7244094488188948E-2</v>
      </c>
      <c r="F58" s="22">
        <f>IF(ISNUMBER(D58), $B64 * E58, "")</f>
        <v>-7086.6141732283422</v>
      </c>
      <c r="G58" s="30">
        <v>12.6</v>
      </c>
      <c r="H58" s="21">
        <f t="shared" si="23"/>
        <v>-7.8740157480314682E-3</v>
      </c>
      <c r="I58" s="95">
        <f>IF(ISNUMBER(G58), $B64 * H58, "")</f>
        <v>-1181.1023622047203</v>
      </c>
      <c r="J58" s="20">
        <v>12.5</v>
      </c>
      <c r="K58" s="21">
        <f t="shared" si="24"/>
        <v>-1.5748031496062936E-2</v>
      </c>
      <c r="L58" s="22">
        <f>IF(ISNUMBER(J58), $B64 * K58, "")</f>
        <v>-2362.2047244094406</v>
      </c>
      <c r="M58" s="30">
        <v>12.4</v>
      </c>
      <c r="N58" s="21">
        <f t="shared" si="25"/>
        <v>-2.3622047244094405E-2</v>
      </c>
      <c r="O58" s="22">
        <f>IF(ISNUMBER(M58), $B64 * N58, "")</f>
        <v>-3543.3070866141607</v>
      </c>
      <c r="Q58" s="156"/>
      <c r="R58" s="156"/>
      <c r="S58" s="156"/>
    </row>
    <row r="59" spans="1:19" ht="17.25" customHeight="1" thickBot="1">
      <c r="A59" s="109" t="s">
        <v>207</v>
      </c>
      <c r="B59" s="113">
        <v>77.3</v>
      </c>
      <c r="C59" s="73">
        <v>7.8226857999999996E-3</v>
      </c>
      <c r="D59" s="96">
        <v>75.3</v>
      </c>
      <c r="E59" s="97">
        <f>IF(ISNUMBER(D59), (D59 - $B59) / $B59, "")</f>
        <v>-2.5873221216041398E-2</v>
      </c>
      <c r="F59" s="98">
        <f>IF(ISNUMBER(D59), $B64 * E59, "")</f>
        <v>-3880.9831824062098</v>
      </c>
      <c r="G59" s="99">
        <v>85.6</v>
      </c>
      <c r="H59" s="97">
        <f>IF(ISNUMBER(G59), (G59 - $B59) / $B59, "")</f>
        <v>0.10737386804657177</v>
      </c>
      <c r="I59" s="100">
        <f>IF(ISNUMBER(G59), $B64 * H59, "")</f>
        <v>16106.080206985765</v>
      </c>
      <c r="J59" s="96">
        <v>82.1</v>
      </c>
      <c r="K59" s="97">
        <f>IF(ISNUMBER(J59), (J59 - $B59) / $B59, "")</f>
        <v>6.209573091849932E-2</v>
      </c>
      <c r="L59" s="98">
        <f>IF(ISNUMBER(J59), $B64 * K59, "")</f>
        <v>9314.3596377748981</v>
      </c>
      <c r="M59" s="99">
        <v>78</v>
      </c>
      <c r="N59" s="97">
        <f>IF(ISNUMBER(M59), (M59 - $B59) / $B59, "")</f>
        <v>9.0556274256145264E-3</v>
      </c>
      <c r="O59" s="98">
        <f>IF(ISNUMBER(M59), $B64 * N59, "")</f>
        <v>1358.344113842179</v>
      </c>
      <c r="Q59" s="146"/>
      <c r="R59" s="146"/>
      <c r="S59" s="146"/>
    </row>
    <row r="60" spans="1:19" ht="17.25" customHeight="1" thickBot="1">
      <c r="A60" s="109" t="s">
        <v>350</v>
      </c>
      <c r="B60" s="110">
        <v>8.11</v>
      </c>
      <c r="C60" s="70">
        <v>6.2034739E-3</v>
      </c>
      <c r="D60" s="15">
        <v>7.58</v>
      </c>
      <c r="E60" s="32">
        <f t="shared" ref="E60:E63" si="26">IF(ISNUMBER(D60), (D60 - $B60) / $B60, "")</f>
        <v>-6.5351418002466022E-2</v>
      </c>
      <c r="F60" s="18">
        <f>IF(ISNUMBER(D60), $B64 * E60, "")</f>
        <v>-9802.7127003699024</v>
      </c>
      <c r="G60" s="31">
        <v>7.68</v>
      </c>
      <c r="H60" s="32">
        <f t="shared" ref="H60:H63" si="27">IF(ISNUMBER(G60), (G60 - $B60) / $B60, "")</f>
        <v>-5.3020961775585664E-2</v>
      </c>
      <c r="I60" s="91">
        <f>IF(ISNUMBER(G60), $B64 * H60, "")</f>
        <v>-7953.1442663378493</v>
      </c>
      <c r="J60" s="15">
        <v>7.69</v>
      </c>
      <c r="K60" s="32">
        <f t="shared" ref="K60:K63" si="28">IF(ISNUMBER(J60), (J60 - $B60) / $B60, "")</f>
        <v>-5.1787916152897545E-2</v>
      </c>
      <c r="L60" s="18">
        <f>IF(ISNUMBER(J60), $B64 * K60, "")</f>
        <v>-7768.1874229346322</v>
      </c>
      <c r="M60" s="31">
        <v>7.63</v>
      </c>
      <c r="N60" s="32">
        <f t="shared" ref="N60:N63" si="29">IF(ISNUMBER(M60), (M60 - $B60) / $B60, "")</f>
        <v>-5.9186189889025839E-2</v>
      </c>
      <c r="O60" s="18">
        <f>IF(ISNUMBER(M60), $B64 * N60, "")</f>
        <v>-8877.928483353875</v>
      </c>
      <c r="Q60" s="146"/>
      <c r="R60" s="146"/>
      <c r="S60" s="146"/>
    </row>
    <row r="61" spans="1:19" ht="17.25" customHeight="1" thickBot="1">
      <c r="A61" s="109" t="s">
        <v>193</v>
      </c>
      <c r="B61" s="110">
        <v>20.8</v>
      </c>
      <c r="C61" s="70">
        <v>4.8309179000000004E-3</v>
      </c>
      <c r="D61" s="15">
        <v>20.7</v>
      </c>
      <c r="E61" s="32">
        <f t="shared" si="26"/>
        <v>-4.8076923076923756E-3</v>
      </c>
      <c r="F61" s="18">
        <f>IF(ISNUMBER(D61), $B64 * E61, "")</f>
        <v>-721.15384615385631</v>
      </c>
      <c r="G61" s="31">
        <v>20.8</v>
      </c>
      <c r="H61" s="32">
        <f t="shared" si="27"/>
        <v>0</v>
      </c>
      <c r="I61" s="91">
        <f>IF(ISNUMBER(G61), $B64 * H61, "")</f>
        <v>0</v>
      </c>
      <c r="J61" s="15">
        <v>21.2</v>
      </c>
      <c r="K61" s="32">
        <f t="shared" si="28"/>
        <v>1.9230769230769162E-2</v>
      </c>
      <c r="L61" s="18">
        <f>IF(ISNUMBER(J61), $B64 * K61, "")</f>
        <v>2884.6153846153743</v>
      </c>
      <c r="M61" s="31">
        <v>20.399999999999999</v>
      </c>
      <c r="N61" s="32">
        <f t="shared" si="29"/>
        <v>-1.9230769230769332E-2</v>
      </c>
      <c r="O61" s="18">
        <f>IF(ISNUMBER(M61), $B64 * N61, "")</f>
        <v>-2884.6153846153998</v>
      </c>
      <c r="Q61" s="146"/>
      <c r="R61" s="146"/>
      <c r="S61" s="146"/>
    </row>
    <row r="62" spans="1:19" ht="17.25" customHeight="1">
      <c r="A62" s="109" t="s">
        <v>333</v>
      </c>
      <c r="B62" s="110">
        <v>5.34</v>
      </c>
      <c r="C62" s="70">
        <v>3.7593984999999999E-3</v>
      </c>
      <c r="D62" s="15">
        <v>5.0599999999999996</v>
      </c>
      <c r="E62" s="32">
        <f t="shared" si="26"/>
        <v>-5.2434456928838996E-2</v>
      </c>
      <c r="F62" s="18">
        <f>IF(ISNUMBER(D62), $B64 * E62, "")</f>
        <v>-7865.1685393258495</v>
      </c>
      <c r="G62" s="31">
        <v>5.0999999999999996</v>
      </c>
      <c r="H62" s="32">
        <f t="shared" si="27"/>
        <v>-4.4943820224719142E-2</v>
      </c>
      <c r="I62" s="91">
        <f>IF(ISNUMBER(G62), $B64 * H62, "")</f>
        <v>-6741.5730337078712</v>
      </c>
      <c r="J62" s="15">
        <v>5.15</v>
      </c>
      <c r="K62" s="32">
        <f t="shared" si="28"/>
        <v>-3.5580524344569195E-2</v>
      </c>
      <c r="L62" s="18">
        <f>IF(ISNUMBER(J62), $B64 * K62, "")</f>
        <v>-5337.0786516853796</v>
      </c>
      <c r="M62" s="31">
        <v>5</v>
      </c>
      <c r="N62" s="32">
        <f t="shared" si="29"/>
        <v>-6.3670411985018702E-2</v>
      </c>
      <c r="O62" s="18">
        <f>IF(ISNUMBER(M62), $B64 * N62, "")</f>
        <v>-9550.5617977528054</v>
      </c>
      <c r="Q62" s="135"/>
      <c r="R62" s="136"/>
      <c r="S62" s="137"/>
    </row>
    <row r="63" spans="1:19" ht="17.25" customHeight="1" thickBot="1">
      <c r="A63" s="114" t="s">
        <v>329</v>
      </c>
      <c r="B63" s="115">
        <v>85.7</v>
      </c>
      <c r="C63" s="72">
        <v>3.5128806000000001E-3</v>
      </c>
      <c r="D63" s="24">
        <v>82</v>
      </c>
      <c r="E63" s="25">
        <f t="shared" si="26"/>
        <v>-4.3173862310385093E-2</v>
      </c>
      <c r="F63" s="94">
        <f>IF(ISNUMBER(D63), $B64 * E63, "")</f>
        <v>-6476.0793465577635</v>
      </c>
      <c r="G63" s="92">
        <v>80.400000000000006</v>
      </c>
      <c r="H63" s="25">
        <f t="shared" si="27"/>
        <v>-6.1843640606767759E-2</v>
      </c>
      <c r="I63" s="93">
        <f>IF(ISNUMBER(G63), $B64 * H63, "")</f>
        <v>-9276.5460910151633</v>
      </c>
      <c r="J63" s="24">
        <v>79.5</v>
      </c>
      <c r="K63" s="25">
        <f t="shared" si="28"/>
        <v>-7.2345390898483117E-2</v>
      </c>
      <c r="L63" s="94">
        <f>IF(ISNUMBER(J63), $B64 * K63, "")</f>
        <v>-10851.808634772467</v>
      </c>
      <c r="M63" s="92">
        <v>79.099999999999994</v>
      </c>
      <c r="N63" s="25">
        <f t="shared" si="29"/>
        <v>-7.7012835472578867E-2</v>
      </c>
      <c r="O63" s="94">
        <f>IF(ISNUMBER(M63), $B64 * N63, "")</f>
        <v>-11551.92532088683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-3.9848437512445829E-2</v>
      </c>
      <c r="F64" s="28">
        <f>SUM(F44:F63)</f>
        <v>-119545.31253733746</v>
      </c>
      <c r="G64" s="26" t="s">
        <v>258</v>
      </c>
      <c r="H64" s="27">
        <f>IF(COUNT(H44:H63), SUM(H44:H63) / COUNT(H44:H63), 0)</f>
        <v>-1.5891896991184633E-2</v>
      </c>
      <c r="I64" s="28">
        <f>SUM(I44:I63)</f>
        <v>-47675.690973553908</v>
      </c>
      <c r="J64" s="26" t="s">
        <v>258</v>
      </c>
      <c r="K64" s="27">
        <f>IF(COUNT(K44:K63), SUM(K44:K63) / COUNT(K44:K63), 0)</f>
        <v>-1.9703713004644328E-2</v>
      </c>
      <c r="L64" s="28">
        <f>SUM(L44:L63)</f>
        <v>-59111.139013932989</v>
      </c>
      <c r="M64" s="26" t="s">
        <v>258</v>
      </c>
      <c r="N64" s="27">
        <f>IF(COUNT(N44:N63), SUM(N44:N63) / COUNT(N44:N63), 0)</f>
        <v>-4.4651512117103463E-2</v>
      </c>
      <c r="O64" s="28">
        <f>SUM(O44:O63)</f>
        <v>-133954.53635131038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2023-01-25(수) 오전 00:00</v>
      </c>
      <c r="C69" s="198"/>
      <c r="D69" s="170" t="str">
        <f>TEXT($G$1, "[$-ko-KR]yyyy-mm-dd(ddd) ") &amp; "오후 14:00"</f>
        <v>2023-01-25(수) 오후 14:00</v>
      </c>
      <c r="E69" s="171"/>
      <c r="F69" s="172"/>
      <c r="G69" s="170" t="str">
        <f>TEXT($G$1, "[$-ko-KR]yyyy-mm-dd(ddd) ") &amp; "오후 19:00"</f>
        <v>2023-01-25(수) 오후 19:00</v>
      </c>
      <c r="H69" s="171"/>
      <c r="I69" s="172"/>
      <c r="J69" s="170" t="str">
        <f>TEXT($G$1, "[$-ko-KR]yyyy-mm-dd(ddd) ") &amp; "오후 21:00"</f>
        <v>2023-01-25(수) 오후 21:00</v>
      </c>
      <c r="K69" s="171"/>
      <c r="L69" s="172"/>
      <c r="M69" s="170" t="str">
        <f>TEXT($G$1+1, "[$-ko-KR]yyyy-mm-dd(ddd) ") &amp; "오전 00:00"</f>
        <v>2023-01-26(목)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345</v>
      </c>
      <c r="B71" s="108">
        <v>276</v>
      </c>
      <c r="C71" s="69">
        <v>0.38693467339999998</v>
      </c>
      <c r="D71" s="13">
        <v>229</v>
      </c>
      <c r="E71" s="14">
        <f>IF(ISNUMBER(D71), (D71 - $B71) / $B71, "")</f>
        <v>-0.17028985507246377</v>
      </c>
      <c r="F71" s="16">
        <f>IF(ISNUMBER(D71), $B91 * E71, "")</f>
        <v>-25543.478260869568</v>
      </c>
      <c r="G71" s="29">
        <v>226</v>
      </c>
      <c r="H71" s="14">
        <f>IF(ISNUMBER(G71), (G71 - $B71) / $B71, "")</f>
        <v>-0.18115942028985507</v>
      </c>
      <c r="I71" s="90">
        <f>IF(ISNUMBER(G71), $B91 * H71, "")</f>
        <v>-27173.91304347826</v>
      </c>
      <c r="J71" s="13">
        <v>218</v>
      </c>
      <c r="K71" s="14">
        <f>IF(ISNUMBER(J71), (J71 - $B71) / $B71, "")</f>
        <v>-0.21014492753623187</v>
      </c>
      <c r="L71" s="16">
        <f>IF(ISNUMBER(J71), $B91 * K71, "")</f>
        <v>-31521.73913043478</v>
      </c>
      <c r="M71" s="29">
        <v>217</v>
      </c>
      <c r="N71" s="14">
        <f>IF(ISNUMBER(M71), (M71 - $B71) / $B71, "")</f>
        <v>-0.21376811594202899</v>
      </c>
      <c r="O71" s="16">
        <f>IF(ISNUMBER(M71), $B91 * N71, "")</f>
        <v>-32065.217391304348</v>
      </c>
      <c r="Q71" s="156"/>
      <c r="R71" s="156"/>
      <c r="S71" s="156"/>
    </row>
    <row r="72" spans="1:19" ht="17.25" thickBot="1">
      <c r="A72" s="109" t="s">
        <v>105</v>
      </c>
      <c r="B72" s="110">
        <v>302</v>
      </c>
      <c r="C72" s="70">
        <v>0.19367588929999999</v>
      </c>
      <c r="D72" s="15">
        <v>275</v>
      </c>
      <c r="E72" s="32">
        <f t="shared" ref="E72:E75" si="30">IF(ISNUMBER(D72), (D72 - $B72) / $B72, "")</f>
        <v>-8.9403973509933773E-2</v>
      </c>
      <c r="F72" s="18">
        <f>IF(ISNUMBER(D72), $B91 * E72, "")</f>
        <v>-13410.596026490066</v>
      </c>
      <c r="G72" s="31">
        <v>273</v>
      </c>
      <c r="H72" s="32">
        <f t="shared" ref="H72:H75" si="31">IF(ISNUMBER(G72), (G72 - $B72) / $B72, "")</f>
        <v>-9.602649006622517E-2</v>
      </c>
      <c r="I72" s="91">
        <f>IF(ISNUMBER(G72), $B91 * H72, "")</f>
        <v>-14403.973509933776</v>
      </c>
      <c r="J72" s="15">
        <v>270</v>
      </c>
      <c r="K72" s="32">
        <f t="shared" ref="K72:K75" si="32">IF(ISNUMBER(J72), (J72 - $B72) / $B72, "")</f>
        <v>-0.10596026490066225</v>
      </c>
      <c r="L72" s="18">
        <f>IF(ISNUMBER(J72), $B91 * K72, "")</f>
        <v>-15894.039735099337</v>
      </c>
      <c r="M72" s="31">
        <v>269</v>
      </c>
      <c r="N72" s="32">
        <f t="shared" ref="N72:N75" si="33">IF(ISNUMBER(M72), (M72 - $B72) / $B72, "")</f>
        <v>-0.10927152317880795</v>
      </c>
      <c r="O72" s="18">
        <f>IF(ISNUMBER(M72), $B91 * N72, "")</f>
        <v>-16390.728476821194</v>
      </c>
      <c r="Q72" s="156"/>
      <c r="R72" s="156"/>
      <c r="S72" s="156"/>
    </row>
    <row r="73" spans="1:19" ht="17.25" thickBot="1">
      <c r="A73" s="109" t="s">
        <v>159</v>
      </c>
      <c r="B73" s="110">
        <v>253</v>
      </c>
      <c r="C73" s="70">
        <v>0.11946902650000001</v>
      </c>
      <c r="D73" s="15">
        <v>249</v>
      </c>
      <c r="E73" s="32">
        <f t="shared" si="30"/>
        <v>-1.5810276679841896E-2</v>
      </c>
      <c r="F73" s="18">
        <f>IF(ISNUMBER(D73), $B91 * E73, "")</f>
        <v>-2371.5415019762845</v>
      </c>
      <c r="G73" s="31">
        <v>240</v>
      </c>
      <c r="H73" s="32">
        <f t="shared" si="31"/>
        <v>-5.1383399209486168E-2</v>
      </c>
      <c r="I73" s="91">
        <f>IF(ISNUMBER(G73), $B91 * H73, "")</f>
        <v>-7707.509881422925</v>
      </c>
      <c r="J73" s="15">
        <v>239</v>
      </c>
      <c r="K73" s="32">
        <f t="shared" si="32"/>
        <v>-5.533596837944664E-2</v>
      </c>
      <c r="L73" s="18">
        <f>IF(ISNUMBER(J73), $B91 * K73, "")</f>
        <v>-8300.395256916996</v>
      </c>
      <c r="M73" s="31">
        <v>234</v>
      </c>
      <c r="N73" s="32">
        <f t="shared" si="33"/>
        <v>-7.5098814229249009E-2</v>
      </c>
      <c r="O73" s="18">
        <f>IF(ISNUMBER(M73), $B91 * N73, "")</f>
        <v>-11264.822134387352</v>
      </c>
      <c r="Q73" s="146"/>
      <c r="R73" s="146"/>
      <c r="S73" s="146"/>
    </row>
    <row r="74" spans="1:19" ht="17.25" thickBot="1">
      <c r="A74" s="109" t="s">
        <v>199</v>
      </c>
      <c r="B74" s="110">
        <v>374</v>
      </c>
      <c r="C74" s="70">
        <v>5.3521126799999999E-2</v>
      </c>
      <c r="D74" s="15">
        <v>353</v>
      </c>
      <c r="E74" s="32">
        <f t="shared" si="30"/>
        <v>-5.6149732620320858E-2</v>
      </c>
      <c r="F74" s="18">
        <f>IF(ISNUMBER(D74), $B91 * E74, "")</f>
        <v>-8422.4598930481279</v>
      </c>
      <c r="G74" s="31">
        <v>355</v>
      </c>
      <c r="H74" s="32">
        <f t="shared" si="31"/>
        <v>-5.0802139037433157E-2</v>
      </c>
      <c r="I74" s="91">
        <f>IF(ISNUMBER(G74), $B91 * H74, "")</f>
        <v>-7620.3208556149739</v>
      </c>
      <c r="J74" s="15">
        <v>350</v>
      </c>
      <c r="K74" s="32">
        <f t="shared" si="32"/>
        <v>-6.4171122994652413E-2</v>
      </c>
      <c r="L74" s="18">
        <f>IF(ISNUMBER(J74), $B91 * K74, "")</f>
        <v>-9625.6684491978613</v>
      </c>
      <c r="M74" s="31">
        <v>338</v>
      </c>
      <c r="N74" s="32">
        <f t="shared" si="33"/>
        <v>-9.6256684491978606E-2</v>
      </c>
      <c r="O74" s="18">
        <f>IF(ISNUMBER(M74), $B91 * N74, "")</f>
        <v>-14438.502673796791</v>
      </c>
      <c r="Q74" s="146"/>
      <c r="R74" s="146"/>
      <c r="S74" s="146"/>
    </row>
    <row r="75" spans="1:19" ht="17.25" thickBot="1">
      <c r="A75" s="111" t="s">
        <v>103</v>
      </c>
      <c r="B75" s="112">
        <v>294</v>
      </c>
      <c r="C75" s="71">
        <v>3.5211267599999999E-2</v>
      </c>
      <c r="D75" s="20">
        <v>271</v>
      </c>
      <c r="E75" s="21">
        <f t="shared" si="30"/>
        <v>-7.8231292517006806E-2</v>
      </c>
      <c r="F75" s="22">
        <f>IF(ISNUMBER(D75), $B91 * E75, "")</f>
        <v>-11734.693877551021</v>
      </c>
      <c r="G75" s="30">
        <v>275</v>
      </c>
      <c r="H75" s="21">
        <f t="shared" si="31"/>
        <v>-6.4625850340136057E-2</v>
      </c>
      <c r="I75" s="95">
        <f>IF(ISNUMBER(G75), $B91 * H75, "")</f>
        <v>-9693.8775510204086</v>
      </c>
      <c r="J75" s="20">
        <v>273</v>
      </c>
      <c r="K75" s="21">
        <f t="shared" si="32"/>
        <v>-7.1428571428571425E-2</v>
      </c>
      <c r="L75" s="22">
        <f>IF(ISNUMBER(J75), $B91 * K75, "")</f>
        <v>-10714.285714285714</v>
      </c>
      <c r="M75" s="30">
        <v>270</v>
      </c>
      <c r="N75" s="21">
        <f t="shared" si="33"/>
        <v>-8.1632653061224483E-2</v>
      </c>
      <c r="O75" s="22">
        <f>IF(ISNUMBER(M75), $B91 * N75, "")</f>
        <v>-12244.897959183672</v>
      </c>
      <c r="Q75" s="146"/>
      <c r="R75" s="146"/>
      <c r="S75" s="146"/>
    </row>
    <row r="76" spans="1:19" ht="17.25" thickBot="1">
      <c r="A76" s="109" t="s">
        <v>201</v>
      </c>
      <c r="B76" s="113">
        <v>303</v>
      </c>
      <c r="C76" s="73">
        <v>3.41296928E-2</v>
      </c>
      <c r="D76" s="96">
        <v>290</v>
      </c>
      <c r="E76" s="97">
        <f>IF(ISNUMBER(D76), (D76 - $B76) / $B76, "")</f>
        <v>-4.2904290429042903E-2</v>
      </c>
      <c r="F76" s="98">
        <f>IF(ISNUMBER(D76), $B91 * E76, "")</f>
        <v>-6435.6435643564355</v>
      </c>
      <c r="G76" s="99">
        <v>281</v>
      </c>
      <c r="H76" s="97">
        <f>IF(ISNUMBER(G76), (G76 - $B76) / $B76, "")</f>
        <v>-7.2607260726072612E-2</v>
      </c>
      <c r="I76" s="100">
        <f>IF(ISNUMBER(G76), $B91 * H76, "")</f>
        <v>-10891.089108910892</v>
      </c>
      <c r="J76" s="96">
        <v>280</v>
      </c>
      <c r="K76" s="97">
        <f>IF(ISNUMBER(J76), (J76 - $B76) / $B76, "")</f>
        <v>-7.590759075907591E-2</v>
      </c>
      <c r="L76" s="98">
        <f>IF(ISNUMBER(J76), $B91 * K76, "")</f>
        <v>-11386.138613861387</v>
      </c>
      <c r="M76" s="99">
        <v>275</v>
      </c>
      <c r="N76" s="97">
        <f>IF(ISNUMBER(M76), (M76 - $B76) / $B76, "")</f>
        <v>-9.2409240924092403E-2</v>
      </c>
      <c r="O76" s="98">
        <f>IF(ISNUMBER(M76), $B91 * N76, "")</f>
        <v>-13861.38613861386</v>
      </c>
      <c r="Q76" s="146"/>
      <c r="R76" s="146"/>
      <c r="S76" s="146"/>
    </row>
    <row r="77" spans="1:19" ht="17.25" thickBot="1">
      <c r="A77" s="109" t="s">
        <v>330</v>
      </c>
      <c r="B77" s="110">
        <v>371</v>
      </c>
      <c r="C77" s="70">
        <v>3.3426183800000002E-2</v>
      </c>
      <c r="D77" s="15">
        <v>348</v>
      </c>
      <c r="E77" s="32">
        <f t="shared" ref="E77:E80" si="34">IF(ISNUMBER(D77), (D77 - $B77) / $B77, "")</f>
        <v>-6.1994609164420483E-2</v>
      </c>
      <c r="F77" s="18">
        <f>IF(ISNUMBER(D77), $B91 * E77, "")</f>
        <v>-9299.1913746630726</v>
      </c>
      <c r="G77" s="31">
        <v>347</v>
      </c>
      <c r="H77" s="32">
        <f t="shared" ref="H77:H80" si="35">IF(ISNUMBER(G77), (G77 - $B77) / $B77, "")</f>
        <v>-6.4690026954177901E-2</v>
      </c>
      <c r="I77" s="91">
        <f>IF(ISNUMBER(G77), $B91 * H77, "")</f>
        <v>-9703.5040431266843</v>
      </c>
      <c r="J77" s="15">
        <v>344</v>
      </c>
      <c r="K77" s="32">
        <f t="shared" ref="K77:K80" si="36">IF(ISNUMBER(J77), (J77 - $B77) / $B77, "")</f>
        <v>-7.277628032345014E-2</v>
      </c>
      <c r="L77" s="18">
        <f>IF(ISNUMBER(J77), $B91 * K77, "")</f>
        <v>-10916.442048517521</v>
      </c>
      <c r="M77" s="31">
        <v>343</v>
      </c>
      <c r="N77" s="32">
        <f t="shared" ref="N77:N80" si="37">IF(ISNUMBER(M77), (M77 - $B77) / $B77, "")</f>
        <v>-7.5471698113207544E-2</v>
      </c>
      <c r="O77" s="18">
        <f>IF(ISNUMBER(M77), $B91 * N77, "")</f>
        <v>-11320.754716981131</v>
      </c>
      <c r="Q77" s="146"/>
      <c r="R77" s="146"/>
      <c r="S77" s="146"/>
    </row>
    <row r="78" spans="1:19" ht="17.25" thickBot="1">
      <c r="A78" s="109" t="s">
        <v>85</v>
      </c>
      <c r="B78" s="110">
        <v>181</v>
      </c>
      <c r="C78" s="70">
        <v>2.84090909E-2</v>
      </c>
      <c r="D78" s="15">
        <v>168</v>
      </c>
      <c r="E78" s="32">
        <f t="shared" si="34"/>
        <v>-7.18232044198895E-2</v>
      </c>
      <c r="F78" s="18">
        <f>IF(ISNUMBER(D78), $B91 * E78, "")</f>
        <v>-10773.480662983426</v>
      </c>
      <c r="G78" s="31">
        <v>167</v>
      </c>
      <c r="H78" s="32">
        <f t="shared" si="35"/>
        <v>-7.7348066298342538E-2</v>
      </c>
      <c r="I78" s="91">
        <f>IF(ISNUMBER(G78), $B91 * H78, "")</f>
        <v>-11602.209944751381</v>
      </c>
      <c r="J78" s="15">
        <v>166</v>
      </c>
      <c r="K78" s="32">
        <f t="shared" si="36"/>
        <v>-8.2872928176795577E-2</v>
      </c>
      <c r="L78" s="18">
        <f>IF(ISNUMBER(J78), $B91 * K78, "")</f>
        <v>-12430.939226519336</v>
      </c>
      <c r="M78" s="31">
        <v>165</v>
      </c>
      <c r="N78" s="32">
        <f t="shared" si="37"/>
        <v>-8.8397790055248615E-2</v>
      </c>
      <c r="O78" s="18">
        <f>IF(ISNUMBER(M78), $B91 * N78, "")</f>
        <v>-13259.668508287292</v>
      </c>
      <c r="Q78" s="146"/>
      <c r="R78" s="146"/>
      <c r="S78" s="146"/>
    </row>
    <row r="79" spans="1:19" ht="17.25" thickBot="1">
      <c r="A79" s="109" t="s">
        <v>79</v>
      </c>
      <c r="B79" s="110">
        <v>326</v>
      </c>
      <c r="C79" s="70">
        <v>2.5157232700000001E-2</v>
      </c>
      <c r="D79" s="15">
        <v>304</v>
      </c>
      <c r="E79" s="32">
        <f t="shared" si="34"/>
        <v>-6.7484662576687116E-2</v>
      </c>
      <c r="F79" s="18">
        <f>IF(ISNUMBER(D79), $B91 * E79, "")</f>
        <v>-10122.699386503067</v>
      </c>
      <c r="G79" s="31">
        <v>303</v>
      </c>
      <c r="H79" s="32">
        <f t="shared" si="35"/>
        <v>-7.0552147239263799E-2</v>
      </c>
      <c r="I79" s="91">
        <f>IF(ISNUMBER(G79), $B91 * H79, "")</f>
        <v>-10582.822085889569</v>
      </c>
      <c r="J79" s="15">
        <v>300</v>
      </c>
      <c r="K79" s="32">
        <f t="shared" si="36"/>
        <v>-7.9754601226993863E-2</v>
      </c>
      <c r="L79" s="18">
        <f>IF(ISNUMBER(J79), $B91 * K79, "")</f>
        <v>-11963.190184049079</v>
      </c>
      <c r="M79" s="31">
        <v>301</v>
      </c>
      <c r="N79" s="32">
        <f t="shared" si="37"/>
        <v>-7.6687116564417179E-2</v>
      </c>
      <c r="O79" s="18">
        <f>IF(ISNUMBER(M79), $B91 * N79, "")</f>
        <v>-11503.067484662577</v>
      </c>
      <c r="Q79" s="33"/>
      <c r="R79" s="33"/>
    </row>
    <row r="80" spans="1:19" ht="17.25" thickBot="1">
      <c r="A80" s="114" t="s">
        <v>205</v>
      </c>
      <c r="B80" s="115">
        <v>127</v>
      </c>
      <c r="C80" s="72">
        <v>2.4193548400000001E-2</v>
      </c>
      <c r="D80" s="24">
        <v>122</v>
      </c>
      <c r="E80" s="25">
        <f t="shared" si="34"/>
        <v>-3.937007874015748E-2</v>
      </c>
      <c r="F80" s="94">
        <f>IF(ISNUMBER(D80), $B91 * E80, "")</f>
        <v>-5905.5118110236217</v>
      </c>
      <c r="G80" s="92">
        <v>121</v>
      </c>
      <c r="H80" s="25">
        <f t="shared" si="35"/>
        <v>-4.7244094488188976E-2</v>
      </c>
      <c r="I80" s="93">
        <f>IF(ISNUMBER(G80), $B91 * H80, "")</f>
        <v>-7086.6141732283468</v>
      </c>
      <c r="J80" s="24">
        <v>123</v>
      </c>
      <c r="K80" s="25">
        <f t="shared" si="36"/>
        <v>-3.1496062992125984E-2</v>
      </c>
      <c r="L80" s="94">
        <f>IF(ISNUMBER(J80), $B91 * K80, "")</f>
        <v>-4724.4094488188975</v>
      </c>
      <c r="M80" s="92">
        <v>120</v>
      </c>
      <c r="N80" s="25">
        <f t="shared" si="37"/>
        <v>-5.5118110236220472E-2</v>
      </c>
      <c r="O80" s="94">
        <f>IF(ISNUMBER(M80), $B91 * N80, "")</f>
        <v>-8267.71653543307</v>
      </c>
      <c r="Q80" s="147"/>
      <c r="R80" s="148"/>
      <c r="S80" s="149"/>
    </row>
    <row r="81" spans="1:19">
      <c r="A81" s="107" t="s">
        <v>101</v>
      </c>
      <c r="B81" s="108">
        <v>264</v>
      </c>
      <c r="C81" s="69">
        <v>2.3255814E-2</v>
      </c>
      <c r="D81" s="13">
        <v>244</v>
      </c>
      <c r="E81" s="14">
        <f>IF(ISNUMBER(D81), (D81 - $B81) / $B81, "")</f>
        <v>-7.575757575757576E-2</v>
      </c>
      <c r="F81" s="16">
        <f>IF(ISNUMBER(D81), $B91 * E81, "")</f>
        <v>-11363.636363636364</v>
      </c>
      <c r="G81" s="29">
        <v>246</v>
      </c>
      <c r="H81" s="14">
        <f>IF(ISNUMBER(G81), (G81 - $B81) / $B81, "")</f>
        <v>-6.8181818181818177E-2</v>
      </c>
      <c r="I81" s="90">
        <f>IF(ISNUMBER(G81), $B91 * H81, "")</f>
        <v>-10227.272727272726</v>
      </c>
      <c r="J81" s="13">
        <v>245</v>
      </c>
      <c r="K81" s="14">
        <f>IF(ISNUMBER(J81), (J81 - $B81) / $B81, "")</f>
        <v>-7.1969696969696975E-2</v>
      </c>
      <c r="L81" s="16">
        <f>IF(ISNUMBER(J81), $B91 * K81, "")</f>
        <v>-10795.454545454546</v>
      </c>
      <c r="M81" s="29">
        <v>244</v>
      </c>
      <c r="N81" s="14">
        <f>IF(ISNUMBER(M81), (M81 - $B81) / $B81, "")</f>
        <v>-7.575757575757576E-2</v>
      </c>
      <c r="O81" s="16">
        <f>IF(ISNUMBER(M81), $B91 * N81, "")</f>
        <v>-11363.636363636364</v>
      </c>
      <c r="Q81" s="150"/>
      <c r="R81" s="151"/>
      <c r="S81" s="152"/>
    </row>
    <row r="82" spans="1:19" ht="17.25" thickBot="1">
      <c r="A82" s="109" t="s">
        <v>120</v>
      </c>
      <c r="B82" s="110">
        <v>139</v>
      </c>
      <c r="C82" s="70">
        <v>2.2058823500000001E-2</v>
      </c>
      <c r="D82" s="15">
        <v>130</v>
      </c>
      <c r="E82" s="32">
        <f t="shared" ref="E82:E85" si="38">IF(ISNUMBER(D82), (D82 - $B82) / $B82, "")</f>
        <v>-6.4748201438848921E-2</v>
      </c>
      <c r="F82" s="18">
        <f>IF(ISNUMBER(D82), $B91 * E82, "")</f>
        <v>-9712.2302158273378</v>
      </c>
      <c r="G82" s="31">
        <v>131</v>
      </c>
      <c r="H82" s="32">
        <f t="shared" ref="H82:H85" si="39">IF(ISNUMBER(G82), (G82 - $B82) / $B82, "")</f>
        <v>-5.7553956834532377E-2</v>
      </c>
      <c r="I82" s="91">
        <f>IF(ISNUMBER(G82), $B91 * H82, "")</f>
        <v>-8633.0935251798564</v>
      </c>
      <c r="J82" s="15">
        <v>132</v>
      </c>
      <c r="K82" s="32">
        <f t="shared" ref="K82:K85" si="40">IF(ISNUMBER(J82), (J82 - $B82) / $B82, "")</f>
        <v>-5.0359712230215826E-2</v>
      </c>
      <c r="L82" s="18">
        <f>IF(ISNUMBER(J82), $B91 * K82, "")</f>
        <v>-7553.9568345323742</v>
      </c>
      <c r="M82" s="31">
        <v>128</v>
      </c>
      <c r="N82" s="32">
        <f t="shared" ref="N82:N85" si="41">IF(ISNUMBER(M82), (M82 - $B82) / $B82, "")</f>
        <v>-7.9136690647482008E-2</v>
      </c>
      <c r="O82" s="18">
        <f>IF(ISNUMBER(M82), $B91 * N82, "")</f>
        <v>-11870.503597122301</v>
      </c>
      <c r="Q82" s="153"/>
      <c r="R82" s="154"/>
      <c r="S82" s="155"/>
    </row>
    <row r="83" spans="1:19" ht="17.25" thickBot="1">
      <c r="A83" s="109" t="s">
        <v>241</v>
      </c>
      <c r="B83" s="110">
        <v>111</v>
      </c>
      <c r="C83" s="70">
        <v>1.83486239E-2</v>
      </c>
      <c r="D83" s="15">
        <v>109</v>
      </c>
      <c r="E83" s="32">
        <f t="shared" si="38"/>
        <v>-1.8018018018018018E-2</v>
      </c>
      <c r="F83" s="18">
        <f>IF(ISNUMBER(D83), $B91 * E83, "")</f>
        <v>-2702.7027027027025</v>
      </c>
      <c r="G83" s="31">
        <v>107</v>
      </c>
      <c r="H83" s="32">
        <f t="shared" si="39"/>
        <v>-3.6036036036036036E-2</v>
      </c>
      <c r="I83" s="91">
        <f>IF(ISNUMBER(G83), $B91 * H83, "")</f>
        <v>-5405.405405405405</v>
      </c>
      <c r="J83" s="15">
        <v>107</v>
      </c>
      <c r="K83" s="32">
        <f t="shared" si="40"/>
        <v>-3.6036036036036036E-2</v>
      </c>
      <c r="L83" s="18">
        <f>IF(ISNUMBER(J83), $B91 * K83, "")</f>
        <v>-5405.405405405405</v>
      </c>
      <c r="M83" s="31">
        <v>105</v>
      </c>
      <c r="N83" s="32">
        <f t="shared" si="41"/>
        <v>-5.4054054054054057E-2</v>
      </c>
      <c r="O83" s="18">
        <f>IF(ISNUMBER(M83), $B91 * N83, "")</f>
        <v>-8108.1081081081084</v>
      </c>
      <c r="Q83" s="146"/>
      <c r="R83" s="146"/>
      <c r="S83" s="146"/>
    </row>
    <row r="84" spans="1:19" ht="17.25" thickBot="1">
      <c r="A84" s="109" t="s">
        <v>167</v>
      </c>
      <c r="B84" s="110">
        <v>223</v>
      </c>
      <c r="C84" s="70">
        <v>1.82648402E-2</v>
      </c>
      <c r="D84" s="15">
        <v>216</v>
      </c>
      <c r="E84" s="32">
        <f t="shared" si="38"/>
        <v>-3.1390134529147982E-2</v>
      </c>
      <c r="F84" s="18">
        <f>IF(ISNUMBER(D84), $B91 * E84, "")</f>
        <v>-4708.5201793721972</v>
      </c>
      <c r="G84" s="31">
        <v>214</v>
      </c>
      <c r="H84" s="32">
        <f t="shared" si="39"/>
        <v>-4.0358744394618833E-2</v>
      </c>
      <c r="I84" s="91">
        <f>IF(ISNUMBER(G84), $B91 * H84, "")</f>
        <v>-6053.8116591928247</v>
      </c>
      <c r="J84" s="15">
        <v>213</v>
      </c>
      <c r="K84" s="32">
        <f t="shared" si="40"/>
        <v>-4.4843049327354258E-2</v>
      </c>
      <c r="L84" s="18">
        <f>IF(ISNUMBER(J84), $B91 * K84, "")</f>
        <v>-6726.4573991031384</v>
      </c>
      <c r="M84" s="31">
        <v>208</v>
      </c>
      <c r="N84" s="32">
        <f t="shared" si="41"/>
        <v>-6.726457399103139E-2</v>
      </c>
      <c r="O84" s="18">
        <f>IF(ISNUMBER(M84), $B91 * N84, "")</f>
        <v>-10089.686098654709</v>
      </c>
      <c r="Q84" s="156"/>
      <c r="R84" s="156"/>
      <c r="S84" s="156"/>
    </row>
    <row r="85" spans="1:19" ht="17.25" thickBot="1">
      <c r="A85" s="111" t="s">
        <v>169</v>
      </c>
      <c r="B85" s="112">
        <v>293</v>
      </c>
      <c r="C85" s="71">
        <v>1.73611111E-2</v>
      </c>
      <c r="D85" s="20">
        <v>275</v>
      </c>
      <c r="E85" s="21">
        <f t="shared" si="38"/>
        <v>-6.1433447098976107E-2</v>
      </c>
      <c r="F85" s="22">
        <f>IF(ISNUMBER(D85), $B91 * E85, "")</f>
        <v>-9215.0170648464155</v>
      </c>
      <c r="G85" s="30">
        <v>274</v>
      </c>
      <c r="H85" s="21">
        <f t="shared" si="39"/>
        <v>-6.4846416382252553E-2</v>
      </c>
      <c r="I85" s="95">
        <f>IF(ISNUMBER(G85), $B91 * H85, "")</f>
        <v>-9726.9624573378824</v>
      </c>
      <c r="J85" s="20">
        <v>273</v>
      </c>
      <c r="K85" s="21">
        <f t="shared" si="40"/>
        <v>-6.8259385665529013E-2</v>
      </c>
      <c r="L85" s="22">
        <f>IF(ISNUMBER(J85), $B91 * K85, "")</f>
        <v>-10238.907849829351</v>
      </c>
      <c r="M85" s="30">
        <v>271</v>
      </c>
      <c r="N85" s="21">
        <f t="shared" si="41"/>
        <v>-7.5085324232081918E-2</v>
      </c>
      <c r="O85" s="22">
        <f>IF(ISNUMBER(M85), $B91 * N85, "")</f>
        <v>-11262.798634812289</v>
      </c>
      <c r="Q85" s="156"/>
      <c r="R85" s="156"/>
      <c r="S85" s="156"/>
    </row>
    <row r="86" spans="1:19" ht="17.25" thickBot="1">
      <c r="A86" s="109" t="s">
        <v>321</v>
      </c>
      <c r="B86" s="113">
        <v>243</v>
      </c>
      <c r="C86" s="73">
        <v>1.67364017E-2</v>
      </c>
      <c r="D86" s="96">
        <v>239</v>
      </c>
      <c r="E86" s="97">
        <f>IF(ISNUMBER(D86), (D86 - $B86) / $B86, "")</f>
        <v>-1.646090534979424E-2</v>
      </c>
      <c r="F86" s="98">
        <f>IF(ISNUMBER(D86), $B91 * E86, "")</f>
        <v>-2469.1358024691358</v>
      </c>
      <c r="G86" s="99">
        <v>231</v>
      </c>
      <c r="H86" s="97">
        <f>IF(ISNUMBER(G86), (G86 - $B86) / $B86, "")</f>
        <v>-4.9382716049382713E-2</v>
      </c>
      <c r="I86" s="100">
        <f>IF(ISNUMBER(G86), $B91 * H86, "")</f>
        <v>-7407.4074074074069</v>
      </c>
      <c r="J86" s="96">
        <v>229</v>
      </c>
      <c r="K86" s="97">
        <f>IF(ISNUMBER(J86), (J86 - $B86) / $B86, "")</f>
        <v>-5.7613168724279837E-2</v>
      </c>
      <c r="L86" s="98">
        <f>IF(ISNUMBER(J86), $B91 * K86, "")</f>
        <v>-8641.9753086419751</v>
      </c>
      <c r="M86" s="99">
        <v>227</v>
      </c>
      <c r="N86" s="97">
        <f>IF(ISNUMBER(M86), (M86 - $B86) / $B86, "")</f>
        <v>-6.584362139917696E-2</v>
      </c>
      <c r="O86" s="98">
        <f>IF(ISNUMBER(M86), $B91 * N86, "")</f>
        <v>-9876.5432098765432</v>
      </c>
      <c r="Q86" s="146"/>
      <c r="R86" s="146"/>
      <c r="S86" s="146"/>
    </row>
    <row r="87" spans="1:19" ht="17.25" thickBot="1">
      <c r="A87" s="109" t="s">
        <v>229</v>
      </c>
      <c r="B87" s="110">
        <v>300</v>
      </c>
      <c r="C87" s="70">
        <v>1.3513513499999999E-2</v>
      </c>
      <c r="D87" s="15">
        <v>291</v>
      </c>
      <c r="E87" s="32">
        <f t="shared" ref="E87:E90" si="42">IF(ISNUMBER(D87), (D87 - $B87) / $B87, "")</f>
        <v>-0.03</v>
      </c>
      <c r="F87" s="18">
        <f>IF(ISNUMBER(D87), $B91 * E87, "")</f>
        <v>-4500</v>
      </c>
      <c r="G87" s="31">
        <v>289</v>
      </c>
      <c r="H87" s="32">
        <f t="shared" ref="H87:H90" si="43">IF(ISNUMBER(G87), (G87 - $B87) / $B87, "")</f>
        <v>-3.6666666666666667E-2</v>
      </c>
      <c r="I87" s="91">
        <f>IF(ISNUMBER(G87), $B91 * H87, "")</f>
        <v>-5500</v>
      </c>
      <c r="J87" s="15">
        <v>288</v>
      </c>
      <c r="K87" s="32">
        <f t="shared" ref="K87:K90" si="44">IF(ISNUMBER(J87), (J87 - $B87) / $B87, "")</f>
        <v>-0.04</v>
      </c>
      <c r="L87" s="18">
        <f>IF(ISNUMBER(J87), $B91 * K87, "")</f>
        <v>-6000</v>
      </c>
      <c r="M87" s="31">
        <v>284</v>
      </c>
      <c r="N87" s="32">
        <f t="shared" ref="N87:N90" si="45">IF(ISNUMBER(M87), (M87 - $B87) / $B87, "")</f>
        <v>-5.3333333333333337E-2</v>
      </c>
      <c r="O87" s="18">
        <f>IF(ISNUMBER(M87), $B91 * N87, "")</f>
        <v>-8000.0000000000009</v>
      </c>
      <c r="Q87" s="146"/>
      <c r="R87" s="146"/>
      <c r="S87" s="146"/>
    </row>
    <row r="88" spans="1:19" ht="17.25" thickBot="1">
      <c r="A88" s="109" t="s">
        <v>183</v>
      </c>
      <c r="B88" s="110">
        <v>155</v>
      </c>
      <c r="C88" s="70">
        <v>1.30718954E-2</v>
      </c>
      <c r="D88" s="15">
        <v>172</v>
      </c>
      <c r="E88" s="32">
        <f t="shared" si="42"/>
        <v>0.10967741935483871</v>
      </c>
      <c r="F88" s="18">
        <f>IF(ISNUMBER(D88), $B91 * E88, "")</f>
        <v>16451.612903225807</v>
      </c>
      <c r="G88" s="31">
        <v>160</v>
      </c>
      <c r="H88" s="32">
        <f t="shared" si="43"/>
        <v>3.2258064516129031E-2</v>
      </c>
      <c r="I88" s="91">
        <f>IF(ISNUMBER(G88), $B91 * H88, "")</f>
        <v>4838.7096774193551</v>
      </c>
      <c r="J88" s="15">
        <v>159</v>
      </c>
      <c r="K88" s="32">
        <f t="shared" si="44"/>
        <v>2.5806451612903226E-2</v>
      </c>
      <c r="L88" s="18">
        <f>IF(ISNUMBER(J88), $B91 * K88, "")</f>
        <v>3870.9677419354839</v>
      </c>
      <c r="M88" s="31">
        <v>153</v>
      </c>
      <c r="N88" s="32">
        <f t="shared" si="45"/>
        <v>-1.2903225806451613E-2</v>
      </c>
      <c r="O88" s="18">
        <f>IF(ISNUMBER(M88), $B91 * N88, "")</f>
        <v>-1935.483870967742</v>
      </c>
      <c r="Q88" s="146"/>
      <c r="R88" s="146"/>
      <c r="S88" s="146"/>
    </row>
    <row r="89" spans="1:19">
      <c r="A89" s="109" t="s">
        <v>176</v>
      </c>
      <c r="B89" s="110">
        <v>372</v>
      </c>
      <c r="C89" s="70">
        <v>1.08695652E-2</v>
      </c>
      <c r="D89" s="15">
        <v>355</v>
      </c>
      <c r="E89" s="32">
        <f t="shared" si="42"/>
        <v>-4.5698924731182797E-2</v>
      </c>
      <c r="F89" s="18">
        <f>IF(ISNUMBER(D89), $B91 * E89, "")</f>
        <v>-6854.8387096774195</v>
      </c>
      <c r="G89" s="31">
        <v>355</v>
      </c>
      <c r="H89" s="32">
        <f t="shared" si="43"/>
        <v>-4.5698924731182797E-2</v>
      </c>
      <c r="I89" s="91">
        <f>IF(ISNUMBER(G89), $B91 * H89, "")</f>
        <v>-6854.8387096774195</v>
      </c>
      <c r="J89" s="15">
        <v>352</v>
      </c>
      <c r="K89" s="32">
        <f t="shared" si="44"/>
        <v>-5.3763440860215055E-2</v>
      </c>
      <c r="L89" s="18">
        <f>IF(ISNUMBER(J89), $B91 * K89, "")</f>
        <v>-8064.5161290322585</v>
      </c>
      <c r="M89" s="31">
        <v>351</v>
      </c>
      <c r="N89" s="32">
        <f t="shared" si="45"/>
        <v>-5.6451612903225805E-2</v>
      </c>
      <c r="O89" s="18">
        <f>IF(ISNUMBER(M89), $B91 * N89, "")</f>
        <v>-8467.7419354838712</v>
      </c>
      <c r="Q89" s="135"/>
      <c r="R89" s="136"/>
      <c r="S89" s="137"/>
    </row>
    <row r="90" spans="1:19" ht="17.25" thickBot="1">
      <c r="A90" s="114" t="s">
        <v>153</v>
      </c>
      <c r="B90" s="115">
        <v>467</v>
      </c>
      <c r="C90" s="72">
        <v>1.0822510800000001E-2</v>
      </c>
      <c r="D90" s="24">
        <v>430</v>
      </c>
      <c r="E90" s="25">
        <f t="shared" si="42"/>
        <v>-7.922912205567452E-2</v>
      </c>
      <c r="F90" s="94">
        <f>IF(ISNUMBER(D90), $B91 * E90, "")</f>
        <v>-11884.368308351179</v>
      </c>
      <c r="G90" s="92">
        <v>429</v>
      </c>
      <c r="H90" s="25">
        <f t="shared" si="43"/>
        <v>-8.137044967880086E-2</v>
      </c>
      <c r="I90" s="93">
        <f>IF(ISNUMBER(G90), $B91 * H90, "")</f>
        <v>-12205.567451820129</v>
      </c>
      <c r="J90" s="24">
        <v>428</v>
      </c>
      <c r="K90" s="25">
        <f t="shared" si="44"/>
        <v>-8.3511777301927201E-2</v>
      </c>
      <c r="L90" s="94">
        <f>IF(ISNUMBER(J90), $B91 * K90, "")</f>
        <v>-12526.76659528908</v>
      </c>
      <c r="M90" s="92">
        <v>426</v>
      </c>
      <c r="N90" s="25">
        <f t="shared" si="45"/>
        <v>-8.7794432548179868E-2</v>
      </c>
      <c r="O90" s="94">
        <f>IF(ISNUMBER(M90), $B91 * N90, "")</f>
        <v>-13169.16488222698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-5.0326044267707225E-2</v>
      </c>
      <c r="F91" s="28">
        <f>SUM(F71:F90)</f>
        <v>-150978.13280312161</v>
      </c>
      <c r="G91" s="26" t="s">
        <v>258</v>
      </c>
      <c r="H91" s="27">
        <f>IF(COUNT(H71:H90), SUM(H71:H90) / COUNT(H71:H90), 0)</f>
        <v>-6.1213827954417169E-2</v>
      </c>
      <c r="I91" s="28">
        <f>SUM(I71:I90)</f>
        <v>-183641.48386325149</v>
      </c>
      <c r="J91" s="26" t="s">
        <v>258</v>
      </c>
      <c r="K91" s="27">
        <f>IF(COUNT(K71:K90), SUM(K71:K90) / COUNT(K71:K90), 0)</f>
        <v>-6.6519906711017845E-2</v>
      </c>
      <c r="L91" s="28">
        <f>SUM(L71:L90)</f>
        <v>-199559.72013305358</v>
      </c>
      <c r="M91" s="26" t="s">
        <v>258</v>
      </c>
      <c r="N91" s="27">
        <f>IF(COUNT(N71:N90), SUM(N71:N90) / COUNT(N71:N90), 0)</f>
        <v>-7.9586809573453376E-2</v>
      </c>
      <c r="O91" s="28">
        <f>SUM(O71:O90)</f>
        <v>-238760.42872036016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2023-01-25(수) 오전 00:00</v>
      </c>
      <c r="C96" s="198"/>
      <c r="D96" s="170" t="str">
        <f>TEXT($G$1, "[$-ko-KR]yyyy-mm-dd(ddd) ") &amp; "오후 14:00"</f>
        <v>2023-01-25(수) 오후 14:00</v>
      </c>
      <c r="E96" s="171"/>
      <c r="F96" s="172"/>
      <c r="G96" s="170" t="str">
        <f>TEXT($G$1, "[$-ko-KR]yyyy-mm-dd(ddd) ") &amp; "오후 19:00"</f>
        <v>2023-01-25(수) 오후 19:00</v>
      </c>
      <c r="H96" s="171"/>
      <c r="I96" s="172"/>
      <c r="J96" s="170" t="str">
        <f>TEXT($G$1, "[$-ko-KR]yyyy-mm-dd(ddd) ") &amp; "오후 21:00"</f>
        <v>2023-01-25(수) 오후 21:00</v>
      </c>
      <c r="K96" s="171"/>
      <c r="L96" s="172"/>
      <c r="M96" s="170" t="str">
        <f>TEXT($G$1+1, "[$-ko-KR]yyyy-mm-dd(ddd) ") &amp; "오전 00:00"</f>
        <v>2023-01-26(목)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345</v>
      </c>
      <c r="B98" s="108">
        <v>276</v>
      </c>
      <c r="C98" s="69">
        <v>0.38693467339999998</v>
      </c>
      <c r="D98" s="13">
        <v>229</v>
      </c>
      <c r="E98" s="14">
        <f>IF(ISNUMBER(D98), (D98 - $B98) / $B98, "")</f>
        <v>-0.17028985507246377</v>
      </c>
      <c r="F98" s="16">
        <f>IF(ISNUMBER(D98), $B118 * E98, "")</f>
        <v>-25543.478260869568</v>
      </c>
      <c r="G98" s="29">
        <v>226</v>
      </c>
      <c r="H98" s="14">
        <f>IF(ISNUMBER(G98), (G98 - $B98) / $B98, "")</f>
        <v>-0.18115942028985507</v>
      </c>
      <c r="I98" s="90">
        <f>IF(ISNUMBER(G98), $B118 * H98, "")</f>
        <v>-27173.91304347826</v>
      </c>
      <c r="J98" s="13">
        <v>218</v>
      </c>
      <c r="K98" s="14">
        <f>IF(ISNUMBER(J98), (J98 - $B98) / $B98, "")</f>
        <v>-0.21014492753623187</v>
      </c>
      <c r="L98" s="16">
        <f>IF(ISNUMBER(J98), $B118 * K98, "")</f>
        <v>-31521.73913043478</v>
      </c>
      <c r="M98" s="29">
        <v>217</v>
      </c>
      <c r="N98" s="14">
        <f>IF(ISNUMBER(M98), (M98 - $B98) / $B98, "")</f>
        <v>-0.21376811594202899</v>
      </c>
      <c r="O98" s="16">
        <f>IF(ISNUMBER(M98), $B118 * N98, "")</f>
        <v>-32065.217391304348</v>
      </c>
      <c r="Q98" s="156"/>
      <c r="R98" s="156"/>
      <c r="S98" s="156"/>
    </row>
    <row r="99" spans="1:19" ht="17.25" thickBot="1">
      <c r="A99" s="109" t="s">
        <v>349</v>
      </c>
      <c r="B99" s="110">
        <v>69</v>
      </c>
      <c r="C99" s="70">
        <v>0.2410071942</v>
      </c>
      <c r="D99" s="15">
        <v>63.3</v>
      </c>
      <c r="E99" s="32">
        <f t="shared" ref="E99:E102" si="46">IF(ISNUMBER(D99), (D99 - $B99) / $B99, "")</f>
        <v>-8.260869565217395E-2</v>
      </c>
      <c r="F99" s="18">
        <f>IF(ISNUMBER(D99), $B118 * E99, "")</f>
        <v>-12391.304347826092</v>
      </c>
      <c r="G99" s="31">
        <v>66.2</v>
      </c>
      <c r="H99" s="32">
        <f t="shared" ref="H99:H102" si="47">IF(ISNUMBER(G99), (G99 - $B99) / $B99, "")</f>
        <v>-4.0579710144927492E-2</v>
      </c>
      <c r="I99" s="91">
        <f>IF(ISNUMBER(G99), $B118 * H99, "")</f>
        <v>-6086.9565217391237</v>
      </c>
      <c r="J99" s="15">
        <v>61.6</v>
      </c>
      <c r="K99" s="32">
        <f t="shared" ref="K99:K102" si="48">IF(ISNUMBER(J99), (J99 - $B99) / $B99, "")</f>
        <v>-0.10724637681159419</v>
      </c>
      <c r="L99" s="18">
        <f>IF(ISNUMBER(J99), $B118 * K99, "")</f>
        <v>-16086.956521739128</v>
      </c>
      <c r="M99" s="31">
        <v>60.8</v>
      </c>
      <c r="N99" s="32">
        <f t="shared" ref="N99:N102" si="49">IF(ISNUMBER(M99), (M99 - $B99) / $B99, "")</f>
        <v>-0.11884057971014497</v>
      </c>
      <c r="O99" s="18">
        <f>IF(ISNUMBER(M99), $B118 * N99, "")</f>
        <v>-17826.086956521747</v>
      </c>
      <c r="Q99" s="156"/>
      <c r="R99" s="156"/>
      <c r="S99" s="156"/>
    </row>
    <row r="100" spans="1:19" ht="17.25" thickBot="1">
      <c r="A100" s="109" t="s">
        <v>105</v>
      </c>
      <c r="B100" s="110">
        <v>302</v>
      </c>
      <c r="C100" s="70">
        <v>0.19367588929999999</v>
      </c>
      <c r="D100" s="15">
        <v>275</v>
      </c>
      <c r="E100" s="32">
        <f t="shared" si="46"/>
        <v>-8.9403973509933773E-2</v>
      </c>
      <c r="F100" s="18">
        <f>IF(ISNUMBER(D100), $B118 * E100, "")</f>
        <v>-13410.596026490066</v>
      </c>
      <c r="G100" s="31">
        <v>273</v>
      </c>
      <c r="H100" s="32">
        <f t="shared" si="47"/>
        <v>-9.602649006622517E-2</v>
      </c>
      <c r="I100" s="91">
        <f>IF(ISNUMBER(G100), $B118 * H100, "")</f>
        <v>-14403.973509933776</v>
      </c>
      <c r="J100" s="15">
        <v>270</v>
      </c>
      <c r="K100" s="32">
        <f t="shared" si="48"/>
        <v>-0.10596026490066225</v>
      </c>
      <c r="L100" s="18">
        <f>IF(ISNUMBER(J100), $B118 * K100, "")</f>
        <v>-15894.039735099337</v>
      </c>
      <c r="M100" s="31">
        <v>269</v>
      </c>
      <c r="N100" s="32">
        <f t="shared" si="49"/>
        <v>-0.10927152317880795</v>
      </c>
      <c r="O100" s="18">
        <f>IF(ISNUMBER(M100), $B118 * N100, "")</f>
        <v>-16390.728476821194</v>
      </c>
      <c r="Q100" s="146"/>
      <c r="R100" s="146"/>
      <c r="S100" s="146"/>
    </row>
    <row r="101" spans="1:19" ht="17.25" thickBot="1">
      <c r="A101" s="109" t="s">
        <v>159</v>
      </c>
      <c r="B101" s="110">
        <v>253</v>
      </c>
      <c r="C101" s="70">
        <v>0.11946902650000001</v>
      </c>
      <c r="D101" s="15">
        <v>249</v>
      </c>
      <c r="E101" s="32">
        <f t="shared" si="46"/>
        <v>-1.5810276679841896E-2</v>
      </c>
      <c r="F101" s="18">
        <f>IF(ISNUMBER(D101), $B118 * E101, "")</f>
        <v>-2371.5415019762845</v>
      </c>
      <c r="G101" s="31">
        <v>240</v>
      </c>
      <c r="H101" s="32">
        <f t="shared" si="47"/>
        <v>-5.1383399209486168E-2</v>
      </c>
      <c r="I101" s="91">
        <f>IF(ISNUMBER(G101), $B118 * H101, "")</f>
        <v>-7707.509881422925</v>
      </c>
      <c r="J101" s="15">
        <v>239</v>
      </c>
      <c r="K101" s="32">
        <f t="shared" si="48"/>
        <v>-5.533596837944664E-2</v>
      </c>
      <c r="L101" s="18">
        <f>IF(ISNUMBER(J101), $B118 * K101, "")</f>
        <v>-8300.395256916996</v>
      </c>
      <c r="M101" s="31">
        <v>234</v>
      </c>
      <c r="N101" s="32">
        <f t="shared" si="49"/>
        <v>-7.5098814229249009E-2</v>
      </c>
      <c r="O101" s="18">
        <f>IF(ISNUMBER(M101), $B118 * N101, "")</f>
        <v>-11264.822134387352</v>
      </c>
      <c r="Q101" s="146"/>
      <c r="R101" s="146"/>
      <c r="S101" s="146"/>
    </row>
    <row r="102" spans="1:19" ht="17.25" thickBot="1">
      <c r="A102" s="111" t="s">
        <v>197</v>
      </c>
      <c r="B102" s="112">
        <v>8.3800000000000008</v>
      </c>
      <c r="C102" s="71">
        <v>7.1611253200000002E-2</v>
      </c>
      <c r="D102" s="20">
        <v>8.06</v>
      </c>
      <c r="E102" s="21">
        <f t="shared" si="46"/>
        <v>-3.8186157517899791E-2</v>
      </c>
      <c r="F102" s="22">
        <f>IF(ISNUMBER(D102), $B118 * E102, "")</f>
        <v>-5727.9236276849688</v>
      </c>
      <c r="G102" s="30">
        <v>8.19</v>
      </c>
      <c r="H102" s="21">
        <f t="shared" si="47"/>
        <v>-2.2673031026253135E-2</v>
      </c>
      <c r="I102" s="95">
        <f>IF(ISNUMBER(G102), $B118 * H102, "")</f>
        <v>-3400.9546539379703</v>
      </c>
      <c r="J102" s="20">
        <v>8.18</v>
      </c>
      <c r="K102" s="21">
        <f t="shared" si="48"/>
        <v>-2.3866348448687475E-2</v>
      </c>
      <c r="L102" s="22">
        <f>IF(ISNUMBER(J102), $B118 * K102, "")</f>
        <v>-3579.9522673031211</v>
      </c>
      <c r="M102" s="30">
        <v>7.95</v>
      </c>
      <c r="N102" s="21">
        <f t="shared" si="49"/>
        <v>-5.131264916467787E-2</v>
      </c>
      <c r="O102" s="22">
        <f>IF(ISNUMBER(M102), $B118 * N102, "")</f>
        <v>-7696.8973747016807</v>
      </c>
      <c r="Q102" s="146"/>
      <c r="R102" s="146"/>
      <c r="S102" s="146"/>
    </row>
    <row r="103" spans="1:19" ht="17.25" thickBot="1">
      <c r="A103" s="109" t="s">
        <v>217</v>
      </c>
      <c r="B103" s="113">
        <v>91.5</v>
      </c>
      <c r="C103" s="73">
        <v>6.76779463E-2</v>
      </c>
      <c r="D103" s="96">
        <v>91.9</v>
      </c>
      <c r="E103" s="97">
        <f>IF(ISNUMBER(D103), (D103 - $B103) / $B103, "")</f>
        <v>4.3715846994536144E-3</v>
      </c>
      <c r="F103" s="98">
        <f>IF(ISNUMBER(D103), $B118 * E103, "")</f>
        <v>655.73770491804214</v>
      </c>
      <c r="G103" s="99">
        <v>87.8</v>
      </c>
      <c r="H103" s="97">
        <f>IF(ISNUMBER(G103), (G103 - $B103) / $B103, "")</f>
        <v>-4.0437158469945389E-2</v>
      </c>
      <c r="I103" s="100">
        <f>IF(ISNUMBER(G103), $B118 * H103, "")</f>
        <v>-6065.5737704918083</v>
      </c>
      <c r="J103" s="96">
        <v>87.2</v>
      </c>
      <c r="K103" s="97">
        <f>IF(ISNUMBER(J103), (J103 - $B103) / $B103, "")</f>
        <v>-4.6994535519125649E-2</v>
      </c>
      <c r="L103" s="98">
        <f>IF(ISNUMBER(J103), $B118 * K103, "")</f>
        <v>-7049.1803278688476</v>
      </c>
      <c r="M103" s="99">
        <v>85.1</v>
      </c>
      <c r="N103" s="97">
        <f>IF(ISNUMBER(M103), (M103 - $B103) / $B103, "")</f>
        <v>-6.9945355191256886E-2</v>
      </c>
      <c r="O103" s="98">
        <f>IF(ISNUMBER(M103), $B118 * N103, "")</f>
        <v>-10491.803278688532</v>
      </c>
      <c r="Q103" s="146"/>
      <c r="R103" s="146"/>
      <c r="S103" s="146"/>
    </row>
    <row r="104" spans="1:19" ht="17.25" thickBot="1">
      <c r="A104" s="109" t="s">
        <v>199</v>
      </c>
      <c r="B104" s="110">
        <v>374</v>
      </c>
      <c r="C104" s="70">
        <v>5.3521126799999999E-2</v>
      </c>
      <c r="D104" s="15">
        <v>353</v>
      </c>
      <c r="E104" s="32">
        <f t="shared" ref="E104:E107" si="50">IF(ISNUMBER(D104), (D104 - $B104) / $B104, "")</f>
        <v>-5.6149732620320858E-2</v>
      </c>
      <c r="F104" s="18">
        <f>IF(ISNUMBER(D104), $B118 * E104, "")</f>
        <v>-8422.4598930481279</v>
      </c>
      <c r="G104" s="31">
        <v>355</v>
      </c>
      <c r="H104" s="32">
        <f t="shared" ref="H104:H107" si="51">IF(ISNUMBER(G104), (G104 - $B104) / $B104, "")</f>
        <v>-5.0802139037433157E-2</v>
      </c>
      <c r="I104" s="91">
        <f>IF(ISNUMBER(G104), $B118 * H104, "")</f>
        <v>-7620.3208556149739</v>
      </c>
      <c r="J104" s="15">
        <v>350</v>
      </c>
      <c r="K104" s="32">
        <f t="shared" ref="K104:K107" si="52">IF(ISNUMBER(J104), (J104 - $B104) / $B104, "")</f>
        <v>-6.4171122994652413E-2</v>
      </c>
      <c r="L104" s="18">
        <f>IF(ISNUMBER(J104), $B118 * K104, "")</f>
        <v>-9625.6684491978613</v>
      </c>
      <c r="M104" s="31">
        <v>338</v>
      </c>
      <c r="N104" s="32">
        <f t="shared" ref="N104:N107" si="53">IF(ISNUMBER(M104), (M104 - $B104) / $B104, "")</f>
        <v>-9.6256684491978606E-2</v>
      </c>
      <c r="O104" s="18">
        <f>IF(ISNUMBER(M104), $B118 * N104, "")</f>
        <v>-14438.502673796791</v>
      </c>
      <c r="Q104" s="146"/>
      <c r="R104" s="146"/>
      <c r="S104" s="146"/>
    </row>
    <row r="105" spans="1:19" ht="17.25" thickBot="1">
      <c r="A105" s="109" t="s">
        <v>141</v>
      </c>
      <c r="B105" s="110">
        <v>4.09</v>
      </c>
      <c r="C105" s="70">
        <v>5.1413881699999997E-2</v>
      </c>
      <c r="D105" s="15">
        <v>3.92</v>
      </c>
      <c r="E105" s="32">
        <f t="shared" si="50"/>
        <v>-4.1564792176039103E-2</v>
      </c>
      <c r="F105" s="18">
        <f>IF(ISNUMBER(D105), $B118 * E105, "")</f>
        <v>-6234.7188264058659</v>
      </c>
      <c r="G105" s="31">
        <v>3.92</v>
      </c>
      <c r="H105" s="32">
        <f t="shared" si="51"/>
        <v>-4.1564792176039103E-2</v>
      </c>
      <c r="I105" s="91">
        <f>IF(ISNUMBER(G105), $B118 * H105, "")</f>
        <v>-6234.7188264058659</v>
      </c>
      <c r="J105" s="15">
        <v>4.05</v>
      </c>
      <c r="K105" s="32">
        <f t="shared" si="52"/>
        <v>-9.7799511002445074E-3</v>
      </c>
      <c r="L105" s="18">
        <f>IF(ISNUMBER(J105), $B118 * K105, "")</f>
        <v>-1466.992665036676</v>
      </c>
      <c r="M105" s="31">
        <v>3.91</v>
      </c>
      <c r="N105" s="32">
        <f t="shared" si="53"/>
        <v>-4.4009779951100177E-2</v>
      </c>
      <c r="O105" s="18">
        <f>IF(ISNUMBER(M105), $B118 * N105, "")</f>
        <v>-6601.4669926650267</v>
      </c>
      <c r="Q105" s="146"/>
      <c r="R105" s="146"/>
      <c r="S105" s="146"/>
    </row>
    <row r="106" spans="1:19" ht="17.25" thickBot="1">
      <c r="A106" s="109" t="s">
        <v>118</v>
      </c>
      <c r="B106" s="110">
        <v>7.18</v>
      </c>
      <c r="C106" s="70">
        <v>4.6647230300000002E-2</v>
      </c>
      <c r="D106" s="15">
        <v>6.85</v>
      </c>
      <c r="E106" s="32">
        <f t="shared" si="50"/>
        <v>-4.5961002785515334E-2</v>
      </c>
      <c r="F106" s="18">
        <f>IF(ISNUMBER(D106), $B118 * E106, "")</f>
        <v>-6894.1504178272999</v>
      </c>
      <c r="G106" s="31">
        <v>6.95</v>
      </c>
      <c r="H106" s="32">
        <f t="shared" si="51"/>
        <v>-3.2033426183843951E-2</v>
      </c>
      <c r="I106" s="91">
        <f>IF(ISNUMBER(G106), $B118 * H106, "")</f>
        <v>-4805.0139275765923</v>
      </c>
      <c r="J106" s="15">
        <v>6.94</v>
      </c>
      <c r="K106" s="32">
        <f t="shared" si="52"/>
        <v>-3.3426183844011047E-2</v>
      </c>
      <c r="L106" s="18">
        <f>IF(ISNUMBER(J106), $B118 * K106, "")</f>
        <v>-5013.9275766016572</v>
      </c>
      <c r="M106" s="31">
        <v>6.74</v>
      </c>
      <c r="N106" s="32">
        <f t="shared" si="53"/>
        <v>-6.1281337047353696E-2</v>
      </c>
      <c r="O106" s="18">
        <f>IF(ISNUMBER(M106), $B118 * N106, "")</f>
        <v>-9192.200557103055</v>
      </c>
      <c r="Q106" s="33"/>
      <c r="R106" s="33"/>
    </row>
    <row r="107" spans="1:19" ht="17.25" thickBot="1">
      <c r="A107" s="114" t="s">
        <v>103</v>
      </c>
      <c r="B107" s="115">
        <v>294</v>
      </c>
      <c r="C107" s="72">
        <v>3.5211267599999999E-2</v>
      </c>
      <c r="D107" s="24">
        <v>271</v>
      </c>
      <c r="E107" s="25">
        <f t="shared" si="50"/>
        <v>-7.8231292517006806E-2</v>
      </c>
      <c r="F107" s="94">
        <f>IF(ISNUMBER(D107), $B118 * E107, "")</f>
        <v>-11734.693877551021</v>
      </c>
      <c r="G107" s="92">
        <v>275</v>
      </c>
      <c r="H107" s="25">
        <f t="shared" si="51"/>
        <v>-6.4625850340136057E-2</v>
      </c>
      <c r="I107" s="93">
        <f>IF(ISNUMBER(G107), $B118 * H107, "")</f>
        <v>-9693.8775510204086</v>
      </c>
      <c r="J107" s="24">
        <v>273</v>
      </c>
      <c r="K107" s="25">
        <f t="shared" si="52"/>
        <v>-7.1428571428571425E-2</v>
      </c>
      <c r="L107" s="94">
        <f>IF(ISNUMBER(J107), $B118 * K107, "")</f>
        <v>-10714.285714285714</v>
      </c>
      <c r="M107" s="92">
        <v>270</v>
      </c>
      <c r="N107" s="25">
        <f t="shared" si="53"/>
        <v>-8.1632653061224483E-2</v>
      </c>
      <c r="O107" s="94">
        <f>IF(ISNUMBER(M107), $B118 * N107, "")</f>
        <v>-12244.897959183672</v>
      </c>
      <c r="Q107" s="147"/>
      <c r="R107" s="148"/>
      <c r="S107" s="149"/>
    </row>
    <row r="108" spans="1:19">
      <c r="A108" s="107" t="s">
        <v>201</v>
      </c>
      <c r="B108" s="108">
        <v>303</v>
      </c>
      <c r="C108" s="69">
        <v>3.41296928E-2</v>
      </c>
      <c r="D108" s="13">
        <v>290</v>
      </c>
      <c r="E108" s="14">
        <f>IF(ISNUMBER(D108), (D108 - $B108) / $B108, "")</f>
        <v>-4.2904290429042903E-2</v>
      </c>
      <c r="F108" s="16">
        <f>IF(ISNUMBER(D108), $B118 * E108, "")</f>
        <v>-6435.6435643564355</v>
      </c>
      <c r="G108" s="29">
        <v>281</v>
      </c>
      <c r="H108" s="14">
        <f>IF(ISNUMBER(G108), (G108 - $B108) / $B108, "")</f>
        <v>-7.2607260726072612E-2</v>
      </c>
      <c r="I108" s="90">
        <f>IF(ISNUMBER(G108), $B118 * H108, "")</f>
        <v>-10891.089108910892</v>
      </c>
      <c r="J108" s="13">
        <v>280</v>
      </c>
      <c r="K108" s="14">
        <f>IF(ISNUMBER(J108), (J108 - $B108) / $B108, "")</f>
        <v>-7.590759075907591E-2</v>
      </c>
      <c r="L108" s="16">
        <f>IF(ISNUMBER(J108), $B118 * K108, "")</f>
        <v>-11386.138613861387</v>
      </c>
      <c r="M108" s="29">
        <v>275</v>
      </c>
      <c r="N108" s="14">
        <f>IF(ISNUMBER(M108), (M108 - $B108) / $B108, "")</f>
        <v>-9.2409240924092403E-2</v>
      </c>
      <c r="O108" s="16">
        <f>IF(ISNUMBER(M108), $B118 * N108, "")</f>
        <v>-13861.38613861386</v>
      </c>
      <c r="Q108" s="150"/>
      <c r="R108" s="151"/>
      <c r="S108" s="152"/>
    </row>
    <row r="109" spans="1:19" ht="17.25" thickBot="1">
      <c r="A109" s="109" t="s">
        <v>211</v>
      </c>
      <c r="B109" s="110">
        <v>1215</v>
      </c>
      <c r="C109" s="70">
        <v>3.4042553199999999E-2</v>
      </c>
      <c r="D109" s="15">
        <v>1130</v>
      </c>
      <c r="E109" s="32">
        <f t="shared" ref="E109:E112" si="54">IF(ISNUMBER(D109), (D109 - $B109) / $B109, "")</f>
        <v>-6.9958847736625515E-2</v>
      </c>
      <c r="F109" s="18">
        <f>IF(ISNUMBER(D109), $B118 * E109, "")</f>
        <v>-10493.827160493827</v>
      </c>
      <c r="G109" s="31">
        <v>1135</v>
      </c>
      <c r="H109" s="32">
        <f t="shared" ref="H109:H112" si="55">IF(ISNUMBER(G109), (G109 - $B109) / $B109, "")</f>
        <v>-6.584362139917696E-2</v>
      </c>
      <c r="I109" s="91">
        <f>IF(ISNUMBER(G109), $B118 * H109, "")</f>
        <v>-9876.5432098765432</v>
      </c>
      <c r="J109" s="15">
        <v>1125</v>
      </c>
      <c r="K109" s="32">
        <f t="shared" ref="K109:K112" si="56">IF(ISNUMBER(J109), (J109 - $B109) / $B109, "")</f>
        <v>-7.407407407407407E-2</v>
      </c>
      <c r="L109" s="18">
        <f>IF(ISNUMBER(J109), $B118 * K109, "")</f>
        <v>-11111.111111111111</v>
      </c>
      <c r="M109" s="31">
        <v>1120</v>
      </c>
      <c r="N109" s="32">
        <f t="shared" ref="N109:N112" si="57">IF(ISNUMBER(M109), (M109 - $B109) / $B109, "")</f>
        <v>-7.8189300411522639E-2</v>
      </c>
      <c r="O109" s="18">
        <f>IF(ISNUMBER(M109), $B118 * N109, "")</f>
        <v>-11728.395061728395</v>
      </c>
      <c r="Q109" s="153"/>
      <c r="R109" s="154"/>
      <c r="S109" s="155"/>
    </row>
    <row r="110" spans="1:19" ht="17.25" thickBot="1">
      <c r="A110" s="109" t="s">
        <v>134</v>
      </c>
      <c r="B110" s="110">
        <v>1835</v>
      </c>
      <c r="C110" s="70">
        <v>3.3802816899999998E-2</v>
      </c>
      <c r="D110" s="15">
        <v>1740</v>
      </c>
      <c r="E110" s="32">
        <f t="shared" si="54"/>
        <v>-5.1771117166212535E-2</v>
      </c>
      <c r="F110" s="18">
        <f>IF(ISNUMBER(D110), $B118 * E110, "")</f>
        <v>-7765.6675749318802</v>
      </c>
      <c r="G110" s="31">
        <v>1750</v>
      </c>
      <c r="H110" s="32">
        <f t="shared" si="55"/>
        <v>-4.632152588555858E-2</v>
      </c>
      <c r="I110" s="91">
        <f>IF(ISNUMBER(G110), $B118 * H110, "")</f>
        <v>-6948.2288828337869</v>
      </c>
      <c r="J110" s="15">
        <v>1735</v>
      </c>
      <c r="K110" s="32">
        <f t="shared" si="56"/>
        <v>-5.4495912806539509E-2</v>
      </c>
      <c r="L110" s="18">
        <f>IF(ISNUMBER(J110), $B118 * K110, "")</f>
        <v>-8174.3869209809263</v>
      </c>
      <c r="M110" s="31">
        <v>1730</v>
      </c>
      <c r="N110" s="32">
        <f t="shared" si="57"/>
        <v>-5.7220708446866483E-2</v>
      </c>
      <c r="O110" s="18">
        <f>IF(ISNUMBER(M110), $B118 * N110, "")</f>
        <v>-8583.1062670299725</v>
      </c>
      <c r="Q110" s="146"/>
      <c r="R110" s="146"/>
      <c r="S110" s="146"/>
    </row>
    <row r="111" spans="1:19" ht="17.25" thickBot="1">
      <c r="A111" s="109" t="s">
        <v>330</v>
      </c>
      <c r="B111" s="110">
        <v>371</v>
      </c>
      <c r="C111" s="70">
        <v>3.3426183800000002E-2</v>
      </c>
      <c r="D111" s="15">
        <v>348</v>
      </c>
      <c r="E111" s="32">
        <f t="shared" si="54"/>
        <v>-6.1994609164420483E-2</v>
      </c>
      <c r="F111" s="18">
        <f>IF(ISNUMBER(D111), $B118 * E111, "")</f>
        <v>-9299.1913746630726</v>
      </c>
      <c r="G111" s="31">
        <v>347</v>
      </c>
      <c r="H111" s="32">
        <f t="shared" si="55"/>
        <v>-6.4690026954177901E-2</v>
      </c>
      <c r="I111" s="91">
        <f>IF(ISNUMBER(G111), $B118 * H111, "")</f>
        <v>-9703.5040431266843</v>
      </c>
      <c r="J111" s="15">
        <v>344</v>
      </c>
      <c r="K111" s="32">
        <f t="shared" si="56"/>
        <v>-7.277628032345014E-2</v>
      </c>
      <c r="L111" s="18">
        <f>IF(ISNUMBER(J111), $B118 * K111, "")</f>
        <v>-10916.442048517521</v>
      </c>
      <c r="M111" s="31">
        <v>343</v>
      </c>
      <c r="N111" s="32">
        <f t="shared" si="57"/>
        <v>-7.5471698113207544E-2</v>
      </c>
      <c r="O111" s="18">
        <f>IF(ISNUMBER(M111), $B118 * N111, "")</f>
        <v>-11320.754716981131</v>
      </c>
      <c r="Q111" s="156"/>
      <c r="R111" s="156"/>
      <c r="S111" s="156"/>
    </row>
    <row r="112" spans="1:19" ht="17.25" thickBot="1">
      <c r="A112" s="111" t="s">
        <v>323</v>
      </c>
      <c r="B112" s="112">
        <v>4.2000000000000003E-2</v>
      </c>
      <c r="C112" s="71">
        <v>3.19410319E-2</v>
      </c>
      <c r="D112" s="20">
        <v>4.1700000000000001E-2</v>
      </c>
      <c r="E112" s="21">
        <f t="shared" si="54"/>
        <v>-7.1428571428571817E-3</v>
      </c>
      <c r="F112" s="22">
        <f>IF(ISNUMBER(D112), $B118 * E112, "")</f>
        <v>-1071.4285714285772</v>
      </c>
      <c r="G112" s="30">
        <v>4.1799999999999997E-2</v>
      </c>
      <c r="H112" s="21">
        <f t="shared" si="55"/>
        <v>-4.7619047619048976E-3</v>
      </c>
      <c r="I112" s="95">
        <f>IF(ISNUMBER(G112), $B118 * H112, "")</f>
        <v>-714.28571428573468</v>
      </c>
      <c r="J112" s="20">
        <v>4.19E-2</v>
      </c>
      <c r="K112" s="21">
        <f t="shared" si="56"/>
        <v>-2.3809523809524488E-3</v>
      </c>
      <c r="L112" s="22">
        <f>IF(ISNUMBER(J112), $B118 * K112, "")</f>
        <v>-357.14285714286734</v>
      </c>
      <c r="M112" s="30">
        <v>4.1599999999999998E-2</v>
      </c>
      <c r="N112" s="21">
        <f t="shared" si="57"/>
        <v>-9.5238095238096305E-3</v>
      </c>
      <c r="O112" s="22">
        <f>IF(ISNUMBER(M112), $B118 * N112, "")</f>
        <v>-1428.5714285714446</v>
      </c>
      <c r="Q112" s="156"/>
      <c r="R112" s="156"/>
      <c r="S112" s="156"/>
    </row>
    <row r="113" spans="1:19" ht="17.25" thickBot="1">
      <c r="A113" s="109" t="s">
        <v>191</v>
      </c>
      <c r="B113" s="113">
        <v>67.5</v>
      </c>
      <c r="C113" s="73">
        <v>2.8963414600000001E-2</v>
      </c>
      <c r="D113" s="96">
        <v>66.099999999999994</v>
      </c>
      <c r="E113" s="97">
        <f>IF(ISNUMBER(D113), (D113 - $B113) / $B113, "")</f>
        <v>-2.0740740740740823E-2</v>
      </c>
      <c r="F113" s="98">
        <f>IF(ISNUMBER(D113), $B118 * E113, "")</f>
        <v>-3111.1111111111236</v>
      </c>
      <c r="G113" s="99">
        <v>79</v>
      </c>
      <c r="H113" s="97">
        <f>IF(ISNUMBER(G113), (G113 - $B113) / $B113, "")</f>
        <v>0.17037037037037037</v>
      </c>
      <c r="I113" s="100">
        <f>IF(ISNUMBER(G113), $B118 * H113, "")</f>
        <v>25555.555555555555</v>
      </c>
      <c r="J113" s="96">
        <v>74.7</v>
      </c>
      <c r="K113" s="97">
        <f>IF(ISNUMBER(J113), (J113 - $B113) / $B113, "")</f>
        <v>0.10666666666666672</v>
      </c>
      <c r="L113" s="98">
        <f>IF(ISNUMBER(J113), $B118 * K113, "")</f>
        <v>16000.000000000007</v>
      </c>
      <c r="M113" s="99">
        <v>72.2</v>
      </c>
      <c r="N113" s="97">
        <f>IF(ISNUMBER(M113), (M113 - $B113) / $B113, "")</f>
        <v>6.9629629629629666E-2</v>
      </c>
      <c r="O113" s="98">
        <f>IF(ISNUMBER(M113), $B118 * N113, "")</f>
        <v>10444.444444444451</v>
      </c>
      <c r="Q113" s="146"/>
      <c r="R113" s="146"/>
      <c r="S113" s="146"/>
    </row>
    <row r="114" spans="1:19" ht="17.25" thickBot="1">
      <c r="A114" s="109" t="s">
        <v>85</v>
      </c>
      <c r="B114" s="110">
        <v>181</v>
      </c>
      <c r="C114" s="70">
        <v>2.84090909E-2</v>
      </c>
      <c r="D114" s="15">
        <v>168</v>
      </c>
      <c r="E114" s="32">
        <f t="shared" ref="E114:E117" si="58">IF(ISNUMBER(D114), (D114 - $B114) / $B114, "")</f>
        <v>-7.18232044198895E-2</v>
      </c>
      <c r="F114" s="18">
        <f>IF(ISNUMBER(D114), $B118 * E114, "")</f>
        <v>-10773.480662983426</v>
      </c>
      <c r="G114" s="31">
        <v>167</v>
      </c>
      <c r="H114" s="32">
        <f t="shared" ref="H114:H117" si="59">IF(ISNUMBER(G114), (G114 - $B114) / $B114, "")</f>
        <v>-7.7348066298342538E-2</v>
      </c>
      <c r="I114" s="91">
        <f>IF(ISNUMBER(G114), $B118 * H114, "")</f>
        <v>-11602.209944751381</v>
      </c>
      <c r="J114" s="15">
        <v>166</v>
      </c>
      <c r="K114" s="32">
        <f t="shared" ref="K114:K117" si="60">IF(ISNUMBER(J114), (J114 - $B114) / $B114, "")</f>
        <v>-8.2872928176795577E-2</v>
      </c>
      <c r="L114" s="18">
        <f>IF(ISNUMBER(J114), $B118 * K114, "")</f>
        <v>-12430.939226519336</v>
      </c>
      <c r="M114" s="31">
        <v>165</v>
      </c>
      <c r="N114" s="32">
        <f t="shared" ref="N114:N117" si="61">IF(ISNUMBER(M114), (M114 - $B114) / $B114, "")</f>
        <v>-8.8397790055248615E-2</v>
      </c>
      <c r="O114" s="18">
        <f>IF(ISNUMBER(M114), $B118 * N114, "")</f>
        <v>-13259.668508287292</v>
      </c>
      <c r="Q114" s="146"/>
      <c r="R114" s="146"/>
      <c r="S114" s="146"/>
    </row>
    <row r="115" spans="1:19" ht="17.25" thickBot="1">
      <c r="A115" s="109" t="s">
        <v>79</v>
      </c>
      <c r="B115" s="110">
        <v>326</v>
      </c>
      <c r="C115" s="70">
        <v>2.5157232700000001E-2</v>
      </c>
      <c r="D115" s="15">
        <v>304</v>
      </c>
      <c r="E115" s="32">
        <f t="shared" si="58"/>
        <v>-6.7484662576687116E-2</v>
      </c>
      <c r="F115" s="18">
        <f>IF(ISNUMBER(D115), $B118 * E115, "")</f>
        <v>-10122.699386503067</v>
      </c>
      <c r="G115" s="31">
        <v>303</v>
      </c>
      <c r="H115" s="32">
        <f t="shared" si="59"/>
        <v>-7.0552147239263799E-2</v>
      </c>
      <c r="I115" s="91">
        <f>IF(ISNUMBER(G115), $B118 * H115, "")</f>
        <v>-10582.822085889569</v>
      </c>
      <c r="J115" s="15">
        <v>300</v>
      </c>
      <c r="K115" s="32">
        <f t="shared" si="60"/>
        <v>-7.9754601226993863E-2</v>
      </c>
      <c r="L115" s="18">
        <f>IF(ISNUMBER(J115), $B118 * K115, "")</f>
        <v>-11963.190184049079</v>
      </c>
      <c r="M115" s="31">
        <v>301</v>
      </c>
      <c r="N115" s="32">
        <f t="shared" si="61"/>
        <v>-7.6687116564417179E-2</v>
      </c>
      <c r="O115" s="18">
        <f>IF(ISNUMBER(M115), $B118 * N115, "")</f>
        <v>-11503.067484662577</v>
      </c>
      <c r="Q115" s="146"/>
      <c r="R115" s="146"/>
      <c r="S115" s="146"/>
    </row>
    <row r="116" spans="1:19">
      <c r="A116" s="109" t="s">
        <v>205</v>
      </c>
      <c r="B116" s="110">
        <v>127</v>
      </c>
      <c r="C116" s="70">
        <v>2.4193548400000001E-2</v>
      </c>
      <c r="D116" s="15">
        <v>122</v>
      </c>
      <c r="E116" s="32">
        <f t="shared" si="58"/>
        <v>-3.937007874015748E-2</v>
      </c>
      <c r="F116" s="18">
        <f>IF(ISNUMBER(D116), $B118 * E116, "")</f>
        <v>-5905.5118110236217</v>
      </c>
      <c r="G116" s="31">
        <v>121</v>
      </c>
      <c r="H116" s="32">
        <f t="shared" si="59"/>
        <v>-4.7244094488188976E-2</v>
      </c>
      <c r="I116" s="91">
        <f>IF(ISNUMBER(G116), $B118 * H116, "")</f>
        <v>-7086.6141732283468</v>
      </c>
      <c r="J116" s="15">
        <v>123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120</v>
      </c>
      <c r="N116" s="32">
        <f t="shared" si="61"/>
        <v>-5.5118110236220472E-2</v>
      </c>
      <c r="O116" s="18">
        <f>IF(ISNUMBER(M116), $B118 * N116, "")</f>
        <v>-8267.71653543307</v>
      </c>
      <c r="Q116" s="135"/>
      <c r="R116" s="136"/>
      <c r="S116" s="137"/>
    </row>
    <row r="117" spans="1:19" ht="17.25" thickBot="1">
      <c r="A117" s="114" t="s">
        <v>101</v>
      </c>
      <c r="B117" s="115">
        <v>264</v>
      </c>
      <c r="C117" s="72">
        <v>2.3255814E-2</v>
      </c>
      <c r="D117" s="24">
        <v>244</v>
      </c>
      <c r="E117" s="25">
        <f t="shared" si="58"/>
        <v>-7.575757575757576E-2</v>
      </c>
      <c r="F117" s="94">
        <f>IF(ISNUMBER(D117), $B118 * E117, "")</f>
        <v>-11363.636363636364</v>
      </c>
      <c r="G117" s="92">
        <v>246</v>
      </c>
      <c r="H117" s="25">
        <f t="shared" si="59"/>
        <v>-6.8181818181818177E-2</v>
      </c>
      <c r="I117" s="93">
        <f>IF(ISNUMBER(G117), $B118 * H117, "")</f>
        <v>-10227.272727272726</v>
      </c>
      <c r="J117" s="24">
        <v>245</v>
      </c>
      <c r="K117" s="25">
        <f t="shared" si="60"/>
        <v>-7.1969696969696975E-2</v>
      </c>
      <c r="L117" s="94">
        <f>IF(ISNUMBER(J117), $B118 * K117, "")</f>
        <v>-10795.454545454546</v>
      </c>
      <c r="M117" s="92">
        <v>244</v>
      </c>
      <c r="N117" s="25">
        <f t="shared" si="61"/>
        <v>-7.575757575757576E-2</v>
      </c>
      <c r="O117" s="94">
        <f>IF(ISNUMBER(M117), $B118 * N117, "")</f>
        <v>-11363.636363636364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-5.6139108885297537E-2</v>
      </c>
      <c r="F118" s="28">
        <f>SUM(F98:F117)</f>
        <v>-168417.32665589266</v>
      </c>
      <c r="G118" s="26" t="s">
        <v>258</v>
      </c>
      <c r="H118" s="27">
        <f>IF(COUNT(H98:H117), SUM(H98:H117) / COUNT(H98:H117), 0)</f>
        <v>-4.8423275625413945E-2</v>
      </c>
      <c r="I118" s="28">
        <f>SUM(I98:I117)</f>
        <v>-145269.82687624183</v>
      </c>
      <c r="J118" s="26" t="s">
        <v>258</v>
      </c>
      <c r="K118" s="27">
        <f>IF(COUNT(K98:K117), SUM(K98:K117) / COUNT(K98:K117), 0)</f>
        <v>-5.8370784200313275E-2</v>
      </c>
      <c r="L118" s="28">
        <f>SUM(L98:L117)</f>
        <v>-175112.3526009398</v>
      </c>
      <c r="M118" s="26" t="s">
        <v>258</v>
      </c>
      <c r="N118" s="27">
        <f>IF(COUNT(N98:N117), SUM(N98:N117) / COUNT(N98:N117), 0)</f>
        <v>-7.3028160618557686E-2</v>
      </c>
      <c r="O118" s="28">
        <f>SUM(O98:O117)</f>
        <v>-219084.4818556731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2023-01-25(수) 오전 00:00</v>
      </c>
      <c r="C123" s="198"/>
      <c r="D123" s="170" t="str">
        <f>TEXT($G$1, "[$-ko-KR]yyyy-mm-dd(ddd) ") &amp; "오후 14:00"</f>
        <v>2023-01-25(수) 오후 14:00</v>
      </c>
      <c r="E123" s="171"/>
      <c r="F123" s="172"/>
      <c r="G123" s="170" t="str">
        <f>TEXT($G$1, "[$-ko-KR]yyyy-mm-dd(ddd) ") &amp; "오후 19:00"</f>
        <v>2023-01-25(수) 오후 19:00</v>
      </c>
      <c r="H123" s="171"/>
      <c r="I123" s="172"/>
      <c r="J123" s="170" t="str">
        <f>TEXT($G$1, "[$-ko-KR]yyyy-mm-dd(ddd) ") &amp; "오후 21:00"</f>
        <v>2023-01-25(수) 오후 21:00</v>
      </c>
      <c r="K123" s="171"/>
      <c r="L123" s="172"/>
      <c r="M123" s="170" t="str">
        <f>TEXT($G$1+1, "[$-ko-KR]yyyy-mm-dd(ddd) ") &amp; "오전 00:00"</f>
        <v>2023-01-26(목)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207</v>
      </c>
      <c r="B125" s="108">
        <v>77.3</v>
      </c>
      <c r="C125" s="69">
        <v>7.8226857999999996E-3</v>
      </c>
      <c r="D125" s="13">
        <v>75.3</v>
      </c>
      <c r="E125" s="14">
        <f>IF(ISNUMBER(D125), (D125 - $B125) / $B125, "")</f>
        <v>-2.5873221216041398E-2</v>
      </c>
      <c r="F125" s="16">
        <f>IF(ISNUMBER(D125), $B145 * E125, "")</f>
        <v>-3880.9831824062098</v>
      </c>
      <c r="G125" s="29">
        <v>85.6</v>
      </c>
      <c r="H125" s="14">
        <f>IF(ISNUMBER(G125), (G125 - $B125) / $B125, "")</f>
        <v>0.10737386804657177</v>
      </c>
      <c r="I125" s="90">
        <f>IF(ISNUMBER(G125), $B145 * H125, "")</f>
        <v>16106.080206985765</v>
      </c>
      <c r="J125" s="13">
        <v>82.1</v>
      </c>
      <c r="K125" s="14">
        <f>IF(ISNUMBER(J125), (J125 - $B125) / $B125, "")</f>
        <v>6.209573091849932E-2</v>
      </c>
      <c r="L125" s="16">
        <f>IF(ISNUMBER(J125), $B145 * K125, "")</f>
        <v>9314.3596377748981</v>
      </c>
      <c r="M125" s="29">
        <v>78</v>
      </c>
      <c r="N125" s="14">
        <f>IF(ISNUMBER(M125), (M125 - $B125) / $B125, "")</f>
        <v>9.0556274256145264E-3</v>
      </c>
      <c r="O125" s="16">
        <f>IF(ISNUMBER(M125), $B145 * N125, "")</f>
        <v>1358.344113842179</v>
      </c>
      <c r="Q125" s="156"/>
      <c r="R125" s="156"/>
      <c r="S125" s="156"/>
    </row>
    <row r="126" spans="1:19" ht="17.25" thickBot="1">
      <c r="A126" s="109" t="s">
        <v>350</v>
      </c>
      <c r="B126" s="110">
        <v>8.11</v>
      </c>
      <c r="C126" s="70">
        <v>6.2034739E-3</v>
      </c>
      <c r="D126" s="15">
        <v>7.58</v>
      </c>
      <c r="E126" s="32">
        <f t="shared" ref="E126:E129" si="62">IF(ISNUMBER(D126), (D126 - $B126) / $B126, "")</f>
        <v>-6.5351418002466022E-2</v>
      </c>
      <c r="F126" s="18">
        <f>IF(ISNUMBER(D126), $B145 * E126, "")</f>
        <v>-9802.7127003699024</v>
      </c>
      <c r="G126" s="31">
        <v>7.68</v>
      </c>
      <c r="H126" s="32">
        <f t="shared" ref="H126:H129" si="63">IF(ISNUMBER(G126), (G126 - $B126) / $B126, "")</f>
        <v>-5.3020961775585664E-2</v>
      </c>
      <c r="I126" s="91">
        <f>IF(ISNUMBER(G126), $B145 * H126, "")</f>
        <v>-7953.1442663378493</v>
      </c>
      <c r="J126" s="15">
        <v>7.69</v>
      </c>
      <c r="K126" s="32">
        <f t="shared" ref="K126:K129" si="64">IF(ISNUMBER(J126), (J126 - $B126) / $B126, "")</f>
        <v>-5.1787916152897545E-2</v>
      </c>
      <c r="L126" s="18">
        <f>IF(ISNUMBER(J126), $B145 * K126, "")</f>
        <v>-7768.1874229346322</v>
      </c>
      <c r="M126" s="31">
        <v>7.63</v>
      </c>
      <c r="N126" s="32">
        <f t="shared" ref="N126:N129" si="65">IF(ISNUMBER(M126), (M126 - $B126) / $B126, "")</f>
        <v>-5.9186189889025839E-2</v>
      </c>
      <c r="O126" s="18">
        <f>IF(ISNUMBER(M126), $B145 * N126, "")</f>
        <v>-8877.928483353875</v>
      </c>
      <c r="Q126" s="156"/>
      <c r="R126" s="156"/>
      <c r="S126" s="156"/>
    </row>
    <row r="127" spans="1:19" ht="17.25" thickBot="1">
      <c r="A127" s="109" t="s">
        <v>193</v>
      </c>
      <c r="B127" s="110">
        <v>20.8</v>
      </c>
      <c r="C127" s="70">
        <v>4.8309179000000004E-3</v>
      </c>
      <c r="D127" s="15">
        <v>20.7</v>
      </c>
      <c r="E127" s="32">
        <f t="shared" si="62"/>
        <v>-4.8076923076923756E-3</v>
      </c>
      <c r="F127" s="18">
        <f>IF(ISNUMBER(D127), $B145 * E127, "")</f>
        <v>-721.15384615385631</v>
      </c>
      <c r="G127" s="31">
        <v>20.8</v>
      </c>
      <c r="H127" s="32">
        <f t="shared" si="63"/>
        <v>0</v>
      </c>
      <c r="I127" s="91">
        <f>IF(ISNUMBER(G127), $B145 * H127, "")</f>
        <v>0</v>
      </c>
      <c r="J127" s="15">
        <v>21.2</v>
      </c>
      <c r="K127" s="32">
        <f t="shared" si="64"/>
        <v>1.9230769230769162E-2</v>
      </c>
      <c r="L127" s="18">
        <f>IF(ISNUMBER(J127), $B145 * K127, "")</f>
        <v>2884.6153846153743</v>
      </c>
      <c r="M127" s="31">
        <v>20.399999999999999</v>
      </c>
      <c r="N127" s="32">
        <f t="shared" si="65"/>
        <v>-1.9230769230769332E-2</v>
      </c>
      <c r="O127" s="18">
        <f>IF(ISNUMBER(M127), $B145 * N127, "")</f>
        <v>-2884.6153846153998</v>
      </c>
      <c r="Q127" s="146"/>
      <c r="R127" s="146"/>
      <c r="S127" s="146"/>
    </row>
    <row r="128" spans="1:19" ht="17.25" thickBot="1">
      <c r="A128" s="109" t="s">
        <v>333</v>
      </c>
      <c r="B128" s="110">
        <v>5.34</v>
      </c>
      <c r="C128" s="70">
        <v>3.7593984999999999E-3</v>
      </c>
      <c r="D128" s="15">
        <v>5.0599999999999996</v>
      </c>
      <c r="E128" s="32">
        <f t="shared" si="62"/>
        <v>-5.2434456928838996E-2</v>
      </c>
      <c r="F128" s="18">
        <f>IF(ISNUMBER(D128), $B145 * E128, "")</f>
        <v>-7865.1685393258495</v>
      </c>
      <c r="G128" s="31">
        <v>5.0999999999999996</v>
      </c>
      <c r="H128" s="32">
        <f t="shared" si="63"/>
        <v>-4.4943820224719142E-2</v>
      </c>
      <c r="I128" s="91">
        <f>IF(ISNUMBER(G128), $B145 * H128, "")</f>
        <v>-6741.5730337078712</v>
      </c>
      <c r="J128" s="15">
        <v>5.15</v>
      </c>
      <c r="K128" s="32">
        <f t="shared" si="64"/>
        <v>-3.5580524344569195E-2</v>
      </c>
      <c r="L128" s="18">
        <f>IF(ISNUMBER(J128), $B145 * K128, "")</f>
        <v>-5337.0786516853796</v>
      </c>
      <c r="M128" s="31">
        <v>5</v>
      </c>
      <c r="N128" s="32">
        <f t="shared" si="65"/>
        <v>-6.3670411985018702E-2</v>
      </c>
      <c r="O128" s="18">
        <f>IF(ISNUMBER(M128), $B145 * N128, "")</f>
        <v>-9550.5617977528054</v>
      </c>
      <c r="Q128" s="146"/>
      <c r="R128" s="146"/>
      <c r="S128" s="146"/>
    </row>
    <row r="129" spans="1:19" ht="17.25" thickBot="1">
      <c r="A129" s="111" t="s">
        <v>329</v>
      </c>
      <c r="B129" s="112">
        <v>85.7</v>
      </c>
      <c r="C129" s="71">
        <v>3.5128806000000001E-3</v>
      </c>
      <c r="D129" s="20">
        <v>82</v>
      </c>
      <c r="E129" s="21">
        <f t="shared" si="62"/>
        <v>-4.3173862310385093E-2</v>
      </c>
      <c r="F129" s="22">
        <f>IF(ISNUMBER(D129), $B145 * E129, "")</f>
        <v>-6476.0793465577635</v>
      </c>
      <c r="G129" s="30">
        <v>80.400000000000006</v>
      </c>
      <c r="H129" s="21">
        <f t="shared" si="63"/>
        <v>-6.1843640606767759E-2</v>
      </c>
      <c r="I129" s="95">
        <f>IF(ISNUMBER(G129), $B145 * H129, "")</f>
        <v>-9276.5460910151633</v>
      </c>
      <c r="J129" s="20">
        <v>79.5</v>
      </c>
      <c r="K129" s="21">
        <f t="shared" si="64"/>
        <v>-7.2345390898483117E-2</v>
      </c>
      <c r="L129" s="22">
        <f>IF(ISNUMBER(J129), $B145 * K129, "")</f>
        <v>-10851.808634772467</v>
      </c>
      <c r="M129" s="30">
        <v>79.099999999999994</v>
      </c>
      <c r="N129" s="21">
        <f t="shared" si="65"/>
        <v>-7.7012835472578867E-2</v>
      </c>
      <c r="O129" s="22">
        <f>IF(ISNUMBER(M129), $B145 * N129, "")</f>
        <v>-11551.92532088683</v>
      </c>
      <c r="Q129" s="146"/>
      <c r="R129" s="146"/>
      <c r="S129" s="146"/>
    </row>
    <row r="130" spans="1:19" ht="17.25" thickBot="1">
      <c r="A130" s="109" t="s">
        <v>122</v>
      </c>
      <c r="B130" s="113">
        <v>28.7</v>
      </c>
      <c r="C130" s="73">
        <v>3.4965034999999999E-3</v>
      </c>
      <c r="D130" s="96">
        <v>27.4</v>
      </c>
      <c r="E130" s="97">
        <f>IF(ISNUMBER(D130), (D130 - $B130) / $B130, "")</f>
        <v>-4.5296167247386783E-2</v>
      </c>
      <c r="F130" s="98">
        <f>IF(ISNUMBER(D130), $B145 * E130, "")</f>
        <v>-6794.4250871080176</v>
      </c>
      <c r="G130" s="99">
        <v>27.3</v>
      </c>
      <c r="H130" s="97">
        <f>IF(ISNUMBER(G130), (G130 - $B130) / $B130, "")</f>
        <v>-4.8780487804878002E-2</v>
      </c>
      <c r="I130" s="100">
        <f>IF(ISNUMBER(G130), $B145 * H130, "")</f>
        <v>-7317.0731707317</v>
      </c>
      <c r="J130" s="96">
        <v>27.4</v>
      </c>
      <c r="K130" s="97">
        <f>IF(ISNUMBER(J130), (J130 - $B130) / $B130, "")</f>
        <v>-4.5296167247386783E-2</v>
      </c>
      <c r="L130" s="98">
        <f>IF(ISNUMBER(J130), $B145 * K130, "")</f>
        <v>-6794.4250871080176</v>
      </c>
      <c r="M130" s="99">
        <v>27.4</v>
      </c>
      <c r="N130" s="97">
        <f>IF(ISNUMBER(M130), (M130 - $B130) / $B130, "")</f>
        <v>-4.5296167247386783E-2</v>
      </c>
      <c r="O130" s="98">
        <f>IF(ISNUMBER(M130), $B145 * N130, "")</f>
        <v>-6794.4250871080176</v>
      </c>
      <c r="Q130" s="146"/>
      <c r="R130" s="146"/>
      <c r="S130" s="146"/>
    </row>
    <row r="131" spans="1:19" ht="17.25" thickBot="1">
      <c r="A131" s="109" t="s">
        <v>132</v>
      </c>
      <c r="B131" s="110">
        <v>59.3</v>
      </c>
      <c r="C131" s="70">
        <v>3.3840948000000001E-3</v>
      </c>
      <c r="D131" s="15">
        <v>57.4</v>
      </c>
      <c r="E131" s="32">
        <f t="shared" ref="E131:E134" si="66">IF(ISNUMBER(D131), (D131 - $B131) / $B131, "")</f>
        <v>-3.2040472175379406E-2</v>
      </c>
      <c r="F131" s="18">
        <f>IF(ISNUMBER(D131), $B145 * E131, "")</f>
        <v>-4806.0708263069109</v>
      </c>
      <c r="G131" s="31">
        <v>57.3</v>
      </c>
      <c r="H131" s="32">
        <f t="shared" ref="H131:H134" si="67">IF(ISNUMBER(G131), (G131 - $B131) / $B131, "")</f>
        <v>-3.3726812816188868E-2</v>
      </c>
      <c r="I131" s="91">
        <f>IF(ISNUMBER(G131), $B145 * H131, "")</f>
        <v>-5059.0219224283301</v>
      </c>
      <c r="J131" s="15">
        <v>57</v>
      </c>
      <c r="K131" s="32">
        <f t="shared" ref="K131:K134" si="68">IF(ISNUMBER(J131), (J131 - $B131) / $B131, "")</f>
        <v>-3.8785834738617152E-2</v>
      </c>
      <c r="L131" s="18">
        <f>IF(ISNUMBER(J131), $B145 * K131, "")</f>
        <v>-5817.8752107925729</v>
      </c>
      <c r="M131" s="31">
        <v>56.4</v>
      </c>
      <c r="N131" s="32">
        <f t="shared" ref="N131:N134" si="69">IF(ISNUMBER(M131), (M131 - $B131) / $B131, "")</f>
        <v>-4.8903878583473843E-2</v>
      </c>
      <c r="O131" s="18">
        <f>IF(ISNUMBER(M131), $B145 * N131, "")</f>
        <v>-7335.5817875210769</v>
      </c>
      <c r="Q131" s="146"/>
      <c r="R131" s="146"/>
      <c r="S131" s="146"/>
    </row>
    <row r="132" spans="1:19" ht="17.25" thickBot="1">
      <c r="A132" s="109" t="s">
        <v>237</v>
      </c>
      <c r="B132" s="110">
        <v>31.9</v>
      </c>
      <c r="C132" s="70">
        <v>3.1446540999999998E-3</v>
      </c>
      <c r="D132" s="15">
        <v>31</v>
      </c>
      <c r="E132" s="32">
        <f t="shared" si="66"/>
        <v>-2.8213166144200583E-2</v>
      </c>
      <c r="F132" s="18">
        <f>IF(ISNUMBER(D132), $B145 * E132, "")</f>
        <v>-4231.9749216300879</v>
      </c>
      <c r="G132" s="31">
        <v>31</v>
      </c>
      <c r="H132" s="32">
        <f t="shared" si="67"/>
        <v>-2.8213166144200583E-2</v>
      </c>
      <c r="I132" s="91">
        <f>IF(ISNUMBER(G132), $B145 * H132, "")</f>
        <v>-4231.9749216300879</v>
      </c>
      <c r="J132" s="15">
        <v>30.8</v>
      </c>
      <c r="K132" s="32">
        <f t="shared" si="68"/>
        <v>-3.4482758620689592E-2</v>
      </c>
      <c r="L132" s="18">
        <f>IF(ISNUMBER(J132), $B145 * K132, "")</f>
        <v>-5172.4137931034393</v>
      </c>
      <c r="M132" s="31">
        <v>31</v>
      </c>
      <c r="N132" s="32">
        <f t="shared" si="69"/>
        <v>-2.8213166144200583E-2</v>
      </c>
      <c r="O132" s="18">
        <f>IF(ISNUMBER(M132), $B145 * N132, "")</f>
        <v>-4231.9749216300879</v>
      </c>
      <c r="Q132" s="146"/>
      <c r="R132" s="146"/>
      <c r="S132" s="146"/>
    </row>
    <row r="133" spans="1:19" ht="17.25" thickBot="1">
      <c r="A133" s="109" t="s">
        <v>71</v>
      </c>
      <c r="B133" s="110">
        <v>13.1</v>
      </c>
      <c r="C133" s="70">
        <v>0</v>
      </c>
      <c r="D133" s="15">
        <v>12.4</v>
      </c>
      <c r="E133" s="32">
        <f t="shared" si="66"/>
        <v>-5.3435114503816744E-2</v>
      </c>
      <c r="F133" s="18">
        <f>IF(ISNUMBER(D133), $B145 * E133, "")</f>
        <v>-8015.2671755725114</v>
      </c>
      <c r="G133" s="31">
        <v>12.7</v>
      </c>
      <c r="H133" s="32">
        <f t="shared" si="67"/>
        <v>-3.0534351145038195E-2</v>
      </c>
      <c r="I133" s="91">
        <f>IF(ISNUMBER(G133), $B145 * H133, "")</f>
        <v>-4580.152671755729</v>
      </c>
      <c r="J133" s="15">
        <v>12.7</v>
      </c>
      <c r="K133" s="32">
        <f t="shared" si="68"/>
        <v>-3.0534351145038195E-2</v>
      </c>
      <c r="L133" s="18">
        <f>IF(ISNUMBER(J133), $B145 * K133, "")</f>
        <v>-4580.152671755729</v>
      </c>
      <c r="M133" s="31">
        <v>12.2</v>
      </c>
      <c r="N133" s="32">
        <f t="shared" si="69"/>
        <v>-6.8702290076335909E-2</v>
      </c>
      <c r="O133" s="18">
        <f>IF(ISNUMBER(M133), $B145 * N133, "")</f>
        <v>-10305.343511450386</v>
      </c>
      <c r="Q133" s="33"/>
      <c r="R133" s="33"/>
    </row>
    <row r="134" spans="1:19" ht="17.25" thickBot="1">
      <c r="A134" s="114" t="s">
        <v>56</v>
      </c>
      <c r="B134" s="115">
        <v>48.1</v>
      </c>
      <c r="C134" s="72">
        <v>0</v>
      </c>
      <c r="D134" s="24">
        <v>46</v>
      </c>
      <c r="E134" s="25">
        <f t="shared" si="66"/>
        <v>-4.3659043659043689E-2</v>
      </c>
      <c r="F134" s="94">
        <f>IF(ISNUMBER(D134), $B145 * E134, "")</f>
        <v>-6548.8565488565537</v>
      </c>
      <c r="G134" s="92">
        <v>47.3</v>
      </c>
      <c r="H134" s="25">
        <f t="shared" si="67"/>
        <v>-1.663201663201672E-2</v>
      </c>
      <c r="I134" s="93">
        <f>IF(ISNUMBER(G134), $B145 * H134, "")</f>
        <v>-2494.8024948025081</v>
      </c>
      <c r="J134" s="24">
        <v>46.8</v>
      </c>
      <c r="K134" s="25">
        <f t="shared" si="68"/>
        <v>-2.7027027027027115E-2</v>
      </c>
      <c r="L134" s="94">
        <f>IF(ISNUMBER(J134), $B145 * K134, "")</f>
        <v>-4054.0540540540674</v>
      </c>
      <c r="M134" s="92">
        <v>46.4</v>
      </c>
      <c r="N134" s="25">
        <f t="shared" si="69"/>
        <v>-3.5343035343035401E-2</v>
      </c>
      <c r="O134" s="94">
        <f>IF(ISNUMBER(M134), $B145 * N134, "")</f>
        <v>-5301.4553014553103</v>
      </c>
      <c r="Q134" s="147"/>
      <c r="R134" s="148"/>
      <c r="S134" s="149"/>
    </row>
    <row r="135" spans="1:19">
      <c r="A135" s="107" t="s">
        <v>227</v>
      </c>
      <c r="B135" s="108">
        <v>48.8</v>
      </c>
      <c r="C135" s="69">
        <v>-4.0816326999999998E-3</v>
      </c>
      <c r="D135" s="13">
        <v>46.5</v>
      </c>
      <c r="E135" s="14">
        <f>IF(ISNUMBER(D135), (D135 - $B135) / $B135, "")</f>
        <v>-4.7131147540983548E-2</v>
      </c>
      <c r="F135" s="16">
        <f>IF(ISNUMBER(D135), $B145 * E135, "")</f>
        <v>-7069.6721311475321</v>
      </c>
      <c r="G135" s="29">
        <v>47.1</v>
      </c>
      <c r="H135" s="14">
        <f>IF(ISNUMBER(G135), (G135 - $B135) / $B135, "")</f>
        <v>-3.4836065573770406E-2</v>
      </c>
      <c r="I135" s="90">
        <f>IF(ISNUMBER(G135), $B145 * H135, "")</f>
        <v>-5225.4098360655607</v>
      </c>
      <c r="J135" s="13">
        <v>46.9</v>
      </c>
      <c r="K135" s="14">
        <f>IF(ISNUMBER(J135), (J135 - $B135) / $B135, "")</f>
        <v>-3.8934426229508171E-2</v>
      </c>
      <c r="L135" s="16">
        <f>IF(ISNUMBER(J135), $B145 * K135, "")</f>
        <v>-5840.1639344262258</v>
      </c>
      <c r="M135" s="29">
        <v>46</v>
      </c>
      <c r="N135" s="14">
        <f>IF(ISNUMBER(M135), (M135 - $B135) / $B135, "")</f>
        <v>-5.7377049180327815E-2</v>
      </c>
      <c r="O135" s="16">
        <f>IF(ISNUMBER(M135), $B145 * N135, "")</f>
        <v>-8606.5573770491719</v>
      </c>
      <c r="Q135" s="150"/>
      <c r="R135" s="151"/>
      <c r="S135" s="152"/>
    </row>
    <row r="136" spans="1:19" ht="17.25" thickBot="1">
      <c r="A136" s="109" t="s">
        <v>221</v>
      </c>
      <c r="B136" s="110">
        <v>23.7</v>
      </c>
      <c r="C136" s="70">
        <v>-4.2016807E-3</v>
      </c>
      <c r="D136" s="15">
        <v>22.9</v>
      </c>
      <c r="E136" s="32">
        <f t="shared" ref="E136:E139" si="70">IF(ISNUMBER(D136), (D136 - $B136) / $B136, "")</f>
        <v>-3.3755274261603407E-2</v>
      </c>
      <c r="F136" s="18">
        <f>IF(ISNUMBER(D136), $B145 * E136, "")</f>
        <v>-5063.2911392405113</v>
      </c>
      <c r="G136" s="31">
        <v>22.8</v>
      </c>
      <c r="H136" s="32">
        <f t="shared" ref="H136:H139" si="71">IF(ISNUMBER(G136), (G136 - $B136) / $B136, "")</f>
        <v>-3.7974683544303736E-2</v>
      </c>
      <c r="I136" s="91">
        <f>IF(ISNUMBER(G136), $B145 * H136, "")</f>
        <v>-5696.2025316455602</v>
      </c>
      <c r="J136" s="15">
        <v>22.8</v>
      </c>
      <c r="K136" s="32">
        <f t="shared" ref="K136:K139" si="72">IF(ISNUMBER(J136), (J136 - $B136) / $B136, "")</f>
        <v>-3.7974683544303736E-2</v>
      </c>
      <c r="L136" s="18">
        <f>IF(ISNUMBER(J136), $B145 * K136, "")</f>
        <v>-5696.2025316455602</v>
      </c>
      <c r="M136" s="31">
        <v>22.7</v>
      </c>
      <c r="N136" s="32">
        <f t="shared" ref="N136:N139" si="73">IF(ISNUMBER(M136), (M136 - $B136) / $B136, "")</f>
        <v>-4.2194092827004218E-2</v>
      </c>
      <c r="O136" s="18">
        <f>IF(ISNUMBER(M136), $B145 * N136, "")</f>
        <v>-6329.1139240506327</v>
      </c>
      <c r="Q136" s="153"/>
      <c r="R136" s="154"/>
      <c r="S136" s="155"/>
    </row>
    <row r="137" spans="1:19" ht="17.25" thickBot="1">
      <c r="A137" s="109" t="s">
        <v>124</v>
      </c>
      <c r="B137" s="110">
        <v>36.700000000000003</v>
      </c>
      <c r="C137" s="70">
        <v>-5.4200541999999997E-3</v>
      </c>
      <c r="D137" s="15">
        <v>35.799999999999997</v>
      </c>
      <c r="E137" s="32">
        <f t="shared" si="70"/>
        <v>-2.4523160762942933E-2</v>
      </c>
      <c r="F137" s="18">
        <f>IF(ISNUMBER(D137), $B145 * E137, "")</f>
        <v>-3678.4741144414402</v>
      </c>
      <c r="G137" s="31">
        <v>35.799999999999997</v>
      </c>
      <c r="H137" s="32">
        <f t="shared" si="71"/>
        <v>-2.4523160762942933E-2</v>
      </c>
      <c r="I137" s="91">
        <f>IF(ISNUMBER(G137), $B145 * H137, "")</f>
        <v>-3678.4741144414402</v>
      </c>
      <c r="J137" s="15">
        <v>35.700000000000003</v>
      </c>
      <c r="K137" s="32">
        <f t="shared" si="72"/>
        <v>-2.7247956403269751E-2</v>
      </c>
      <c r="L137" s="18">
        <f>IF(ISNUMBER(J137), $B145 * K137, "")</f>
        <v>-4087.1934604904627</v>
      </c>
      <c r="M137" s="31">
        <v>35</v>
      </c>
      <c r="N137" s="32">
        <f t="shared" si="73"/>
        <v>-4.6321525885558656E-2</v>
      </c>
      <c r="O137" s="18">
        <f>IF(ISNUMBER(M137), $B145 * N137, "")</f>
        <v>-6948.2288828337987</v>
      </c>
      <c r="Q137" s="146"/>
      <c r="R137" s="146"/>
      <c r="S137" s="146"/>
    </row>
    <row r="138" spans="1:19" ht="17.25" thickBot="1">
      <c r="A138" s="109" t="s">
        <v>352</v>
      </c>
      <c r="B138" s="110">
        <v>1.49E-2</v>
      </c>
      <c r="C138" s="70">
        <v>-6.6666666999999997E-3</v>
      </c>
      <c r="D138" s="15">
        <v>1.4200000000000001E-2</v>
      </c>
      <c r="E138" s="32">
        <f t="shared" si="70"/>
        <v>-4.6979865771812027E-2</v>
      </c>
      <c r="F138" s="18">
        <f>IF(ISNUMBER(D138), $B145 * E138, "")</f>
        <v>-7046.9798657718038</v>
      </c>
      <c r="G138" s="31">
        <v>1.41E-2</v>
      </c>
      <c r="H138" s="32">
        <f t="shared" si="71"/>
        <v>-5.3691275167785261E-2</v>
      </c>
      <c r="I138" s="91">
        <f>IF(ISNUMBER(G138), $B145 * H138, "")</f>
        <v>-8053.6912751677892</v>
      </c>
      <c r="J138" s="15">
        <v>1.4E-2</v>
      </c>
      <c r="K138" s="32">
        <f t="shared" si="72"/>
        <v>-6.0402684563758371E-2</v>
      </c>
      <c r="L138" s="18">
        <f>IF(ISNUMBER(J138), $B145 * K138, "")</f>
        <v>-9060.4026845637563</v>
      </c>
      <c r="M138" s="31">
        <v>1.4E-2</v>
      </c>
      <c r="N138" s="32">
        <f t="shared" si="73"/>
        <v>-6.0402684563758371E-2</v>
      </c>
      <c r="O138" s="18">
        <f>IF(ISNUMBER(M138), $B145 * N138, "")</f>
        <v>-9060.4026845637563</v>
      </c>
      <c r="Q138" s="156"/>
      <c r="R138" s="156"/>
      <c r="S138" s="156"/>
    </row>
    <row r="139" spans="1:19" ht="17.25" thickBot="1">
      <c r="A139" s="111" t="s">
        <v>145</v>
      </c>
      <c r="B139" s="112">
        <v>77.599999999999994</v>
      </c>
      <c r="C139" s="71">
        <v>-8.9399744999999996E-3</v>
      </c>
      <c r="D139" s="20">
        <v>75.8</v>
      </c>
      <c r="E139" s="21">
        <f t="shared" si="70"/>
        <v>-2.319587628865976E-2</v>
      </c>
      <c r="F139" s="22">
        <f>IF(ISNUMBER(D139), $B145 * E139, "")</f>
        <v>-3479.3814432989639</v>
      </c>
      <c r="G139" s="30">
        <v>75.599999999999994</v>
      </c>
      <c r="H139" s="21">
        <f t="shared" si="71"/>
        <v>-2.5773195876288662E-2</v>
      </c>
      <c r="I139" s="95">
        <f>IF(ISNUMBER(G139), $B145 * H139, "")</f>
        <v>-3865.9793814432992</v>
      </c>
      <c r="J139" s="20">
        <v>75.400000000000006</v>
      </c>
      <c r="K139" s="21">
        <f t="shared" si="72"/>
        <v>-2.835051546391738E-2</v>
      </c>
      <c r="L139" s="22">
        <f>IF(ISNUMBER(J139), $B145 * K139, "")</f>
        <v>-4252.5773195876072</v>
      </c>
      <c r="M139" s="30">
        <v>75.5</v>
      </c>
      <c r="N139" s="21">
        <f t="shared" si="73"/>
        <v>-2.7061855670103021E-2</v>
      </c>
      <c r="O139" s="22">
        <f>IF(ISNUMBER(M139), $B145 * N139, "")</f>
        <v>-4059.278350515453</v>
      </c>
      <c r="Q139" s="156"/>
      <c r="R139" s="156"/>
      <c r="S139" s="156"/>
    </row>
    <row r="140" spans="1:19" ht="17.25" thickBot="1">
      <c r="A140" s="109" t="s">
        <v>185</v>
      </c>
      <c r="B140" s="113">
        <v>39</v>
      </c>
      <c r="C140" s="73">
        <v>-1.26582278E-2</v>
      </c>
      <c r="D140" s="96">
        <v>37.6</v>
      </c>
      <c r="E140" s="97">
        <f>IF(ISNUMBER(D140), (D140 - $B140) / $B140, "")</f>
        <v>-3.589743589743586E-2</v>
      </c>
      <c r="F140" s="98">
        <f>IF(ISNUMBER(D140), $B145 * E140, "")</f>
        <v>-5384.6153846153793</v>
      </c>
      <c r="G140" s="99">
        <v>38.5</v>
      </c>
      <c r="H140" s="97">
        <f>IF(ISNUMBER(G140), (G140 - $B140) / $B140, "")</f>
        <v>-1.282051282051282E-2</v>
      </c>
      <c r="I140" s="100">
        <f>IF(ISNUMBER(G140), $B145 * H140, "")</f>
        <v>-1923.0769230769231</v>
      </c>
      <c r="J140" s="96">
        <v>38.5</v>
      </c>
      <c r="K140" s="97">
        <f>IF(ISNUMBER(J140), (J140 - $B140) / $B140, "")</f>
        <v>-1.282051282051282E-2</v>
      </c>
      <c r="L140" s="98">
        <f>IF(ISNUMBER(J140), $B145 * K140, "")</f>
        <v>-1923.0769230769231</v>
      </c>
      <c r="M140" s="99">
        <v>37.5</v>
      </c>
      <c r="N140" s="97">
        <f>IF(ISNUMBER(M140), (M140 - $B140) / $B140, "")</f>
        <v>-3.8461538461538464E-2</v>
      </c>
      <c r="O140" s="98">
        <f>IF(ISNUMBER(M140), $B145 * N140, "")</f>
        <v>-5769.2307692307695</v>
      </c>
      <c r="Q140" s="146"/>
      <c r="R140" s="146"/>
      <c r="S140" s="146"/>
    </row>
    <row r="141" spans="1:19" ht="17.25" thickBot="1">
      <c r="A141" s="109" t="s">
        <v>225</v>
      </c>
      <c r="B141" s="110">
        <v>67.7</v>
      </c>
      <c r="C141" s="70">
        <v>-1.3119533500000001E-2</v>
      </c>
      <c r="D141" s="15">
        <v>64</v>
      </c>
      <c r="E141" s="32">
        <f t="shared" ref="E141:E144" si="74">IF(ISNUMBER(D141), (D141 - $B141) / $B141, "")</f>
        <v>-5.4652880354505211E-2</v>
      </c>
      <c r="F141" s="18">
        <f>IF(ISNUMBER(D141), $B145 * E141, "")</f>
        <v>-8197.9320531757821</v>
      </c>
      <c r="G141" s="31">
        <v>64.2</v>
      </c>
      <c r="H141" s="32">
        <f t="shared" ref="H141:H144" si="75">IF(ISNUMBER(G141), (G141 - $B141) / $B141, "")</f>
        <v>-5.1698670605612999E-2</v>
      </c>
      <c r="I141" s="91">
        <f>IF(ISNUMBER(G141), $B145 * H141, "")</f>
        <v>-7754.80059084195</v>
      </c>
      <c r="J141" s="15">
        <v>65.400000000000006</v>
      </c>
      <c r="K141" s="32">
        <f t="shared" ref="K141:K144" si="76">IF(ISNUMBER(J141), (J141 - $B141) / $B141, "")</f>
        <v>-3.3973412112259925E-2</v>
      </c>
      <c r="L141" s="18">
        <f>IF(ISNUMBER(J141), $B145 * K141, "")</f>
        <v>-5096.011816838989</v>
      </c>
      <c r="M141" s="31">
        <v>63.8</v>
      </c>
      <c r="N141" s="32">
        <f t="shared" ref="N141:N144" si="77">IF(ISNUMBER(M141), (M141 - $B141) / $B141, "")</f>
        <v>-5.7607090103397422E-2</v>
      </c>
      <c r="O141" s="18">
        <f>IF(ISNUMBER(M141), $B145 * N141, "")</f>
        <v>-8641.0635155096134</v>
      </c>
      <c r="Q141" s="146"/>
      <c r="R141" s="146"/>
      <c r="S141" s="146"/>
    </row>
    <row r="142" spans="1:19" ht="17.25" thickBot="1">
      <c r="A142" s="109" t="s">
        <v>126</v>
      </c>
      <c r="B142" s="110">
        <v>35.299999999999997</v>
      </c>
      <c r="C142" s="70">
        <v>-1.39664804E-2</v>
      </c>
      <c r="D142" s="15">
        <v>34.1</v>
      </c>
      <c r="E142" s="32">
        <f t="shared" si="74"/>
        <v>-3.3994334277620282E-2</v>
      </c>
      <c r="F142" s="18">
        <f>IF(ISNUMBER(D142), $B145 * E142, "")</f>
        <v>-5099.1501416430419</v>
      </c>
      <c r="G142" s="31">
        <v>34.1</v>
      </c>
      <c r="H142" s="32">
        <f t="shared" si="75"/>
        <v>-3.3994334277620282E-2</v>
      </c>
      <c r="I142" s="91">
        <f>IF(ISNUMBER(G142), $B145 * H142, "")</f>
        <v>-5099.1501416430419</v>
      </c>
      <c r="J142" s="15">
        <v>33.700000000000003</v>
      </c>
      <c r="K142" s="32">
        <f t="shared" si="76"/>
        <v>-4.5325779036827038E-2</v>
      </c>
      <c r="L142" s="18">
        <f>IF(ISNUMBER(J142), $B145 * K142, "")</f>
        <v>-6798.8668555240556</v>
      </c>
      <c r="M142" s="31">
        <v>33.5</v>
      </c>
      <c r="N142" s="32">
        <f t="shared" si="77"/>
        <v>-5.0991501416430517E-2</v>
      </c>
      <c r="O142" s="18">
        <f>IF(ISNUMBER(M142), $B145 * N142, "")</f>
        <v>-7648.7252124645775</v>
      </c>
      <c r="Q142" s="146"/>
      <c r="R142" s="146"/>
      <c r="S142" s="146"/>
    </row>
    <row r="143" spans="1:19">
      <c r="A143" s="109" t="s">
        <v>138</v>
      </c>
      <c r="B143" s="110">
        <v>32.799999999999997</v>
      </c>
      <c r="C143" s="70">
        <v>-1.5015015E-2</v>
      </c>
      <c r="D143" s="15">
        <v>34.200000000000003</v>
      </c>
      <c r="E143" s="32">
        <f t="shared" si="74"/>
        <v>4.2682926829268469E-2</v>
      </c>
      <c r="F143" s="18">
        <f>IF(ISNUMBER(D143), $B145 * E143, "")</f>
        <v>6402.4390243902708</v>
      </c>
      <c r="G143" s="31">
        <v>33.9</v>
      </c>
      <c r="H143" s="32">
        <f t="shared" si="75"/>
        <v>3.3536585365853702E-2</v>
      </c>
      <c r="I143" s="91">
        <f>IF(ISNUMBER(G143), $B145 * H143, "")</f>
        <v>5030.4878048780556</v>
      </c>
      <c r="J143" s="15">
        <v>33.200000000000003</v>
      </c>
      <c r="K143" s="32">
        <f t="shared" si="76"/>
        <v>1.2195121951219686E-2</v>
      </c>
      <c r="L143" s="18">
        <f>IF(ISNUMBER(J143), $B145 * K143, "")</f>
        <v>1829.268292682953</v>
      </c>
      <c r="M143" s="31">
        <v>32.799999999999997</v>
      </c>
      <c r="N143" s="32">
        <f t="shared" si="77"/>
        <v>0</v>
      </c>
      <c r="O143" s="18">
        <f>IF(ISNUMBER(M143), $B145 * N143, "")</f>
        <v>0</v>
      </c>
      <c r="Q143" s="135"/>
      <c r="R143" s="136"/>
      <c r="S143" s="137"/>
    </row>
    <row r="144" spans="1:19" ht="17.25" thickBot="1">
      <c r="A144" s="114" t="s">
        <v>97</v>
      </c>
      <c r="B144" s="115">
        <v>8.9999999999999998E-4</v>
      </c>
      <c r="C144" s="72">
        <v>-0.1</v>
      </c>
      <c r="D144" s="24">
        <v>1E-3</v>
      </c>
      <c r="E144" s="25">
        <f t="shared" si="74"/>
        <v>0.11111111111111116</v>
      </c>
      <c r="F144" s="94">
        <f>IF(ISNUMBER(D144), $B145 * E144, "")</f>
        <v>16666.666666666675</v>
      </c>
      <c r="G144" s="92">
        <v>8.9999999999999998E-4</v>
      </c>
      <c r="H144" s="25">
        <f t="shared" si="75"/>
        <v>0</v>
      </c>
      <c r="I144" s="93">
        <f>IF(ISNUMBER(G144), $B145 * H144, "")</f>
        <v>0</v>
      </c>
      <c r="J144" s="24">
        <v>8.9999999999999998E-4</v>
      </c>
      <c r="K144" s="25">
        <f t="shared" si="76"/>
        <v>0</v>
      </c>
      <c r="L144" s="94">
        <f>IF(ISNUMBER(J144), $B145 * K144, "")</f>
        <v>0</v>
      </c>
      <c r="M144" s="92">
        <v>8.9999999999999998E-4</v>
      </c>
      <c r="N144" s="25">
        <f t="shared" si="77"/>
        <v>0</v>
      </c>
      <c r="O144" s="94">
        <f>IF(ISNUMBER(M144), $B145 * N144, "")</f>
        <v>0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-2.7031027585521727E-2</v>
      </c>
      <c r="F145" s="28">
        <f>SUM(F125:F144)</f>
        <v>-81093.082756565156</v>
      </c>
      <c r="G145" s="26" t="s">
        <v>258</v>
      </c>
      <c r="H145" s="27">
        <f>IF(COUNT(H125:H144), SUM(H125:H144) / COUNT(H125:H144), 0)</f>
        <v>-2.2604835118290329E-2</v>
      </c>
      <c r="I145" s="28">
        <f>SUM(I125:I144)</f>
        <v>-67814.505354870984</v>
      </c>
      <c r="J145" s="26" t="s">
        <v>258</v>
      </c>
      <c r="K145" s="27">
        <f>IF(COUNT(K125:K144), SUM(K125:K144) / COUNT(K125:K144), 0)</f>
        <v>-2.6367415912428888E-2</v>
      </c>
      <c r="L145" s="28">
        <f>SUM(L125:L144)</f>
        <v>-79102.247737286656</v>
      </c>
      <c r="M145" s="26" t="s">
        <v>258</v>
      </c>
      <c r="N145" s="27">
        <f>IF(COUNT(N125:N144), SUM(N125:N144) / COUNT(N125:N144), 0)</f>
        <v>-4.084602273271646E-2</v>
      </c>
      <c r="O145" s="28">
        <f>SUM(O125:O144)</f>
        <v>-122538.06819814935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2023-01-25(수) 오전 00:00</v>
      </c>
      <c r="C150" s="198"/>
      <c r="D150" s="170" t="str">
        <f>TEXT($G$1, "[$-ko-KR]yyyy-mm-dd(ddd) ") &amp; "오후 14:00"</f>
        <v>2023-01-25(수) 오후 14:00</v>
      </c>
      <c r="E150" s="171"/>
      <c r="F150" s="172"/>
      <c r="G150" s="170" t="str">
        <f>TEXT($G$1, "[$-ko-KR]yyyy-mm-dd(ddd) ") &amp; "오후 19:00"</f>
        <v>2023-01-25(수) 오후 19:00</v>
      </c>
      <c r="H150" s="171"/>
      <c r="I150" s="172"/>
      <c r="J150" s="170" t="str">
        <f>TEXT($G$1, "[$-ko-KR]yyyy-mm-dd(ddd) ") &amp; "오후 21:00"</f>
        <v>2023-01-25(수) 오후 21:00</v>
      </c>
      <c r="K150" s="171"/>
      <c r="L150" s="172"/>
      <c r="M150" s="170" t="str">
        <f>TEXT($G$1+1, "[$-ko-KR]yyyy-mm-dd(ddd) ") &amp; "오전 00:00"</f>
        <v>2023-01-26(목)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223</v>
      </c>
      <c r="B152" s="108">
        <v>250</v>
      </c>
      <c r="C152" s="69">
        <v>4.0160643000000003E-3</v>
      </c>
      <c r="D152" s="13">
        <v>242</v>
      </c>
      <c r="E152" s="14">
        <f>IF(ISNUMBER(D152), (D152 - $B152) / $B152, "")</f>
        <v>-3.2000000000000001E-2</v>
      </c>
      <c r="F152" s="16">
        <f>IF(ISNUMBER(D152), $B172 * E152, "")</f>
        <v>-4800</v>
      </c>
      <c r="G152" s="29">
        <v>241</v>
      </c>
      <c r="H152" s="14">
        <f>IF(ISNUMBER(G152), (G152 - $B152) / $B152, "")</f>
        <v>-3.5999999999999997E-2</v>
      </c>
      <c r="I152" s="90">
        <f>IF(ISNUMBER(G152), $B172 * H152, "")</f>
        <v>-5400</v>
      </c>
      <c r="J152" s="13">
        <v>241</v>
      </c>
      <c r="K152" s="14">
        <f>IF(ISNUMBER(J152), (J152 - $B152) / $B152, "")</f>
        <v>-3.5999999999999997E-2</v>
      </c>
      <c r="L152" s="16">
        <f>IF(ISNUMBER(J152), $B172 * K152, "")</f>
        <v>-5400</v>
      </c>
      <c r="M152" s="29">
        <v>237</v>
      </c>
      <c r="N152" s="14">
        <f>IF(ISNUMBER(M152), (M152 - $B152) / $B152, "")</f>
        <v>-5.1999999999999998E-2</v>
      </c>
      <c r="O152" s="16">
        <f>IF(ISNUMBER(M152), $B172 * N152, "")</f>
        <v>-7800</v>
      </c>
      <c r="Q152" s="156"/>
      <c r="R152" s="156"/>
      <c r="S152" s="156"/>
    </row>
    <row r="153" spans="1:19" ht="17.25" thickBot="1">
      <c r="A153" s="109" t="s">
        <v>213</v>
      </c>
      <c r="B153" s="110">
        <v>554</v>
      </c>
      <c r="C153" s="70">
        <v>3.6231884E-3</v>
      </c>
      <c r="D153" s="15">
        <v>517</v>
      </c>
      <c r="E153" s="32">
        <f t="shared" ref="E153:E156" si="78">IF(ISNUMBER(D153), (D153 - $B153) / $B153, "")</f>
        <v>-6.6787003610108309E-2</v>
      </c>
      <c r="F153" s="18">
        <f>IF(ISNUMBER(D153), $B172 * E153, "")</f>
        <v>-10018.050541516246</v>
      </c>
      <c r="G153" s="31">
        <v>525</v>
      </c>
      <c r="H153" s="32">
        <f t="shared" ref="H153:H156" si="79">IF(ISNUMBER(G153), (G153 - $B153) / $B153, "")</f>
        <v>-5.2346570397111915E-2</v>
      </c>
      <c r="I153" s="91">
        <f>IF(ISNUMBER(G153), $B172 * H153, "")</f>
        <v>-7851.9855595667868</v>
      </c>
      <c r="J153" s="15">
        <v>524</v>
      </c>
      <c r="K153" s="32">
        <f t="shared" ref="K153:K156" si="80">IF(ISNUMBER(J153), (J153 - $B153) / $B153, "")</f>
        <v>-5.4151624548736461E-2</v>
      </c>
      <c r="L153" s="18">
        <f>IF(ISNUMBER(J153), $B172 * K153, "")</f>
        <v>-8122.743682310469</v>
      </c>
      <c r="M153" s="31">
        <v>514</v>
      </c>
      <c r="N153" s="32">
        <f t="shared" ref="N153:N156" si="81">IF(ISNUMBER(M153), (M153 - $B153) / $B153, "")</f>
        <v>-7.2202166064981949E-2</v>
      </c>
      <c r="O153" s="18">
        <f>IF(ISNUMBER(M153), $B172 * N153, "")</f>
        <v>-10830.324909747293</v>
      </c>
      <c r="Q153" s="156"/>
      <c r="R153" s="156"/>
      <c r="S153" s="156"/>
    </row>
    <row r="154" spans="1:19" ht="17.25" thickBot="1">
      <c r="A154" s="109" t="s">
        <v>219</v>
      </c>
      <c r="B154" s="110">
        <v>497</v>
      </c>
      <c r="C154" s="70">
        <v>2.0161290000000002E-3</v>
      </c>
      <c r="D154" s="15">
        <v>475</v>
      </c>
      <c r="E154" s="32">
        <f t="shared" si="78"/>
        <v>-4.4265593561368208E-2</v>
      </c>
      <c r="F154" s="18">
        <f>IF(ISNUMBER(D154), $B172 * E154, "")</f>
        <v>-6639.8390342052307</v>
      </c>
      <c r="G154" s="31">
        <v>472</v>
      </c>
      <c r="H154" s="32">
        <f t="shared" si="79"/>
        <v>-5.030181086519115E-2</v>
      </c>
      <c r="I154" s="91">
        <f>IF(ISNUMBER(G154), $B172 * H154, "")</f>
        <v>-7545.2716297786728</v>
      </c>
      <c r="J154" s="15">
        <v>471</v>
      </c>
      <c r="K154" s="32">
        <f t="shared" si="80"/>
        <v>-5.2313883299798795E-2</v>
      </c>
      <c r="L154" s="18">
        <f>IF(ISNUMBER(J154), $B172 * K154, "")</f>
        <v>-7847.082494969819</v>
      </c>
      <c r="M154" s="31">
        <v>464</v>
      </c>
      <c r="N154" s="32">
        <f t="shared" si="81"/>
        <v>-6.6398390342052319E-2</v>
      </c>
      <c r="O154" s="18">
        <f>IF(ISNUMBER(M154), $B172 * N154, "")</f>
        <v>-9959.7585513078484</v>
      </c>
      <c r="Q154" s="146"/>
      <c r="R154" s="146"/>
      <c r="S154" s="146"/>
    </row>
    <row r="155" spans="1:19" ht="17.25" thickBot="1">
      <c r="A155" s="109" t="s">
        <v>239</v>
      </c>
      <c r="B155" s="110">
        <v>507</v>
      </c>
      <c r="C155" s="70">
        <v>1.9762845999999998E-3</v>
      </c>
      <c r="D155" s="15">
        <v>485</v>
      </c>
      <c r="E155" s="32">
        <f t="shared" si="78"/>
        <v>-4.3392504930966469E-2</v>
      </c>
      <c r="F155" s="18">
        <f>IF(ISNUMBER(D155), $B172 * E155, "")</f>
        <v>-6508.8757396449701</v>
      </c>
      <c r="G155" s="31">
        <v>491</v>
      </c>
      <c r="H155" s="32">
        <f t="shared" si="79"/>
        <v>-3.1558185404339252E-2</v>
      </c>
      <c r="I155" s="91">
        <f>IF(ISNUMBER(G155), $B172 * H155, "")</f>
        <v>-4733.7278106508875</v>
      </c>
      <c r="J155" s="15">
        <v>492</v>
      </c>
      <c r="K155" s="32">
        <f t="shared" si="80"/>
        <v>-2.9585798816568046E-2</v>
      </c>
      <c r="L155" s="18">
        <f>IF(ISNUMBER(J155), $B172 * K155, "")</f>
        <v>-4437.8698224852069</v>
      </c>
      <c r="M155" s="31">
        <v>483</v>
      </c>
      <c r="N155" s="32">
        <f t="shared" si="81"/>
        <v>-4.7337278106508875E-2</v>
      </c>
      <c r="O155" s="18">
        <f>IF(ISNUMBER(M155), $B172 * N155, "")</f>
        <v>-7100.5917159763312</v>
      </c>
      <c r="Q155" s="146"/>
      <c r="R155" s="146"/>
      <c r="S155" s="146"/>
    </row>
    <row r="156" spans="1:19" ht="17.25" thickBot="1">
      <c r="A156" s="111" t="s">
        <v>81</v>
      </c>
      <c r="B156" s="112">
        <v>468</v>
      </c>
      <c r="C156" s="71">
        <v>0</v>
      </c>
      <c r="D156" s="20">
        <v>443</v>
      </c>
      <c r="E156" s="21">
        <f t="shared" si="78"/>
        <v>-5.3418803418803416E-2</v>
      </c>
      <c r="F156" s="22">
        <f>IF(ISNUMBER(D156), $B172 * E156, "")</f>
        <v>-8012.8205128205127</v>
      </c>
      <c r="G156" s="30">
        <v>444</v>
      </c>
      <c r="H156" s="21">
        <f t="shared" si="79"/>
        <v>-5.128205128205128E-2</v>
      </c>
      <c r="I156" s="95">
        <f>IF(ISNUMBER(G156), $B172 * H156, "")</f>
        <v>-7692.3076923076924</v>
      </c>
      <c r="J156" s="20">
        <v>444</v>
      </c>
      <c r="K156" s="21">
        <f t="shared" si="80"/>
        <v>-5.128205128205128E-2</v>
      </c>
      <c r="L156" s="22">
        <f>IF(ISNUMBER(J156), $B172 * K156, "")</f>
        <v>-7692.3076923076924</v>
      </c>
      <c r="M156" s="30">
        <v>443</v>
      </c>
      <c r="N156" s="21">
        <f t="shared" si="81"/>
        <v>-5.3418803418803416E-2</v>
      </c>
      <c r="O156" s="22">
        <f>IF(ISNUMBER(M156), $B172 * N156, "")</f>
        <v>-8012.8205128205127</v>
      </c>
      <c r="Q156" s="146"/>
      <c r="R156" s="146"/>
      <c r="S156" s="146"/>
    </row>
    <row r="157" spans="1:19" ht="17.25" thickBot="1">
      <c r="A157" s="109" t="s">
        <v>253</v>
      </c>
      <c r="B157" s="113">
        <v>110</v>
      </c>
      <c r="C157" s="73">
        <v>0</v>
      </c>
      <c r="D157" s="96">
        <v>105</v>
      </c>
      <c r="E157" s="97">
        <f>IF(ISNUMBER(D157), (D157 - $B157) / $B157, "")</f>
        <v>-4.5454545454545456E-2</v>
      </c>
      <c r="F157" s="98">
        <f>IF(ISNUMBER(D157), $B172 * E157, "")</f>
        <v>-6818.181818181818</v>
      </c>
      <c r="G157" s="99">
        <v>105</v>
      </c>
      <c r="H157" s="97">
        <f>IF(ISNUMBER(G157), (G157 - $B157) / $B157, "")</f>
        <v>-4.5454545454545456E-2</v>
      </c>
      <c r="I157" s="100">
        <f>IF(ISNUMBER(G157), $B172 * H157, "")</f>
        <v>-6818.181818181818</v>
      </c>
      <c r="J157" s="96">
        <v>104</v>
      </c>
      <c r="K157" s="97">
        <f>IF(ISNUMBER(J157), (J157 - $B157) / $B157, "")</f>
        <v>-5.4545454545454543E-2</v>
      </c>
      <c r="L157" s="98">
        <f>IF(ISNUMBER(J157), $B172 * K157, "")</f>
        <v>-8181.8181818181811</v>
      </c>
      <c r="M157" s="99">
        <v>104</v>
      </c>
      <c r="N157" s="97">
        <f>IF(ISNUMBER(M157), (M157 - $B157) / $B157, "")</f>
        <v>-5.4545454545454543E-2</v>
      </c>
      <c r="O157" s="98">
        <f>IF(ISNUMBER(M157), $B172 * N157, "")</f>
        <v>-8181.8181818181811</v>
      </c>
      <c r="Q157" s="146"/>
      <c r="R157" s="146"/>
      <c r="S157" s="146"/>
    </row>
    <row r="158" spans="1:19" ht="17.25" thickBot="1">
      <c r="A158" s="109" t="s">
        <v>157</v>
      </c>
      <c r="B158" s="110">
        <v>229</v>
      </c>
      <c r="C158" s="70">
        <v>0</v>
      </c>
      <c r="D158" s="15">
        <v>225</v>
      </c>
      <c r="E158" s="32">
        <f t="shared" ref="E158:E161" si="82">IF(ISNUMBER(D158), (D158 - $B158) / $B158, "")</f>
        <v>-1.7467248908296942E-2</v>
      </c>
      <c r="F158" s="18">
        <f>IF(ISNUMBER(D158), $B172 * E158, "")</f>
        <v>-2620.0873362445413</v>
      </c>
      <c r="G158" s="31">
        <v>225</v>
      </c>
      <c r="H158" s="32">
        <f t="shared" ref="H158:H161" si="83">IF(ISNUMBER(G158), (G158 - $B158) / $B158, "")</f>
        <v>-1.7467248908296942E-2</v>
      </c>
      <c r="I158" s="91">
        <f>IF(ISNUMBER(G158), $B172 * H158, "")</f>
        <v>-2620.0873362445413</v>
      </c>
      <c r="J158" s="15">
        <v>226</v>
      </c>
      <c r="K158" s="32">
        <f t="shared" ref="K158:K161" si="84">IF(ISNUMBER(J158), (J158 - $B158) / $B158, "")</f>
        <v>-1.3100436681222707E-2</v>
      </c>
      <c r="L158" s="18">
        <f>IF(ISNUMBER(J158), $B172 * K158, "")</f>
        <v>-1965.0655021834061</v>
      </c>
      <c r="M158" s="31">
        <v>222</v>
      </c>
      <c r="N158" s="32">
        <f t="shared" ref="N158:N161" si="85">IF(ISNUMBER(M158), (M158 - $B158) / $B158, "")</f>
        <v>-3.0567685589519649E-2</v>
      </c>
      <c r="O158" s="18">
        <f>IF(ISNUMBER(M158), $B172 * N158, "")</f>
        <v>-4585.1528384279472</v>
      </c>
      <c r="Q158" s="146"/>
      <c r="R158" s="146"/>
      <c r="S158" s="146"/>
    </row>
    <row r="159" spans="1:19" ht="17.25" thickBot="1">
      <c r="A159" s="109" t="s">
        <v>149</v>
      </c>
      <c r="B159" s="110">
        <v>540</v>
      </c>
      <c r="C159" s="70">
        <v>0</v>
      </c>
      <c r="D159" s="15">
        <v>504</v>
      </c>
      <c r="E159" s="32">
        <f t="shared" si="82"/>
        <v>-6.6666666666666666E-2</v>
      </c>
      <c r="F159" s="18">
        <f>IF(ISNUMBER(D159), $B172 * E159, "")</f>
        <v>-10000</v>
      </c>
      <c r="G159" s="31">
        <v>504</v>
      </c>
      <c r="H159" s="32">
        <f t="shared" si="83"/>
        <v>-6.6666666666666666E-2</v>
      </c>
      <c r="I159" s="91">
        <f>IF(ISNUMBER(G159), $B172 * H159, "")</f>
        <v>-10000</v>
      </c>
      <c r="J159" s="15">
        <v>497</v>
      </c>
      <c r="K159" s="32">
        <f t="shared" si="84"/>
        <v>-7.9629629629629634E-2</v>
      </c>
      <c r="L159" s="18">
        <f>IF(ISNUMBER(J159), $B172 * K159, "")</f>
        <v>-11944.444444444445</v>
      </c>
      <c r="M159" s="31">
        <v>500</v>
      </c>
      <c r="N159" s="32">
        <f t="shared" si="85"/>
        <v>-7.407407407407407E-2</v>
      </c>
      <c r="O159" s="18">
        <f>IF(ISNUMBER(M159), $B172 * N159, "")</f>
        <v>-11111.111111111111</v>
      </c>
      <c r="Q159" s="146"/>
      <c r="R159" s="146"/>
      <c r="S159" s="146"/>
    </row>
    <row r="160" spans="1:19" ht="17.25" thickBot="1">
      <c r="A160" s="109" t="s">
        <v>89</v>
      </c>
      <c r="B160" s="110">
        <v>527</v>
      </c>
      <c r="C160" s="70">
        <v>-1.8939394E-3</v>
      </c>
      <c r="D160" s="15">
        <v>509</v>
      </c>
      <c r="E160" s="32">
        <f t="shared" si="82"/>
        <v>-3.4155597722960153E-2</v>
      </c>
      <c r="F160" s="18">
        <f>IF(ISNUMBER(D160), $B172 * E160, "")</f>
        <v>-5123.3396584440234</v>
      </c>
      <c r="G160" s="31">
        <v>506</v>
      </c>
      <c r="H160" s="32">
        <f t="shared" si="83"/>
        <v>-3.9848197343453511E-2</v>
      </c>
      <c r="I160" s="91">
        <f>IF(ISNUMBER(G160), $B172 * H160, "")</f>
        <v>-5977.2296015180264</v>
      </c>
      <c r="J160" s="15">
        <v>506</v>
      </c>
      <c r="K160" s="32">
        <f t="shared" si="84"/>
        <v>-3.9848197343453511E-2</v>
      </c>
      <c r="L160" s="18">
        <f>IF(ISNUMBER(J160), $B172 * K160, "")</f>
        <v>-5977.2296015180264</v>
      </c>
      <c r="M160" s="31">
        <v>506</v>
      </c>
      <c r="N160" s="32">
        <f t="shared" si="85"/>
        <v>-3.9848197343453511E-2</v>
      </c>
      <c r="O160" s="18">
        <f>IF(ISNUMBER(M160), $B172 * N160, "")</f>
        <v>-5977.2296015180264</v>
      </c>
      <c r="Q160" s="33"/>
      <c r="R160" s="33"/>
    </row>
    <row r="161" spans="1:19" ht="17.25" thickBot="1">
      <c r="A161" s="114" t="s">
        <v>231</v>
      </c>
      <c r="B161" s="115">
        <v>414</v>
      </c>
      <c r="C161" s="72">
        <v>-2.4096386000000002E-3</v>
      </c>
      <c r="D161" s="24">
        <v>387</v>
      </c>
      <c r="E161" s="25">
        <f t="shared" si="82"/>
        <v>-6.5217391304347824E-2</v>
      </c>
      <c r="F161" s="94">
        <f>IF(ISNUMBER(D161), $B172 * E161, "")</f>
        <v>-9782.608695652174</v>
      </c>
      <c r="G161" s="92">
        <v>389</v>
      </c>
      <c r="H161" s="25">
        <f t="shared" si="83"/>
        <v>-6.0386473429951688E-2</v>
      </c>
      <c r="I161" s="93">
        <f>IF(ISNUMBER(G161), $B172 * H161, "")</f>
        <v>-9057.971014492754</v>
      </c>
      <c r="J161" s="24">
        <v>388</v>
      </c>
      <c r="K161" s="25">
        <f t="shared" si="84"/>
        <v>-6.280193236714976E-2</v>
      </c>
      <c r="L161" s="94">
        <f>IF(ISNUMBER(J161), $B172 * K161, "")</f>
        <v>-9420.289855072464</v>
      </c>
      <c r="M161" s="92">
        <v>383</v>
      </c>
      <c r="N161" s="25">
        <f t="shared" si="85"/>
        <v>-7.4879227053140096E-2</v>
      </c>
      <c r="O161" s="94">
        <f>IF(ISNUMBER(M161), $B172 * N161, "")</f>
        <v>-11231.884057971014</v>
      </c>
      <c r="Q161" s="147"/>
      <c r="R161" s="148"/>
      <c r="S161" s="149"/>
    </row>
    <row r="162" spans="1:19">
      <c r="A162" s="107" t="s">
        <v>215</v>
      </c>
      <c r="B162" s="108">
        <v>407</v>
      </c>
      <c r="C162" s="69">
        <v>-2.4509803999999999E-3</v>
      </c>
      <c r="D162" s="13">
        <v>385</v>
      </c>
      <c r="E162" s="14">
        <f>IF(ISNUMBER(D162), (D162 - $B162) / $B162, "")</f>
        <v>-5.4054054054054057E-2</v>
      </c>
      <c r="F162" s="16">
        <f>IF(ISNUMBER(D162), $B172 * E162, "")</f>
        <v>-8108.1081081081084</v>
      </c>
      <c r="G162" s="29">
        <v>386</v>
      </c>
      <c r="H162" s="14">
        <f>IF(ISNUMBER(G162), (G162 - $B162) / $B162, "")</f>
        <v>-5.1597051597051594E-2</v>
      </c>
      <c r="I162" s="90">
        <f>IF(ISNUMBER(G162), $B172 * H162, "")</f>
        <v>-7739.5577395577393</v>
      </c>
      <c r="J162" s="13">
        <v>389</v>
      </c>
      <c r="K162" s="14">
        <f>IF(ISNUMBER(J162), (J162 - $B162) / $B162, "")</f>
        <v>-4.4226044226044224E-2</v>
      </c>
      <c r="L162" s="16">
        <f>IF(ISNUMBER(J162), $B172 * K162, "")</f>
        <v>-6633.9066339066339</v>
      </c>
      <c r="M162" s="29">
        <v>379</v>
      </c>
      <c r="N162" s="14">
        <f>IF(ISNUMBER(M162), (M162 - $B162) / $B162, "")</f>
        <v>-6.8796068796068796E-2</v>
      </c>
      <c r="O162" s="16">
        <f>IF(ISNUMBER(M162), $B172 * N162, "")</f>
        <v>-10319.410319410319</v>
      </c>
      <c r="Q162" s="150"/>
      <c r="R162" s="151"/>
      <c r="S162" s="152"/>
    </row>
    <row r="163" spans="1:19" ht="17.25" thickBot="1">
      <c r="A163" s="109" t="s">
        <v>317</v>
      </c>
      <c r="B163" s="110">
        <v>645</v>
      </c>
      <c r="C163" s="70">
        <v>-4.6296295999999999E-3</v>
      </c>
      <c r="D163" s="15">
        <v>618</v>
      </c>
      <c r="E163" s="32">
        <f t="shared" ref="E163:E166" si="86">IF(ISNUMBER(D163), (D163 - $B163) / $B163, "")</f>
        <v>-4.1860465116279069E-2</v>
      </c>
      <c r="F163" s="18">
        <f>IF(ISNUMBER(D163), $B172 * E163, "")</f>
        <v>-6279.0697674418607</v>
      </c>
      <c r="G163" s="31">
        <v>614</v>
      </c>
      <c r="H163" s="32">
        <f t="shared" ref="H163:H166" si="87">IF(ISNUMBER(G163), (G163 - $B163) / $B163, "")</f>
        <v>-4.8062015503875968E-2</v>
      </c>
      <c r="I163" s="91">
        <f>IF(ISNUMBER(G163), $B172 * H163, "")</f>
        <v>-7209.3023255813951</v>
      </c>
      <c r="J163" s="15">
        <v>617</v>
      </c>
      <c r="K163" s="32">
        <f t="shared" ref="K163:K166" si="88">IF(ISNUMBER(J163), (J163 - $B163) / $B163, "")</f>
        <v>-4.3410852713178294E-2</v>
      </c>
      <c r="L163" s="18">
        <f>IF(ISNUMBER(J163), $B172 * K163, "")</f>
        <v>-6511.6279069767443</v>
      </c>
      <c r="M163" s="31">
        <v>604</v>
      </c>
      <c r="N163" s="32">
        <f t="shared" ref="N163:N166" si="89">IF(ISNUMBER(M163), (M163 - $B163) / $B163, "")</f>
        <v>-6.3565891472868216E-2</v>
      </c>
      <c r="O163" s="18">
        <f>IF(ISNUMBER(M163), $B172 * N163, "")</f>
        <v>-9534.8837209302328</v>
      </c>
      <c r="Q163" s="153"/>
      <c r="R163" s="154"/>
      <c r="S163" s="155"/>
    </row>
    <row r="164" spans="1:19" ht="17.25" thickBot="1">
      <c r="A164" s="109" t="s">
        <v>51</v>
      </c>
      <c r="B164" s="110">
        <v>118</v>
      </c>
      <c r="C164" s="70">
        <v>-8.4033613000000004E-3</v>
      </c>
      <c r="D164" s="15">
        <v>114</v>
      </c>
      <c r="E164" s="32">
        <f t="shared" si="86"/>
        <v>-3.3898305084745763E-2</v>
      </c>
      <c r="F164" s="18">
        <f>IF(ISNUMBER(D164), $B172 * E164, "")</f>
        <v>-5084.7457627118647</v>
      </c>
      <c r="G164" s="31">
        <v>113</v>
      </c>
      <c r="H164" s="32">
        <f t="shared" si="87"/>
        <v>-4.2372881355932202E-2</v>
      </c>
      <c r="I164" s="91">
        <f>IF(ISNUMBER(G164), $B172 * H164, "")</f>
        <v>-6355.9322033898306</v>
      </c>
      <c r="J164" s="15">
        <v>112</v>
      </c>
      <c r="K164" s="32">
        <f t="shared" si="88"/>
        <v>-5.0847457627118647E-2</v>
      </c>
      <c r="L164" s="18">
        <f>IF(ISNUMBER(J164), $B172 * K164, "")</f>
        <v>-7627.1186440677975</v>
      </c>
      <c r="M164" s="31">
        <v>112</v>
      </c>
      <c r="N164" s="32">
        <f t="shared" si="89"/>
        <v>-5.0847457627118647E-2</v>
      </c>
      <c r="O164" s="18">
        <f>IF(ISNUMBER(M164), $B172 * N164, "")</f>
        <v>-7627.1186440677975</v>
      </c>
      <c r="Q164" s="146"/>
      <c r="R164" s="146"/>
      <c r="S164" s="146"/>
    </row>
    <row r="165" spans="1:19" ht="17.25" thickBot="1">
      <c r="A165" s="109" t="s">
        <v>187</v>
      </c>
      <c r="B165" s="110">
        <v>923</v>
      </c>
      <c r="C165" s="70">
        <v>-9.6566524000000001E-3</v>
      </c>
      <c r="D165" s="15">
        <v>880</v>
      </c>
      <c r="E165" s="32">
        <f t="shared" si="86"/>
        <v>-4.6587215601300108E-2</v>
      </c>
      <c r="F165" s="18">
        <f>IF(ISNUMBER(D165), $B172 * E165, "")</f>
        <v>-6988.0823401950165</v>
      </c>
      <c r="G165" s="31">
        <v>881</v>
      </c>
      <c r="H165" s="32">
        <f t="shared" si="87"/>
        <v>-4.5503791982665222E-2</v>
      </c>
      <c r="I165" s="91">
        <f>IF(ISNUMBER(G165), $B172 * H165, "")</f>
        <v>-6825.5687973997829</v>
      </c>
      <c r="J165" s="15">
        <v>889</v>
      </c>
      <c r="K165" s="32">
        <f t="shared" si="88"/>
        <v>-3.6836403033586131E-2</v>
      </c>
      <c r="L165" s="18">
        <f>IF(ISNUMBER(J165), $B172 * K165, "")</f>
        <v>-5525.4604550379199</v>
      </c>
      <c r="M165" s="31">
        <v>875</v>
      </c>
      <c r="N165" s="32">
        <f t="shared" si="89"/>
        <v>-5.200433369447454E-2</v>
      </c>
      <c r="O165" s="18">
        <f>IF(ISNUMBER(M165), $B172 * N165, "")</f>
        <v>-7800.6500541711812</v>
      </c>
      <c r="Q165" s="156"/>
      <c r="R165" s="156"/>
      <c r="S165" s="156"/>
    </row>
    <row r="166" spans="1:19" ht="17.25" thickBot="1">
      <c r="A166" s="111" t="s">
        <v>341</v>
      </c>
      <c r="B166" s="112">
        <v>922</v>
      </c>
      <c r="C166" s="71">
        <v>-1.39037433E-2</v>
      </c>
      <c r="D166" s="20">
        <v>862</v>
      </c>
      <c r="E166" s="21">
        <f t="shared" si="86"/>
        <v>-6.5075921908893705E-2</v>
      </c>
      <c r="F166" s="22">
        <f>IF(ISNUMBER(D166), $B172 * E166, "")</f>
        <v>-9761.388286334055</v>
      </c>
      <c r="G166" s="30">
        <v>852</v>
      </c>
      <c r="H166" s="21">
        <f t="shared" si="87"/>
        <v>-7.5921908893709325E-2</v>
      </c>
      <c r="I166" s="95">
        <f>IF(ISNUMBER(G166), $B172 * H166, "")</f>
        <v>-11388.286334056398</v>
      </c>
      <c r="J166" s="20">
        <v>849</v>
      </c>
      <c r="K166" s="21">
        <f t="shared" si="88"/>
        <v>-7.9175704989154008E-2</v>
      </c>
      <c r="L166" s="22">
        <f>IF(ISNUMBER(J166), $B172 * K166, "")</f>
        <v>-11876.355748373102</v>
      </c>
      <c r="M166" s="30">
        <v>858</v>
      </c>
      <c r="N166" s="21">
        <f t="shared" si="89"/>
        <v>-6.9414316702819959E-2</v>
      </c>
      <c r="O166" s="22">
        <f>IF(ISNUMBER(M166), $B172 * N166, "")</f>
        <v>-10412.147505422994</v>
      </c>
      <c r="Q166" s="156"/>
      <c r="R166" s="156"/>
      <c r="S166" s="156"/>
    </row>
    <row r="167" spans="1:19" ht="17.25" thickBot="1">
      <c r="A167" s="109" t="s">
        <v>111</v>
      </c>
      <c r="B167" s="113">
        <v>975</v>
      </c>
      <c r="C167" s="73">
        <v>-1.7137096800000001E-2</v>
      </c>
      <c r="D167" s="96">
        <v>913</v>
      </c>
      <c r="E167" s="97">
        <f>IF(ISNUMBER(D167), (D167 - $B167) / $B167, "")</f>
        <v>-6.3589743589743591E-2</v>
      </c>
      <c r="F167" s="98">
        <f>IF(ISNUMBER(D167), $B172 * E167, "")</f>
        <v>-9538.461538461539</v>
      </c>
      <c r="G167" s="99">
        <v>924</v>
      </c>
      <c r="H167" s="97">
        <f>IF(ISNUMBER(G167), (G167 - $B167) / $B167, "")</f>
        <v>-5.2307692307692305E-2</v>
      </c>
      <c r="I167" s="100">
        <f>IF(ISNUMBER(G167), $B172 * H167, "")</f>
        <v>-7846.1538461538457</v>
      </c>
      <c r="J167" s="96">
        <v>912</v>
      </c>
      <c r="K167" s="97">
        <f>IF(ISNUMBER(J167), (J167 - $B167) / $B167, "")</f>
        <v>-6.4615384615384616E-2</v>
      </c>
      <c r="L167" s="98">
        <f>IF(ISNUMBER(J167), $B172 * K167, "")</f>
        <v>-9692.3076923076933</v>
      </c>
      <c r="M167" s="99">
        <v>908</v>
      </c>
      <c r="N167" s="97">
        <f>IF(ISNUMBER(M167), (M167 - $B167) / $B167, "")</f>
        <v>-6.8717948717948715E-2</v>
      </c>
      <c r="O167" s="98">
        <f>IF(ISNUMBER(M167), $B172 * N167, "")</f>
        <v>-10307.692307692307</v>
      </c>
      <c r="Q167" s="146"/>
      <c r="R167" s="146"/>
      <c r="S167" s="146"/>
    </row>
    <row r="168" spans="1:19" ht="17.25" thickBot="1">
      <c r="A168" s="109" t="s">
        <v>60</v>
      </c>
      <c r="B168" s="110">
        <v>888</v>
      </c>
      <c r="C168" s="70">
        <v>-1.7699115000000001E-2</v>
      </c>
      <c r="D168" s="15">
        <v>822</v>
      </c>
      <c r="E168" s="32">
        <f t="shared" ref="E168:E171" si="90">IF(ISNUMBER(D168), (D168 - $B168) / $B168, "")</f>
        <v>-7.4324324324324328E-2</v>
      </c>
      <c r="F168" s="18">
        <f>IF(ISNUMBER(D168), $B172 * E168, "")</f>
        <v>-11148.64864864865</v>
      </c>
      <c r="G168" s="31">
        <v>827</v>
      </c>
      <c r="H168" s="32">
        <f t="shared" ref="H168:H171" si="91">IF(ISNUMBER(G168), (G168 - $B168) / $B168, "")</f>
        <v>-6.86936936936937E-2</v>
      </c>
      <c r="I168" s="91">
        <f>IF(ISNUMBER(G168), $B172 * H168, "")</f>
        <v>-10304.054054054055</v>
      </c>
      <c r="J168" s="15">
        <v>818</v>
      </c>
      <c r="K168" s="32">
        <f t="shared" ref="K168:K171" si="92">IF(ISNUMBER(J168), (J168 - $B168) / $B168, "")</f>
        <v>-7.8828828828828829E-2</v>
      </c>
      <c r="L168" s="18">
        <f>IF(ISNUMBER(J168), $B172 * K168, "")</f>
        <v>-11824.324324324325</v>
      </c>
      <c r="M168" s="31">
        <v>824</v>
      </c>
      <c r="N168" s="32">
        <f t="shared" ref="N168:N171" si="93">IF(ISNUMBER(M168), (M168 - $B168) / $B168, "")</f>
        <v>-7.2072072072072071E-2</v>
      </c>
      <c r="O168" s="18">
        <f>IF(ISNUMBER(M168), $B172 * N168, "")</f>
        <v>-10810.81081081081</v>
      </c>
      <c r="Q168" s="146"/>
      <c r="R168" s="146"/>
      <c r="S168" s="146"/>
    </row>
    <row r="169" spans="1:19" ht="17.25" thickBot="1">
      <c r="A169" s="109" t="s">
        <v>66</v>
      </c>
      <c r="B169" s="110">
        <v>855</v>
      </c>
      <c r="C169" s="70">
        <v>-2.3972602700000002E-2</v>
      </c>
      <c r="D169" s="15">
        <v>819</v>
      </c>
      <c r="E169" s="32">
        <f t="shared" si="90"/>
        <v>-4.2105263157894736E-2</v>
      </c>
      <c r="F169" s="18">
        <f>IF(ISNUMBER(D169), $B172 * E169, "")</f>
        <v>-6315.78947368421</v>
      </c>
      <c r="G169" s="31">
        <v>815</v>
      </c>
      <c r="H169" s="32">
        <f t="shared" si="91"/>
        <v>-4.6783625730994149E-2</v>
      </c>
      <c r="I169" s="91">
        <f>IF(ISNUMBER(G169), $B172 * H169, "")</f>
        <v>-7017.5438596491222</v>
      </c>
      <c r="J169" s="15">
        <v>816</v>
      </c>
      <c r="K169" s="32">
        <f t="shared" si="92"/>
        <v>-4.5614035087719301E-2</v>
      </c>
      <c r="L169" s="18">
        <f>IF(ISNUMBER(J169), $B172 * K169, "")</f>
        <v>-6842.105263157895</v>
      </c>
      <c r="M169" s="31">
        <v>805</v>
      </c>
      <c r="N169" s="32">
        <f t="shared" si="93"/>
        <v>-5.8479532163742687E-2</v>
      </c>
      <c r="O169" s="18">
        <f>IF(ISNUMBER(M169), $B172 * N169, "")</f>
        <v>-8771.9298245614027</v>
      </c>
      <c r="Q169" s="146"/>
      <c r="R169" s="146"/>
      <c r="S169" s="146"/>
    </row>
    <row r="170" spans="1:19">
      <c r="A170" s="109" t="s">
        <v>319</v>
      </c>
      <c r="B170" s="110">
        <v>714</v>
      </c>
      <c r="C170" s="70">
        <v>-3.2520325199999998E-2</v>
      </c>
      <c r="D170" s="15">
        <v>662</v>
      </c>
      <c r="E170" s="32">
        <f t="shared" si="90"/>
        <v>-7.2829131652661069E-2</v>
      </c>
      <c r="F170" s="18">
        <f>IF(ISNUMBER(D170), $B172 * E170, "")</f>
        <v>-10924.36974789916</v>
      </c>
      <c r="G170" s="31">
        <v>660</v>
      </c>
      <c r="H170" s="32">
        <f t="shared" si="91"/>
        <v>-7.5630252100840331E-2</v>
      </c>
      <c r="I170" s="91">
        <f>IF(ISNUMBER(G170), $B172 * H170, "")</f>
        <v>-11344.53781512605</v>
      </c>
      <c r="J170" s="15">
        <v>653</v>
      </c>
      <c r="K170" s="32">
        <f t="shared" si="92"/>
        <v>-8.5434173669467789E-2</v>
      </c>
      <c r="L170" s="18">
        <f>IF(ISNUMBER(J170), $B172 * K170, "")</f>
        <v>-12815.126050420169</v>
      </c>
      <c r="M170" s="31">
        <v>672</v>
      </c>
      <c r="N170" s="32">
        <f t="shared" si="93"/>
        <v>-5.8823529411764705E-2</v>
      </c>
      <c r="O170" s="18">
        <f>IF(ISNUMBER(M170), $B172 * N170, "")</f>
        <v>-8823.5294117647063</v>
      </c>
      <c r="Q170" s="135"/>
      <c r="R170" s="136"/>
      <c r="S170" s="137"/>
    </row>
    <row r="171" spans="1:19" ht="17.25" thickBot="1">
      <c r="A171" s="114" t="s">
        <v>68</v>
      </c>
      <c r="B171" s="115">
        <v>692</v>
      </c>
      <c r="C171" s="72">
        <v>-3.8888888900000002E-2</v>
      </c>
      <c r="D171" s="24">
        <v>646</v>
      </c>
      <c r="E171" s="25">
        <f t="shared" si="90"/>
        <v>-6.6473988439306353E-2</v>
      </c>
      <c r="F171" s="94">
        <f>IF(ISNUMBER(D171), $B172 * E171, "")</f>
        <v>-9971.0982658959529</v>
      </c>
      <c r="G171" s="92">
        <v>639</v>
      </c>
      <c r="H171" s="25">
        <f t="shared" si="91"/>
        <v>-7.6589595375722547E-2</v>
      </c>
      <c r="I171" s="93">
        <f>IF(ISNUMBER(G171), $B172 * H171, "")</f>
        <v>-11488.439306358381</v>
      </c>
      <c r="J171" s="24">
        <v>648</v>
      </c>
      <c r="K171" s="25">
        <f t="shared" si="92"/>
        <v>-6.358381502890173E-2</v>
      </c>
      <c r="L171" s="94">
        <f>IF(ISNUMBER(J171), $B172 * K171, "")</f>
        <v>-9537.5722543352604</v>
      </c>
      <c r="M171" s="92">
        <v>644</v>
      </c>
      <c r="N171" s="25">
        <f t="shared" si="93"/>
        <v>-6.9364161849710976E-2</v>
      </c>
      <c r="O171" s="94">
        <f>IF(ISNUMBER(M171), $B172 * N171, "")</f>
        <v>-10404.624277456647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-5.1481188425363297E-2</v>
      </c>
      <c r="F172" s="28">
        <f>SUM(F152:F171)</f>
        <v>-154443.56527608991</v>
      </c>
      <c r="G172" s="26" t="s">
        <v>258</v>
      </c>
      <c r="H172" s="27">
        <f>IF(COUNT(H152:H171), SUM(H152:H171) / COUNT(H152:H171), 0)</f>
        <v>-5.1738712914689254E-2</v>
      </c>
      <c r="I172" s="28">
        <f>SUM(I152:I171)</f>
        <v>-155216.13874406775</v>
      </c>
      <c r="J172" s="26" t="s">
        <v>258</v>
      </c>
      <c r="K172" s="27">
        <f>IF(COUNT(K152:K171), SUM(K152:K171) / COUNT(K152:K171), 0)</f>
        <v>-5.3291585416672414E-2</v>
      </c>
      <c r="L172" s="28">
        <f>SUM(L152:L171)</f>
        <v>-159874.75625001721</v>
      </c>
      <c r="M172" s="26" t="s">
        <v>258</v>
      </c>
      <c r="N172" s="27">
        <f>IF(COUNT(N152:N171), SUM(N152:N171) / COUNT(N152:N171), 0)</f>
        <v>-5.9867829452328894E-2</v>
      </c>
      <c r="O172" s="28">
        <f>SUM(O152:O171)</f>
        <v>-179603.48835698664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2023-01-25(수) 오전 00:00</v>
      </c>
      <c r="C177" s="198"/>
      <c r="D177" s="170" t="str">
        <f>TEXT($G$1, "[$-ko-KR]yyyy-mm-dd(ddd) ") &amp; "오후 14:00"</f>
        <v>2023-01-25(수) 오후 14:00</v>
      </c>
      <c r="E177" s="171"/>
      <c r="F177" s="172"/>
      <c r="G177" s="170" t="str">
        <f>TEXT($G$1, "[$-ko-KR]yyyy-mm-dd(ddd) ") &amp; "오후 19:00"</f>
        <v>2023-01-25(수) 오후 19:00</v>
      </c>
      <c r="H177" s="171"/>
      <c r="I177" s="172"/>
      <c r="J177" s="170" t="str">
        <f>TEXT($G$1, "[$-ko-KR]yyyy-mm-dd(ddd) ") &amp; "오후 21:00"</f>
        <v>2023-01-25(수) 오후 21:00</v>
      </c>
      <c r="K177" s="171"/>
      <c r="L177" s="172"/>
      <c r="M177" s="170" t="str">
        <f>TEXT($G$1+1, "[$-ko-KR]yyyy-mm-dd(ddd) ") &amp; "오전 00:00"</f>
        <v>2023-01-26(목)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136</v>
      </c>
      <c r="B179" s="108">
        <v>3225</v>
      </c>
      <c r="C179" s="69">
        <v>-7.6923076999999996E-3</v>
      </c>
      <c r="D179" s="13">
        <v>3085</v>
      </c>
      <c r="E179" s="14">
        <f>IF(ISNUMBER(D179), (D179 - $B179) / $B179, "")</f>
        <v>-4.3410852713178294E-2</v>
      </c>
      <c r="F179" s="16">
        <f>IF(ISNUMBER(D179), $B199 * E179, "")</f>
        <v>-6511.6279069767443</v>
      </c>
      <c r="G179" s="29">
        <v>3095</v>
      </c>
      <c r="H179" s="14">
        <f>IF(ISNUMBER(G179), (G179 - $B179) / $B179, "")</f>
        <v>-4.0310077519379844E-2</v>
      </c>
      <c r="I179" s="90">
        <f>IF(ISNUMBER(G179), $B199 * H179, "")</f>
        <v>-6046.5116279069771</v>
      </c>
      <c r="J179" s="13">
        <v>3060</v>
      </c>
      <c r="K179" s="14">
        <f>IF(ISNUMBER(J179), (J179 - $B179) / $B179, "")</f>
        <v>-5.1162790697674418E-2</v>
      </c>
      <c r="L179" s="16">
        <f>IF(ISNUMBER(J179), $B199 * K179, "")</f>
        <v>-7674.4186046511622</v>
      </c>
      <c r="M179" s="29">
        <v>3060</v>
      </c>
      <c r="N179" s="14">
        <f>IF(ISNUMBER(M179), (M179 - $B179) / $B179, "")</f>
        <v>-5.1162790697674418E-2</v>
      </c>
      <c r="O179" s="16">
        <f>IF(ISNUMBER(M179), $B199 * N179, "")</f>
        <v>-7674.4186046511622</v>
      </c>
      <c r="Q179" s="156"/>
      <c r="R179" s="156"/>
      <c r="S179" s="156"/>
    </row>
    <row r="180" spans="1:19" ht="17.25" thickBot="1">
      <c r="A180" s="109" t="s">
        <v>51</v>
      </c>
      <c r="B180" s="110">
        <v>118</v>
      </c>
      <c r="C180" s="70">
        <v>-8.4033613000000004E-3</v>
      </c>
      <c r="D180" s="15">
        <v>114</v>
      </c>
      <c r="E180" s="32">
        <f t="shared" ref="E180:E183" si="94">IF(ISNUMBER(D180), (D180 - $B180) / $B180, "")</f>
        <v>-3.3898305084745763E-2</v>
      </c>
      <c r="F180" s="18">
        <f>IF(ISNUMBER(D180), $B199 * E180, "")</f>
        <v>-5084.7457627118647</v>
      </c>
      <c r="G180" s="31">
        <v>113</v>
      </c>
      <c r="H180" s="32">
        <f t="shared" ref="H180:H183" si="95">IF(ISNUMBER(G180), (G180 - $B180) / $B180, "")</f>
        <v>-4.2372881355932202E-2</v>
      </c>
      <c r="I180" s="91">
        <f>IF(ISNUMBER(G180), $B199 * H180, "")</f>
        <v>-6355.9322033898306</v>
      </c>
      <c r="J180" s="15">
        <v>112</v>
      </c>
      <c r="K180" s="32">
        <f t="shared" ref="K180:K183" si="96">IF(ISNUMBER(J180), (J180 - $B180) / $B180, "")</f>
        <v>-5.0847457627118647E-2</v>
      </c>
      <c r="L180" s="18">
        <f>IF(ISNUMBER(J180), $B199 * K180, "")</f>
        <v>-7627.1186440677975</v>
      </c>
      <c r="M180" s="31">
        <v>112</v>
      </c>
      <c r="N180" s="32">
        <f t="shared" ref="N180:N183" si="97">IF(ISNUMBER(M180), (M180 - $B180) / $B180, "")</f>
        <v>-5.0847457627118647E-2</v>
      </c>
      <c r="O180" s="18">
        <f>IF(ISNUMBER(M180), $B199 * N180, "")</f>
        <v>-7627.1186440677975</v>
      </c>
      <c r="Q180" s="156"/>
      <c r="R180" s="156"/>
      <c r="S180" s="156"/>
    </row>
    <row r="181" spans="1:19" ht="17.25" thickBot="1">
      <c r="A181" s="109" t="s">
        <v>145</v>
      </c>
      <c r="B181" s="110">
        <v>77.599999999999994</v>
      </c>
      <c r="C181" s="70">
        <v>-8.9399744999999996E-3</v>
      </c>
      <c r="D181" s="15">
        <v>75.8</v>
      </c>
      <c r="E181" s="32">
        <f t="shared" si="94"/>
        <v>-2.319587628865976E-2</v>
      </c>
      <c r="F181" s="18">
        <f>IF(ISNUMBER(D181), $B199 * E181, "")</f>
        <v>-3479.3814432989639</v>
      </c>
      <c r="G181" s="31">
        <v>75.599999999999994</v>
      </c>
      <c r="H181" s="32">
        <f t="shared" si="95"/>
        <v>-2.5773195876288662E-2</v>
      </c>
      <c r="I181" s="91">
        <f>IF(ISNUMBER(G181), $B199 * H181, "")</f>
        <v>-3865.9793814432992</v>
      </c>
      <c r="J181" s="15">
        <v>75.400000000000006</v>
      </c>
      <c r="K181" s="32">
        <f t="shared" si="96"/>
        <v>-2.835051546391738E-2</v>
      </c>
      <c r="L181" s="18">
        <f>IF(ISNUMBER(J181), $B199 * K181, "")</f>
        <v>-4252.5773195876072</v>
      </c>
      <c r="M181" s="31">
        <v>75.5</v>
      </c>
      <c r="N181" s="32">
        <f t="shared" si="97"/>
        <v>-2.7061855670103021E-2</v>
      </c>
      <c r="O181" s="18">
        <f>IF(ISNUMBER(M181), $B199 * N181, "")</f>
        <v>-4059.278350515453</v>
      </c>
      <c r="Q181" s="146"/>
      <c r="R181" s="146"/>
      <c r="S181" s="146"/>
    </row>
    <row r="182" spans="1:19" ht="17.25" thickBot="1">
      <c r="A182" s="109" t="s">
        <v>187</v>
      </c>
      <c r="B182" s="110">
        <v>923</v>
      </c>
      <c r="C182" s="70">
        <v>-9.6566524000000001E-3</v>
      </c>
      <c r="D182" s="15">
        <v>880</v>
      </c>
      <c r="E182" s="32">
        <f t="shared" si="94"/>
        <v>-4.6587215601300108E-2</v>
      </c>
      <c r="F182" s="18">
        <f>IF(ISNUMBER(D182), $B199 * E182, "")</f>
        <v>-6988.0823401950165</v>
      </c>
      <c r="G182" s="31">
        <v>881</v>
      </c>
      <c r="H182" s="32">
        <f t="shared" si="95"/>
        <v>-4.5503791982665222E-2</v>
      </c>
      <c r="I182" s="91">
        <f>IF(ISNUMBER(G182), $B199 * H182, "")</f>
        <v>-6825.5687973997829</v>
      </c>
      <c r="J182" s="15">
        <v>889</v>
      </c>
      <c r="K182" s="32">
        <f t="shared" si="96"/>
        <v>-3.6836403033586131E-2</v>
      </c>
      <c r="L182" s="18">
        <f>IF(ISNUMBER(J182), $B199 * K182, "")</f>
        <v>-5525.4604550379199</v>
      </c>
      <c r="M182" s="31">
        <v>875</v>
      </c>
      <c r="N182" s="32">
        <f t="shared" si="97"/>
        <v>-5.200433369447454E-2</v>
      </c>
      <c r="O182" s="18">
        <f>IF(ISNUMBER(M182), $B199 * N182, "")</f>
        <v>-7800.6500541711812</v>
      </c>
      <c r="Q182" s="146"/>
      <c r="R182" s="146"/>
      <c r="S182" s="146"/>
    </row>
    <row r="183" spans="1:19" ht="17.25" thickBot="1">
      <c r="A183" s="111" t="s">
        <v>91</v>
      </c>
      <c r="B183" s="112">
        <v>21050</v>
      </c>
      <c r="C183" s="71">
        <v>-1.22008447E-2</v>
      </c>
      <c r="D183" s="20">
        <v>20130</v>
      </c>
      <c r="E183" s="21">
        <f t="shared" si="94"/>
        <v>-4.3705463182897863E-2</v>
      </c>
      <c r="F183" s="22">
        <f>IF(ISNUMBER(D183), $B199 * E183, "")</f>
        <v>-6555.8194774346794</v>
      </c>
      <c r="G183" s="30">
        <v>19890</v>
      </c>
      <c r="H183" s="21">
        <f t="shared" si="95"/>
        <v>-5.5106888361045131E-2</v>
      </c>
      <c r="I183" s="95">
        <f>IF(ISNUMBER(G183), $B199 * H183, "")</f>
        <v>-8266.0332541567695</v>
      </c>
      <c r="J183" s="20">
        <v>19810</v>
      </c>
      <c r="K183" s="21">
        <f t="shared" si="96"/>
        <v>-5.8907363420427551E-2</v>
      </c>
      <c r="L183" s="22">
        <f>IF(ISNUMBER(J183), $B199 * K183, "")</f>
        <v>-8836.1045130641323</v>
      </c>
      <c r="M183" s="30">
        <v>19750</v>
      </c>
      <c r="N183" s="21">
        <f t="shared" si="97"/>
        <v>-6.1757719714964368E-2</v>
      </c>
      <c r="O183" s="22">
        <f>IF(ISNUMBER(M183), $B199 * N183, "")</f>
        <v>-9263.6579572446553</v>
      </c>
      <c r="Q183" s="146"/>
      <c r="R183" s="146"/>
      <c r="S183" s="146"/>
    </row>
    <row r="184" spans="1:19" ht="17.25" thickBot="1">
      <c r="A184" s="109" t="s">
        <v>128</v>
      </c>
      <c r="B184" s="113">
        <v>8080</v>
      </c>
      <c r="C184" s="73">
        <v>-1.2224938899999999E-2</v>
      </c>
      <c r="D184" s="96">
        <v>7750</v>
      </c>
      <c r="E184" s="97">
        <f>IF(ISNUMBER(D184), (D184 - $B184) / $B184, "")</f>
        <v>-4.0841584158415843E-2</v>
      </c>
      <c r="F184" s="98">
        <f>IF(ISNUMBER(D184), $B199 * E184, "")</f>
        <v>-6126.2376237623766</v>
      </c>
      <c r="G184" s="99">
        <v>7740</v>
      </c>
      <c r="H184" s="97">
        <f>IF(ISNUMBER(G184), (G184 - $B184) / $B184, "")</f>
        <v>-4.2079207920792082E-2</v>
      </c>
      <c r="I184" s="100">
        <f>IF(ISNUMBER(G184), $B199 * H184, "")</f>
        <v>-6311.8811881188121</v>
      </c>
      <c r="J184" s="96">
        <v>7705</v>
      </c>
      <c r="K184" s="97">
        <f>IF(ISNUMBER(J184), (J184 - $B184) / $B184, "")</f>
        <v>-4.641089108910891E-2</v>
      </c>
      <c r="L184" s="98">
        <f>IF(ISNUMBER(J184), $B199 * K184, "")</f>
        <v>-6961.6336633663368</v>
      </c>
      <c r="M184" s="99">
        <v>7735</v>
      </c>
      <c r="N184" s="97">
        <f>IF(ISNUMBER(M184), (M184 - $B184) / $B184, "")</f>
        <v>-4.2698019801980201E-2</v>
      </c>
      <c r="O184" s="98">
        <f>IF(ISNUMBER(M184), $B199 * N184, "")</f>
        <v>-6404.7029702970303</v>
      </c>
      <c r="Q184" s="146"/>
      <c r="R184" s="146"/>
      <c r="S184" s="146"/>
    </row>
    <row r="185" spans="1:19" ht="17.25" thickBot="1">
      <c r="A185" s="109" t="s">
        <v>185</v>
      </c>
      <c r="B185" s="110">
        <v>39</v>
      </c>
      <c r="C185" s="70">
        <v>-1.26582278E-2</v>
      </c>
      <c r="D185" s="15">
        <v>37.6</v>
      </c>
      <c r="E185" s="32">
        <f t="shared" ref="E185:E188" si="98">IF(ISNUMBER(D185), (D185 - $B185) / $B185, "")</f>
        <v>-3.589743589743586E-2</v>
      </c>
      <c r="F185" s="18">
        <f>IF(ISNUMBER(D185), $B199 * E185, "")</f>
        <v>-5384.6153846153793</v>
      </c>
      <c r="G185" s="31">
        <v>38.5</v>
      </c>
      <c r="H185" s="32">
        <f t="shared" ref="H185:H188" si="99">IF(ISNUMBER(G185), (G185 - $B185) / $B185, "")</f>
        <v>-1.282051282051282E-2</v>
      </c>
      <c r="I185" s="91">
        <f>IF(ISNUMBER(G185), $B199 * H185, "")</f>
        <v>-1923.0769230769231</v>
      </c>
      <c r="J185" s="15">
        <v>38.5</v>
      </c>
      <c r="K185" s="32">
        <f t="shared" ref="K185:K188" si="100">IF(ISNUMBER(J185), (J185 - $B185) / $B185, "")</f>
        <v>-1.282051282051282E-2</v>
      </c>
      <c r="L185" s="18">
        <f>IF(ISNUMBER(J185), $B199 * K185, "")</f>
        <v>-1923.0769230769231</v>
      </c>
      <c r="M185" s="31">
        <v>37.5</v>
      </c>
      <c r="N185" s="32">
        <f t="shared" ref="N185:N188" si="101">IF(ISNUMBER(M185), (M185 - $B185) / $B185, "")</f>
        <v>-3.8461538461538464E-2</v>
      </c>
      <c r="O185" s="18">
        <f>IF(ISNUMBER(M185), $B199 * N185, "")</f>
        <v>-5769.2307692307695</v>
      </c>
      <c r="Q185" s="146"/>
      <c r="R185" s="146"/>
      <c r="S185" s="146"/>
    </row>
    <row r="186" spans="1:19" ht="17.25" thickBot="1">
      <c r="A186" s="109" t="s">
        <v>225</v>
      </c>
      <c r="B186" s="110">
        <v>67.7</v>
      </c>
      <c r="C186" s="70">
        <v>-1.3119533500000001E-2</v>
      </c>
      <c r="D186" s="15">
        <v>64</v>
      </c>
      <c r="E186" s="32">
        <f t="shared" si="98"/>
        <v>-5.4652880354505211E-2</v>
      </c>
      <c r="F186" s="18">
        <f>IF(ISNUMBER(D186), $B199 * E186, "")</f>
        <v>-8197.9320531757821</v>
      </c>
      <c r="G186" s="31">
        <v>64.2</v>
      </c>
      <c r="H186" s="32">
        <f t="shared" si="99"/>
        <v>-5.1698670605612999E-2</v>
      </c>
      <c r="I186" s="91">
        <f>IF(ISNUMBER(G186), $B199 * H186, "")</f>
        <v>-7754.80059084195</v>
      </c>
      <c r="J186" s="15">
        <v>65.400000000000006</v>
      </c>
      <c r="K186" s="32">
        <f t="shared" si="100"/>
        <v>-3.3973412112259925E-2</v>
      </c>
      <c r="L186" s="18">
        <f>IF(ISNUMBER(J186), $B199 * K186, "")</f>
        <v>-5096.011816838989</v>
      </c>
      <c r="M186" s="31">
        <v>63.8</v>
      </c>
      <c r="N186" s="32">
        <f t="shared" si="101"/>
        <v>-5.7607090103397422E-2</v>
      </c>
      <c r="O186" s="18">
        <f>IF(ISNUMBER(M186), $B199 * N186, "")</f>
        <v>-8641.0635155096134</v>
      </c>
      <c r="Q186" s="146"/>
      <c r="R186" s="146"/>
      <c r="S186" s="146"/>
    </row>
    <row r="187" spans="1:19" ht="17.25" thickBot="1">
      <c r="A187" s="109" t="s">
        <v>341</v>
      </c>
      <c r="B187" s="110">
        <v>922</v>
      </c>
      <c r="C187" s="70">
        <v>-1.39037433E-2</v>
      </c>
      <c r="D187" s="15">
        <v>862</v>
      </c>
      <c r="E187" s="32">
        <f t="shared" si="98"/>
        <v>-6.5075921908893705E-2</v>
      </c>
      <c r="F187" s="18">
        <f>IF(ISNUMBER(D187), $B199 * E187, "")</f>
        <v>-9761.388286334055</v>
      </c>
      <c r="G187" s="31">
        <v>852</v>
      </c>
      <c r="H187" s="32">
        <f t="shared" si="99"/>
        <v>-7.5921908893709325E-2</v>
      </c>
      <c r="I187" s="91">
        <f>IF(ISNUMBER(G187), $B199 * H187, "")</f>
        <v>-11388.286334056398</v>
      </c>
      <c r="J187" s="15">
        <v>849</v>
      </c>
      <c r="K187" s="32">
        <f t="shared" si="100"/>
        <v>-7.9175704989154008E-2</v>
      </c>
      <c r="L187" s="18">
        <f>IF(ISNUMBER(J187), $B199 * K187, "")</f>
        <v>-11876.355748373102</v>
      </c>
      <c r="M187" s="31">
        <v>858</v>
      </c>
      <c r="N187" s="32">
        <f t="shared" si="101"/>
        <v>-6.9414316702819959E-2</v>
      </c>
      <c r="O187" s="18">
        <f>IF(ISNUMBER(M187), $B199 * N187, "")</f>
        <v>-10412.147505422994</v>
      </c>
      <c r="Q187" s="33"/>
      <c r="R187" s="33"/>
    </row>
    <row r="188" spans="1:19" ht="17.25" thickBot="1">
      <c r="A188" s="114" t="s">
        <v>126</v>
      </c>
      <c r="B188" s="115">
        <v>35.299999999999997</v>
      </c>
      <c r="C188" s="72">
        <v>-1.39664804E-2</v>
      </c>
      <c r="D188" s="24">
        <v>34.1</v>
      </c>
      <c r="E188" s="25">
        <f t="shared" si="98"/>
        <v>-3.3994334277620282E-2</v>
      </c>
      <c r="F188" s="94">
        <f>IF(ISNUMBER(D188), $B199 * E188, "")</f>
        <v>-5099.1501416430419</v>
      </c>
      <c r="G188" s="92">
        <v>34.1</v>
      </c>
      <c r="H188" s="25">
        <f t="shared" si="99"/>
        <v>-3.3994334277620282E-2</v>
      </c>
      <c r="I188" s="93">
        <f>IF(ISNUMBER(G188), $B199 * H188, "")</f>
        <v>-5099.1501416430419</v>
      </c>
      <c r="J188" s="24">
        <v>33.700000000000003</v>
      </c>
      <c r="K188" s="25">
        <f t="shared" si="100"/>
        <v>-4.5325779036827038E-2</v>
      </c>
      <c r="L188" s="94">
        <f>IF(ISNUMBER(J188), $B199 * K188, "")</f>
        <v>-6798.8668555240556</v>
      </c>
      <c r="M188" s="92">
        <v>33.5</v>
      </c>
      <c r="N188" s="25">
        <f t="shared" si="101"/>
        <v>-5.0991501416430517E-2</v>
      </c>
      <c r="O188" s="94">
        <f>IF(ISNUMBER(M188), $B199 * N188, "")</f>
        <v>-7648.7252124645775</v>
      </c>
      <c r="Q188" s="147"/>
      <c r="R188" s="148"/>
      <c r="S188" s="149"/>
    </row>
    <row r="189" spans="1:19">
      <c r="A189" s="107" t="s">
        <v>138</v>
      </c>
      <c r="B189" s="108">
        <v>32.799999999999997</v>
      </c>
      <c r="C189" s="69">
        <v>-1.5015015E-2</v>
      </c>
      <c r="D189" s="13">
        <v>34.200000000000003</v>
      </c>
      <c r="E189" s="14">
        <f>IF(ISNUMBER(D189), (D189 - $B189) / $B189, "")</f>
        <v>4.2682926829268469E-2</v>
      </c>
      <c r="F189" s="16">
        <f>IF(ISNUMBER(D189), $B199 * E189, "")</f>
        <v>6402.4390243902708</v>
      </c>
      <c r="G189" s="29">
        <v>33.9</v>
      </c>
      <c r="H189" s="14">
        <f>IF(ISNUMBER(G189), (G189 - $B189) / $B189, "")</f>
        <v>3.3536585365853702E-2</v>
      </c>
      <c r="I189" s="90">
        <f>IF(ISNUMBER(G189), $B199 * H189, "")</f>
        <v>5030.4878048780556</v>
      </c>
      <c r="J189" s="13">
        <v>33.200000000000003</v>
      </c>
      <c r="K189" s="14">
        <f>IF(ISNUMBER(J189), (J189 - $B189) / $B189, "")</f>
        <v>1.2195121951219686E-2</v>
      </c>
      <c r="L189" s="16">
        <f>IF(ISNUMBER(J189), $B199 * K189, "")</f>
        <v>1829.268292682953</v>
      </c>
      <c r="M189" s="29">
        <v>32.799999999999997</v>
      </c>
      <c r="N189" s="14">
        <f>IF(ISNUMBER(M189), (M189 - $B189) / $B189, "")</f>
        <v>0</v>
      </c>
      <c r="O189" s="16">
        <f>IF(ISNUMBER(M189), $B199 * N189, "")</f>
        <v>0</v>
      </c>
      <c r="Q189" s="150"/>
      <c r="R189" s="151"/>
      <c r="S189" s="152"/>
    </row>
    <row r="190" spans="1:19" ht="17.25" thickBot="1">
      <c r="A190" s="109" t="s">
        <v>337</v>
      </c>
      <c r="B190" s="110">
        <v>106200</v>
      </c>
      <c r="C190" s="70">
        <v>-1.6211208899999999E-2</v>
      </c>
      <c r="D190" s="15">
        <v>100950</v>
      </c>
      <c r="E190" s="32">
        <f t="shared" ref="E190:E193" si="102">IF(ISNUMBER(D190), (D190 - $B190) / $B190, "")</f>
        <v>-4.9435028248587573E-2</v>
      </c>
      <c r="F190" s="18">
        <f>IF(ISNUMBER(D190), $B199 * E190, "")</f>
        <v>-7415.2542372881362</v>
      </c>
      <c r="G190" s="31">
        <v>100000</v>
      </c>
      <c r="H190" s="32">
        <f t="shared" ref="H190:H193" si="103">IF(ISNUMBER(G190), (G190 - $B190) / $B190, "")</f>
        <v>-5.8380414312617701E-2</v>
      </c>
      <c r="I190" s="91">
        <f>IF(ISNUMBER(G190), $B199 * H190, "")</f>
        <v>-8757.0621468926547</v>
      </c>
      <c r="J190" s="15">
        <v>99750</v>
      </c>
      <c r="K190" s="32">
        <f t="shared" ref="K190:K193" si="104">IF(ISNUMBER(J190), (J190 - $B190) / $B190, "")</f>
        <v>-6.0734463276836161E-2</v>
      </c>
      <c r="L190" s="18">
        <f>IF(ISNUMBER(J190), $B199 * K190, "")</f>
        <v>-9110.1694915254247</v>
      </c>
      <c r="M190" s="31">
        <v>100250</v>
      </c>
      <c r="N190" s="32">
        <f t="shared" ref="N190:N193" si="105">IF(ISNUMBER(M190), (M190 - $B190) / $B190, "")</f>
        <v>-5.6026365348399249E-2</v>
      </c>
      <c r="O190" s="18">
        <f>IF(ISNUMBER(M190), $B199 * N190, "")</f>
        <v>-8403.9548022598865</v>
      </c>
      <c r="Q190" s="153"/>
      <c r="R190" s="154"/>
      <c r="S190" s="155"/>
    </row>
    <row r="191" spans="1:19" ht="17.25" thickBot="1">
      <c r="A191" s="109" t="s">
        <v>99</v>
      </c>
      <c r="B191" s="110">
        <v>28020</v>
      </c>
      <c r="C191" s="70">
        <v>-1.64970165E-2</v>
      </c>
      <c r="D191" s="15">
        <v>26660</v>
      </c>
      <c r="E191" s="32">
        <f t="shared" si="102"/>
        <v>-4.8536759457530339E-2</v>
      </c>
      <c r="F191" s="18">
        <f>IF(ISNUMBER(D191), $B199 * E191, "")</f>
        <v>-7280.513918629551</v>
      </c>
      <c r="G191" s="31">
        <v>26380</v>
      </c>
      <c r="H191" s="32">
        <f t="shared" si="103"/>
        <v>-5.8529621698786581E-2</v>
      </c>
      <c r="I191" s="91">
        <f>IF(ISNUMBER(G191), $B199 * H191, "")</f>
        <v>-8779.4432548179866</v>
      </c>
      <c r="J191" s="15">
        <v>26320</v>
      </c>
      <c r="K191" s="32">
        <f t="shared" si="104"/>
        <v>-6.0670949321912922E-2</v>
      </c>
      <c r="L191" s="18">
        <f>IF(ISNUMBER(J191), $B199 * K191, "")</f>
        <v>-9100.6423982869383</v>
      </c>
      <c r="M191" s="31">
        <v>26280</v>
      </c>
      <c r="N191" s="32">
        <f t="shared" si="105"/>
        <v>-6.2098501070663809E-2</v>
      </c>
      <c r="O191" s="18">
        <f>IF(ISNUMBER(M191), $B199 * N191, "")</f>
        <v>-9314.7751605995709</v>
      </c>
      <c r="Q191" s="146"/>
      <c r="R191" s="146"/>
      <c r="S191" s="146"/>
    </row>
    <row r="192" spans="1:19" ht="17.25" thickBot="1">
      <c r="A192" s="109" t="s">
        <v>111</v>
      </c>
      <c r="B192" s="110">
        <v>975</v>
      </c>
      <c r="C192" s="70">
        <v>-1.7137096800000001E-2</v>
      </c>
      <c r="D192" s="15">
        <v>913</v>
      </c>
      <c r="E192" s="32">
        <f t="shared" si="102"/>
        <v>-6.3589743589743591E-2</v>
      </c>
      <c r="F192" s="18">
        <f>IF(ISNUMBER(D192), $B199 * E192, "")</f>
        <v>-9538.461538461539</v>
      </c>
      <c r="G192" s="31">
        <v>924</v>
      </c>
      <c r="H192" s="32">
        <f t="shared" si="103"/>
        <v>-5.2307692307692305E-2</v>
      </c>
      <c r="I192" s="91">
        <f>IF(ISNUMBER(G192), $B199 * H192, "")</f>
        <v>-7846.1538461538457</v>
      </c>
      <c r="J192" s="15">
        <v>912</v>
      </c>
      <c r="K192" s="32">
        <f t="shared" si="104"/>
        <v>-6.4615384615384616E-2</v>
      </c>
      <c r="L192" s="18">
        <f>IF(ISNUMBER(J192), $B199 * K192, "")</f>
        <v>-9692.3076923076933</v>
      </c>
      <c r="M192" s="31">
        <v>908</v>
      </c>
      <c r="N192" s="32">
        <f t="shared" si="105"/>
        <v>-6.8717948717948715E-2</v>
      </c>
      <c r="O192" s="18">
        <f>IF(ISNUMBER(M192), $B199 * N192, "")</f>
        <v>-10307.692307692307</v>
      </c>
      <c r="Q192" s="156"/>
      <c r="R192" s="156"/>
      <c r="S192" s="156"/>
    </row>
    <row r="193" spans="1:19" ht="17.25" thickBot="1">
      <c r="A193" s="111" t="s">
        <v>60</v>
      </c>
      <c r="B193" s="112">
        <v>888</v>
      </c>
      <c r="C193" s="71">
        <v>-1.7699115000000001E-2</v>
      </c>
      <c r="D193" s="20">
        <v>822</v>
      </c>
      <c r="E193" s="21">
        <f t="shared" si="102"/>
        <v>-7.4324324324324328E-2</v>
      </c>
      <c r="F193" s="22">
        <f>IF(ISNUMBER(D193), $B199 * E193, "")</f>
        <v>-11148.64864864865</v>
      </c>
      <c r="G193" s="30">
        <v>827</v>
      </c>
      <c r="H193" s="21">
        <f t="shared" si="103"/>
        <v>-6.86936936936937E-2</v>
      </c>
      <c r="I193" s="95">
        <f>IF(ISNUMBER(G193), $B199 * H193, "")</f>
        <v>-10304.054054054055</v>
      </c>
      <c r="J193" s="20">
        <v>818</v>
      </c>
      <c r="K193" s="21">
        <f t="shared" si="104"/>
        <v>-7.8828828828828829E-2</v>
      </c>
      <c r="L193" s="22">
        <f>IF(ISNUMBER(J193), $B199 * K193, "")</f>
        <v>-11824.324324324325</v>
      </c>
      <c r="M193" s="30">
        <v>824</v>
      </c>
      <c r="N193" s="21">
        <f t="shared" si="105"/>
        <v>-7.2072072072072071E-2</v>
      </c>
      <c r="O193" s="22">
        <f>IF(ISNUMBER(M193), $B199 * N193, "")</f>
        <v>-10810.81081081081</v>
      </c>
      <c r="Q193" s="156"/>
      <c r="R193" s="156"/>
      <c r="S193" s="156"/>
    </row>
    <row r="194" spans="1:19" ht="17.25" thickBot="1">
      <c r="A194" s="109" t="s">
        <v>66</v>
      </c>
      <c r="B194" s="113">
        <v>855</v>
      </c>
      <c r="C194" s="73">
        <v>-2.3972602700000002E-2</v>
      </c>
      <c r="D194" s="96">
        <v>819</v>
      </c>
      <c r="E194" s="97">
        <f>IF(ISNUMBER(D194), (D194 - $B194) / $B194, "")</f>
        <v>-4.2105263157894736E-2</v>
      </c>
      <c r="F194" s="98">
        <f>IF(ISNUMBER(D194), $B199 * E194, "")</f>
        <v>-6315.78947368421</v>
      </c>
      <c r="G194" s="99">
        <v>815</v>
      </c>
      <c r="H194" s="97">
        <f>IF(ISNUMBER(G194), (G194 - $B194) / $B194, "")</f>
        <v>-4.6783625730994149E-2</v>
      </c>
      <c r="I194" s="100">
        <f>IF(ISNUMBER(G194), $B199 * H194, "")</f>
        <v>-7017.5438596491222</v>
      </c>
      <c r="J194" s="96">
        <v>816</v>
      </c>
      <c r="K194" s="97">
        <f>IF(ISNUMBER(J194), (J194 - $B194) / $B194, "")</f>
        <v>-4.5614035087719301E-2</v>
      </c>
      <c r="L194" s="98">
        <f>IF(ISNUMBER(J194), $B199 * K194, "")</f>
        <v>-6842.105263157895</v>
      </c>
      <c r="M194" s="99">
        <v>805</v>
      </c>
      <c r="N194" s="97">
        <f>IF(ISNUMBER(M194), (M194 - $B194) / $B194, "")</f>
        <v>-5.8479532163742687E-2</v>
      </c>
      <c r="O194" s="98">
        <f>IF(ISNUMBER(M194), $B199 * N194, "")</f>
        <v>-8771.9298245614027</v>
      </c>
      <c r="Q194" s="146"/>
      <c r="R194" s="146"/>
      <c r="S194" s="146"/>
    </row>
    <row r="195" spans="1:19" ht="17.25" thickBot="1">
      <c r="A195" s="109" t="s">
        <v>147</v>
      </c>
      <c r="B195" s="110">
        <v>14800</v>
      </c>
      <c r="C195" s="70">
        <v>-2.8871391100000001E-2</v>
      </c>
      <c r="D195" s="15">
        <v>14040</v>
      </c>
      <c r="E195" s="32">
        <f t="shared" ref="E195:E198" si="106">IF(ISNUMBER(D195), (D195 - $B195) / $B195, "")</f>
        <v>-5.1351351351351354E-2</v>
      </c>
      <c r="F195" s="18">
        <f>IF(ISNUMBER(D195), $B199 * E195, "")</f>
        <v>-7702.7027027027034</v>
      </c>
      <c r="G195" s="31">
        <v>13990</v>
      </c>
      <c r="H195" s="32">
        <f t="shared" ref="H195:H198" si="107">IF(ISNUMBER(G195), (G195 - $B195) / $B195, "")</f>
        <v>-5.4729729729729733E-2</v>
      </c>
      <c r="I195" s="91">
        <f>IF(ISNUMBER(G195), $B199 * H195, "")</f>
        <v>-8209.45945945946</v>
      </c>
      <c r="J195" s="15">
        <v>14040</v>
      </c>
      <c r="K195" s="32">
        <f t="shared" ref="K195:K198" si="108">IF(ISNUMBER(J195), (J195 - $B195) / $B195, "")</f>
        <v>-5.1351351351351354E-2</v>
      </c>
      <c r="L195" s="18">
        <f>IF(ISNUMBER(J195), $B199 * K195, "")</f>
        <v>-7702.7027027027034</v>
      </c>
      <c r="M195" s="31">
        <v>14280</v>
      </c>
      <c r="N195" s="32">
        <f t="shared" ref="N195:N198" si="109">IF(ISNUMBER(M195), (M195 - $B195) / $B195, "")</f>
        <v>-3.5135135135135137E-2</v>
      </c>
      <c r="O195" s="18">
        <f>IF(ISNUMBER(M195), $B199 * N195, "")</f>
        <v>-5270.2702702702709</v>
      </c>
      <c r="Q195" s="146"/>
      <c r="R195" s="146"/>
      <c r="S195" s="146"/>
    </row>
    <row r="196" spans="1:19" ht="17.25" thickBot="1">
      <c r="A196" s="109" t="s">
        <v>319</v>
      </c>
      <c r="B196" s="110">
        <v>714</v>
      </c>
      <c r="C196" s="70">
        <v>-3.2520325199999998E-2</v>
      </c>
      <c r="D196" s="15">
        <v>662</v>
      </c>
      <c r="E196" s="32">
        <f t="shared" si="106"/>
        <v>-7.2829131652661069E-2</v>
      </c>
      <c r="F196" s="18">
        <f>IF(ISNUMBER(D196), $B199 * E196, "")</f>
        <v>-10924.36974789916</v>
      </c>
      <c r="G196" s="31">
        <v>660</v>
      </c>
      <c r="H196" s="32">
        <f t="shared" si="107"/>
        <v>-7.5630252100840331E-2</v>
      </c>
      <c r="I196" s="91">
        <f>IF(ISNUMBER(G196), $B199 * H196, "")</f>
        <v>-11344.53781512605</v>
      </c>
      <c r="J196" s="15">
        <v>653</v>
      </c>
      <c r="K196" s="32">
        <f t="shared" si="108"/>
        <v>-8.5434173669467789E-2</v>
      </c>
      <c r="L196" s="18">
        <f>IF(ISNUMBER(J196), $B199 * K196, "")</f>
        <v>-12815.126050420169</v>
      </c>
      <c r="M196" s="31">
        <v>672</v>
      </c>
      <c r="N196" s="32">
        <f t="shared" si="109"/>
        <v>-5.8823529411764705E-2</v>
      </c>
      <c r="O196" s="18">
        <f>IF(ISNUMBER(M196), $B199 * N196, "")</f>
        <v>-8823.5294117647063</v>
      </c>
      <c r="Q196" s="146"/>
      <c r="R196" s="146"/>
      <c r="S196" s="146"/>
    </row>
    <row r="197" spans="1:19">
      <c r="A197" s="109" t="s">
        <v>68</v>
      </c>
      <c r="B197" s="110">
        <v>692</v>
      </c>
      <c r="C197" s="70">
        <v>-3.8888888900000002E-2</v>
      </c>
      <c r="D197" s="15">
        <v>646</v>
      </c>
      <c r="E197" s="32">
        <f t="shared" si="106"/>
        <v>-6.6473988439306353E-2</v>
      </c>
      <c r="F197" s="18">
        <f>IF(ISNUMBER(D197), $B199 * E197, "")</f>
        <v>-9971.0982658959529</v>
      </c>
      <c r="G197" s="31">
        <v>639</v>
      </c>
      <c r="H197" s="32">
        <f t="shared" si="107"/>
        <v>-7.6589595375722547E-2</v>
      </c>
      <c r="I197" s="91">
        <f>IF(ISNUMBER(G197), $B199 * H197, "")</f>
        <v>-11488.439306358381</v>
      </c>
      <c r="J197" s="15">
        <v>648</v>
      </c>
      <c r="K197" s="32">
        <f t="shared" si="108"/>
        <v>-6.358381502890173E-2</v>
      </c>
      <c r="L197" s="18">
        <f>IF(ISNUMBER(J197), $B199 * K197, "")</f>
        <v>-9537.5722543352604</v>
      </c>
      <c r="M197" s="31">
        <v>644</v>
      </c>
      <c r="N197" s="32">
        <f t="shared" si="109"/>
        <v>-6.9364161849710976E-2</v>
      </c>
      <c r="O197" s="18">
        <f>IF(ISNUMBER(M197), $B199 * N197, "")</f>
        <v>-10404.624277456647</v>
      </c>
      <c r="Q197" s="135"/>
      <c r="R197" s="136"/>
      <c r="S197" s="137"/>
    </row>
    <row r="198" spans="1:19" ht="17.25" thickBot="1">
      <c r="A198" s="114" t="s">
        <v>97</v>
      </c>
      <c r="B198" s="115">
        <v>8.9999999999999998E-4</v>
      </c>
      <c r="C198" s="72">
        <v>-0.1</v>
      </c>
      <c r="D198" s="24">
        <v>1E-3</v>
      </c>
      <c r="E198" s="25">
        <f t="shared" si="106"/>
        <v>0.11111111111111116</v>
      </c>
      <c r="F198" s="94">
        <f>IF(ISNUMBER(D198), $B199 * E198, "")</f>
        <v>16666.666666666675</v>
      </c>
      <c r="G198" s="92">
        <v>8.9999999999999998E-4</v>
      </c>
      <c r="H198" s="25">
        <f t="shared" si="107"/>
        <v>0</v>
      </c>
      <c r="I198" s="93">
        <f>IF(ISNUMBER(G198), $B199 * H198, "")</f>
        <v>0</v>
      </c>
      <c r="J198" s="24">
        <v>8.9999999999999998E-4</v>
      </c>
      <c r="K198" s="25">
        <f t="shared" si="108"/>
        <v>0</v>
      </c>
      <c r="L198" s="94">
        <f>IF(ISNUMBER(J198), $B199 * K198, "")</f>
        <v>0</v>
      </c>
      <c r="M198" s="92">
        <v>8.9999999999999998E-4</v>
      </c>
      <c r="N198" s="25">
        <f t="shared" si="109"/>
        <v>0</v>
      </c>
      <c r="O198" s="94">
        <f>IF(ISNUMBER(M198), $B199 * N198, "")</f>
        <v>0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-3.6805571087433618E-2</v>
      </c>
      <c r="F199" s="28">
        <f>SUM(F179:F198)</f>
        <v>-110416.71326230085</v>
      </c>
      <c r="G199" s="26" t="s">
        <v>258</v>
      </c>
      <c r="H199" s="27">
        <f>IF(COUNT(H179:H198), SUM(H179:H198) / COUNT(H179:H198), 0)</f>
        <v>-4.4184475459889093E-2</v>
      </c>
      <c r="I199" s="28">
        <f>SUM(I179:I198)</f>
        <v>-132553.4263796673</v>
      </c>
      <c r="J199" s="26" t="s">
        <v>258</v>
      </c>
      <c r="K199" s="27">
        <f>IF(COUNT(K179:K198), SUM(K179:K198) / COUNT(K179:K198), 0)</f>
        <v>-4.7122435475988503E-2</v>
      </c>
      <c r="L199" s="28">
        <f>SUM(L179:L198)</f>
        <v>-141367.30642796546</v>
      </c>
      <c r="M199" s="26" t="s">
        <v>258</v>
      </c>
      <c r="N199" s="27">
        <f>IF(COUNT(N179:N198), SUM(N179:N198) / COUNT(N179:N198), 0)</f>
        <v>-4.9136193482996943E-2</v>
      </c>
      <c r="O199" s="28">
        <f>SUM(O179:O198)</f>
        <v>-147408.58044899083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15A89-F019-4665-8409-03F141F07FDE}">
  <sheetPr codeName="Sheet2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44952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165,566 KRW (5.52%)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98,925 KRW (3.30%)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159,956 KRW (5.33%)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157,097 KRW (5.24%)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2023-01-26(목) 오전 00:00</v>
      </c>
      <c r="C15" s="196"/>
      <c r="D15" s="170" t="str">
        <f>TEXT($G$1, "[$-ko-KR]yyyy-mm-dd(ddd) ") &amp; "오후 14:00"</f>
        <v>2023-01-26(목) 오후 14:00</v>
      </c>
      <c r="E15" s="171"/>
      <c r="F15" s="172"/>
      <c r="G15" s="170" t="str">
        <f>TEXT($G$1, "[$-ko-KR]yyyy-mm-dd(ddd) ") &amp; "오후 19:00"</f>
        <v>2023-01-26(목) 오후 19:00</v>
      </c>
      <c r="H15" s="171"/>
      <c r="I15" s="172"/>
      <c r="J15" s="170" t="str">
        <f>TEXT($G$1, "[$-ko-KR]yyyy-mm-dd(ddd) ") &amp; "오후 21:00"</f>
        <v>2023-01-26(목) 오후 21:00</v>
      </c>
      <c r="K15" s="171"/>
      <c r="L15" s="172"/>
      <c r="M15" s="170" t="str">
        <f>TEXT($G$1+1, "[$-ko-KR]yyyy-mm-dd(ddd) ") &amp; "오전 00:00"</f>
        <v>2023-01-27(금)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2023-01-26(목) 오전 00:00</v>
      </c>
      <c r="C42" s="198"/>
      <c r="D42" s="170" t="str">
        <f>TEXT($G$1, "[$-ko-KR]yyyy-mm-dd(ddd) ") &amp; "오후 14:00"</f>
        <v>2023-01-26(목) 오후 14:00</v>
      </c>
      <c r="E42" s="171"/>
      <c r="F42" s="172"/>
      <c r="G42" s="170" t="str">
        <f>TEXT($G$1, "[$-ko-KR]yyyy-mm-dd(ddd) ") &amp; "오후 19:00"</f>
        <v>2023-01-26(목) 오후 19:00</v>
      </c>
      <c r="H42" s="171"/>
      <c r="I42" s="172"/>
      <c r="J42" s="170" t="str">
        <f>TEXT($G$1, "[$-ko-KR]yyyy-mm-dd(ddd) ") &amp; "오후 21:00"</f>
        <v>2023-01-26(목) 오후 21:00</v>
      </c>
      <c r="K42" s="171"/>
      <c r="L42" s="172"/>
      <c r="M42" s="170" t="str">
        <f>TEXT($G$1+1, "[$-ko-KR]yyyy-mm-dd(ddd) ") &amp; "오전 00:00"</f>
        <v>2023-01-27(금)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191</v>
      </c>
      <c r="B44" s="108">
        <v>72.2</v>
      </c>
      <c r="C44" s="69">
        <v>0.14603174599999999</v>
      </c>
      <c r="D44" s="13">
        <v>82.3</v>
      </c>
      <c r="E44" s="14">
        <f>IF(ISNUMBER(D44), (D44 - $B44) / $B44, "")</f>
        <v>0.13988919667590019</v>
      </c>
      <c r="F44" s="16">
        <f>IF(ISNUMBER(D44), $B64 * E44, "")</f>
        <v>20983.379501385029</v>
      </c>
      <c r="G44" s="29">
        <v>78.7</v>
      </c>
      <c r="H44" s="14">
        <f>IF(ISNUMBER(G44), (G44 - $B44) / $B44, "")</f>
        <v>9.0027700831024932E-2</v>
      </c>
      <c r="I44" s="90">
        <f>IF(ISNUMBER(G44), $B64 * H44, "")</f>
        <v>13504.15512465374</v>
      </c>
      <c r="J44" s="13">
        <v>76.599999999999994</v>
      </c>
      <c r="K44" s="14">
        <f>IF(ISNUMBER(J44), (J44 - $B44) / $B44, "")</f>
        <v>6.0941828254847522E-2</v>
      </c>
      <c r="L44" s="16">
        <f>IF(ISNUMBER(J44), $B64 * K44, "")</f>
        <v>9141.2742382271281</v>
      </c>
      <c r="M44" s="29">
        <v>75.7</v>
      </c>
      <c r="N44" s="14">
        <f>IF(ISNUMBER(M44), (M44 - $B44) / $B44, "")</f>
        <v>4.8476454293628804E-2</v>
      </c>
      <c r="O44" s="16">
        <f>IF(ISNUMBER(M44), $B64 * N44, "")</f>
        <v>7271.468144044321</v>
      </c>
      <c r="Q44" s="156"/>
      <c r="R44" s="156"/>
      <c r="S44" s="156"/>
    </row>
    <row r="45" spans="1:19" ht="17.25" customHeight="1" thickBot="1">
      <c r="A45" s="109" t="s">
        <v>207</v>
      </c>
      <c r="B45" s="110">
        <v>78</v>
      </c>
      <c r="C45" s="70">
        <v>4.5576407499999999E-2</v>
      </c>
      <c r="D45" s="15">
        <v>82.9</v>
      </c>
      <c r="E45" s="32">
        <f t="shared" ref="E45:E48" si="14">IF(ISNUMBER(D45), (D45 - $B45) / $B45, "")</f>
        <v>6.2820512820512889E-2</v>
      </c>
      <c r="F45" s="18">
        <f>IF(ISNUMBER(D45), $B64 * E45, "")</f>
        <v>9423.0769230769329</v>
      </c>
      <c r="G45" s="31">
        <v>79.599999999999994</v>
      </c>
      <c r="H45" s="32">
        <f t="shared" ref="H45:H48" si="15">IF(ISNUMBER(G45), (G45 - $B45) / $B45, "")</f>
        <v>2.051282051282044E-2</v>
      </c>
      <c r="I45" s="91">
        <f>IF(ISNUMBER(G45), $B64 * H45, "")</f>
        <v>3076.9230769230662</v>
      </c>
      <c r="J45" s="15">
        <v>78.3</v>
      </c>
      <c r="K45" s="32">
        <f t="shared" ref="K45:K48" si="16">IF(ISNUMBER(J45), (J45 - $B45) / $B45, "")</f>
        <v>3.8461538461538095E-3</v>
      </c>
      <c r="L45" s="18">
        <f>IF(ISNUMBER(J45), $B64 * K45, "")</f>
        <v>576.92307692307145</v>
      </c>
      <c r="M45" s="31">
        <v>78.2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156"/>
      <c r="R45" s="156"/>
      <c r="S45" s="156"/>
    </row>
    <row r="46" spans="1:19" ht="17.25" customHeight="1" thickBot="1">
      <c r="A46" s="109" t="s">
        <v>64</v>
      </c>
      <c r="B46" s="110">
        <v>12.4</v>
      </c>
      <c r="C46" s="70">
        <v>2.4793388400000001E-2</v>
      </c>
      <c r="D46" s="15">
        <v>12.8</v>
      </c>
      <c r="E46" s="32">
        <f t="shared" si="14"/>
        <v>3.2258064516129059E-2</v>
      </c>
      <c r="F46" s="18">
        <f>IF(ISNUMBER(D46), $B64 * E46, "")</f>
        <v>4838.7096774193587</v>
      </c>
      <c r="G46" s="31">
        <v>12.7</v>
      </c>
      <c r="H46" s="32">
        <f t="shared" si="15"/>
        <v>2.4193548387096687E-2</v>
      </c>
      <c r="I46" s="91">
        <f>IF(ISNUMBER(G46), $B64 * H46, "")</f>
        <v>3629.0322580645029</v>
      </c>
      <c r="J46" s="15">
        <v>12.7</v>
      </c>
      <c r="K46" s="32">
        <f t="shared" si="16"/>
        <v>2.4193548387096687E-2</v>
      </c>
      <c r="L46" s="18">
        <f>IF(ISNUMBER(J46), $B64 * K46, "")</f>
        <v>3629.0322580645029</v>
      </c>
      <c r="M46" s="31">
        <v>12.7</v>
      </c>
      <c r="N46" s="32">
        <f t="shared" si="17"/>
        <v>2.4193548387096687E-2</v>
      </c>
      <c r="O46" s="18">
        <f>IF(ISNUMBER(M46), $B64 * N46, "")</f>
        <v>3629.0322580645029</v>
      </c>
      <c r="Q46" s="146"/>
      <c r="R46" s="146"/>
      <c r="S46" s="146"/>
    </row>
    <row r="47" spans="1:19" ht="17.25" customHeight="1" thickBot="1">
      <c r="A47" s="109" t="s">
        <v>324</v>
      </c>
      <c r="B47" s="110">
        <v>99.2</v>
      </c>
      <c r="C47" s="70">
        <v>1.3278856E-2</v>
      </c>
      <c r="D47" s="15">
        <v>102</v>
      </c>
      <c r="E47" s="32">
        <f t="shared" si="14"/>
        <v>2.8225806451612875E-2</v>
      </c>
      <c r="F47" s="18">
        <f>IF(ISNUMBER(D47), $B64 * E47, "")</f>
        <v>4233.8709677419311</v>
      </c>
      <c r="G47" s="31">
        <v>100</v>
      </c>
      <c r="H47" s="32">
        <f t="shared" si="15"/>
        <v>8.0645161290322284E-3</v>
      </c>
      <c r="I47" s="91">
        <f>IF(ISNUMBER(G47), $B64 * H47, "")</f>
        <v>1209.6774193548342</v>
      </c>
      <c r="J47" s="15">
        <v>101</v>
      </c>
      <c r="K47" s="32">
        <f t="shared" si="16"/>
        <v>1.8145161290322551E-2</v>
      </c>
      <c r="L47" s="18">
        <f>IF(ISNUMBER(J47), $B64 * K47, "")</f>
        <v>2721.7741935483828</v>
      </c>
      <c r="M47" s="31">
        <v>102</v>
      </c>
      <c r="N47" s="32">
        <f t="shared" si="17"/>
        <v>2.8225806451612875E-2</v>
      </c>
      <c r="O47" s="18">
        <f>IF(ISNUMBER(M47), $B64 * N47, "")</f>
        <v>4233.8709677419311</v>
      </c>
      <c r="Q47" s="146"/>
      <c r="R47" s="146"/>
      <c r="S47" s="146"/>
    </row>
    <row r="48" spans="1:19" ht="17.25" customHeight="1" thickBot="1">
      <c r="A48" s="111" t="s">
        <v>56</v>
      </c>
      <c r="B48" s="112">
        <v>46.4</v>
      </c>
      <c r="C48" s="71">
        <v>1.3100436700000001E-2</v>
      </c>
      <c r="D48" s="20">
        <v>47.7</v>
      </c>
      <c r="E48" s="21">
        <f t="shared" si="14"/>
        <v>2.8017241379310439E-2</v>
      </c>
      <c r="F48" s="22">
        <f>IF(ISNUMBER(D48), $B64 * E48, "")</f>
        <v>4202.5862068965662</v>
      </c>
      <c r="G48" s="30">
        <v>47.4</v>
      </c>
      <c r="H48" s="21">
        <f t="shared" si="15"/>
        <v>2.1551724137931036E-2</v>
      </c>
      <c r="I48" s="95">
        <f>IF(ISNUMBER(G48), $B64 * H48, "")</f>
        <v>3232.7586206896553</v>
      </c>
      <c r="J48" s="20">
        <v>47.6</v>
      </c>
      <c r="K48" s="21">
        <f t="shared" si="16"/>
        <v>2.5862068965517303E-2</v>
      </c>
      <c r="L48" s="22">
        <f>IF(ISNUMBER(J48), $B64 * K48, "")</f>
        <v>3879.3103448275956</v>
      </c>
      <c r="M48" s="30">
        <v>47.6</v>
      </c>
      <c r="N48" s="21">
        <f t="shared" si="17"/>
        <v>2.5862068965517303E-2</v>
      </c>
      <c r="O48" s="22">
        <f>IF(ISNUMBER(M48), $B64 * N48, "")</f>
        <v>3879.3103448275956</v>
      </c>
      <c r="Q48" s="146"/>
      <c r="R48" s="146"/>
      <c r="S48" s="146"/>
    </row>
    <row r="49" spans="1:19" ht="17.25" customHeight="1" thickBot="1">
      <c r="A49" s="109" t="s">
        <v>217</v>
      </c>
      <c r="B49" s="113">
        <v>85.1</v>
      </c>
      <c r="C49" s="73">
        <v>1.18906064E-2</v>
      </c>
      <c r="D49" s="96">
        <v>88.9</v>
      </c>
      <c r="E49" s="97">
        <f>IF(ISNUMBER(D49), (D49 - $B49) / $B49, "")</f>
        <v>4.4653349001175222E-2</v>
      </c>
      <c r="F49" s="98">
        <f>IF(ISNUMBER(D49), $B64 * E49, "")</f>
        <v>6698.0023501762835</v>
      </c>
      <c r="G49" s="99">
        <v>87.3</v>
      </c>
      <c r="H49" s="97">
        <f>IF(ISNUMBER(G49), (G49 - $B49) / $B49, "")</f>
        <v>2.585193889541719E-2</v>
      </c>
      <c r="I49" s="100">
        <f>IF(ISNUMBER(G49), $B64 * H49, "")</f>
        <v>3877.7908343125787</v>
      </c>
      <c r="J49" s="96">
        <v>86.9</v>
      </c>
      <c r="K49" s="97">
        <f>IF(ISNUMBER(J49), (J49 - $B49) / $B49, "")</f>
        <v>2.1151586368977807E-2</v>
      </c>
      <c r="L49" s="98">
        <f>IF(ISNUMBER(J49), $B64 * K49, "")</f>
        <v>3172.7379553466708</v>
      </c>
      <c r="M49" s="99">
        <v>86.9</v>
      </c>
      <c r="N49" s="97">
        <f>IF(ISNUMBER(M49), (M49 - $B49) / $B49, "")</f>
        <v>2.1151586368977807E-2</v>
      </c>
      <c r="O49" s="98">
        <f>IF(ISNUMBER(M49), $B64 * N49, "")</f>
        <v>3172.7379553466708</v>
      </c>
      <c r="Q49" s="146"/>
      <c r="R49" s="146"/>
      <c r="S49" s="146"/>
    </row>
    <row r="50" spans="1:19" ht="17.25" customHeight="1" thickBot="1">
      <c r="A50" s="109" t="s">
        <v>155</v>
      </c>
      <c r="B50" s="110">
        <v>31.7</v>
      </c>
      <c r="C50" s="70">
        <v>9.5541401000000005E-3</v>
      </c>
      <c r="D50" s="15">
        <v>32.700000000000003</v>
      </c>
      <c r="E50" s="32">
        <f t="shared" ref="E50:E53" si="18">IF(ISNUMBER(D50), (D50 - $B50) / $B50, "")</f>
        <v>3.1545741324921252E-2</v>
      </c>
      <c r="F50" s="18">
        <f>IF(ISNUMBER(D50), $B64 * E50, "")</f>
        <v>4731.8611987381873</v>
      </c>
      <c r="G50" s="31">
        <v>32.700000000000003</v>
      </c>
      <c r="H50" s="32">
        <f t="shared" ref="H50:H53" si="19">IF(ISNUMBER(G50), (G50 - $B50) / $B50, "")</f>
        <v>3.1545741324921252E-2</v>
      </c>
      <c r="I50" s="91">
        <f>IF(ISNUMBER(G50), $B64 * H50, "")</f>
        <v>4731.8611987381873</v>
      </c>
      <c r="J50" s="15">
        <v>32.6</v>
      </c>
      <c r="K50" s="32">
        <f t="shared" ref="K50:K53" si="20">IF(ISNUMBER(J50), (J50 - $B50) / $B50, "")</f>
        <v>2.8391167192429088E-2</v>
      </c>
      <c r="L50" s="18">
        <f>IF(ISNUMBER(J50), $B64 * K50, "")</f>
        <v>4258.6750788643631</v>
      </c>
      <c r="M50" s="31">
        <v>32.799999999999997</v>
      </c>
      <c r="N50" s="32">
        <f t="shared" ref="N50:N53" si="21">IF(ISNUMBER(M50), (M50 - $B50) / $B50, "")</f>
        <v>3.4700315457413186E-2</v>
      </c>
      <c r="O50" s="18">
        <f>IF(ISNUMBER(M50), $B64 * N50, "")</f>
        <v>5205.047318611978</v>
      </c>
      <c r="Q50" s="146"/>
      <c r="R50" s="146"/>
      <c r="S50" s="146"/>
    </row>
    <row r="51" spans="1:19" ht="17.25" customHeight="1" thickBot="1">
      <c r="A51" s="109" t="s">
        <v>237</v>
      </c>
      <c r="B51" s="110">
        <v>31</v>
      </c>
      <c r="C51" s="70">
        <v>6.4935065000000002E-3</v>
      </c>
      <c r="D51" s="15">
        <v>31.7</v>
      </c>
      <c r="E51" s="32">
        <f t="shared" si="18"/>
        <v>2.25806451612903E-2</v>
      </c>
      <c r="F51" s="18">
        <f>IF(ISNUMBER(D51), $B64 * E51, "")</f>
        <v>3387.0967741935451</v>
      </c>
      <c r="G51" s="31">
        <v>31.6</v>
      </c>
      <c r="H51" s="32">
        <f t="shared" si="19"/>
        <v>1.9354838709677465E-2</v>
      </c>
      <c r="I51" s="91">
        <f>IF(ISNUMBER(G51), $B64 * H51, "")</f>
        <v>2903.22580645162</v>
      </c>
      <c r="J51" s="15">
        <v>31.7</v>
      </c>
      <c r="K51" s="32">
        <f t="shared" si="20"/>
        <v>2.25806451612903E-2</v>
      </c>
      <c r="L51" s="18">
        <f>IF(ISNUMBER(J51), $B64 * K51, "")</f>
        <v>3387.0967741935451</v>
      </c>
      <c r="M51" s="31">
        <v>31.7</v>
      </c>
      <c r="N51" s="32">
        <f t="shared" si="21"/>
        <v>2.25806451612903E-2</v>
      </c>
      <c r="O51" s="18">
        <f>IF(ISNUMBER(M51), $B64 * N51, "")</f>
        <v>3387.0967741935451</v>
      </c>
      <c r="Q51" s="146"/>
      <c r="R51" s="146"/>
      <c r="S51" s="146"/>
    </row>
    <row r="52" spans="1:19" ht="17.25" customHeight="1" thickBot="1">
      <c r="A52" s="109" t="s">
        <v>329</v>
      </c>
      <c r="B52" s="110">
        <v>79.099999999999994</v>
      </c>
      <c r="C52" s="70">
        <v>5.0825921E-3</v>
      </c>
      <c r="D52" s="15">
        <v>83.8</v>
      </c>
      <c r="E52" s="32">
        <f t="shared" si="18"/>
        <v>5.9418457648546183E-2</v>
      </c>
      <c r="F52" s="18">
        <f>IF(ISNUMBER(D52), $B64 * E52, "")</f>
        <v>8912.7686472819278</v>
      </c>
      <c r="G52" s="31">
        <v>83</v>
      </c>
      <c r="H52" s="32">
        <f t="shared" si="19"/>
        <v>4.9304677623261767E-2</v>
      </c>
      <c r="I52" s="91">
        <f>IF(ISNUMBER(G52), $B64 * H52, "")</f>
        <v>7395.7016434892648</v>
      </c>
      <c r="J52" s="15">
        <v>82.2</v>
      </c>
      <c r="K52" s="32">
        <f t="shared" si="20"/>
        <v>3.9190897597977357E-2</v>
      </c>
      <c r="L52" s="18">
        <f>IF(ISNUMBER(J52), $B64 * K52, "")</f>
        <v>5878.6346396966037</v>
      </c>
      <c r="M52" s="31">
        <v>84.7</v>
      </c>
      <c r="N52" s="32">
        <f t="shared" si="21"/>
        <v>7.079646017699126E-2</v>
      </c>
      <c r="O52" s="18">
        <f>IF(ISNUMBER(M52), $B64 * N52, "")</f>
        <v>10619.46902654869</v>
      </c>
      <c r="Q52" s="33"/>
      <c r="R52" s="33"/>
    </row>
    <row r="53" spans="1:19" ht="17.25" customHeight="1" thickBot="1">
      <c r="A53" s="114" t="s">
        <v>193</v>
      </c>
      <c r="B53" s="115">
        <v>20.399999999999999</v>
      </c>
      <c r="C53" s="72">
        <v>4.9261084000000004E-3</v>
      </c>
      <c r="D53" s="24">
        <v>21.3</v>
      </c>
      <c r="E53" s="25">
        <f t="shared" si="18"/>
        <v>4.4117647058823636E-2</v>
      </c>
      <c r="F53" s="94">
        <f>IF(ISNUMBER(D53), $B64 * E53, "")</f>
        <v>6617.6470588235452</v>
      </c>
      <c r="G53" s="92">
        <v>21.1</v>
      </c>
      <c r="H53" s="25">
        <f t="shared" si="19"/>
        <v>3.431372549019622E-2</v>
      </c>
      <c r="I53" s="93">
        <f>IF(ISNUMBER(G53), $B64 * H53, "")</f>
        <v>5147.0588235294326</v>
      </c>
      <c r="J53" s="24">
        <v>21</v>
      </c>
      <c r="K53" s="25">
        <f t="shared" si="20"/>
        <v>2.9411764705882425E-2</v>
      </c>
      <c r="L53" s="94">
        <f>IF(ISNUMBER(J53), $B64 * K53, "")</f>
        <v>4411.7647058823641</v>
      </c>
      <c r="M53" s="92">
        <v>21.1</v>
      </c>
      <c r="N53" s="25">
        <f t="shared" si="21"/>
        <v>3.431372549019622E-2</v>
      </c>
      <c r="O53" s="94">
        <f>IF(ISNUMBER(M53), $B64 * N53, "")</f>
        <v>5147.0588235294326</v>
      </c>
      <c r="Q53" s="147"/>
      <c r="R53" s="148"/>
      <c r="S53" s="149"/>
    </row>
    <row r="54" spans="1:19" ht="17.25" customHeight="1">
      <c r="A54" s="107" t="s">
        <v>118</v>
      </c>
      <c r="B54" s="108">
        <v>6.74</v>
      </c>
      <c r="C54" s="69">
        <v>2.9761904999999998E-3</v>
      </c>
      <c r="D54" s="13">
        <v>7.04</v>
      </c>
      <c r="E54" s="14">
        <f>IF(ISNUMBER(D54), (D54 - $B54) / $B54, "")</f>
        <v>4.4510385756676533E-2</v>
      </c>
      <c r="F54" s="16">
        <f>IF(ISNUMBER(D54), $B64 * E54, "")</f>
        <v>6676.5578635014799</v>
      </c>
      <c r="G54" s="29">
        <v>6.93</v>
      </c>
      <c r="H54" s="14">
        <f>IF(ISNUMBER(G54), (G54 - $B54) / $B54, "")</f>
        <v>2.8189910979228412E-2</v>
      </c>
      <c r="I54" s="90">
        <f>IF(ISNUMBER(G54), $B64 * H54, "")</f>
        <v>4228.486646884262</v>
      </c>
      <c r="J54" s="13">
        <v>6.9</v>
      </c>
      <c r="K54" s="14">
        <f>IF(ISNUMBER(J54), (J54 - $B54) / $B54, "")</f>
        <v>2.3738872403560853E-2</v>
      </c>
      <c r="L54" s="16">
        <f>IF(ISNUMBER(J54), $B64 * K54, "")</f>
        <v>3560.8308605341281</v>
      </c>
      <c r="M54" s="29">
        <v>6.85</v>
      </c>
      <c r="N54" s="14">
        <f>IF(ISNUMBER(M54), (M54 - $B54) / $B54, "")</f>
        <v>1.6320474777447986E-2</v>
      </c>
      <c r="O54" s="16">
        <f>IF(ISNUMBER(M54), $B64 * N54, "")</f>
        <v>2448.0712166171979</v>
      </c>
      <c r="Q54" s="150"/>
      <c r="R54" s="151"/>
      <c r="S54" s="152"/>
    </row>
    <row r="55" spans="1:19" ht="17.25" customHeight="1" thickBot="1">
      <c r="A55" s="109" t="s">
        <v>185</v>
      </c>
      <c r="B55" s="110">
        <v>37.5</v>
      </c>
      <c r="C55" s="70">
        <v>2.6737967999999998E-3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39</v>
      </c>
      <c r="H55" s="32">
        <f t="shared" ref="H55:H58" si="23">IF(ISNUMBER(G55), (G55 - $B55) / $B55, "")</f>
        <v>0.04</v>
      </c>
      <c r="I55" s="91">
        <f>IF(ISNUMBER(G55), $B64 * H55, "")</f>
        <v>6000</v>
      </c>
      <c r="J55" s="15">
        <v>38.5</v>
      </c>
      <c r="K55" s="32">
        <f t="shared" ref="K55:K58" si="24">IF(ISNUMBER(J55), (J55 - $B55) / $B55, "")</f>
        <v>2.6666666666666668E-2</v>
      </c>
      <c r="L55" s="18">
        <f>IF(ISNUMBER(J55), $B64 * K55, "")</f>
        <v>4000.0000000000005</v>
      </c>
      <c r="M55" s="31">
        <v>38.9</v>
      </c>
      <c r="N55" s="32">
        <f t="shared" ref="N55:N58" si="25">IF(ISNUMBER(M55), (M55 - $B55) / $B55, "")</f>
        <v>3.7333333333333295E-2</v>
      </c>
      <c r="O55" s="18">
        <f>IF(ISNUMBER(M55), $B64 * N55, "")</f>
        <v>5599.9999999999945</v>
      </c>
      <c r="Q55" s="153"/>
      <c r="R55" s="154"/>
      <c r="S55" s="155"/>
    </row>
    <row r="56" spans="1:19" ht="17.25" customHeight="1" thickBot="1">
      <c r="A56" s="109" t="s">
        <v>145</v>
      </c>
      <c r="B56" s="110">
        <v>75.5</v>
      </c>
      <c r="C56" s="70">
        <v>2.6560425000000001E-3</v>
      </c>
      <c r="D56" s="15">
        <v>77.3</v>
      </c>
      <c r="E56" s="32">
        <f t="shared" si="22"/>
        <v>2.384105960264897E-2</v>
      </c>
      <c r="F56" s="18">
        <f>IF(ISNUMBER(D56), $B64 * E56, "")</f>
        <v>3576.1589403973453</v>
      </c>
      <c r="G56" s="31">
        <v>77.099999999999994</v>
      </c>
      <c r="H56" s="32">
        <f t="shared" si="23"/>
        <v>2.1192052980132374E-2</v>
      </c>
      <c r="I56" s="91">
        <f>IF(ISNUMBER(G56), $B64 * H56, "")</f>
        <v>3178.8079470198559</v>
      </c>
      <c r="J56" s="15">
        <v>77.5</v>
      </c>
      <c r="K56" s="32">
        <f t="shared" si="24"/>
        <v>2.6490066225165563E-2</v>
      </c>
      <c r="L56" s="18">
        <f>IF(ISNUMBER(J56), $B64 * K56, "")</f>
        <v>3973.5099337748343</v>
      </c>
      <c r="M56" s="31">
        <v>77.400000000000006</v>
      </c>
      <c r="N56" s="32">
        <f t="shared" si="25"/>
        <v>2.5165562913907358E-2</v>
      </c>
      <c r="O56" s="18">
        <f>IF(ISNUMBER(M56), $B64 * N56, "")</f>
        <v>3774.8344370861037</v>
      </c>
      <c r="Q56" s="146"/>
      <c r="R56" s="146"/>
      <c r="S56" s="146"/>
    </row>
    <row r="57" spans="1:19" ht="17.25" customHeight="1" thickBot="1">
      <c r="A57" s="109" t="s">
        <v>209</v>
      </c>
      <c r="B57" s="110">
        <v>92.3</v>
      </c>
      <c r="C57" s="70">
        <v>2.1715527E-3</v>
      </c>
      <c r="D57" s="15">
        <v>95.3</v>
      </c>
      <c r="E57" s="32">
        <f t="shared" si="22"/>
        <v>3.2502708559046585E-2</v>
      </c>
      <c r="F57" s="18">
        <f>IF(ISNUMBER(D57), $B64 * E57, "")</f>
        <v>4875.406283856988</v>
      </c>
      <c r="G57" s="31">
        <v>94.2</v>
      </c>
      <c r="H57" s="32">
        <f t="shared" si="23"/>
        <v>2.0585048754062901E-2</v>
      </c>
      <c r="I57" s="91">
        <f>IF(ISNUMBER(G57), $B64 * H57, "")</f>
        <v>3087.757313109435</v>
      </c>
      <c r="J57" s="15">
        <v>94.5</v>
      </c>
      <c r="K57" s="32">
        <f t="shared" si="24"/>
        <v>2.3835319609967529E-2</v>
      </c>
      <c r="L57" s="18">
        <f>IF(ISNUMBER(J57), $B64 * K57, "")</f>
        <v>3575.2979414951292</v>
      </c>
      <c r="M57" s="31">
        <v>94.5</v>
      </c>
      <c r="N57" s="32">
        <f t="shared" si="25"/>
        <v>2.3835319609967529E-2</v>
      </c>
      <c r="O57" s="18">
        <f>IF(ISNUMBER(M57), $B64 * N57, "")</f>
        <v>3575.2979414951292</v>
      </c>
      <c r="Q57" s="156"/>
      <c r="R57" s="156"/>
      <c r="S57" s="156"/>
    </row>
    <row r="58" spans="1:19" ht="17.25" customHeight="1" thickBot="1">
      <c r="A58" s="111" t="s">
        <v>132</v>
      </c>
      <c r="B58" s="112">
        <v>56.4</v>
      </c>
      <c r="C58" s="71">
        <v>1.7761989E-3</v>
      </c>
      <c r="D58" s="20">
        <v>60.3</v>
      </c>
      <c r="E58" s="21">
        <f t="shared" si="22"/>
        <v>6.9148936170212741E-2</v>
      </c>
      <c r="F58" s="22">
        <f>IF(ISNUMBER(D58), $B64 * E58, "")</f>
        <v>10372.340425531911</v>
      </c>
      <c r="G58" s="30">
        <v>60.2</v>
      </c>
      <c r="H58" s="21">
        <f t="shared" si="23"/>
        <v>6.7375886524822778E-2</v>
      </c>
      <c r="I58" s="95">
        <f>IF(ISNUMBER(G58), $B64 * H58, "")</f>
        <v>10106.382978723417</v>
      </c>
      <c r="J58" s="20">
        <v>59.9</v>
      </c>
      <c r="K58" s="21">
        <f t="shared" si="24"/>
        <v>6.2056737588652482E-2</v>
      </c>
      <c r="L58" s="22">
        <f>IF(ISNUMBER(J58), $B64 * K58, "")</f>
        <v>9308.510638297872</v>
      </c>
      <c r="M58" s="30">
        <v>60.5</v>
      </c>
      <c r="N58" s="21">
        <f t="shared" si="25"/>
        <v>7.2695035460992929E-2</v>
      </c>
      <c r="O58" s="22">
        <f>IF(ISNUMBER(M58), $B64 * N58, "")</f>
        <v>10904.255319148939</v>
      </c>
      <c r="Q58" s="156"/>
      <c r="R58" s="156"/>
      <c r="S58" s="156"/>
    </row>
    <row r="59" spans="1:19" ht="17.25" customHeight="1" thickBot="1">
      <c r="A59" s="109" t="s">
        <v>221</v>
      </c>
      <c r="B59" s="113">
        <v>22.7</v>
      </c>
      <c r="C59" s="73">
        <v>0</v>
      </c>
      <c r="D59" s="96">
        <v>23.3</v>
      </c>
      <c r="E59" s="97">
        <f>IF(ISNUMBER(D59), (D59 - $B59) / $B59, "")</f>
        <v>2.6431718061674072E-2</v>
      </c>
      <c r="F59" s="98">
        <f>IF(ISNUMBER(D59), $B64 * E59, "")</f>
        <v>3964.757709251111</v>
      </c>
      <c r="G59" s="99">
        <v>23.2</v>
      </c>
      <c r="H59" s="97">
        <f>IF(ISNUMBER(G59), (G59 - $B59) / $B59, "")</f>
        <v>2.2026431718061675E-2</v>
      </c>
      <c r="I59" s="100">
        <f>IF(ISNUMBER(G59), $B64 * H59, "")</f>
        <v>3303.9647577092514</v>
      </c>
      <c r="J59" s="96">
        <v>23.2</v>
      </c>
      <c r="K59" s="97">
        <f>IF(ISNUMBER(J59), (J59 - $B59) / $B59, "")</f>
        <v>2.2026431718061675E-2</v>
      </c>
      <c r="L59" s="98">
        <f>IF(ISNUMBER(J59), $B64 * K59, "")</f>
        <v>3303.9647577092514</v>
      </c>
      <c r="M59" s="99">
        <v>23.2</v>
      </c>
      <c r="N59" s="97">
        <f>IF(ISNUMBER(M59), (M59 - $B59) / $B59, "")</f>
        <v>2.2026431718061675E-2</v>
      </c>
      <c r="O59" s="98">
        <f>IF(ISNUMBER(M59), $B64 * N59, "")</f>
        <v>3303.9647577092514</v>
      </c>
      <c r="Q59" s="146"/>
      <c r="R59" s="146"/>
      <c r="S59" s="146"/>
    </row>
    <row r="60" spans="1:19" ht="17.25" customHeight="1" thickBot="1">
      <c r="A60" s="109" t="s">
        <v>122</v>
      </c>
      <c r="B60" s="110">
        <v>27.4</v>
      </c>
      <c r="C60" s="70">
        <v>0</v>
      </c>
      <c r="D60" s="15">
        <v>28.8</v>
      </c>
      <c r="E60" s="32">
        <f t="shared" ref="E60:E63" si="26">IF(ISNUMBER(D60), (D60 - $B60) / $B60, "")</f>
        <v>5.1094890510948988E-2</v>
      </c>
      <c r="F60" s="18">
        <f>IF(ISNUMBER(D60), $B64 * E60, "")</f>
        <v>7664.2335766423485</v>
      </c>
      <c r="G60" s="31">
        <v>29</v>
      </c>
      <c r="H60" s="32">
        <f t="shared" ref="H60:H63" si="27">IF(ISNUMBER(G60), (G60 - $B60) / $B60, "")</f>
        <v>5.8394160583941659E-2</v>
      </c>
      <c r="I60" s="91">
        <f>IF(ISNUMBER(G60), $B64 * H60, "")</f>
        <v>8759.1240875912481</v>
      </c>
      <c r="J60" s="15">
        <v>29</v>
      </c>
      <c r="K60" s="32">
        <f t="shared" ref="K60:K63" si="28">IF(ISNUMBER(J60), (J60 - $B60) / $B60, "")</f>
        <v>5.8394160583941659E-2</v>
      </c>
      <c r="L60" s="18">
        <f>IF(ISNUMBER(J60), $B64 * K60, "")</f>
        <v>8759.1240875912481</v>
      </c>
      <c r="M60" s="31">
        <v>29.4</v>
      </c>
      <c r="N60" s="32">
        <f t="shared" ref="N60:N63" si="29">IF(ISNUMBER(M60), (M60 - $B60) / $B60, "")</f>
        <v>7.2992700729927015E-2</v>
      </c>
      <c r="O60" s="18">
        <f>IF(ISNUMBER(M60), $B64 * N60, "")</f>
        <v>10948.905109489053</v>
      </c>
      <c r="Q60" s="146"/>
      <c r="R60" s="146"/>
      <c r="S60" s="146"/>
    </row>
    <row r="61" spans="1:19" ht="17.25" customHeight="1" thickBot="1">
      <c r="A61" s="109" t="s">
        <v>195</v>
      </c>
      <c r="B61" s="110">
        <v>6.93</v>
      </c>
      <c r="C61" s="70">
        <v>-2.8776978000000001E-3</v>
      </c>
      <c r="D61" s="15">
        <v>7.17</v>
      </c>
      <c r="E61" s="32">
        <f t="shared" si="26"/>
        <v>3.4632034632034667E-2</v>
      </c>
      <c r="F61" s="18">
        <f>IF(ISNUMBER(D61), $B64 * E61, "")</f>
        <v>5194.8051948051998</v>
      </c>
      <c r="G61" s="31">
        <v>7.15</v>
      </c>
      <c r="H61" s="32">
        <f t="shared" si="27"/>
        <v>3.1746031746031841E-2</v>
      </c>
      <c r="I61" s="91">
        <f>IF(ISNUMBER(G61), $B64 * H61, "")</f>
        <v>4761.904761904776</v>
      </c>
      <c r="J61" s="15">
        <v>7.08</v>
      </c>
      <c r="K61" s="32">
        <f t="shared" si="28"/>
        <v>2.1645021645021696E-2</v>
      </c>
      <c r="L61" s="18">
        <f>IF(ISNUMBER(J61), $B64 * K61, "")</f>
        <v>3246.7532467532546</v>
      </c>
      <c r="M61" s="31">
        <v>7.11</v>
      </c>
      <c r="N61" s="32">
        <f t="shared" si="29"/>
        <v>2.5974025974026062E-2</v>
      </c>
      <c r="O61" s="18">
        <f>IF(ISNUMBER(M61), $B64 * N61, "")</f>
        <v>3896.1038961039094</v>
      </c>
      <c r="Q61" s="146"/>
      <c r="R61" s="146"/>
      <c r="S61" s="146"/>
    </row>
    <row r="62" spans="1:19" ht="17.25" customHeight="1">
      <c r="A62" s="109" t="s">
        <v>143</v>
      </c>
      <c r="B62" s="110">
        <v>4.34</v>
      </c>
      <c r="C62" s="70">
        <v>-4.5871560000000002E-3</v>
      </c>
      <c r="D62" s="15">
        <v>4.55</v>
      </c>
      <c r="E62" s="32">
        <f t="shared" si="26"/>
        <v>4.838709677419354E-2</v>
      </c>
      <c r="F62" s="18">
        <f>IF(ISNUMBER(D62), $B64 * E62, "")</f>
        <v>7258.0645161290313</v>
      </c>
      <c r="G62" s="31">
        <v>4.55</v>
      </c>
      <c r="H62" s="32">
        <f t="shared" si="27"/>
        <v>4.838709677419354E-2</v>
      </c>
      <c r="I62" s="91">
        <f>IF(ISNUMBER(G62), $B64 * H62, "")</f>
        <v>7258.0645161290313</v>
      </c>
      <c r="J62" s="15">
        <v>4.49</v>
      </c>
      <c r="K62" s="32">
        <f t="shared" si="28"/>
        <v>3.4562211981566907E-2</v>
      </c>
      <c r="L62" s="18">
        <f>IF(ISNUMBER(J62), $B64 * K62, "")</f>
        <v>5184.331797235036</v>
      </c>
      <c r="M62" s="31">
        <v>4.49</v>
      </c>
      <c r="N62" s="32">
        <f t="shared" si="29"/>
        <v>3.4562211981566907E-2</v>
      </c>
      <c r="O62" s="18">
        <f>IF(ISNUMBER(M62), $B64 * N62, "")</f>
        <v>5184.331797235036</v>
      </c>
      <c r="Q62" s="135"/>
      <c r="R62" s="136"/>
      <c r="S62" s="137"/>
    </row>
    <row r="63" spans="1:19" ht="17.25" customHeight="1" thickBot="1">
      <c r="A63" s="114" t="s">
        <v>350</v>
      </c>
      <c r="B63" s="115">
        <v>7.63</v>
      </c>
      <c r="C63" s="72">
        <v>-6.5104166999999996E-3</v>
      </c>
      <c r="D63" s="24">
        <v>7.83</v>
      </c>
      <c r="E63" s="25">
        <f t="shared" si="26"/>
        <v>2.6212319790301464E-2</v>
      </c>
      <c r="F63" s="94">
        <f>IF(ISNUMBER(D63), $B64 * E63, "")</f>
        <v>3931.8479685452198</v>
      </c>
      <c r="G63" s="92">
        <v>7.81</v>
      </c>
      <c r="H63" s="25">
        <f t="shared" si="27"/>
        <v>2.3591087811271262E-2</v>
      </c>
      <c r="I63" s="93">
        <f>IF(ISNUMBER(G63), $B64 * H63, "")</f>
        <v>3538.6631716906895</v>
      </c>
      <c r="J63" s="24">
        <v>7.76</v>
      </c>
      <c r="K63" s="25">
        <f t="shared" si="28"/>
        <v>1.7038007863695925E-2</v>
      </c>
      <c r="L63" s="94">
        <f>IF(ISNUMBER(J63), $B64 * K63, "")</f>
        <v>2555.7011795543885</v>
      </c>
      <c r="M63" s="92">
        <v>7.75</v>
      </c>
      <c r="N63" s="25">
        <f t="shared" si="29"/>
        <v>1.5727391874180881E-2</v>
      </c>
      <c r="O63" s="94">
        <f>IF(ISNUMBER(M63), $B64 * N63, "")</f>
        <v>2359.1087811271323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4.504772392813132E-2</v>
      </c>
      <c r="F64" s="28">
        <f>SUM(F44:F63)</f>
        <v>135143.17178439393</v>
      </c>
      <c r="G64" s="26" t="s">
        <v>258</v>
      </c>
      <c r="H64" s="27">
        <f>IF(COUNT(H44:H63), SUM(H44:H63) / COUNT(H44:H63), 0)</f>
        <v>3.4310446995656281E-2</v>
      </c>
      <c r="I64" s="28">
        <f>SUM(I44:I63)</f>
        <v>102931.34098696885</v>
      </c>
      <c r="J64" s="26" t="s">
        <v>258</v>
      </c>
      <c r="K64" s="27">
        <f>IF(COUNT(K44:K63), SUM(K44:K63) / COUNT(K44:K63), 0)</f>
        <v>2.9508415902839796E-2</v>
      </c>
      <c r="L64" s="28">
        <f>SUM(L44:L63)</f>
        <v>88525.247708519368</v>
      </c>
      <c r="M64" s="26" t="s">
        <v>258</v>
      </c>
      <c r="N64" s="27">
        <f>IF(COUNT(N44:N63), SUM(N44:N63) / COUNT(N44:N63), 0)</f>
        <v>3.2974860084511934E-2</v>
      </c>
      <c r="O64" s="28">
        <f>SUM(O44:O63)</f>
        <v>98924.580253535809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2023-01-26(목) 오전 00:00</v>
      </c>
      <c r="C69" s="198"/>
      <c r="D69" s="170" t="str">
        <f>TEXT($G$1, "[$-ko-KR]yyyy-mm-dd(ddd) ") &amp; "오후 14:00"</f>
        <v>2023-01-26(목) 오후 14:00</v>
      </c>
      <c r="E69" s="171"/>
      <c r="F69" s="172"/>
      <c r="G69" s="170" t="str">
        <f>TEXT($G$1, "[$-ko-KR]yyyy-mm-dd(ddd) ") &amp; "오후 19:00"</f>
        <v>2023-01-26(목) 오후 19:00</v>
      </c>
      <c r="H69" s="171"/>
      <c r="I69" s="172"/>
      <c r="J69" s="170" t="str">
        <f>TEXT($G$1, "[$-ko-KR]yyyy-mm-dd(ddd) ") &amp; "오후 21:00"</f>
        <v>2023-01-26(목) 오후 21:00</v>
      </c>
      <c r="K69" s="171"/>
      <c r="L69" s="172"/>
      <c r="M69" s="170" t="str">
        <f>TEXT($G$1+1, "[$-ko-KR]yyyy-mm-dd(ddd) ") &amp; "오전 00:00"</f>
        <v>2023-01-27(금)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183</v>
      </c>
      <c r="B71" s="108">
        <v>153</v>
      </c>
      <c r="C71" s="69">
        <v>4.08163265E-2</v>
      </c>
      <c r="D71" s="13">
        <v>161</v>
      </c>
      <c r="E71" s="14">
        <f>IF(ISNUMBER(D71), (D71 - $B71) / $B71, "")</f>
        <v>5.2287581699346407E-2</v>
      </c>
      <c r="F71" s="16">
        <f>IF(ISNUMBER(D71), $B91 * E71, "")</f>
        <v>7843.1372549019607</v>
      </c>
      <c r="G71" s="29">
        <v>159</v>
      </c>
      <c r="H71" s="14">
        <f>IF(ISNUMBER(G71), (G71 - $B71) / $B71, "")</f>
        <v>3.9215686274509803E-2</v>
      </c>
      <c r="I71" s="90">
        <f>IF(ISNUMBER(G71), $B91 * H71, "")</f>
        <v>5882.3529411764703</v>
      </c>
      <c r="J71" s="13">
        <v>156</v>
      </c>
      <c r="K71" s="14">
        <f>IF(ISNUMBER(J71), (J71 - $B71) / $B71, "")</f>
        <v>1.9607843137254902E-2</v>
      </c>
      <c r="L71" s="16">
        <f>IF(ISNUMBER(J71), $B91 * K71, "")</f>
        <v>2941.1764705882351</v>
      </c>
      <c r="M71" s="29">
        <v>156</v>
      </c>
      <c r="N71" s="14">
        <f>IF(ISNUMBER(M71), (M71 - $B71) / $B71, "")</f>
        <v>1.9607843137254902E-2</v>
      </c>
      <c r="O71" s="16">
        <f>IF(ISNUMBER(M71), $B91 * N71, "")</f>
        <v>2941.1764705882351</v>
      </c>
      <c r="Q71" s="156"/>
      <c r="R71" s="156"/>
      <c r="S71" s="156"/>
    </row>
    <row r="72" spans="1:19" ht="17.25" thickBot="1">
      <c r="A72" s="109" t="s">
        <v>319</v>
      </c>
      <c r="B72" s="110">
        <v>672</v>
      </c>
      <c r="C72" s="70">
        <v>1.9726858900000002E-2</v>
      </c>
      <c r="D72" s="15">
        <v>814</v>
      </c>
      <c r="E72" s="32">
        <f t="shared" ref="E72:E75" si="30">IF(ISNUMBER(D72), (D72 - $B72) / $B72, "")</f>
        <v>0.21130952380952381</v>
      </c>
      <c r="F72" s="18">
        <f>IF(ISNUMBER(D72), $B91 * E72, "")</f>
        <v>31696.428571428572</v>
      </c>
      <c r="G72" s="31">
        <v>803</v>
      </c>
      <c r="H72" s="32">
        <f t="shared" ref="H72:H75" si="31">IF(ISNUMBER(G72), (G72 - $B72) / $B72, "")</f>
        <v>0.19494047619047619</v>
      </c>
      <c r="I72" s="91">
        <f>IF(ISNUMBER(G72), $B91 * H72, "")</f>
        <v>29241.071428571428</v>
      </c>
      <c r="J72" s="15">
        <v>780</v>
      </c>
      <c r="K72" s="32">
        <f t="shared" ref="K72:K75" si="32">IF(ISNUMBER(J72), (J72 - $B72) / $B72, "")</f>
        <v>0.16071428571428573</v>
      </c>
      <c r="L72" s="18">
        <f>IF(ISNUMBER(J72), $B91 * K72, "")</f>
        <v>24107.142857142859</v>
      </c>
      <c r="M72" s="31">
        <v>776</v>
      </c>
      <c r="N72" s="32">
        <f t="shared" ref="N72:N75" si="33">IF(ISNUMBER(M72), (M72 - $B72) / $B72, "")</f>
        <v>0.15476190476190477</v>
      </c>
      <c r="O72" s="18">
        <f>IF(ISNUMBER(M72), $B91 * N72, "")</f>
        <v>23214.285714285714</v>
      </c>
      <c r="Q72" s="156"/>
      <c r="R72" s="156"/>
      <c r="S72" s="156"/>
    </row>
    <row r="73" spans="1:19" ht="17.25" thickBot="1">
      <c r="A73" s="109" t="s">
        <v>120</v>
      </c>
      <c r="B73" s="110">
        <v>128</v>
      </c>
      <c r="C73" s="70">
        <v>0</v>
      </c>
      <c r="D73" s="15">
        <v>133</v>
      </c>
      <c r="E73" s="32">
        <f t="shared" si="30"/>
        <v>3.90625E-2</v>
      </c>
      <c r="F73" s="18">
        <f>IF(ISNUMBER(D73), $B91 * E73, "")</f>
        <v>5859.375</v>
      </c>
      <c r="G73" s="31">
        <v>133</v>
      </c>
      <c r="H73" s="32">
        <f t="shared" si="31"/>
        <v>3.90625E-2</v>
      </c>
      <c r="I73" s="91">
        <f>IF(ISNUMBER(G73), $B91 * H73, "")</f>
        <v>5859.375</v>
      </c>
      <c r="J73" s="15">
        <v>133</v>
      </c>
      <c r="K73" s="32">
        <f t="shared" si="32"/>
        <v>3.90625E-2</v>
      </c>
      <c r="L73" s="18">
        <f>IF(ISNUMBER(J73), $B91 * K73, "")</f>
        <v>5859.375</v>
      </c>
      <c r="M73" s="31">
        <v>136</v>
      </c>
      <c r="N73" s="32">
        <f t="shared" si="33"/>
        <v>6.25E-2</v>
      </c>
      <c r="O73" s="18">
        <f>IF(ISNUMBER(M73), $B91 * N73, "")</f>
        <v>9375</v>
      </c>
      <c r="Q73" s="146"/>
      <c r="R73" s="146"/>
      <c r="S73" s="146"/>
    </row>
    <row r="74" spans="1:19" ht="17.25" thickBot="1">
      <c r="A74" s="109" t="s">
        <v>157</v>
      </c>
      <c r="B74" s="110">
        <v>222</v>
      </c>
      <c r="C74" s="70">
        <v>-4.4843048999999996E-3</v>
      </c>
      <c r="D74" s="15">
        <v>225</v>
      </c>
      <c r="E74" s="32">
        <f t="shared" si="30"/>
        <v>1.3513513513513514E-2</v>
      </c>
      <c r="F74" s="18">
        <f>IF(ISNUMBER(D74), $B91 * E74, "")</f>
        <v>2027.0270270270271</v>
      </c>
      <c r="G74" s="31">
        <v>224</v>
      </c>
      <c r="H74" s="32">
        <f t="shared" si="31"/>
        <v>9.0090090090090089E-3</v>
      </c>
      <c r="I74" s="91">
        <f>IF(ISNUMBER(G74), $B91 * H74, "")</f>
        <v>1351.3513513513512</v>
      </c>
      <c r="J74" s="15">
        <v>224</v>
      </c>
      <c r="K74" s="32">
        <f t="shared" si="32"/>
        <v>9.0090090090090089E-3</v>
      </c>
      <c r="L74" s="18">
        <f>IF(ISNUMBER(J74), $B91 * K74, "")</f>
        <v>1351.3513513513512</v>
      </c>
      <c r="M74" s="31">
        <v>225</v>
      </c>
      <c r="N74" s="32">
        <f t="shared" si="33"/>
        <v>1.3513513513513514E-2</v>
      </c>
      <c r="O74" s="18">
        <f>IF(ISNUMBER(M74), $B91 * N74, "")</f>
        <v>2027.0270270270271</v>
      </c>
      <c r="Q74" s="146"/>
      <c r="R74" s="146"/>
      <c r="S74" s="146"/>
    </row>
    <row r="75" spans="1:19" ht="17.25" thickBot="1">
      <c r="A75" s="111" t="s">
        <v>79</v>
      </c>
      <c r="B75" s="112">
        <v>301</v>
      </c>
      <c r="C75" s="71">
        <v>-6.6006601E-3</v>
      </c>
      <c r="D75" s="20">
        <v>321</v>
      </c>
      <c r="E75" s="21">
        <f t="shared" si="30"/>
        <v>6.6445182724252497E-2</v>
      </c>
      <c r="F75" s="22">
        <f>IF(ISNUMBER(D75), $B91 * E75, "")</f>
        <v>9966.777408637874</v>
      </c>
      <c r="G75" s="30">
        <v>331</v>
      </c>
      <c r="H75" s="21">
        <f t="shared" si="31"/>
        <v>9.9667774086378738E-2</v>
      </c>
      <c r="I75" s="95">
        <f>IF(ISNUMBER(G75), $B91 * H75, "")</f>
        <v>14950.166112956811</v>
      </c>
      <c r="J75" s="20">
        <v>325</v>
      </c>
      <c r="K75" s="21">
        <f t="shared" si="32"/>
        <v>7.9734219269102985E-2</v>
      </c>
      <c r="L75" s="22">
        <f>IF(ISNUMBER(J75), $B91 * K75, "")</f>
        <v>11960.132890365448</v>
      </c>
      <c r="M75" s="30">
        <v>324</v>
      </c>
      <c r="N75" s="21">
        <f t="shared" si="33"/>
        <v>7.6411960132890366E-2</v>
      </c>
      <c r="O75" s="22">
        <f>IF(ISNUMBER(M75), $B91 * N75, "")</f>
        <v>11461.794019933555</v>
      </c>
      <c r="Q75" s="146"/>
      <c r="R75" s="146"/>
      <c r="S75" s="146"/>
    </row>
    <row r="76" spans="1:19" ht="17.25" thickBot="1">
      <c r="A76" s="109" t="s">
        <v>229</v>
      </c>
      <c r="B76" s="113">
        <v>284</v>
      </c>
      <c r="C76" s="73">
        <v>-6.9930069999999999E-3</v>
      </c>
      <c r="D76" s="96">
        <v>295</v>
      </c>
      <c r="E76" s="97">
        <f>IF(ISNUMBER(D76), (D76 - $B76) / $B76, "")</f>
        <v>3.873239436619718E-2</v>
      </c>
      <c r="F76" s="98">
        <f>IF(ISNUMBER(D76), $B91 * E76, "")</f>
        <v>5809.859154929577</v>
      </c>
      <c r="G76" s="99">
        <v>294</v>
      </c>
      <c r="H76" s="97">
        <f>IF(ISNUMBER(G76), (G76 - $B76) / $B76, "")</f>
        <v>3.5211267605633804E-2</v>
      </c>
      <c r="I76" s="100">
        <f>IF(ISNUMBER(G76), $B91 * H76, "")</f>
        <v>5281.6901408450703</v>
      </c>
      <c r="J76" s="96">
        <v>294</v>
      </c>
      <c r="K76" s="97">
        <f>IF(ISNUMBER(J76), (J76 - $B76) / $B76, "")</f>
        <v>3.5211267605633804E-2</v>
      </c>
      <c r="L76" s="98">
        <f>IF(ISNUMBER(J76), $B91 * K76, "")</f>
        <v>5281.6901408450703</v>
      </c>
      <c r="M76" s="99">
        <v>295</v>
      </c>
      <c r="N76" s="97">
        <f>IF(ISNUMBER(M76), (M76 - $B76) / $B76, "")</f>
        <v>3.873239436619718E-2</v>
      </c>
      <c r="O76" s="98">
        <f>IF(ISNUMBER(M76), $B91 * N76, "")</f>
        <v>5809.859154929577</v>
      </c>
      <c r="Q76" s="146"/>
      <c r="R76" s="146"/>
      <c r="S76" s="146"/>
    </row>
    <row r="77" spans="1:19" ht="17.25" thickBot="1">
      <c r="A77" s="109" t="s">
        <v>103</v>
      </c>
      <c r="B77" s="110">
        <v>270</v>
      </c>
      <c r="C77" s="70">
        <v>-7.3529412000000001E-3</v>
      </c>
      <c r="D77" s="15">
        <v>283</v>
      </c>
      <c r="E77" s="32">
        <f t="shared" ref="E77:E80" si="34">IF(ISNUMBER(D77), (D77 - $B77) / $B77, "")</f>
        <v>4.8148148148148148E-2</v>
      </c>
      <c r="F77" s="18">
        <f>IF(ISNUMBER(D77), $B91 * E77, "")</f>
        <v>7222.2222222222226</v>
      </c>
      <c r="G77" s="31">
        <v>284</v>
      </c>
      <c r="H77" s="32">
        <f t="shared" ref="H77:H80" si="35">IF(ISNUMBER(G77), (G77 - $B77) / $B77, "")</f>
        <v>5.185185185185185E-2</v>
      </c>
      <c r="I77" s="91">
        <f>IF(ISNUMBER(G77), $B91 * H77, "")</f>
        <v>7777.7777777777774</v>
      </c>
      <c r="J77" s="15">
        <v>281</v>
      </c>
      <c r="K77" s="32">
        <f t="shared" ref="K77:K80" si="36">IF(ISNUMBER(J77), (J77 - $B77) / $B77, "")</f>
        <v>4.0740740740740744E-2</v>
      </c>
      <c r="L77" s="18">
        <f>IF(ISNUMBER(J77), $B91 * K77, "")</f>
        <v>6111.1111111111113</v>
      </c>
      <c r="M77" s="31">
        <v>285</v>
      </c>
      <c r="N77" s="32">
        <f t="shared" ref="N77:N80" si="37">IF(ISNUMBER(M77), (M77 - $B77) / $B77, "")</f>
        <v>5.5555555555555552E-2</v>
      </c>
      <c r="O77" s="18">
        <f>IF(ISNUMBER(M77), $B91 * N77, "")</f>
        <v>8333.3333333333321</v>
      </c>
      <c r="Q77" s="146"/>
      <c r="R77" s="146"/>
      <c r="S77" s="146"/>
    </row>
    <row r="78" spans="1:19" ht="17.25" thickBot="1">
      <c r="A78" s="109" t="s">
        <v>111</v>
      </c>
      <c r="B78" s="110">
        <v>908</v>
      </c>
      <c r="C78" s="70">
        <v>-7.6502732E-3</v>
      </c>
      <c r="D78" s="15">
        <v>943</v>
      </c>
      <c r="E78" s="32">
        <f t="shared" si="34"/>
        <v>3.8546255506607931E-2</v>
      </c>
      <c r="F78" s="18">
        <f>IF(ISNUMBER(D78), $B91 * E78, "")</f>
        <v>5781.9383259911892</v>
      </c>
      <c r="G78" s="31">
        <v>930</v>
      </c>
      <c r="H78" s="32">
        <f t="shared" si="35"/>
        <v>2.4229074889867842E-2</v>
      </c>
      <c r="I78" s="91">
        <f>IF(ISNUMBER(G78), $B91 * H78, "")</f>
        <v>3634.3612334801765</v>
      </c>
      <c r="J78" s="15">
        <v>922</v>
      </c>
      <c r="K78" s="32">
        <f t="shared" si="36"/>
        <v>1.5418502202643172E-2</v>
      </c>
      <c r="L78" s="18">
        <f>IF(ISNUMBER(J78), $B91 * K78, "")</f>
        <v>2312.775330396476</v>
      </c>
      <c r="M78" s="31">
        <v>929</v>
      </c>
      <c r="N78" s="32">
        <f t="shared" si="37"/>
        <v>2.3127753303964757E-2</v>
      </c>
      <c r="O78" s="18">
        <f>IF(ISNUMBER(M78), $B91 * N78, "")</f>
        <v>3469.1629955947137</v>
      </c>
      <c r="Q78" s="146"/>
      <c r="R78" s="146"/>
      <c r="S78" s="146"/>
    </row>
    <row r="79" spans="1:19" ht="17.25" thickBot="1">
      <c r="A79" s="109" t="s">
        <v>101</v>
      </c>
      <c r="B79" s="110">
        <v>244</v>
      </c>
      <c r="C79" s="70">
        <v>-8.1300812999999996E-3</v>
      </c>
      <c r="D79" s="15">
        <v>265</v>
      </c>
      <c r="E79" s="32">
        <f t="shared" si="34"/>
        <v>8.6065573770491802E-2</v>
      </c>
      <c r="F79" s="18">
        <f>IF(ISNUMBER(D79), $B91 * E79, "")</f>
        <v>12909.836065573771</v>
      </c>
      <c r="G79" s="31">
        <v>268</v>
      </c>
      <c r="H79" s="32">
        <f t="shared" si="35"/>
        <v>9.8360655737704916E-2</v>
      </c>
      <c r="I79" s="91">
        <f>IF(ISNUMBER(G79), $B91 * H79, "")</f>
        <v>14754.098360655737</v>
      </c>
      <c r="J79" s="15">
        <v>268</v>
      </c>
      <c r="K79" s="32">
        <f t="shared" si="36"/>
        <v>9.8360655737704916E-2</v>
      </c>
      <c r="L79" s="18">
        <f>IF(ISNUMBER(J79), $B91 * K79, "")</f>
        <v>14754.098360655737</v>
      </c>
      <c r="M79" s="31">
        <v>269</v>
      </c>
      <c r="N79" s="32">
        <f t="shared" si="37"/>
        <v>0.10245901639344263</v>
      </c>
      <c r="O79" s="18">
        <f>IF(ISNUMBER(M79), $B91 * N79, "")</f>
        <v>15368.852459016394</v>
      </c>
      <c r="Q79" s="33"/>
      <c r="R79" s="33"/>
    </row>
    <row r="80" spans="1:19" ht="17.25" thickBot="1">
      <c r="A80" s="114" t="s">
        <v>60</v>
      </c>
      <c r="B80" s="115">
        <v>824</v>
      </c>
      <c r="C80" s="72">
        <v>-8.4235860000000003E-3</v>
      </c>
      <c r="D80" s="24">
        <v>862</v>
      </c>
      <c r="E80" s="25">
        <f t="shared" si="34"/>
        <v>4.6116504854368932E-2</v>
      </c>
      <c r="F80" s="94">
        <f>IF(ISNUMBER(D80), $B91 * E80, "")</f>
        <v>6917.4757281553402</v>
      </c>
      <c r="G80" s="92">
        <v>850</v>
      </c>
      <c r="H80" s="25">
        <f t="shared" si="35"/>
        <v>3.1553398058252427E-2</v>
      </c>
      <c r="I80" s="93">
        <f>IF(ISNUMBER(G80), $B91 * H80, "")</f>
        <v>4733.0097087378645</v>
      </c>
      <c r="J80" s="24">
        <v>843</v>
      </c>
      <c r="K80" s="25">
        <f t="shared" si="36"/>
        <v>2.3058252427184466E-2</v>
      </c>
      <c r="L80" s="94">
        <f>IF(ISNUMBER(J80), $B91 * K80, "")</f>
        <v>3458.7378640776701</v>
      </c>
      <c r="M80" s="92">
        <v>850</v>
      </c>
      <c r="N80" s="25">
        <f t="shared" si="37"/>
        <v>3.1553398058252427E-2</v>
      </c>
      <c r="O80" s="94">
        <f>IF(ISNUMBER(M80), $B91 * N80, "")</f>
        <v>4733.0097087378645</v>
      </c>
      <c r="Q80" s="147"/>
      <c r="R80" s="148"/>
      <c r="S80" s="149"/>
    </row>
    <row r="81" spans="1:19">
      <c r="A81" s="107" t="s">
        <v>51</v>
      </c>
      <c r="B81" s="108">
        <v>112</v>
      </c>
      <c r="C81" s="69">
        <v>-8.8495575000000007E-3</v>
      </c>
      <c r="D81" s="13">
        <v>116</v>
      </c>
      <c r="E81" s="14">
        <f>IF(ISNUMBER(D81), (D81 - $B81) / $B81, "")</f>
        <v>3.5714285714285712E-2</v>
      </c>
      <c r="F81" s="16">
        <f>IF(ISNUMBER(D81), $B91 * E81, "")</f>
        <v>5357.1428571428569</v>
      </c>
      <c r="G81" s="29">
        <v>114</v>
      </c>
      <c r="H81" s="14">
        <f>IF(ISNUMBER(G81), (G81 - $B81) / $B81, "")</f>
        <v>1.7857142857142856E-2</v>
      </c>
      <c r="I81" s="90">
        <f>IF(ISNUMBER(G81), $B91 * H81, "")</f>
        <v>2678.5714285714284</v>
      </c>
      <c r="J81" s="13">
        <v>114</v>
      </c>
      <c r="K81" s="14">
        <f>IF(ISNUMBER(J81), (J81 - $B81) / $B81, "")</f>
        <v>1.7857142857142856E-2</v>
      </c>
      <c r="L81" s="16">
        <f>IF(ISNUMBER(J81), $B91 * K81, "")</f>
        <v>2678.5714285714284</v>
      </c>
      <c r="M81" s="29">
        <v>114</v>
      </c>
      <c r="N81" s="14">
        <f>IF(ISNUMBER(M81), (M81 - $B81) / $B81, "")</f>
        <v>1.7857142857142856E-2</v>
      </c>
      <c r="O81" s="16">
        <f>IF(ISNUMBER(M81), $B91 * N81, "")</f>
        <v>2678.5714285714284</v>
      </c>
      <c r="Q81" s="150"/>
      <c r="R81" s="151"/>
      <c r="S81" s="152"/>
    </row>
    <row r="82" spans="1:19" ht="17.25" thickBot="1">
      <c r="A82" s="109" t="s">
        <v>341</v>
      </c>
      <c r="B82" s="110">
        <v>858</v>
      </c>
      <c r="C82" s="70">
        <v>-9.2378753000000001E-3</v>
      </c>
      <c r="D82" s="15">
        <v>948</v>
      </c>
      <c r="E82" s="32">
        <f t="shared" ref="E82:E85" si="38">IF(ISNUMBER(D82), (D82 - $B82) / $B82, "")</f>
        <v>0.1048951048951049</v>
      </c>
      <c r="F82" s="18">
        <f>IF(ISNUMBER(D82), $B91 * E82, "")</f>
        <v>15734.265734265735</v>
      </c>
      <c r="G82" s="31">
        <v>980</v>
      </c>
      <c r="H82" s="32">
        <f t="shared" ref="H82:H85" si="39">IF(ISNUMBER(G82), (G82 - $B82) / $B82, "")</f>
        <v>0.14219114219114218</v>
      </c>
      <c r="I82" s="91">
        <f>IF(ISNUMBER(G82), $B91 * H82, "")</f>
        <v>21328.671328671328</v>
      </c>
      <c r="J82" s="15">
        <v>952</v>
      </c>
      <c r="K82" s="32">
        <f t="shared" ref="K82:K85" si="40">IF(ISNUMBER(J82), (J82 - $B82) / $B82, "")</f>
        <v>0.10955710955710955</v>
      </c>
      <c r="L82" s="18">
        <f>IF(ISNUMBER(J82), $B91 * K82, "")</f>
        <v>16433.566433566433</v>
      </c>
      <c r="M82" s="31">
        <v>968</v>
      </c>
      <c r="N82" s="32">
        <f t="shared" ref="N82:N85" si="41">IF(ISNUMBER(M82), (M82 - $B82) / $B82, "")</f>
        <v>0.12820512820512819</v>
      </c>
      <c r="O82" s="18">
        <f>IF(ISNUMBER(M82), $B91 * N82, "")</f>
        <v>19230.76923076923</v>
      </c>
      <c r="Q82" s="153"/>
      <c r="R82" s="154"/>
      <c r="S82" s="155"/>
    </row>
    <row r="83" spans="1:19" ht="17.25" thickBot="1">
      <c r="A83" s="109" t="s">
        <v>149</v>
      </c>
      <c r="B83" s="110">
        <v>500</v>
      </c>
      <c r="C83" s="70">
        <v>-9.9009900999999997E-3</v>
      </c>
      <c r="D83" s="15">
        <v>531</v>
      </c>
      <c r="E83" s="32">
        <f t="shared" si="38"/>
        <v>6.2E-2</v>
      </c>
      <c r="F83" s="18">
        <f>IF(ISNUMBER(D83), $B91 * E83, "")</f>
        <v>9300</v>
      </c>
      <c r="G83" s="31">
        <v>522</v>
      </c>
      <c r="H83" s="32">
        <f t="shared" si="39"/>
        <v>4.3999999999999997E-2</v>
      </c>
      <c r="I83" s="91">
        <f>IF(ISNUMBER(G83), $B91 * H83, "")</f>
        <v>6600</v>
      </c>
      <c r="J83" s="15">
        <v>520</v>
      </c>
      <c r="K83" s="32">
        <f t="shared" si="40"/>
        <v>0.04</v>
      </c>
      <c r="L83" s="18">
        <f>IF(ISNUMBER(J83), $B91 * K83, "")</f>
        <v>6000</v>
      </c>
      <c r="M83" s="31">
        <v>524</v>
      </c>
      <c r="N83" s="32">
        <f t="shared" si="41"/>
        <v>4.8000000000000001E-2</v>
      </c>
      <c r="O83" s="18">
        <f>IF(ISNUMBER(M83), $B91 * N83, "")</f>
        <v>7200</v>
      </c>
      <c r="Q83" s="146"/>
      <c r="R83" s="146"/>
      <c r="S83" s="146"/>
    </row>
    <row r="84" spans="1:19" ht="17.25" thickBot="1">
      <c r="A84" s="109" t="s">
        <v>332</v>
      </c>
      <c r="B84" s="110">
        <v>636</v>
      </c>
      <c r="C84" s="70">
        <v>-1.08864697E-2</v>
      </c>
      <c r="D84" s="15">
        <v>671</v>
      </c>
      <c r="E84" s="32">
        <f t="shared" si="38"/>
        <v>5.5031446540880505E-2</v>
      </c>
      <c r="F84" s="18">
        <f>IF(ISNUMBER(D84), $B91 * E84, "")</f>
        <v>8254.7169811320764</v>
      </c>
      <c r="G84" s="31">
        <v>665</v>
      </c>
      <c r="H84" s="32">
        <f t="shared" si="39"/>
        <v>4.5597484276729557E-2</v>
      </c>
      <c r="I84" s="91">
        <f>IF(ISNUMBER(G84), $B91 * H84, "")</f>
        <v>6839.6226415094334</v>
      </c>
      <c r="J84" s="15">
        <v>656</v>
      </c>
      <c r="K84" s="32">
        <f t="shared" si="40"/>
        <v>3.1446540880503145E-2</v>
      </c>
      <c r="L84" s="18">
        <f>IF(ISNUMBER(J84), $B91 * K84, "")</f>
        <v>4716.9811320754716</v>
      </c>
      <c r="M84" s="31">
        <v>656</v>
      </c>
      <c r="N84" s="32">
        <f t="shared" si="41"/>
        <v>3.1446540880503145E-2</v>
      </c>
      <c r="O84" s="18">
        <f>IF(ISNUMBER(M84), $B91 * N84, "")</f>
        <v>4716.9811320754716</v>
      </c>
      <c r="Q84" s="156"/>
      <c r="R84" s="156"/>
      <c r="S84" s="156"/>
    </row>
    <row r="85" spans="1:19" ht="17.25" thickBot="1">
      <c r="A85" s="111" t="s">
        <v>169</v>
      </c>
      <c r="B85" s="112">
        <v>271</v>
      </c>
      <c r="C85" s="71">
        <v>-1.09489051E-2</v>
      </c>
      <c r="D85" s="20">
        <v>284</v>
      </c>
      <c r="E85" s="21">
        <f t="shared" si="38"/>
        <v>4.797047970479705E-2</v>
      </c>
      <c r="F85" s="22">
        <f>IF(ISNUMBER(D85), $B91 * E85, "")</f>
        <v>7195.571955719558</v>
      </c>
      <c r="G85" s="30">
        <v>284</v>
      </c>
      <c r="H85" s="21">
        <f t="shared" si="39"/>
        <v>4.797047970479705E-2</v>
      </c>
      <c r="I85" s="95">
        <f>IF(ISNUMBER(G85), $B91 * H85, "")</f>
        <v>7195.571955719558</v>
      </c>
      <c r="J85" s="20">
        <v>284</v>
      </c>
      <c r="K85" s="21">
        <f t="shared" si="40"/>
        <v>4.797047970479705E-2</v>
      </c>
      <c r="L85" s="22">
        <f>IF(ISNUMBER(J85), $B91 * K85, "")</f>
        <v>7195.571955719558</v>
      </c>
      <c r="M85" s="30">
        <v>284</v>
      </c>
      <c r="N85" s="21">
        <f t="shared" si="41"/>
        <v>4.797047970479705E-2</v>
      </c>
      <c r="O85" s="22">
        <f>IF(ISNUMBER(M85), $B91 * N85, "")</f>
        <v>7195.571955719558</v>
      </c>
      <c r="Q85" s="156"/>
      <c r="R85" s="156"/>
      <c r="S85" s="156"/>
    </row>
    <row r="86" spans="1:19" ht="17.25" thickBot="1">
      <c r="A86" s="109" t="s">
        <v>89</v>
      </c>
      <c r="B86" s="113">
        <v>506</v>
      </c>
      <c r="C86" s="73">
        <v>-1.171875E-2</v>
      </c>
      <c r="D86" s="96">
        <v>517</v>
      </c>
      <c r="E86" s="97">
        <f>IF(ISNUMBER(D86), (D86 - $B86) / $B86, "")</f>
        <v>2.1739130434782608E-2</v>
      </c>
      <c r="F86" s="98">
        <f>IF(ISNUMBER(D86), $B91 * E86, "")</f>
        <v>3260.869565217391</v>
      </c>
      <c r="G86" s="99">
        <v>517</v>
      </c>
      <c r="H86" s="97">
        <f>IF(ISNUMBER(G86), (G86 - $B86) / $B86, "")</f>
        <v>2.1739130434782608E-2</v>
      </c>
      <c r="I86" s="100">
        <f>IF(ISNUMBER(G86), $B91 * H86, "")</f>
        <v>3260.869565217391</v>
      </c>
      <c r="J86" s="96">
        <v>516</v>
      </c>
      <c r="K86" s="97">
        <f>IF(ISNUMBER(J86), (J86 - $B86) / $B86, "")</f>
        <v>1.9762845849802372E-2</v>
      </c>
      <c r="L86" s="98">
        <f>IF(ISNUMBER(J86), $B91 * K86, "")</f>
        <v>2964.426877470356</v>
      </c>
      <c r="M86" s="99">
        <v>515</v>
      </c>
      <c r="N86" s="97">
        <f>IF(ISNUMBER(M86), (M86 - $B86) / $B86, "")</f>
        <v>1.7786561264822136E-2</v>
      </c>
      <c r="O86" s="98">
        <f>IF(ISNUMBER(M86), $B91 * N86, "")</f>
        <v>2667.9841897233205</v>
      </c>
      <c r="Q86" s="146"/>
      <c r="R86" s="146"/>
      <c r="S86" s="146"/>
    </row>
    <row r="87" spans="1:19" ht="17.25" thickBot="1">
      <c r="A87" s="109" t="s">
        <v>85</v>
      </c>
      <c r="B87" s="110">
        <v>165</v>
      </c>
      <c r="C87" s="70">
        <v>-1.19760479E-2</v>
      </c>
      <c r="D87" s="15">
        <v>174</v>
      </c>
      <c r="E87" s="32">
        <f t="shared" ref="E87:E90" si="42">IF(ISNUMBER(D87), (D87 - $B87) / $B87, "")</f>
        <v>5.4545454545454543E-2</v>
      </c>
      <c r="F87" s="18">
        <f>IF(ISNUMBER(D87), $B91 * E87, "")</f>
        <v>8181.8181818181811</v>
      </c>
      <c r="G87" s="31">
        <v>172</v>
      </c>
      <c r="H87" s="32">
        <f t="shared" ref="H87:H90" si="43">IF(ISNUMBER(G87), (G87 - $B87) / $B87, "")</f>
        <v>4.2424242424242427E-2</v>
      </c>
      <c r="I87" s="91">
        <f>IF(ISNUMBER(G87), $B91 * H87, "")</f>
        <v>6363.636363636364</v>
      </c>
      <c r="J87" s="15">
        <v>171</v>
      </c>
      <c r="K87" s="32">
        <f t="shared" ref="K87:K90" si="44">IF(ISNUMBER(J87), (J87 - $B87) / $B87, "")</f>
        <v>3.6363636363636362E-2</v>
      </c>
      <c r="L87" s="18">
        <f>IF(ISNUMBER(J87), $B91 * K87, "")</f>
        <v>5454.545454545454</v>
      </c>
      <c r="M87" s="31">
        <v>172</v>
      </c>
      <c r="N87" s="32">
        <f t="shared" ref="N87:N90" si="45">IF(ISNUMBER(M87), (M87 - $B87) / $B87, "")</f>
        <v>4.2424242424242427E-2</v>
      </c>
      <c r="O87" s="18">
        <f>IF(ISNUMBER(M87), $B91 * N87, "")</f>
        <v>6363.636363636364</v>
      </c>
      <c r="Q87" s="146"/>
      <c r="R87" s="146"/>
      <c r="S87" s="146"/>
    </row>
    <row r="88" spans="1:19" ht="17.25" thickBot="1">
      <c r="A88" s="109" t="s">
        <v>81</v>
      </c>
      <c r="B88" s="110">
        <v>443</v>
      </c>
      <c r="C88" s="70">
        <v>-1.3363029E-2</v>
      </c>
      <c r="D88" s="15">
        <v>476</v>
      </c>
      <c r="E88" s="32">
        <f t="shared" si="42"/>
        <v>7.4492099322799099E-2</v>
      </c>
      <c r="F88" s="18">
        <f>IF(ISNUMBER(D88), $B91 * E88, "")</f>
        <v>11173.814898419865</v>
      </c>
      <c r="G88" s="31">
        <v>470</v>
      </c>
      <c r="H88" s="32">
        <f t="shared" si="43"/>
        <v>6.0948081264108354E-2</v>
      </c>
      <c r="I88" s="91">
        <f>IF(ISNUMBER(G88), $B91 * H88, "")</f>
        <v>9142.2121896162535</v>
      </c>
      <c r="J88" s="15">
        <v>470</v>
      </c>
      <c r="K88" s="32">
        <f t="shared" si="44"/>
        <v>6.0948081264108354E-2</v>
      </c>
      <c r="L88" s="18">
        <f>IF(ISNUMBER(J88), $B91 * K88, "")</f>
        <v>9142.2121896162535</v>
      </c>
      <c r="M88" s="31">
        <v>475</v>
      </c>
      <c r="N88" s="32">
        <f t="shared" si="45"/>
        <v>7.2234762979683967E-2</v>
      </c>
      <c r="O88" s="18">
        <f>IF(ISNUMBER(M88), $B91 * N88, "")</f>
        <v>10835.214446952596</v>
      </c>
      <c r="Q88" s="146"/>
      <c r="R88" s="146"/>
      <c r="S88" s="146"/>
    </row>
    <row r="89" spans="1:19">
      <c r="A89" s="109" t="s">
        <v>326</v>
      </c>
      <c r="B89" s="110">
        <v>292</v>
      </c>
      <c r="C89" s="70">
        <v>-1.3513513499999999E-2</v>
      </c>
      <c r="D89" s="15">
        <v>306</v>
      </c>
      <c r="E89" s="32">
        <f t="shared" si="42"/>
        <v>4.7945205479452052E-2</v>
      </c>
      <c r="F89" s="18">
        <f>IF(ISNUMBER(D89), $B91 * E89, "")</f>
        <v>7191.7808219178078</v>
      </c>
      <c r="G89" s="31">
        <v>306</v>
      </c>
      <c r="H89" s="32">
        <f t="shared" si="43"/>
        <v>4.7945205479452052E-2</v>
      </c>
      <c r="I89" s="91">
        <f>IF(ISNUMBER(G89), $B91 * H89, "")</f>
        <v>7191.7808219178078</v>
      </c>
      <c r="J89" s="15">
        <v>305</v>
      </c>
      <c r="K89" s="32">
        <f t="shared" si="44"/>
        <v>4.4520547945205477E-2</v>
      </c>
      <c r="L89" s="18">
        <f>IF(ISNUMBER(J89), $B91 * K89, "")</f>
        <v>6678.0821917808216</v>
      </c>
      <c r="M89" s="31">
        <v>307</v>
      </c>
      <c r="N89" s="32">
        <f t="shared" si="45"/>
        <v>5.1369863013698627E-2</v>
      </c>
      <c r="O89" s="18">
        <f>IF(ISNUMBER(M89), $B91 * N89, "")</f>
        <v>7705.4794520547939</v>
      </c>
      <c r="Q89" s="135"/>
      <c r="R89" s="136"/>
      <c r="S89" s="137"/>
    </row>
    <row r="90" spans="1:19" ht="17.25" thickBot="1">
      <c r="A90" s="114" t="s">
        <v>187</v>
      </c>
      <c r="B90" s="115">
        <v>875</v>
      </c>
      <c r="C90" s="72">
        <v>-1.4639639600000001E-2</v>
      </c>
      <c r="D90" s="24">
        <v>903</v>
      </c>
      <c r="E90" s="25">
        <f t="shared" si="42"/>
        <v>3.2000000000000001E-2</v>
      </c>
      <c r="F90" s="94">
        <f>IF(ISNUMBER(D90), $B91 * E90, "")</f>
        <v>4800</v>
      </c>
      <c r="G90" s="92">
        <v>897</v>
      </c>
      <c r="H90" s="25">
        <f t="shared" si="43"/>
        <v>2.5142857142857144E-2</v>
      </c>
      <c r="I90" s="93">
        <f>IF(ISNUMBER(G90), $B91 * H90, "")</f>
        <v>3771.4285714285716</v>
      </c>
      <c r="J90" s="24">
        <v>902</v>
      </c>
      <c r="K90" s="25">
        <f t="shared" si="44"/>
        <v>3.0857142857142857E-2</v>
      </c>
      <c r="L90" s="94">
        <f>IF(ISNUMBER(J90), $B91 * K90, "")</f>
        <v>4628.5714285714284</v>
      </c>
      <c r="M90" s="92">
        <v>902</v>
      </c>
      <c r="N90" s="25">
        <f t="shared" si="45"/>
        <v>3.0857142857142857E-2</v>
      </c>
      <c r="O90" s="94">
        <f>IF(ISNUMBER(M90), $B91 * N90, "")</f>
        <v>4628.5714285714284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5.8828019251500344E-2</v>
      </c>
      <c r="F91" s="28">
        <f>SUM(F71:F90)</f>
        <v>176484.05775450097</v>
      </c>
      <c r="G91" s="26" t="s">
        <v>258</v>
      </c>
      <c r="H91" s="27">
        <f>IF(COUNT(H71:H90), SUM(H71:H90) / COUNT(H71:H90), 0)</f>
        <v>5.5945872973946952E-2</v>
      </c>
      <c r="I91" s="28">
        <f>SUM(I71:I90)</f>
        <v>167837.61892184083</v>
      </c>
      <c r="J91" s="26" t="s">
        <v>258</v>
      </c>
      <c r="K91" s="27">
        <f>IF(COUNT(K71:K90), SUM(K71:K90) / COUNT(K71:K90), 0)</f>
        <v>4.8010040156150388E-2</v>
      </c>
      <c r="L91" s="28">
        <f>SUM(L71:L90)</f>
        <v>144030.12046845115</v>
      </c>
      <c r="M91" s="26" t="s">
        <v>258</v>
      </c>
      <c r="N91" s="27">
        <f>IF(COUNT(N71:N90), SUM(N71:N90) / COUNT(N71:N90), 0)</f>
        <v>5.3318760170506886E-2</v>
      </c>
      <c r="O91" s="28">
        <f>SUM(O71:O90)</f>
        <v>159956.28051152063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2023-01-26(목) 오전 00:00</v>
      </c>
      <c r="C96" s="198"/>
      <c r="D96" s="170" t="str">
        <f>TEXT($G$1, "[$-ko-KR]yyyy-mm-dd(ddd) ") &amp; "오후 14:00"</f>
        <v>2023-01-26(목) 오후 14:00</v>
      </c>
      <c r="E96" s="171"/>
      <c r="F96" s="172"/>
      <c r="G96" s="170" t="str">
        <f>TEXT($G$1, "[$-ko-KR]yyyy-mm-dd(ddd) ") &amp; "오후 19:00"</f>
        <v>2023-01-26(목) 오후 19:00</v>
      </c>
      <c r="H96" s="171"/>
      <c r="I96" s="172"/>
      <c r="J96" s="170" t="str">
        <f>TEXT($G$1, "[$-ko-KR]yyyy-mm-dd(ddd) ") &amp; "오후 21:00"</f>
        <v>2023-01-26(목) 오후 21:00</v>
      </c>
      <c r="K96" s="171"/>
      <c r="L96" s="172"/>
      <c r="M96" s="170" t="str">
        <f>TEXT($G$1+1, "[$-ko-KR]yyyy-mm-dd(ddd) ") &amp; "오전 00:00"</f>
        <v>2023-01-27(금)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328</v>
      </c>
      <c r="B98" s="108">
        <v>19550</v>
      </c>
      <c r="C98" s="69">
        <v>0.26129032260000001</v>
      </c>
      <c r="D98" s="13">
        <v>23690</v>
      </c>
      <c r="E98" s="14">
        <f>IF(ISNUMBER(D98), (D98 - $B98) / $B98, "")</f>
        <v>0.21176470588235294</v>
      </c>
      <c r="F98" s="16">
        <f>IF(ISNUMBER(D98), $B118 * E98, "")</f>
        <v>31764.705882352941</v>
      </c>
      <c r="G98" s="29">
        <v>23460</v>
      </c>
      <c r="H98" s="14">
        <f>IF(ISNUMBER(G98), (G98 - $B98) / $B98, "")</f>
        <v>0.2</v>
      </c>
      <c r="I98" s="90">
        <f>IF(ISNUMBER(G98), $B118 * H98, "")</f>
        <v>30000</v>
      </c>
      <c r="J98" s="13">
        <v>23030</v>
      </c>
      <c r="K98" s="14">
        <f>IF(ISNUMBER(J98), (J98 - $B98) / $B98, "")</f>
        <v>0.17800511508951405</v>
      </c>
      <c r="L98" s="16">
        <f>IF(ISNUMBER(J98), $B118 * K98, "")</f>
        <v>26700.767263427108</v>
      </c>
      <c r="M98" s="29">
        <v>23330</v>
      </c>
      <c r="N98" s="14">
        <f>IF(ISNUMBER(M98), (M98 - $B98) / $B98, "")</f>
        <v>0.19335038363171356</v>
      </c>
      <c r="O98" s="16">
        <f>IF(ISNUMBER(M98), $B118 * N98, "")</f>
        <v>29002.557544757034</v>
      </c>
      <c r="Q98" s="156"/>
      <c r="R98" s="156"/>
      <c r="S98" s="156"/>
    </row>
    <row r="99" spans="1:19" ht="17.25" thickBot="1">
      <c r="A99" s="109" t="s">
        <v>191</v>
      </c>
      <c r="B99" s="110">
        <v>72.2</v>
      </c>
      <c r="C99" s="70">
        <v>0.14603174599999999</v>
      </c>
      <c r="D99" s="15">
        <v>82.3</v>
      </c>
      <c r="E99" s="32">
        <f t="shared" ref="E99:E102" si="46">IF(ISNUMBER(D99), (D99 - $B99) / $B99, "")</f>
        <v>0.13988919667590019</v>
      </c>
      <c r="F99" s="18">
        <f>IF(ISNUMBER(D99), $B118 * E99, "")</f>
        <v>20983.379501385029</v>
      </c>
      <c r="G99" s="31">
        <v>78.7</v>
      </c>
      <c r="H99" s="32">
        <f t="shared" ref="H99:H102" si="47">IF(ISNUMBER(G99), (G99 - $B99) / $B99, "")</f>
        <v>9.0027700831024932E-2</v>
      </c>
      <c r="I99" s="91">
        <f>IF(ISNUMBER(G99), $B118 * H99, "")</f>
        <v>13504.15512465374</v>
      </c>
      <c r="J99" s="15">
        <v>76.599999999999994</v>
      </c>
      <c r="K99" s="32">
        <f t="shared" ref="K99:K102" si="48">IF(ISNUMBER(J99), (J99 - $B99) / $B99, "")</f>
        <v>6.0941828254847522E-2</v>
      </c>
      <c r="L99" s="18">
        <f>IF(ISNUMBER(J99), $B118 * K99, "")</f>
        <v>9141.2742382271281</v>
      </c>
      <c r="M99" s="31">
        <v>75.7</v>
      </c>
      <c r="N99" s="32">
        <f t="shared" ref="N99:N102" si="49">IF(ISNUMBER(M99), (M99 - $B99) / $B99, "")</f>
        <v>4.8476454293628804E-2</v>
      </c>
      <c r="O99" s="18">
        <f>IF(ISNUMBER(M99), $B118 * N99, "")</f>
        <v>7271.468144044321</v>
      </c>
      <c r="Q99" s="156"/>
      <c r="R99" s="156"/>
      <c r="S99" s="156"/>
    </row>
    <row r="100" spans="1:19" ht="17.25" thickBot="1">
      <c r="A100" s="109" t="s">
        <v>207</v>
      </c>
      <c r="B100" s="110">
        <v>78</v>
      </c>
      <c r="C100" s="70">
        <v>4.5576407499999999E-2</v>
      </c>
      <c r="D100" s="15">
        <v>82.9</v>
      </c>
      <c r="E100" s="32">
        <f t="shared" si="46"/>
        <v>6.2820512820512889E-2</v>
      </c>
      <c r="F100" s="18">
        <f>IF(ISNUMBER(D100), $B118 * E100, "")</f>
        <v>9423.0769230769329</v>
      </c>
      <c r="G100" s="31">
        <v>79.599999999999994</v>
      </c>
      <c r="H100" s="32">
        <f t="shared" si="47"/>
        <v>2.051282051282044E-2</v>
      </c>
      <c r="I100" s="91">
        <f>IF(ISNUMBER(G100), $B118 * H100, "")</f>
        <v>3076.9230769230662</v>
      </c>
      <c r="J100" s="15">
        <v>78.3</v>
      </c>
      <c r="K100" s="32">
        <f t="shared" si="48"/>
        <v>3.8461538461538095E-3</v>
      </c>
      <c r="L100" s="18">
        <f>IF(ISNUMBER(J100), $B118 * K100, "")</f>
        <v>576.92307692307145</v>
      </c>
      <c r="M100" s="31">
        <v>78.2</v>
      </c>
      <c r="N100" s="32">
        <f t="shared" si="49"/>
        <v>2.5641025641026005E-3</v>
      </c>
      <c r="O100" s="18">
        <f>IF(ISNUMBER(M100), $B118 * N100, "")</f>
        <v>384.6153846153901</v>
      </c>
      <c r="Q100" s="146"/>
      <c r="R100" s="146"/>
      <c r="S100" s="146"/>
    </row>
    <row r="101" spans="1:19" ht="17.25" thickBot="1">
      <c r="A101" s="109" t="s">
        <v>183</v>
      </c>
      <c r="B101" s="110">
        <v>153</v>
      </c>
      <c r="C101" s="70">
        <v>4.08163265E-2</v>
      </c>
      <c r="D101" s="15">
        <v>161</v>
      </c>
      <c r="E101" s="32">
        <f t="shared" si="46"/>
        <v>5.2287581699346407E-2</v>
      </c>
      <c r="F101" s="18">
        <f>IF(ISNUMBER(D101), $B118 * E101, "")</f>
        <v>7843.1372549019607</v>
      </c>
      <c r="G101" s="31">
        <v>159</v>
      </c>
      <c r="H101" s="32">
        <f t="shared" si="47"/>
        <v>3.9215686274509803E-2</v>
      </c>
      <c r="I101" s="91">
        <f>IF(ISNUMBER(G101), $B118 * H101, "")</f>
        <v>5882.3529411764703</v>
      </c>
      <c r="J101" s="15">
        <v>156</v>
      </c>
      <c r="K101" s="32">
        <f t="shared" si="48"/>
        <v>1.9607843137254902E-2</v>
      </c>
      <c r="L101" s="18">
        <f>IF(ISNUMBER(J101), $B118 * K101, "")</f>
        <v>2941.1764705882351</v>
      </c>
      <c r="M101" s="31">
        <v>156</v>
      </c>
      <c r="N101" s="32">
        <f t="shared" si="49"/>
        <v>1.9607843137254902E-2</v>
      </c>
      <c r="O101" s="18">
        <f>IF(ISNUMBER(M101), $B118 * N101, "")</f>
        <v>2941.1764705882351</v>
      </c>
      <c r="Q101" s="146"/>
      <c r="R101" s="146"/>
      <c r="S101" s="146"/>
    </row>
    <row r="102" spans="1:19" ht="17.25" thickBot="1">
      <c r="A102" s="111" t="s">
        <v>73</v>
      </c>
      <c r="B102" s="112">
        <v>16170</v>
      </c>
      <c r="C102" s="71">
        <v>3.5874439500000001E-2</v>
      </c>
      <c r="D102" s="20">
        <v>16640</v>
      </c>
      <c r="E102" s="21">
        <f t="shared" si="46"/>
        <v>2.9066171923314781E-2</v>
      </c>
      <c r="F102" s="22">
        <f>IF(ISNUMBER(D102), $B118 * E102, "")</f>
        <v>4359.9257884972167</v>
      </c>
      <c r="G102" s="30">
        <v>16540</v>
      </c>
      <c r="H102" s="21">
        <f t="shared" si="47"/>
        <v>2.2881880024737167E-2</v>
      </c>
      <c r="I102" s="95">
        <f>IF(ISNUMBER(G102), $B118 * H102, "")</f>
        <v>3432.2820037105753</v>
      </c>
      <c r="J102" s="20">
        <v>16560</v>
      </c>
      <c r="K102" s="21">
        <f t="shared" si="48"/>
        <v>2.4118738404452691E-2</v>
      </c>
      <c r="L102" s="22">
        <f>IF(ISNUMBER(J102), $B118 * K102, "")</f>
        <v>3617.8107606679037</v>
      </c>
      <c r="M102" s="30">
        <v>16750</v>
      </c>
      <c r="N102" s="21">
        <f t="shared" si="49"/>
        <v>3.5868893011750155E-2</v>
      </c>
      <c r="O102" s="22">
        <f>IF(ISNUMBER(M102), $B118 * N102, "")</f>
        <v>5380.3339517625236</v>
      </c>
      <c r="Q102" s="146"/>
      <c r="R102" s="146"/>
      <c r="S102" s="146"/>
    </row>
    <row r="103" spans="1:19" ht="17.25" thickBot="1">
      <c r="A103" s="109" t="s">
        <v>64</v>
      </c>
      <c r="B103" s="113">
        <v>12.4</v>
      </c>
      <c r="C103" s="73">
        <v>2.4793388400000001E-2</v>
      </c>
      <c r="D103" s="96">
        <v>12.8</v>
      </c>
      <c r="E103" s="97">
        <f>IF(ISNUMBER(D103), (D103 - $B103) / $B103, "")</f>
        <v>3.2258064516129059E-2</v>
      </c>
      <c r="F103" s="98">
        <f>IF(ISNUMBER(D103), $B118 * E103, "")</f>
        <v>4838.7096774193587</v>
      </c>
      <c r="G103" s="99">
        <v>12.7</v>
      </c>
      <c r="H103" s="97">
        <f>IF(ISNUMBER(G103), (G103 - $B103) / $B103, "")</f>
        <v>2.4193548387096687E-2</v>
      </c>
      <c r="I103" s="100">
        <f>IF(ISNUMBER(G103), $B118 * H103, "")</f>
        <v>3629.0322580645029</v>
      </c>
      <c r="J103" s="96">
        <v>12.7</v>
      </c>
      <c r="K103" s="97">
        <f>IF(ISNUMBER(J103), (J103 - $B103) / $B103, "")</f>
        <v>2.4193548387096687E-2</v>
      </c>
      <c r="L103" s="98">
        <f>IF(ISNUMBER(J103), $B118 * K103, "")</f>
        <v>3629.0322580645029</v>
      </c>
      <c r="M103" s="99">
        <v>12.7</v>
      </c>
      <c r="N103" s="97">
        <f>IF(ISNUMBER(M103), (M103 - $B103) / $B103, "")</f>
        <v>2.4193548387096687E-2</v>
      </c>
      <c r="O103" s="98">
        <f>IF(ISNUMBER(M103), $B118 * N103, "")</f>
        <v>3629.0322580645029</v>
      </c>
      <c r="Q103" s="146"/>
      <c r="R103" s="146"/>
      <c r="S103" s="146"/>
    </row>
    <row r="104" spans="1:19" ht="17.25" thickBot="1">
      <c r="A104" s="109" t="s">
        <v>147</v>
      </c>
      <c r="B104" s="110">
        <v>14280</v>
      </c>
      <c r="C104" s="70">
        <v>2.3655914E-2</v>
      </c>
      <c r="D104" s="15">
        <v>15000</v>
      </c>
      <c r="E104" s="32">
        <f t="shared" ref="E104:E107" si="50">IF(ISNUMBER(D104), (D104 - $B104) / $B104, "")</f>
        <v>5.0420168067226892E-2</v>
      </c>
      <c r="F104" s="18">
        <f>IF(ISNUMBER(D104), $B118 * E104, "")</f>
        <v>7563.0252100840335</v>
      </c>
      <c r="G104" s="31">
        <v>15210</v>
      </c>
      <c r="H104" s="32">
        <f t="shared" ref="H104:H107" si="51">IF(ISNUMBER(G104), (G104 - $B104) / $B104, "")</f>
        <v>6.5126050420168072E-2</v>
      </c>
      <c r="I104" s="91">
        <f>IF(ISNUMBER(G104), $B118 * H104, "")</f>
        <v>9768.90756302521</v>
      </c>
      <c r="J104" s="15">
        <v>14950</v>
      </c>
      <c r="K104" s="32">
        <f t="shared" ref="K104:K107" si="52">IF(ISNUMBER(J104), (J104 - $B104) / $B104, "")</f>
        <v>4.6918767507002801E-2</v>
      </c>
      <c r="L104" s="18">
        <f>IF(ISNUMBER(J104), $B118 * K104, "")</f>
        <v>7037.8151260504201</v>
      </c>
      <c r="M104" s="31">
        <v>15070</v>
      </c>
      <c r="N104" s="32">
        <f t="shared" ref="N104:N107" si="53">IF(ISNUMBER(M104), (M104 - $B104) / $B104, "")</f>
        <v>5.5322128851540614E-2</v>
      </c>
      <c r="O104" s="18">
        <f>IF(ISNUMBER(M104), $B118 * N104, "")</f>
        <v>8298.3193277310929</v>
      </c>
      <c r="Q104" s="146"/>
      <c r="R104" s="146"/>
      <c r="S104" s="146"/>
    </row>
    <row r="105" spans="1:19" ht="17.25" thickBot="1">
      <c r="A105" s="109" t="s">
        <v>319</v>
      </c>
      <c r="B105" s="110">
        <v>672</v>
      </c>
      <c r="C105" s="70">
        <v>1.9726858900000002E-2</v>
      </c>
      <c r="D105" s="15">
        <v>814</v>
      </c>
      <c r="E105" s="32">
        <f t="shared" si="50"/>
        <v>0.21130952380952381</v>
      </c>
      <c r="F105" s="18">
        <f>IF(ISNUMBER(D105), $B118 * E105, "")</f>
        <v>31696.428571428572</v>
      </c>
      <c r="G105" s="31">
        <v>803</v>
      </c>
      <c r="H105" s="32">
        <f t="shared" si="51"/>
        <v>0.19494047619047619</v>
      </c>
      <c r="I105" s="91">
        <f>IF(ISNUMBER(G105), $B118 * H105, "")</f>
        <v>29241.071428571428</v>
      </c>
      <c r="J105" s="15">
        <v>780</v>
      </c>
      <c r="K105" s="32">
        <f t="shared" si="52"/>
        <v>0.16071428571428573</v>
      </c>
      <c r="L105" s="18">
        <f>IF(ISNUMBER(J105), $B118 * K105, "")</f>
        <v>24107.142857142859</v>
      </c>
      <c r="M105" s="31">
        <v>776</v>
      </c>
      <c r="N105" s="32">
        <f t="shared" si="53"/>
        <v>0.15476190476190477</v>
      </c>
      <c r="O105" s="18">
        <f>IF(ISNUMBER(M105), $B118 * N105, "")</f>
        <v>23214.285714285714</v>
      </c>
      <c r="Q105" s="146"/>
      <c r="R105" s="146"/>
      <c r="S105" s="146"/>
    </row>
    <row r="106" spans="1:19" ht="17.25" thickBot="1">
      <c r="A106" s="109" t="s">
        <v>83</v>
      </c>
      <c r="B106" s="110">
        <v>1320</v>
      </c>
      <c r="C106" s="70">
        <v>1.93050193E-2</v>
      </c>
      <c r="D106" s="15">
        <v>1375</v>
      </c>
      <c r="E106" s="32">
        <f t="shared" si="50"/>
        <v>4.1666666666666664E-2</v>
      </c>
      <c r="F106" s="18">
        <f>IF(ISNUMBER(D106), $B118 * E106, "")</f>
        <v>6250</v>
      </c>
      <c r="G106" s="31">
        <v>1365</v>
      </c>
      <c r="H106" s="32">
        <f t="shared" si="51"/>
        <v>3.4090909090909088E-2</v>
      </c>
      <c r="I106" s="91">
        <f>IF(ISNUMBER(G106), $B118 * H106, "")</f>
        <v>5113.6363636363631</v>
      </c>
      <c r="J106" s="15">
        <v>1365</v>
      </c>
      <c r="K106" s="32">
        <f t="shared" si="52"/>
        <v>3.4090909090909088E-2</v>
      </c>
      <c r="L106" s="18">
        <f>IF(ISNUMBER(J106), $B118 * K106, "")</f>
        <v>5113.6363636363631</v>
      </c>
      <c r="M106" s="31">
        <v>1365</v>
      </c>
      <c r="N106" s="32">
        <f t="shared" si="53"/>
        <v>3.4090909090909088E-2</v>
      </c>
      <c r="O106" s="18">
        <f>IF(ISNUMBER(M106), $B118 * N106, "")</f>
        <v>5113.6363636363631</v>
      </c>
      <c r="Q106" s="33"/>
      <c r="R106" s="33"/>
    </row>
    <row r="107" spans="1:19" ht="17.25" thickBot="1">
      <c r="A107" s="114" t="s">
        <v>324</v>
      </c>
      <c r="B107" s="115">
        <v>99.2</v>
      </c>
      <c r="C107" s="72">
        <v>1.3278856E-2</v>
      </c>
      <c r="D107" s="24">
        <v>102</v>
      </c>
      <c r="E107" s="25">
        <f t="shared" si="50"/>
        <v>2.8225806451612875E-2</v>
      </c>
      <c r="F107" s="94">
        <f>IF(ISNUMBER(D107), $B118 * E107, "")</f>
        <v>4233.8709677419311</v>
      </c>
      <c r="G107" s="92">
        <v>100</v>
      </c>
      <c r="H107" s="25">
        <f t="shared" si="51"/>
        <v>8.0645161290322284E-3</v>
      </c>
      <c r="I107" s="93">
        <f>IF(ISNUMBER(G107), $B118 * H107, "")</f>
        <v>1209.6774193548342</v>
      </c>
      <c r="J107" s="24">
        <v>101</v>
      </c>
      <c r="K107" s="25">
        <f t="shared" si="52"/>
        <v>1.8145161290322551E-2</v>
      </c>
      <c r="L107" s="94">
        <f>IF(ISNUMBER(J107), $B118 * K107, "")</f>
        <v>2721.7741935483828</v>
      </c>
      <c r="M107" s="92">
        <v>102</v>
      </c>
      <c r="N107" s="25">
        <f t="shared" si="53"/>
        <v>2.8225806451612875E-2</v>
      </c>
      <c r="O107" s="94">
        <f>IF(ISNUMBER(M107), $B118 * N107, "")</f>
        <v>4233.8709677419311</v>
      </c>
      <c r="Q107" s="147"/>
      <c r="R107" s="148"/>
      <c r="S107" s="149"/>
    </row>
    <row r="108" spans="1:19">
      <c r="A108" s="107" t="s">
        <v>56</v>
      </c>
      <c r="B108" s="108">
        <v>46.4</v>
      </c>
      <c r="C108" s="69">
        <v>1.3100436700000001E-2</v>
      </c>
      <c r="D108" s="13">
        <v>47.7</v>
      </c>
      <c r="E108" s="14">
        <f>IF(ISNUMBER(D108), (D108 - $B108) / $B108, "")</f>
        <v>2.8017241379310439E-2</v>
      </c>
      <c r="F108" s="16">
        <f>IF(ISNUMBER(D108), $B118 * E108, "")</f>
        <v>4202.5862068965662</v>
      </c>
      <c r="G108" s="29">
        <v>47.4</v>
      </c>
      <c r="H108" s="14">
        <f>IF(ISNUMBER(G108), (G108 - $B108) / $B108, "")</f>
        <v>2.1551724137931036E-2</v>
      </c>
      <c r="I108" s="90">
        <f>IF(ISNUMBER(G108), $B118 * H108, "")</f>
        <v>3232.7586206896553</v>
      </c>
      <c r="J108" s="13">
        <v>47.6</v>
      </c>
      <c r="K108" s="14">
        <f>IF(ISNUMBER(J108), (J108 - $B108) / $B108, "")</f>
        <v>2.5862068965517303E-2</v>
      </c>
      <c r="L108" s="16">
        <f>IF(ISNUMBER(J108), $B118 * K108, "")</f>
        <v>3879.3103448275956</v>
      </c>
      <c r="M108" s="29">
        <v>47.6</v>
      </c>
      <c r="N108" s="14">
        <f>IF(ISNUMBER(M108), (M108 - $B108) / $B108, "")</f>
        <v>2.5862068965517303E-2</v>
      </c>
      <c r="O108" s="16">
        <f>IF(ISNUMBER(M108), $B118 * N108, "")</f>
        <v>3879.3103448275956</v>
      </c>
      <c r="Q108" s="150"/>
      <c r="R108" s="151"/>
      <c r="S108" s="152"/>
    </row>
    <row r="109" spans="1:19" ht="17.25" thickBot="1">
      <c r="A109" s="109" t="s">
        <v>343</v>
      </c>
      <c r="B109" s="110">
        <v>28900</v>
      </c>
      <c r="C109" s="70">
        <v>1.19047619E-2</v>
      </c>
      <c r="D109" s="15">
        <v>30900</v>
      </c>
      <c r="E109" s="32">
        <f t="shared" ref="E109:E112" si="54">IF(ISNUMBER(D109), (D109 - $B109) / $B109, "")</f>
        <v>6.9204152249134954E-2</v>
      </c>
      <c r="F109" s="18">
        <f>IF(ISNUMBER(D109), $B118 * E109, "")</f>
        <v>10380.622837370243</v>
      </c>
      <c r="G109" s="31">
        <v>30550</v>
      </c>
      <c r="H109" s="32">
        <f t="shared" ref="H109:H112" si="55">IF(ISNUMBER(G109), (G109 - $B109) / $B109, "")</f>
        <v>5.7093425605536333E-2</v>
      </c>
      <c r="I109" s="91">
        <f>IF(ISNUMBER(G109), $B118 * H109, "")</f>
        <v>8564.0138408304501</v>
      </c>
      <c r="J109" s="15">
        <v>30510</v>
      </c>
      <c r="K109" s="32">
        <f t="shared" ref="K109:K112" si="56">IF(ISNUMBER(J109), (J109 - $B109) / $B109, "")</f>
        <v>5.5709342560553633E-2</v>
      </c>
      <c r="L109" s="18">
        <f>IF(ISNUMBER(J109), $B118 * K109, "")</f>
        <v>8356.4013840830448</v>
      </c>
      <c r="M109" s="31">
        <v>30750</v>
      </c>
      <c r="N109" s="32">
        <f t="shared" ref="N109:N112" si="57">IF(ISNUMBER(M109), (M109 - $B109) / $B109, "")</f>
        <v>6.4013840830449822E-2</v>
      </c>
      <c r="O109" s="18">
        <f>IF(ISNUMBER(M109), $B118 * N109, "")</f>
        <v>9602.076124567473</v>
      </c>
      <c r="Q109" s="153"/>
      <c r="R109" s="154"/>
      <c r="S109" s="155"/>
    </row>
    <row r="110" spans="1:19" ht="17.25" thickBot="1">
      <c r="A110" s="109" t="s">
        <v>217</v>
      </c>
      <c r="B110" s="110">
        <v>85.1</v>
      </c>
      <c r="C110" s="70">
        <v>1.18906064E-2</v>
      </c>
      <c r="D110" s="15">
        <v>88.9</v>
      </c>
      <c r="E110" s="32">
        <f t="shared" si="54"/>
        <v>4.4653349001175222E-2</v>
      </c>
      <c r="F110" s="18">
        <f>IF(ISNUMBER(D110), $B118 * E110, "")</f>
        <v>6698.0023501762835</v>
      </c>
      <c r="G110" s="31">
        <v>87.3</v>
      </c>
      <c r="H110" s="32">
        <f t="shared" si="55"/>
        <v>2.585193889541719E-2</v>
      </c>
      <c r="I110" s="91">
        <f>IF(ISNUMBER(G110), $B118 * H110, "")</f>
        <v>3877.7908343125787</v>
      </c>
      <c r="J110" s="15">
        <v>86.9</v>
      </c>
      <c r="K110" s="32">
        <f t="shared" si="56"/>
        <v>2.1151586368977807E-2</v>
      </c>
      <c r="L110" s="18">
        <f>IF(ISNUMBER(J110), $B118 * K110, "")</f>
        <v>3172.7379553466708</v>
      </c>
      <c r="M110" s="31">
        <v>86.9</v>
      </c>
      <c r="N110" s="32">
        <f t="shared" si="57"/>
        <v>2.1151586368977807E-2</v>
      </c>
      <c r="O110" s="18">
        <f>IF(ISNUMBER(M110), $B118 * N110, "")</f>
        <v>3172.7379553466708</v>
      </c>
      <c r="Q110" s="146"/>
      <c r="R110" s="146"/>
      <c r="S110" s="146"/>
    </row>
    <row r="111" spans="1:19" ht="17.25" thickBot="1">
      <c r="A111" s="109" t="s">
        <v>347</v>
      </c>
      <c r="B111" s="110">
        <v>21530</v>
      </c>
      <c r="C111" s="70">
        <v>1.07981221E-2</v>
      </c>
      <c r="D111" s="15">
        <v>22650</v>
      </c>
      <c r="E111" s="32">
        <f t="shared" si="54"/>
        <v>5.2020436600092895E-2</v>
      </c>
      <c r="F111" s="18">
        <f>IF(ISNUMBER(D111), $B118 * E111, "")</f>
        <v>7803.0654900139343</v>
      </c>
      <c r="G111" s="31">
        <v>22590</v>
      </c>
      <c r="H111" s="32">
        <f t="shared" si="55"/>
        <v>4.923362749651649E-2</v>
      </c>
      <c r="I111" s="91">
        <f>IF(ISNUMBER(G111), $B118 * H111, "")</f>
        <v>7385.0441244774738</v>
      </c>
      <c r="J111" s="15">
        <v>22500</v>
      </c>
      <c r="K111" s="32">
        <f t="shared" si="56"/>
        <v>4.5053413841151878E-2</v>
      </c>
      <c r="L111" s="18">
        <f>IF(ISNUMBER(J111), $B118 * K111, "")</f>
        <v>6758.0120761727812</v>
      </c>
      <c r="M111" s="31">
        <v>22990</v>
      </c>
      <c r="N111" s="32">
        <f t="shared" si="57"/>
        <v>6.7812354853692525E-2</v>
      </c>
      <c r="O111" s="18">
        <f>IF(ISNUMBER(M111), $B118 * N111, "")</f>
        <v>10171.853228053878</v>
      </c>
      <c r="Q111" s="156"/>
      <c r="R111" s="156"/>
      <c r="S111" s="156"/>
    </row>
    <row r="112" spans="1:19" ht="17.25" thickBot="1">
      <c r="A112" s="111" t="s">
        <v>155</v>
      </c>
      <c r="B112" s="112">
        <v>31.7</v>
      </c>
      <c r="C112" s="71">
        <v>9.5541401000000005E-3</v>
      </c>
      <c r="D112" s="20">
        <v>32.700000000000003</v>
      </c>
      <c r="E112" s="21">
        <f t="shared" si="54"/>
        <v>3.1545741324921252E-2</v>
      </c>
      <c r="F112" s="22">
        <f>IF(ISNUMBER(D112), $B118 * E112, "")</f>
        <v>4731.8611987381873</v>
      </c>
      <c r="G112" s="30">
        <v>32.700000000000003</v>
      </c>
      <c r="H112" s="21">
        <f t="shared" si="55"/>
        <v>3.1545741324921252E-2</v>
      </c>
      <c r="I112" s="95">
        <f>IF(ISNUMBER(G112), $B118 * H112, "")</f>
        <v>4731.8611987381873</v>
      </c>
      <c r="J112" s="20">
        <v>32.6</v>
      </c>
      <c r="K112" s="21">
        <f t="shared" si="56"/>
        <v>2.8391167192429088E-2</v>
      </c>
      <c r="L112" s="22">
        <f>IF(ISNUMBER(J112), $B118 * K112, "")</f>
        <v>4258.6750788643631</v>
      </c>
      <c r="M112" s="30">
        <v>32.799999999999997</v>
      </c>
      <c r="N112" s="21">
        <f t="shared" si="57"/>
        <v>3.4700315457413186E-2</v>
      </c>
      <c r="O112" s="22">
        <f>IF(ISNUMBER(M112), $B118 * N112, "")</f>
        <v>5205.047318611978</v>
      </c>
      <c r="Q112" s="156"/>
      <c r="R112" s="156"/>
      <c r="S112" s="156"/>
    </row>
    <row r="113" spans="1:19" ht="17.25" thickBot="1">
      <c r="A113" s="109" t="s">
        <v>335</v>
      </c>
      <c r="B113" s="113">
        <v>2975</v>
      </c>
      <c r="C113" s="73">
        <v>8.4745762999999998E-3</v>
      </c>
      <c r="D113" s="96">
        <v>3230</v>
      </c>
      <c r="E113" s="97">
        <f>IF(ISNUMBER(D113), (D113 - $B113) / $B113, "")</f>
        <v>8.5714285714285715E-2</v>
      </c>
      <c r="F113" s="98">
        <f>IF(ISNUMBER(D113), $B118 * E113, "")</f>
        <v>12857.142857142857</v>
      </c>
      <c r="G113" s="99">
        <v>3195</v>
      </c>
      <c r="H113" s="97">
        <f>IF(ISNUMBER(G113), (G113 - $B113) / $B113, "")</f>
        <v>7.3949579831932774E-2</v>
      </c>
      <c r="I113" s="100">
        <f>IF(ISNUMBER(G113), $B118 * H113, "")</f>
        <v>11092.436974789916</v>
      </c>
      <c r="J113" s="96">
        <v>3160</v>
      </c>
      <c r="K113" s="97">
        <f>IF(ISNUMBER(J113), (J113 - $B113) / $B113, "")</f>
        <v>6.2184873949579833E-2</v>
      </c>
      <c r="L113" s="98">
        <f>IF(ISNUMBER(J113), $B118 * K113, "")</f>
        <v>9327.7310924369758</v>
      </c>
      <c r="M113" s="99">
        <v>3315</v>
      </c>
      <c r="N113" s="97">
        <f>IF(ISNUMBER(M113), (M113 - $B113) / $B113, "")</f>
        <v>0.11428571428571428</v>
      </c>
      <c r="O113" s="98">
        <f>IF(ISNUMBER(M113), $B118 * N113, "")</f>
        <v>17142.857142857141</v>
      </c>
      <c r="Q113" s="146"/>
      <c r="R113" s="146"/>
      <c r="S113" s="146"/>
    </row>
    <row r="114" spans="1:19" ht="17.25" thickBot="1">
      <c r="A114" s="109" t="s">
        <v>237</v>
      </c>
      <c r="B114" s="110">
        <v>31</v>
      </c>
      <c r="C114" s="70">
        <v>6.4935065000000002E-3</v>
      </c>
      <c r="D114" s="15">
        <v>31.7</v>
      </c>
      <c r="E114" s="32">
        <f t="shared" ref="E114:E117" si="58">IF(ISNUMBER(D114), (D114 - $B114) / $B114, "")</f>
        <v>2.25806451612903E-2</v>
      </c>
      <c r="F114" s="18">
        <f>IF(ISNUMBER(D114), $B118 * E114, "")</f>
        <v>3387.0967741935451</v>
      </c>
      <c r="G114" s="31">
        <v>31.6</v>
      </c>
      <c r="H114" s="32">
        <f t="shared" ref="H114:H117" si="59">IF(ISNUMBER(G114), (G114 - $B114) / $B114, "")</f>
        <v>1.9354838709677465E-2</v>
      </c>
      <c r="I114" s="91">
        <f>IF(ISNUMBER(G114), $B118 * H114, "")</f>
        <v>2903.22580645162</v>
      </c>
      <c r="J114" s="15">
        <v>31.7</v>
      </c>
      <c r="K114" s="32">
        <f t="shared" ref="K114:K117" si="60">IF(ISNUMBER(J114), (J114 - $B114) / $B114, "")</f>
        <v>2.25806451612903E-2</v>
      </c>
      <c r="L114" s="18">
        <f>IF(ISNUMBER(J114), $B118 * K114, "")</f>
        <v>3387.0967741935451</v>
      </c>
      <c r="M114" s="31">
        <v>31.7</v>
      </c>
      <c r="N114" s="32">
        <f t="shared" ref="N114:N117" si="61">IF(ISNUMBER(M114), (M114 - $B114) / $B114, "")</f>
        <v>2.25806451612903E-2</v>
      </c>
      <c r="O114" s="18">
        <f>IF(ISNUMBER(M114), $B118 * N114, "")</f>
        <v>3387.0967741935451</v>
      </c>
      <c r="Q114" s="146"/>
      <c r="R114" s="146"/>
      <c r="S114" s="146"/>
    </row>
    <row r="115" spans="1:19" ht="17.25" thickBot="1">
      <c r="A115" s="109" t="s">
        <v>329</v>
      </c>
      <c r="B115" s="110">
        <v>79.099999999999994</v>
      </c>
      <c r="C115" s="70">
        <v>5.0825921E-3</v>
      </c>
      <c r="D115" s="15">
        <v>83.8</v>
      </c>
      <c r="E115" s="32">
        <f t="shared" si="58"/>
        <v>5.9418457648546183E-2</v>
      </c>
      <c r="F115" s="18">
        <f>IF(ISNUMBER(D115), $B118 * E115, "")</f>
        <v>8912.7686472819278</v>
      </c>
      <c r="G115" s="31">
        <v>83</v>
      </c>
      <c r="H115" s="32">
        <f t="shared" si="59"/>
        <v>4.9304677623261767E-2</v>
      </c>
      <c r="I115" s="91">
        <f>IF(ISNUMBER(G115), $B118 * H115, "")</f>
        <v>7395.7016434892648</v>
      </c>
      <c r="J115" s="15">
        <v>82.2</v>
      </c>
      <c r="K115" s="32">
        <f t="shared" si="60"/>
        <v>3.9190897597977357E-2</v>
      </c>
      <c r="L115" s="18">
        <f>IF(ISNUMBER(J115), $B118 * K115, "")</f>
        <v>5878.6346396966037</v>
      </c>
      <c r="M115" s="31">
        <v>84.7</v>
      </c>
      <c r="N115" s="32">
        <f t="shared" si="61"/>
        <v>7.079646017699126E-2</v>
      </c>
      <c r="O115" s="18">
        <f>IF(ISNUMBER(M115), $B118 * N115, "")</f>
        <v>10619.46902654869</v>
      </c>
      <c r="Q115" s="146"/>
      <c r="R115" s="146"/>
      <c r="S115" s="146"/>
    </row>
    <row r="116" spans="1:19">
      <c r="A116" s="109" t="s">
        <v>193</v>
      </c>
      <c r="B116" s="110">
        <v>20.399999999999999</v>
      </c>
      <c r="C116" s="70">
        <v>4.9261084000000004E-3</v>
      </c>
      <c r="D116" s="15">
        <v>21.3</v>
      </c>
      <c r="E116" s="32">
        <f t="shared" si="58"/>
        <v>4.4117647058823636E-2</v>
      </c>
      <c r="F116" s="18">
        <f>IF(ISNUMBER(D116), $B118 * E116, "")</f>
        <v>6617.6470588235452</v>
      </c>
      <c r="G116" s="31">
        <v>21.1</v>
      </c>
      <c r="H116" s="32">
        <f t="shared" si="59"/>
        <v>3.431372549019622E-2</v>
      </c>
      <c r="I116" s="91">
        <f>IF(ISNUMBER(G116), $B118 * H116, "")</f>
        <v>5147.0588235294326</v>
      </c>
      <c r="J116" s="15">
        <v>21</v>
      </c>
      <c r="K116" s="32">
        <f t="shared" si="60"/>
        <v>2.9411764705882425E-2</v>
      </c>
      <c r="L116" s="18">
        <f>IF(ISNUMBER(J116), $B118 * K116, "")</f>
        <v>4411.7647058823641</v>
      </c>
      <c r="M116" s="31">
        <v>21.1</v>
      </c>
      <c r="N116" s="32">
        <f t="shared" si="61"/>
        <v>3.431372549019622E-2</v>
      </c>
      <c r="O116" s="18">
        <f>IF(ISNUMBER(M116), $B118 * N116, "")</f>
        <v>5147.0588235294326</v>
      </c>
      <c r="Q116" s="135"/>
      <c r="R116" s="136"/>
      <c r="S116" s="137"/>
    </row>
    <row r="117" spans="1:19" ht="17.25" thickBot="1">
      <c r="A117" s="114" t="s">
        <v>109</v>
      </c>
      <c r="B117" s="115">
        <v>1255</v>
      </c>
      <c r="C117" s="72">
        <v>4.0000000000000001E-3</v>
      </c>
      <c r="D117" s="24">
        <v>1340</v>
      </c>
      <c r="E117" s="25">
        <f t="shared" si="58"/>
        <v>6.7729083665338641E-2</v>
      </c>
      <c r="F117" s="94">
        <f>IF(ISNUMBER(D117), $B118 * E117, "")</f>
        <v>10159.362549800797</v>
      </c>
      <c r="G117" s="92">
        <v>1320</v>
      </c>
      <c r="H117" s="25">
        <f t="shared" si="59"/>
        <v>5.1792828685258967E-2</v>
      </c>
      <c r="I117" s="93">
        <f>IF(ISNUMBER(G117), $B118 * H117, "")</f>
        <v>7768.9243027888451</v>
      </c>
      <c r="J117" s="24">
        <v>1315</v>
      </c>
      <c r="K117" s="25">
        <f t="shared" si="60"/>
        <v>4.7808764940239043E-2</v>
      </c>
      <c r="L117" s="94">
        <f>IF(ISNUMBER(J117), $B118 * K117, "")</f>
        <v>7171.3147410358561</v>
      </c>
      <c r="M117" s="92">
        <v>1320</v>
      </c>
      <c r="N117" s="25">
        <f t="shared" si="61"/>
        <v>5.1792828685258967E-2</v>
      </c>
      <c r="O117" s="94">
        <f>IF(ISNUMBER(M117), $B118 * N117, "")</f>
        <v>7768.9243027888451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6.8235471915775253E-2</v>
      </c>
      <c r="F118" s="28">
        <f>SUM(F98:F117)</f>
        <v>204706.41574732587</v>
      </c>
      <c r="G118" s="26" t="s">
        <v>258</v>
      </c>
      <c r="H118" s="27">
        <f>IF(COUNT(H98:H117), SUM(H98:H117) / COUNT(H98:H117), 0)</f>
        <v>5.5652284783071194E-2</v>
      </c>
      <c r="I118" s="28">
        <f>SUM(I98:I117)</f>
        <v>166956.85434921359</v>
      </c>
      <c r="J118" s="26" t="s">
        <v>258</v>
      </c>
      <c r="K118" s="27">
        <f>IF(COUNT(K98:K117), SUM(K98:K117) / COUNT(K98:K117), 0)</f>
        <v>4.7396343800271926E-2</v>
      </c>
      <c r="L118" s="28">
        <f>SUM(L98:L117)</f>
        <v>142189.03140081582</v>
      </c>
      <c r="M118" s="26" t="s">
        <v>258</v>
      </c>
      <c r="N118" s="27">
        <f>IF(COUNT(N98:N117), SUM(N98:N117) / COUNT(N98:N117), 0)</f>
        <v>5.5188575722850783E-2</v>
      </c>
      <c r="O118" s="28">
        <f>SUM(O98:O117)</f>
        <v>165565.72716855237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2023-01-26(목) 오전 00:00</v>
      </c>
      <c r="C123" s="198"/>
      <c r="D123" s="170" t="str">
        <f>TEXT($G$1, "[$-ko-KR]yyyy-mm-dd(ddd) ") &amp; "오후 14:00"</f>
        <v>2023-01-26(목) 오후 14:00</v>
      </c>
      <c r="E123" s="171"/>
      <c r="F123" s="172"/>
      <c r="G123" s="170" t="str">
        <f>TEXT($G$1, "[$-ko-KR]yyyy-mm-dd(ddd) ") &amp; "오후 19:00"</f>
        <v>2023-01-26(목) 오후 19:00</v>
      </c>
      <c r="H123" s="171"/>
      <c r="I123" s="172"/>
      <c r="J123" s="170" t="str">
        <f>TEXT($G$1, "[$-ko-KR]yyyy-mm-dd(ddd) ") &amp; "오후 21:00"</f>
        <v>2023-01-26(목) 오후 21:00</v>
      </c>
      <c r="K123" s="171"/>
      <c r="L123" s="172"/>
      <c r="M123" s="170" t="str">
        <f>TEXT($G$1+1, "[$-ko-KR]yyyy-mm-dd(ddd) ") &amp; "오전 00:00"</f>
        <v>2023-01-27(금)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122</v>
      </c>
      <c r="B125" s="108">
        <v>27.4</v>
      </c>
      <c r="C125" s="69">
        <v>0</v>
      </c>
      <c r="D125" s="13">
        <v>28.8</v>
      </c>
      <c r="E125" s="14">
        <f>IF(ISNUMBER(D125), (D125 - $B125) / $B125, "")</f>
        <v>5.1094890510948988E-2</v>
      </c>
      <c r="F125" s="16">
        <f>IF(ISNUMBER(D125), $B145 * E125, "")</f>
        <v>7664.2335766423485</v>
      </c>
      <c r="G125" s="29">
        <v>29</v>
      </c>
      <c r="H125" s="14">
        <f>IF(ISNUMBER(G125), (G125 - $B125) / $B125, "")</f>
        <v>5.8394160583941659E-2</v>
      </c>
      <c r="I125" s="90">
        <f>IF(ISNUMBER(G125), $B145 * H125, "")</f>
        <v>8759.1240875912481</v>
      </c>
      <c r="J125" s="13">
        <v>29</v>
      </c>
      <c r="K125" s="14">
        <f>IF(ISNUMBER(J125), (J125 - $B125) / $B125, "")</f>
        <v>5.8394160583941659E-2</v>
      </c>
      <c r="L125" s="16">
        <f>IF(ISNUMBER(J125), $B145 * K125, "")</f>
        <v>8759.1240875912481</v>
      </c>
      <c r="M125" s="29">
        <v>29.4</v>
      </c>
      <c r="N125" s="14">
        <f>IF(ISNUMBER(M125), (M125 - $B125) / $B125, "")</f>
        <v>7.2992700729927015E-2</v>
      </c>
      <c r="O125" s="16">
        <f>IF(ISNUMBER(M125), $B145 * N125, "")</f>
        <v>10948.905109489053</v>
      </c>
      <c r="Q125" s="156"/>
      <c r="R125" s="156"/>
      <c r="S125" s="156"/>
    </row>
    <row r="126" spans="1:19" ht="17.25" thickBot="1">
      <c r="A126" s="109" t="s">
        <v>195</v>
      </c>
      <c r="B126" s="110">
        <v>6.93</v>
      </c>
      <c r="C126" s="70">
        <v>-2.8776978000000001E-3</v>
      </c>
      <c r="D126" s="15">
        <v>7.17</v>
      </c>
      <c r="E126" s="32">
        <f t="shared" ref="E126:E129" si="62">IF(ISNUMBER(D126), (D126 - $B126) / $B126, "")</f>
        <v>3.4632034632034667E-2</v>
      </c>
      <c r="F126" s="18">
        <f>IF(ISNUMBER(D126), $B145 * E126, "")</f>
        <v>5194.8051948051998</v>
      </c>
      <c r="G126" s="31">
        <v>7.15</v>
      </c>
      <c r="H126" s="32">
        <f t="shared" ref="H126:H129" si="63">IF(ISNUMBER(G126), (G126 - $B126) / $B126, "")</f>
        <v>3.1746031746031841E-2</v>
      </c>
      <c r="I126" s="91">
        <f>IF(ISNUMBER(G126), $B145 * H126, "")</f>
        <v>4761.904761904776</v>
      </c>
      <c r="J126" s="15">
        <v>7.08</v>
      </c>
      <c r="K126" s="32">
        <f t="shared" ref="K126:K129" si="64">IF(ISNUMBER(J126), (J126 - $B126) / $B126, "")</f>
        <v>2.1645021645021696E-2</v>
      </c>
      <c r="L126" s="18">
        <f>IF(ISNUMBER(J126), $B145 * K126, "")</f>
        <v>3246.7532467532546</v>
      </c>
      <c r="M126" s="31">
        <v>7.11</v>
      </c>
      <c r="N126" s="32">
        <f t="shared" ref="N126:N129" si="65">IF(ISNUMBER(M126), (M126 - $B126) / $B126, "")</f>
        <v>2.5974025974026062E-2</v>
      </c>
      <c r="O126" s="18">
        <f>IF(ISNUMBER(M126), $B145 * N126, "")</f>
        <v>3896.1038961039094</v>
      </c>
      <c r="Q126" s="156"/>
      <c r="R126" s="156"/>
      <c r="S126" s="156"/>
    </row>
    <row r="127" spans="1:19" ht="17.25" thickBot="1">
      <c r="A127" s="109" t="s">
        <v>143</v>
      </c>
      <c r="B127" s="110">
        <v>4.34</v>
      </c>
      <c r="C127" s="70">
        <v>-4.5871560000000002E-3</v>
      </c>
      <c r="D127" s="15">
        <v>4.55</v>
      </c>
      <c r="E127" s="32">
        <f t="shared" si="62"/>
        <v>4.838709677419354E-2</v>
      </c>
      <c r="F127" s="18">
        <f>IF(ISNUMBER(D127), $B145 * E127, "")</f>
        <v>7258.0645161290313</v>
      </c>
      <c r="G127" s="31">
        <v>4.55</v>
      </c>
      <c r="H127" s="32">
        <f t="shared" si="63"/>
        <v>4.838709677419354E-2</v>
      </c>
      <c r="I127" s="91">
        <f>IF(ISNUMBER(G127), $B145 * H127, "")</f>
        <v>7258.0645161290313</v>
      </c>
      <c r="J127" s="15">
        <v>4.49</v>
      </c>
      <c r="K127" s="32">
        <f t="shared" si="64"/>
        <v>3.4562211981566907E-2</v>
      </c>
      <c r="L127" s="18">
        <f>IF(ISNUMBER(J127), $B145 * K127, "")</f>
        <v>5184.331797235036</v>
      </c>
      <c r="M127" s="31">
        <v>4.49</v>
      </c>
      <c r="N127" s="32">
        <f t="shared" si="65"/>
        <v>3.4562211981566907E-2</v>
      </c>
      <c r="O127" s="18">
        <f>IF(ISNUMBER(M127), $B145 * N127, "")</f>
        <v>5184.331797235036</v>
      </c>
      <c r="Q127" s="146"/>
      <c r="R127" s="146"/>
      <c r="S127" s="146"/>
    </row>
    <row r="128" spans="1:19" ht="17.25" thickBot="1">
      <c r="A128" s="109" t="s">
        <v>350</v>
      </c>
      <c r="B128" s="110">
        <v>7.63</v>
      </c>
      <c r="C128" s="70">
        <v>-6.5104166999999996E-3</v>
      </c>
      <c r="D128" s="15">
        <v>7.83</v>
      </c>
      <c r="E128" s="32">
        <f t="shared" si="62"/>
        <v>2.6212319790301464E-2</v>
      </c>
      <c r="F128" s="18">
        <f>IF(ISNUMBER(D128), $B145 * E128, "")</f>
        <v>3931.8479685452198</v>
      </c>
      <c r="G128" s="31">
        <v>7.81</v>
      </c>
      <c r="H128" s="32">
        <f t="shared" si="63"/>
        <v>2.3591087811271262E-2</v>
      </c>
      <c r="I128" s="91">
        <f>IF(ISNUMBER(G128), $B145 * H128, "")</f>
        <v>3538.6631716906895</v>
      </c>
      <c r="J128" s="15">
        <v>7.76</v>
      </c>
      <c r="K128" s="32">
        <f t="shared" si="64"/>
        <v>1.7038007863695925E-2</v>
      </c>
      <c r="L128" s="18">
        <f>IF(ISNUMBER(J128), $B145 * K128, "")</f>
        <v>2555.7011795543885</v>
      </c>
      <c r="M128" s="31">
        <v>7.75</v>
      </c>
      <c r="N128" s="32">
        <f t="shared" si="65"/>
        <v>1.5727391874180881E-2</v>
      </c>
      <c r="O128" s="18">
        <f>IF(ISNUMBER(M128), $B145 * N128, "")</f>
        <v>2359.1087811271323</v>
      </c>
      <c r="Q128" s="146"/>
      <c r="R128" s="146"/>
      <c r="S128" s="146"/>
    </row>
    <row r="129" spans="1:19" ht="17.25" thickBot="1">
      <c r="A129" s="111" t="s">
        <v>352</v>
      </c>
      <c r="B129" s="112">
        <v>1.4E-2</v>
      </c>
      <c r="C129" s="71">
        <v>-7.0921986000000003E-3</v>
      </c>
      <c r="D129" s="20">
        <v>1.47E-2</v>
      </c>
      <c r="E129" s="21">
        <f t="shared" si="62"/>
        <v>4.9999999999999947E-2</v>
      </c>
      <c r="F129" s="22">
        <f>IF(ISNUMBER(D129), $B145 * E129, "")</f>
        <v>7499.9999999999918</v>
      </c>
      <c r="G129" s="30">
        <v>1.46E-2</v>
      </c>
      <c r="H129" s="21">
        <f t="shared" si="63"/>
        <v>4.2857142857142844E-2</v>
      </c>
      <c r="I129" s="95">
        <f>IF(ISNUMBER(G129), $B145 * H129, "")</f>
        <v>6428.5714285714266</v>
      </c>
      <c r="J129" s="20">
        <v>1.4500000000000001E-2</v>
      </c>
      <c r="K129" s="21">
        <f t="shared" si="64"/>
        <v>3.5714285714285747E-2</v>
      </c>
      <c r="L129" s="22">
        <f>IF(ISNUMBER(J129), $B145 * K129, "")</f>
        <v>5357.1428571428623</v>
      </c>
      <c r="M129" s="30">
        <v>1.46E-2</v>
      </c>
      <c r="N129" s="21">
        <f t="shared" si="65"/>
        <v>4.2857142857142844E-2</v>
      </c>
      <c r="O129" s="22">
        <f>IF(ISNUMBER(M129), $B145 * N129, "")</f>
        <v>6428.5714285714266</v>
      </c>
      <c r="Q129" s="146"/>
      <c r="R129" s="146"/>
      <c r="S129" s="146"/>
    </row>
    <row r="130" spans="1:19" ht="17.25" thickBot="1">
      <c r="A130" s="109" t="s">
        <v>126</v>
      </c>
      <c r="B130" s="113">
        <v>33.5</v>
      </c>
      <c r="C130" s="73">
        <v>-8.8757395999999999E-3</v>
      </c>
      <c r="D130" s="96">
        <v>35.200000000000003</v>
      </c>
      <c r="E130" s="97">
        <f>IF(ISNUMBER(D130), (D130 - $B130) / $B130, "")</f>
        <v>5.0746268656716505E-2</v>
      </c>
      <c r="F130" s="98">
        <f>IF(ISNUMBER(D130), $B145 * E130, "")</f>
        <v>7611.9402985074757</v>
      </c>
      <c r="G130" s="99">
        <v>34.799999999999997</v>
      </c>
      <c r="H130" s="97">
        <f>IF(ISNUMBER(G130), (G130 - $B130) / $B130, "")</f>
        <v>3.8805970149253646E-2</v>
      </c>
      <c r="I130" s="100">
        <f>IF(ISNUMBER(G130), $B145 * H130, "")</f>
        <v>5820.8955223880466</v>
      </c>
      <c r="J130" s="96">
        <v>34.4</v>
      </c>
      <c r="K130" s="97">
        <f>IF(ISNUMBER(J130), (J130 - $B130) / $B130, "")</f>
        <v>2.6865671641791003E-2</v>
      </c>
      <c r="L130" s="98">
        <f>IF(ISNUMBER(J130), $B145 * K130, "")</f>
        <v>4029.8507462686503</v>
      </c>
      <c r="M130" s="99">
        <v>34.700000000000003</v>
      </c>
      <c r="N130" s="97">
        <f>IF(ISNUMBER(M130), (M130 - $B130) / $B130, "")</f>
        <v>3.5820895522388145E-2</v>
      </c>
      <c r="O130" s="98">
        <f>IF(ISNUMBER(M130), $B145 * N130, "")</f>
        <v>5373.1343283582219</v>
      </c>
      <c r="Q130" s="146"/>
      <c r="R130" s="146"/>
      <c r="S130" s="146"/>
    </row>
    <row r="131" spans="1:19" ht="17.25" thickBot="1">
      <c r="A131" s="109" t="s">
        <v>225</v>
      </c>
      <c r="B131" s="110">
        <v>63.8</v>
      </c>
      <c r="C131" s="70">
        <v>-9.3167701999999995E-3</v>
      </c>
      <c r="D131" s="15">
        <v>66.400000000000006</v>
      </c>
      <c r="E131" s="32">
        <f t="shared" ref="E131:E134" si="66">IF(ISNUMBER(D131), (D131 - $B131) / $B131, "")</f>
        <v>4.075235109717882E-2</v>
      </c>
      <c r="F131" s="18">
        <f>IF(ISNUMBER(D131), $B145 * E131, "")</f>
        <v>6112.8526645768234</v>
      </c>
      <c r="G131" s="31">
        <v>65.900000000000006</v>
      </c>
      <c r="H131" s="32">
        <f t="shared" ref="H131:H134" si="67">IF(ISNUMBER(G131), (G131 - $B131) / $B131, "")</f>
        <v>3.2915360501567535E-2</v>
      </c>
      <c r="I131" s="91">
        <f>IF(ISNUMBER(G131), $B145 * H131, "")</f>
        <v>4937.3040752351299</v>
      </c>
      <c r="J131" s="15">
        <v>65.5</v>
      </c>
      <c r="K131" s="32">
        <f t="shared" ref="K131:K134" si="68">IF(ISNUMBER(J131), (J131 - $B131) / $B131, "")</f>
        <v>2.6645768025078415E-2</v>
      </c>
      <c r="L131" s="18">
        <f>IF(ISNUMBER(J131), $B145 * K131, "")</f>
        <v>3996.8652037617621</v>
      </c>
      <c r="M131" s="31">
        <v>65.5</v>
      </c>
      <c r="N131" s="32">
        <f t="shared" ref="N131:N134" si="69">IF(ISNUMBER(M131), (M131 - $B131) / $B131, "")</f>
        <v>2.6645768025078415E-2</v>
      </c>
      <c r="O131" s="18">
        <f>IF(ISNUMBER(M131), $B145 * N131, "")</f>
        <v>3996.8652037617621</v>
      </c>
      <c r="Q131" s="146"/>
      <c r="R131" s="146"/>
      <c r="S131" s="146"/>
    </row>
    <row r="132" spans="1:19" ht="17.25" thickBot="1">
      <c r="A132" s="109" t="s">
        <v>203</v>
      </c>
      <c r="B132" s="110">
        <v>3.87</v>
      </c>
      <c r="C132" s="70">
        <v>-1.2755102000000001E-2</v>
      </c>
      <c r="D132" s="15">
        <v>4</v>
      </c>
      <c r="E132" s="32">
        <f t="shared" si="66"/>
        <v>3.3591731266149845E-2</v>
      </c>
      <c r="F132" s="18">
        <f>IF(ISNUMBER(D132), $B145 * E132, "")</f>
        <v>5038.7596899224764</v>
      </c>
      <c r="G132" s="31">
        <v>4.01</v>
      </c>
      <c r="H132" s="32">
        <f t="shared" si="67"/>
        <v>3.6175710594315159E-2</v>
      </c>
      <c r="I132" s="91">
        <f>IF(ISNUMBER(G132), $B145 * H132, "")</f>
        <v>5426.3565891472736</v>
      </c>
      <c r="J132" s="15">
        <v>4.01</v>
      </c>
      <c r="K132" s="32">
        <f t="shared" si="68"/>
        <v>3.6175710594315159E-2</v>
      </c>
      <c r="L132" s="18">
        <f>IF(ISNUMBER(J132), $B145 * K132, "")</f>
        <v>5426.3565891472736</v>
      </c>
      <c r="M132" s="31">
        <v>3.99</v>
      </c>
      <c r="N132" s="32">
        <f t="shared" si="69"/>
        <v>3.1007751937984523E-2</v>
      </c>
      <c r="O132" s="18">
        <f>IF(ISNUMBER(M132), $B145 * N132, "")</f>
        <v>4651.1627906976782</v>
      </c>
      <c r="Q132" s="146"/>
      <c r="R132" s="146"/>
      <c r="S132" s="146"/>
    </row>
    <row r="133" spans="1:19" ht="17.25" thickBot="1">
      <c r="A133" s="109" t="s">
        <v>227</v>
      </c>
      <c r="B133" s="110">
        <v>46</v>
      </c>
      <c r="C133" s="70">
        <v>-1.28755365E-2</v>
      </c>
      <c r="D133" s="15">
        <v>49.5</v>
      </c>
      <c r="E133" s="32">
        <f t="shared" si="66"/>
        <v>7.6086956521739135E-2</v>
      </c>
      <c r="F133" s="18">
        <f>IF(ISNUMBER(D133), $B145 * E133, "")</f>
        <v>11413.04347826087</v>
      </c>
      <c r="G133" s="31">
        <v>49.6</v>
      </c>
      <c r="H133" s="32">
        <f t="shared" si="67"/>
        <v>7.8260869565217425E-2</v>
      </c>
      <c r="I133" s="91">
        <f>IF(ISNUMBER(G133), $B145 * H133, "")</f>
        <v>11739.130434782614</v>
      </c>
      <c r="J133" s="15">
        <v>49.7</v>
      </c>
      <c r="K133" s="32">
        <f t="shared" si="68"/>
        <v>8.0434782608695715E-2</v>
      </c>
      <c r="L133" s="18">
        <f>IF(ISNUMBER(J133), $B145 * K133, "")</f>
        <v>12065.217391304357</v>
      </c>
      <c r="M133" s="31">
        <v>49.9</v>
      </c>
      <c r="N133" s="32">
        <f t="shared" si="69"/>
        <v>8.4782608695652142E-2</v>
      </c>
      <c r="O133" s="18">
        <f>IF(ISNUMBER(M133), $B145 * N133, "")</f>
        <v>12717.391304347821</v>
      </c>
      <c r="Q133" s="33"/>
      <c r="R133" s="33"/>
    </row>
    <row r="134" spans="1:19" ht="17.25" thickBot="1">
      <c r="A134" s="114" t="s">
        <v>107</v>
      </c>
      <c r="B134" s="115">
        <v>44.7</v>
      </c>
      <c r="C134" s="72">
        <v>-1.54185022E-2</v>
      </c>
      <c r="D134" s="24">
        <v>46.7</v>
      </c>
      <c r="E134" s="25">
        <f t="shared" si="66"/>
        <v>4.4742729306487691E-2</v>
      </c>
      <c r="F134" s="94">
        <f>IF(ISNUMBER(D134), $B145 * E134, "")</f>
        <v>6711.4093959731536</v>
      </c>
      <c r="G134" s="92">
        <v>46.4</v>
      </c>
      <c r="H134" s="25">
        <f t="shared" si="67"/>
        <v>3.8031319910514443E-2</v>
      </c>
      <c r="I134" s="93">
        <f>IF(ISNUMBER(G134), $B145 * H134, "")</f>
        <v>5704.6979865771664</v>
      </c>
      <c r="J134" s="24">
        <v>46</v>
      </c>
      <c r="K134" s="25">
        <f t="shared" si="68"/>
        <v>2.9082774049216938E-2</v>
      </c>
      <c r="L134" s="94">
        <f>IF(ISNUMBER(J134), $B145 * K134, "")</f>
        <v>4362.4161073825408</v>
      </c>
      <c r="M134" s="92">
        <v>46.1</v>
      </c>
      <c r="N134" s="25">
        <f t="shared" si="69"/>
        <v>3.1319910514541353E-2</v>
      </c>
      <c r="O134" s="94">
        <f>IF(ISNUMBER(M134), $B145 * N134, "")</f>
        <v>4697.9865771812028</v>
      </c>
      <c r="Q134" s="147"/>
      <c r="R134" s="148"/>
      <c r="S134" s="149"/>
    </row>
    <row r="135" spans="1:19">
      <c r="A135" s="107" t="s">
        <v>71</v>
      </c>
      <c r="B135" s="108">
        <v>12.2</v>
      </c>
      <c r="C135" s="69">
        <v>-1.6129032299999999E-2</v>
      </c>
      <c r="D135" s="13">
        <v>12.8</v>
      </c>
      <c r="E135" s="14">
        <f>IF(ISNUMBER(D135), (D135 - $B135) / $B135, "")</f>
        <v>4.9180327868852576E-2</v>
      </c>
      <c r="F135" s="16">
        <f>IF(ISNUMBER(D135), $B145 * E135, "")</f>
        <v>7377.0491803278865</v>
      </c>
      <c r="G135" s="29">
        <v>12.8</v>
      </c>
      <c r="H135" s="14">
        <f>IF(ISNUMBER(G135), (G135 - $B135) / $B135, "")</f>
        <v>4.9180327868852576E-2</v>
      </c>
      <c r="I135" s="90">
        <f>IF(ISNUMBER(G135), $B145 * H135, "")</f>
        <v>7377.0491803278865</v>
      </c>
      <c r="J135" s="13">
        <v>12.8</v>
      </c>
      <c r="K135" s="14">
        <f>IF(ISNUMBER(J135), (J135 - $B135) / $B135, "")</f>
        <v>4.9180327868852576E-2</v>
      </c>
      <c r="L135" s="16">
        <f>IF(ISNUMBER(J135), $B145 * K135, "")</f>
        <v>7377.0491803278865</v>
      </c>
      <c r="M135" s="29">
        <v>12.7</v>
      </c>
      <c r="N135" s="14">
        <f>IF(ISNUMBER(M135), (M135 - $B135) / $B135, "")</f>
        <v>4.0983606557377053E-2</v>
      </c>
      <c r="O135" s="16">
        <f>IF(ISNUMBER(M135), $B145 * N135, "")</f>
        <v>6147.5409836065583</v>
      </c>
      <c r="Q135" s="150"/>
      <c r="R135" s="151"/>
      <c r="S135" s="152"/>
    </row>
    <row r="136" spans="1:19" ht="17.25" thickBot="1">
      <c r="A136" s="109" t="s">
        <v>333</v>
      </c>
      <c r="B136" s="110">
        <v>5</v>
      </c>
      <c r="C136" s="70">
        <v>-1.7681728899999999E-2</v>
      </c>
      <c r="D136" s="15">
        <v>5.22</v>
      </c>
      <c r="E136" s="32">
        <f t="shared" ref="E136:E139" si="70">IF(ISNUMBER(D136), (D136 - $B136) / $B136, "")</f>
        <v>4.3999999999999949E-2</v>
      </c>
      <c r="F136" s="18">
        <f>IF(ISNUMBER(D136), $B145 * E136, "")</f>
        <v>6599.9999999999927</v>
      </c>
      <c r="G136" s="31">
        <v>5.22</v>
      </c>
      <c r="H136" s="32">
        <f t="shared" ref="H136:H139" si="71">IF(ISNUMBER(G136), (G136 - $B136) / $B136, "")</f>
        <v>4.3999999999999949E-2</v>
      </c>
      <c r="I136" s="91">
        <f>IF(ISNUMBER(G136), $B145 * H136, "")</f>
        <v>6599.9999999999927</v>
      </c>
      <c r="J136" s="15">
        <v>5.17</v>
      </c>
      <c r="K136" s="32">
        <f t="shared" ref="K136:K139" si="72">IF(ISNUMBER(J136), (J136 - $B136) / $B136, "")</f>
        <v>3.3999999999999989E-2</v>
      </c>
      <c r="L136" s="18">
        <f>IF(ISNUMBER(J136), $B145 * K136, "")</f>
        <v>5099.9999999999982</v>
      </c>
      <c r="M136" s="31">
        <v>5.17</v>
      </c>
      <c r="N136" s="32">
        <f t="shared" ref="N136:N139" si="73">IF(ISNUMBER(M136), (M136 - $B136) / $B136, "")</f>
        <v>3.3999999999999989E-2</v>
      </c>
      <c r="O136" s="18">
        <f>IF(ISNUMBER(M136), $B145 * N136, "")</f>
        <v>5099.9999999999982</v>
      </c>
      <c r="Q136" s="153"/>
      <c r="R136" s="154"/>
      <c r="S136" s="155"/>
    </row>
    <row r="137" spans="1:19" ht="17.25" thickBot="1">
      <c r="A137" s="109" t="s">
        <v>323</v>
      </c>
      <c r="B137" s="110">
        <v>4.1599999999999998E-2</v>
      </c>
      <c r="C137" s="70">
        <v>-1.8867924500000001E-2</v>
      </c>
      <c r="D137" s="15">
        <v>4.5100000000000001E-2</v>
      </c>
      <c r="E137" s="32">
        <f t="shared" si="70"/>
        <v>8.413461538461546E-2</v>
      </c>
      <c r="F137" s="18">
        <f>IF(ISNUMBER(D137), $B145 * E137, "")</f>
        <v>12620.192307692319</v>
      </c>
      <c r="G137" s="31">
        <v>5.21E-2</v>
      </c>
      <c r="H137" s="32">
        <f t="shared" si="71"/>
        <v>0.2524038461538462</v>
      </c>
      <c r="I137" s="91">
        <f>IF(ISNUMBER(G137), $B145 * H137, "")</f>
        <v>37860.576923076929</v>
      </c>
      <c r="J137" s="15">
        <v>5.0900000000000001E-2</v>
      </c>
      <c r="K137" s="32">
        <f t="shared" si="72"/>
        <v>0.22355769230769237</v>
      </c>
      <c r="L137" s="18">
        <f>IF(ISNUMBER(J137), $B145 * K137, "")</f>
        <v>33533.653846153858</v>
      </c>
      <c r="M137" s="31">
        <v>4.9399999999999999E-2</v>
      </c>
      <c r="N137" s="32">
        <f t="shared" si="73"/>
        <v>0.18750000000000006</v>
      </c>
      <c r="O137" s="18">
        <f>IF(ISNUMBER(M137), $B145 * N137, "")</f>
        <v>28125.000000000007</v>
      </c>
      <c r="Q137" s="146"/>
      <c r="R137" s="146"/>
      <c r="S137" s="146"/>
    </row>
    <row r="138" spans="1:19" ht="17.25" thickBot="1">
      <c r="A138" s="109" t="s">
        <v>181</v>
      </c>
      <c r="B138" s="110">
        <v>4.75</v>
      </c>
      <c r="C138" s="70">
        <v>-2.0618556699999999E-2</v>
      </c>
      <c r="D138" s="15">
        <v>4.95</v>
      </c>
      <c r="E138" s="32">
        <f t="shared" si="70"/>
        <v>4.2105263157894778E-2</v>
      </c>
      <c r="F138" s="18">
        <f>IF(ISNUMBER(D138), $B145 * E138, "")</f>
        <v>6315.7894736842163</v>
      </c>
      <c r="G138" s="31">
        <v>4.97</v>
      </c>
      <c r="H138" s="32">
        <f t="shared" si="71"/>
        <v>4.6315789473684157E-2</v>
      </c>
      <c r="I138" s="91">
        <f>IF(ISNUMBER(G138), $B145 * H138, "")</f>
        <v>6947.3684210526235</v>
      </c>
      <c r="J138" s="15">
        <v>4.93</v>
      </c>
      <c r="K138" s="32">
        <f t="shared" si="72"/>
        <v>3.7894736842105203E-2</v>
      </c>
      <c r="L138" s="18">
        <f>IF(ISNUMBER(J138), $B145 * K138, "")</f>
        <v>5684.210526315781</v>
      </c>
      <c r="M138" s="31">
        <v>4.9400000000000004</v>
      </c>
      <c r="N138" s="32">
        <f t="shared" si="73"/>
        <v>4.0000000000000084E-2</v>
      </c>
      <c r="O138" s="18">
        <f>IF(ISNUMBER(M138), $B145 * N138, "")</f>
        <v>6000.0000000000127</v>
      </c>
      <c r="Q138" s="156"/>
      <c r="R138" s="156"/>
      <c r="S138" s="156"/>
    </row>
    <row r="139" spans="1:19" ht="17.25" thickBot="1">
      <c r="A139" s="111" t="s">
        <v>141</v>
      </c>
      <c r="B139" s="112">
        <v>3.91</v>
      </c>
      <c r="C139" s="71">
        <v>-2.4937655900000001E-2</v>
      </c>
      <c r="D139" s="20">
        <v>4.0199999999999996</v>
      </c>
      <c r="E139" s="21">
        <f t="shared" si="70"/>
        <v>2.8132992327365582E-2</v>
      </c>
      <c r="F139" s="22">
        <f>IF(ISNUMBER(D139), $B145 * E139, "")</f>
        <v>4219.9488491048369</v>
      </c>
      <c r="G139" s="30">
        <v>4.03</v>
      </c>
      <c r="H139" s="21">
        <f t="shared" si="71"/>
        <v>3.0690537084399002E-2</v>
      </c>
      <c r="I139" s="95">
        <f>IF(ISNUMBER(G139), $B145 * H139, "")</f>
        <v>4603.5805626598503</v>
      </c>
      <c r="J139" s="20">
        <v>4</v>
      </c>
      <c r="K139" s="21">
        <f t="shared" si="72"/>
        <v>2.3017902813299195E-2</v>
      </c>
      <c r="L139" s="22">
        <f>IF(ISNUMBER(J139), $B145 * K139, "")</f>
        <v>3452.6854219948791</v>
      </c>
      <c r="M139" s="30">
        <v>4.0199999999999996</v>
      </c>
      <c r="N139" s="21">
        <f t="shared" si="73"/>
        <v>2.8132992327365582E-2</v>
      </c>
      <c r="O139" s="22">
        <f>IF(ISNUMBER(M139), $B145 * N139, "")</f>
        <v>4219.9488491048369</v>
      </c>
      <c r="Q139" s="156"/>
      <c r="R139" s="156"/>
      <c r="S139" s="156"/>
    </row>
    <row r="140" spans="1:19" ht="17.25" thickBot="1">
      <c r="A140" s="109" t="s">
        <v>197</v>
      </c>
      <c r="B140" s="113">
        <v>7.95</v>
      </c>
      <c r="C140" s="73">
        <v>-2.57352941E-2</v>
      </c>
      <c r="D140" s="96">
        <v>8.34</v>
      </c>
      <c r="E140" s="97">
        <f>IF(ISNUMBER(D140), (D140 - $B140) / $B140, "")</f>
        <v>4.9056603773584867E-2</v>
      </c>
      <c r="F140" s="98">
        <f>IF(ISNUMBER(D140), $B145 * E140, "")</f>
        <v>7358.4905660377299</v>
      </c>
      <c r="G140" s="99">
        <v>8.16</v>
      </c>
      <c r="H140" s="97">
        <f>IF(ISNUMBER(G140), (G140 - $B140) / $B140, "")</f>
        <v>2.6415094339622636E-2</v>
      </c>
      <c r="I140" s="100">
        <f>IF(ISNUMBER(G140), $B145 * H140, "")</f>
        <v>3962.2641509433952</v>
      </c>
      <c r="J140" s="96">
        <v>8.11</v>
      </c>
      <c r="K140" s="97">
        <f>IF(ISNUMBER(J140), (J140 - $B140) / $B140, "")</f>
        <v>2.0125786163521918E-2</v>
      </c>
      <c r="L140" s="98">
        <f>IF(ISNUMBER(J140), $B145 * K140, "")</f>
        <v>3018.8679245282879</v>
      </c>
      <c r="M140" s="99">
        <v>8.1</v>
      </c>
      <c r="N140" s="97">
        <f>IF(ISNUMBER(M140), (M140 - $B140) / $B140, "")</f>
        <v>1.886792452830182E-2</v>
      </c>
      <c r="O140" s="98">
        <f>IF(ISNUMBER(M140), $B145 * N140, "")</f>
        <v>2830.1886792452729</v>
      </c>
      <c r="Q140" s="146"/>
      <c r="R140" s="146"/>
      <c r="S140" s="146"/>
    </row>
    <row r="141" spans="1:19" ht="17.25" thickBot="1">
      <c r="A141" s="109" t="s">
        <v>138</v>
      </c>
      <c r="B141" s="110">
        <v>32.799999999999997</v>
      </c>
      <c r="C141" s="70">
        <v>-2.95857988E-2</v>
      </c>
      <c r="D141" s="15">
        <v>35.6</v>
      </c>
      <c r="E141" s="32">
        <f t="shared" ref="E141:E144" si="74">IF(ISNUMBER(D141), (D141 - $B141) / $B141, "")</f>
        <v>8.5365853658536717E-2</v>
      </c>
      <c r="F141" s="18">
        <f>IF(ISNUMBER(D141), $B145 * E141, "")</f>
        <v>12804.878048780507</v>
      </c>
      <c r="G141" s="31">
        <v>35.200000000000003</v>
      </c>
      <c r="H141" s="32">
        <f t="shared" ref="H141:H144" si="75">IF(ISNUMBER(G141), (G141 - $B141) / $B141, "")</f>
        <v>7.3170731707317249E-2</v>
      </c>
      <c r="I141" s="91">
        <f>IF(ISNUMBER(G141), $B145 * H141, "")</f>
        <v>10975.609756097587</v>
      </c>
      <c r="J141" s="15">
        <v>34.700000000000003</v>
      </c>
      <c r="K141" s="32">
        <f t="shared" ref="K141:K144" si="76">IF(ISNUMBER(J141), (J141 - $B141) / $B141, "")</f>
        <v>5.7926829268292859E-2</v>
      </c>
      <c r="L141" s="18">
        <f>IF(ISNUMBER(J141), $B145 * K141, "")</f>
        <v>8689.0243902439288</v>
      </c>
      <c r="M141" s="31">
        <v>34.799999999999997</v>
      </c>
      <c r="N141" s="32">
        <f t="shared" ref="N141:N144" si="77">IF(ISNUMBER(M141), (M141 - $B141) / $B141, "")</f>
        <v>6.0975609756097567E-2</v>
      </c>
      <c r="O141" s="18">
        <f>IF(ISNUMBER(M141), $B145 * N141, "")</f>
        <v>9146.3414634146357</v>
      </c>
      <c r="Q141" s="146"/>
      <c r="R141" s="146"/>
      <c r="S141" s="146"/>
    </row>
    <row r="142" spans="1:19" ht="17.25" thickBot="1">
      <c r="A142" s="109" t="s">
        <v>349</v>
      </c>
      <c r="B142" s="110">
        <v>60.8</v>
      </c>
      <c r="C142" s="70">
        <v>-3.0303030299999999E-2</v>
      </c>
      <c r="D142" s="15">
        <v>79.599999999999994</v>
      </c>
      <c r="E142" s="32">
        <f t="shared" si="74"/>
        <v>0.30921052631578944</v>
      </c>
      <c r="F142" s="18">
        <f>IF(ISNUMBER(D142), $B145 * E142, "")</f>
        <v>46381.578947368413</v>
      </c>
      <c r="G142" s="31">
        <v>71.8</v>
      </c>
      <c r="H142" s="32">
        <f t="shared" si="75"/>
        <v>0.18092105263157895</v>
      </c>
      <c r="I142" s="91">
        <f>IF(ISNUMBER(G142), $B145 * H142, "")</f>
        <v>27138.157894736843</v>
      </c>
      <c r="J142" s="15">
        <v>72</v>
      </c>
      <c r="K142" s="32">
        <f t="shared" si="76"/>
        <v>0.18421052631578952</v>
      </c>
      <c r="L142" s="18">
        <f>IF(ISNUMBER(J142), $B145 * K142, "")</f>
        <v>27631.578947368427</v>
      </c>
      <c r="M142" s="31">
        <v>69.3</v>
      </c>
      <c r="N142" s="32">
        <f t="shared" si="77"/>
        <v>0.13980263157894737</v>
      </c>
      <c r="O142" s="18">
        <f>IF(ISNUMBER(M142), $B145 * N142, "")</f>
        <v>20970.394736842107</v>
      </c>
      <c r="Q142" s="146"/>
      <c r="R142" s="146"/>
      <c r="S142" s="146"/>
    </row>
    <row r="143" spans="1:19">
      <c r="A143" s="109" t="s">
        <v>124</v>
      </c>
      <c r="B143" s="110">
        <v>35</v>
      </c>
      <c r="C143" s="70">
        <v>-3.5812672199999999E-2</v>
      </c>
      <c r="D143" s="15">
        <v>36.6</v>
      </c>
      <c r="E143" s="32">
        <f t="shared" si="74"/>
        <v>4.5714285714285756E-2</v>
      </c>
      <c r="F143" s="18">
        <f>IF(ISNUMBER(D143), $B145 * E143, "")</f>
        <v>6857.1428571428632</v>
      </c>
      <c r="G143" s="31">
        <v>36.4</v>
      </c>
      <c r="H143" s="32">
        <f t="shared" si="75"/>
        <v>3.9999999999999959E-2</v>
      </c>
      <c r="I143" s="91">
        <f>IF(ISNUMBER(G143), $B145 * H143, "")</f>
        <v>5999.9999999999936</v>
      </c>
      <c r="J143" s="15">
        <v>36.4</v>
      </c>
      <c r="K143" s="32">
        <f t="shared" si="76"/>
        <v>3.9999999999999959E-2</v>
      </c>
      <c r="L143" s="18">
        <f>IF(ISNUMBER(J143), $B145 * K143, "")</f>
        <v>5999.9999999999936</v>
      </c>
      <c r="M143" s="31">
        <v>36.4</v>
      </c>
      <c r="N143" s="32">
        <f t="shared" si="77"/>
        <v>3.9999999999999959E-2</v>
      </c>
      <c r="O143" s="18">
        <f>IF(ISNUMBER(M143), $B145 * N143, "")</f>
        <v>5999.9999999999936</v>
      </c>
      <c r="Q143" s="135"/>
      <c r="R143" s="136"/>
      <c r="S143" s="137"/>
    </row>
    <row r="144" spans="1:19" ht="17.25" thickBot="1">
      <c r="A144" s="114" t="s">
        <v>97</v>
      </c>
      <c r="B144" s="115">
        <v>8.9999999999999998E-4</v>
      </c>
      <c r="C144" s="72">
        <v>-0.1</v>
      </c>
      <c r="D144" s="24">
        <v>8.9999999999999998E-4</v>
      </c>
      <c r="E144" s="25">
        <f t="shared" si="74"/>
        <v>0</v>
      </c>
      <c r="F144" s="94">
        <f>IF(ISNUMBER(D144), $B145 * E144, "")</f>
        <v>0</v>
      </c>
      <c r="G144" s="92">
        <v>1E-3</v>
      </c>
      <c r="H144" s="25">
        <f t="shared" si="75"/>
        <v>0.11111111111111116</v>
      </c>
      <c r="I144" s="93">
        <f>IF(ISNUMBER(G144), $B145 * H144, "")</f>
        <v>16666.666666666675</v>
      </c>
      <c r="J144" s="24">
        <v>1E-3</v>
      </c>
      <c r="K144" s="25">
        <f t="shared" si="76"/>
        <v>0.11111111111111116</v>
      </c>
      <c r="L144" s="94">
        <f>IF(ISNUMBER(J144), $B145 * K144, "")</f>
        <v>16666.666666666675</v>
      </c>
      <c r="M144" s="92">
        <v>1E-3</v>
      </c>
      <c r="N144" s="25">
        <f t="shared" si="77"/>
        <v>0.11111111111111116</v>
      </c>
      <c r="O144" s="94">
        <f>IF(ISNUMBER(M144), $B145 * N144, "")</f>
        <v>16666.666666666675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5.9657342337833784E-2</v>
      </c>
      <c r="F145" s="28">
        <f>SUM(F125:F144)</f>
        <v>178972.02701350136</v>
      </c>
      <c r="G145" s="26" t="s">
        <v>258</v>
      </c>
      <c r="H145" s="27">
        <f>IF(COUNT(H125:H144), SUM(H125:H144) / COUNT(H125:H144), 0)</f>
        <v>6.4168662043193062E-2</v>
      </c>
      <c r="I145" s="28">
        <f>SUM(I125:I144)</f>
        <v>192505.98612957922</v>
      </c>
      <c r="J145" s="26" t="s">
        <v>258</v>
      </c>
      <c r="K145" s="27">
        <f>IF(COUNT(K125:K144), SUM(K125:K144) / COUNT(K125:K144), 0)</f>
        <v>5.7379165369913686E-2</v>
      </c>
      <c r="L145" s="28">
        <f>SUM(L125:L144)</f>
        <v>172137.4961097411</v>
      </c>
      <c r="M145" s="26" t="s">
        <v>258</v>
      </c>
      <c r="N145" s="27">
        <f>IF(COUNT(N125:N144), SUM(N125:N144) / COUNT(N125:N144), 0)</f>
        <v>5.5153214198584433E-2</v>
      </c>
      <c r="O145" s="28">
        <f>SUM(O125:O144)</f>
        <v>165459.64259575336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2023-01-26(목) 오전 00:00</v>
      </c>
      <c r="C150" s="198"/>
      <c r="D150" s="170" t="str">
        <f>TEXT($G$1, "[$-ko-KR]yyyy-mm-dd(ddd) ") &amp; "오후 14:00"</f>
        <v>2023-01-26(목) 오후 14:00</v>
      </c>
      <c r="E150" s="171"/>
      <c r="F150" s="172"/>
      <c r="G150" s="170" t="str">
        <f>TEXT($G$1, "[$-ko-KR]yyyy-mm-dd(ddd) ") &amp; "오후 19:00"</f>
        <v>2023-01-26(목) 오후 19:00</v>
      </c>
      <c r="H150" s="171"/>
      <c r="I150" s="172"/>
      <c r="J150" s="170" t="str">
        <f>TEXT($G$1, "[$-ko-KR]yyyy-mm-dd(ddd) ") &amp; "오후 21:00"</f>
        <v>2023-01-26(목) 오후 21:00</v>
      </c>
      <c r="K150" s="171"/>
      <c r="L150" s="172"/>
      <c r="M150" s="170" t="str">
        <f>TEXT($G$1+1, "[$-ko-KR]yyyy-mm-dd(ddd) ") &amp; "오전 00:00"</f>
        <v>2023-01-27(금)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235</v>
      </c>
      <c r="B152" s="108">
        <v>618</v>
      </c>
      <c r="C152" s="69">
        <v>-1.9047618999999998E-2</v>
      </c>
      <c r="D152" s="13">
        <v>641</v>
      </c>
      <c r="E152" s="14">
        <f>IF(ISNUMBER(D152), (D152 - $B152) / $B152, "")</f>
        <v>3.7216828478964403E-2</v>
      </c>
      <c r="F152" s="16">
        <f>IF(ISNUMBER(D152), $B172 * E152, "")</f>
        <v>5582.5242718446607</v>
      </c>
      <c r="G152" s="29">
        <v>646</v>
      </c>
      <c r="H152" s="14">
        <f>IF(ISNUMBER(G152), (G152 - $B152) / $B152, "")</f>
        <v>4.5307443365695796E-2</v>
      </c>
      <c r="I152" s="90">
        <f>IF(ISNUMBER(G152), $B172 * H152, "")</f>
        <v>6796.1165048543689</v>
      </c>
      <c r="J152" s="13">
        <v>655</v>
      </c>
      <c r="K152" s="14">
        <f>IF(ISNUMBER(J152), (J152 - $B152) / $B152, "")</f>
        <v>5.9870550161812294E-2</v>
      </c>
      <c r="L152" s="16">
        <f>IF(ISNUMBER(J152), $B172 * K152, "")</f>
        <v>8980.5825242718438</v>
      </c>
      <c r="M152" s="29">
        <v>656</v>
      </c>
      <c r="N152" s="14">
        <f>IF(ISNUMBER(M152), (M152 - $B152) / $B152, "")</f>
        <v>6.1488673139158574E-2</v>
      </c>
      <c r="O152" s="16">
        <f>IF(ISNUMBER(M152), $B172 * N152, "")</f>
        <v>9223.3009708737864</v>
      </c>
      <c r="Q152" s="156"/>
      <c r="R152" s="156"/>
      <c r="S152" s="156"/>
    </row>
    <row r="153" spans="1:19" ht="17.25" thickBot="1">
      <c r="A153" s="109" t="s">
        <v>68</v>
      </c>
      <c r="B153" s="110">
        <v>644</v>
      </c>
      <c r="C153" s="70">
        <v>-1.9786910200000001E-2</v>
      </c>
      <c r="D153" s="15">
        <v>711</v>
      </c>
      <c r="E153" s="32">
        <f t="shared" ref="E153:E156" si="78">IF(ISNUMBER(D153), (D153 - $B153) / $B153, "")</f>
        <v>0.10403726708074534</v>
      </c>
      <c r="F153" s="18">
        <f>IF(ISNUMBER(D153), $B172 * E153, "")</f>
        <v>15605.590062111802</v>
      </c>
      <c r="G153" s="31">
        <v>700</v>
      </c>
      <c r="H153" s="32">
        <f t="shared" ref="H153:H156" si="79">IF(ISNUMBER(G153), (G153 - $B153) / $B153, "")</f>
        <v>8.6956521739130432E-2</v>
      </c>
      <c r="I153" s="91">
        <f>IF(ISNUMBER(G153), $B172 * H153, "")</f>
        <v>13043.478260869564</v>
      </c>
      <c r="J153" s="15">
        <v>692</v>
      </c>
      <c r="K153" s="32">
        <f t="shared" ref="K153:K156" si="80">IF(ISNUMBER(J153), (J153 - $B153) / $B153, "")</f>
        <v>7.4534161490683232E-2</v>
      </c>
      <c r="L153" s="18">
        <f>IF(ISNUMBER(J153), $B172 * K153, "")</f>
        <v>11180.124223602485</v>
      </c>
      <c r="M153" s="31">
        <v>687</v>
      </c>
      <c r="N153" s="32">
        <f t="shared" ref="N153:N156" si="81">IF(ISNUMBER(M153), (M153 - $B153) / $B153, "")</f>
        <v>6.6770186335403728E-2</v>
      </c>
      <c r="O153" s="18">
        <f>IF(ISNUMBER(M153), $B172 * N153, "")</f>
        <v>10015.527950310559</v>
      </c>
      <c r="Q153" s="156"/>
      <c r="R153" s="156"/>
      <c r="S153" s="156"/>
    </row>
    <row r="154" spans="1:19" ht="17.25" thickBot="1">
      <c r="A154" s="109" t="s">
        <v>330</v>
      </c>
      <c r="B154" s="110">
        <v>343</v>
      </c>
      <c r="C154" s="70">
        <v>-0.02</v>
      </c>
      <c r="D154" s="15">
        <v>371</v>
      </c>
      <c r="E154" s="32">
        <f t="shared" si="78"/>
        <v>8.1632653061224483E-2</v>
      </c>
      <c r="F154" s="18">
        <f>IF(ISNUMBER(D154), $B172 * E154, "")</f>
        <v>12244.897959183672</v>
      </c>
      <c r="G154" s="31">
        <v>366</v>
      </c>
      <c r="H154" s="32">
        <f t="shared" si="79"/>
        <v>6.7055393586005832E-2</v>
      </c>
      <c r="I154" s="91">
        <f>IF(ISNUMBER(G154), $B172 * H154, "")</f>
        <v>10058.309037900875</v>
      </c>
      <c r="J154" s="15">
        <v>364</v>
      </c>
      <c r="K154" s="32">
        <f t="shared" si="80"/>
        <v>6.1224489795918366E-2</v>
      </c>
      <c r="L154" s="18">
        <f>IF(ISNUMBER(J154), $B172 * K154, "")</f>
        <v>9183.6734693877552</v>
      </c>
      <c r="M154" s="31">
        <v>366</v>
      </c>
      <c r="N154" s="32">
        <f t="shared" si="81"/>
        <v>6.7055393586005832E-2</v>
      </c>
      <c r="O154" s="18">
        <f>IF(ISNUMBER(M154), $B172 * N154, "")</f>
        <v>10058.309037900875</v>
      </c>
      <c r="Q154" s="146"/>
      <c r="R154" s="146"/>
      <c r="S154" s="146"/>
    </row>
    <row r="155" spans="1:19" ht="17.25" thickBot="1">
      <c r="A155" s="109" t="s">
        <v>153</v>
      </c>
      <c r="B155" s="110">
        <v>426</v>
      </c>
      <c r="C155" s="70">
        <v>-2.06896552E-2</v>
      </c>
      <c r="D155" s="15">
        <v>449</v>
      </c>
      <c r="E155" s="32">
        <f t="shared" si="78"/>
        <v>5.39906103286385E-2</v>
      </c>
      <c r="F155" s="18">
        <f>IF(ISNUMBER(D155), $B172 * E155, "")</f>
        <v>8098.5915492957747</v>
      </c>
      <c r="G155" s="31">
        <v>455</v>
      </c>
      <c r="H155" s="32">
        <f t="shared" si="79"/>
        <v>6.8075117370892016E-2</v>
      </c>
      <c r="I155" s="91">
        <f>IF(ISNUMBER(G155), $B172 * H155, "")</f>
        <v>10211.267605633802</v>
      </c>
      <c r="J155" s="15">
        <v>451</v>
      </c>
      <c r="K155" s="32">
        <f t="shared" si="80"/>
        <v>5.8685446009389672E-2</v>
      </c>
      <c r="L155" s="18">
        <f>IF(ISNUMBER(J155), $B172 * K155, "")</f>
        <v>8802.8169014084506</v>
      </c>
      <c r="M155" s="31">
        <v>454</v>
      </c>
      <c r="N155" s="32">
        <f t="shared" si="81"/>
        <v>6.5727699530516437E-2</v>
      </c>
      <c r="O155" s="18">
        <f>IF(ISNUMBER(M155), $B172 * N155, "")</f>
        <v>9859.1549295774657</v>
      </c>
      <c r="Q155" s="146"/>
      <c r="R155" s="146"/>
      <c r="S155" s="146"/>
    </row>
    <row r="156" spans="1:19" ht="17.25" thickBot="1">
      <c r="A156" s="111" t="s">
        <v>213</v>
      </c>
      <c r="B156" s="112">
        <v>514</v>
      </c>
      <c r="C156" s="71">
        <v>-2.0952380999999999E-2</v>
      </c>
      <c r="D156" s="20">
        <v>534</v>
      </c>
      <c r="E156" s="21">
        <f t="shared" si="78"/>
        <v>3.8910505836575876E-2</v>
      </c>
      <c r="F156" s="22">
        <f>IF(ISNUMBER(D156), $B172 * E156, "")</f>
        <v>5836.5758754863818</v>
      </c>
      <c r="G156" s="30">
        <v>537</v>
      </c>
      <c r="H156" s="21">
        <f t="shared" si="79"/>
        <v>4.4747081712062257E-2</v>
      </c>
      <c r="I156" s="95">
        <f>IF(ISNUMBER(G156), $B172 * H156, "")</f>
        <v>6712.0622568093386</v>
      </c>
      <c r="J156" s="20">
        <v>537</v>
      </c>
      <c r="K156" s="21">
        <f t="shared" si="80"/>
        <v>4.4747081712062257E-2</v>
      </c>
      <c r="L156" s="22">
        <f>IF(ISNUMBER(J156), $B172 * K156, "")</f>
        <v>6712.0622568093386</v>
      </c>
      <c r="M156" s="30">
        <v>538</v>
      </c>
      <c r="N156" s="21">
        <f t="shared" si="81"/>
        <v>4.6692607003891051E-2</v>
      </c>
      <c r="O156" s="22">
        <f>IF(ISNUMBER(M156), $B172 * N156, "")</f>
        <v>7003.8910505836575</v>
      </c>
      <c r="Q156" s="146"/>
      <c r="R156" s="146"/>
      <c r="S156" s="146"/>
    </row>
    <row r="157" spans="1:19" ht="17.25" thickBot="1">
      <c r="A157" s="109" t="s">
        <v>321</v>
      </c>
      <c r="B157" s="113">
        <v>227</v>
      </c>
      <c r="C157" s="73">
        <v>-2.1551724099999999E-2</v>
      </c>
      <c r="D157" s="96">
        <v>238</v>
      </c>
      <c r="E157" s="97">
        <f>IF(ISNUMBER(D157), (D157 - $B157) / $B157, "")</f>
        <v>4.8458149779735685E-2</v>
      </c>
      <c r="F157" s="98">
        <f>IF(ISNUMBER(D157), $B172 * E157, "")</f>
        <v>7268.7224669603529</v>
      </c>
      <c r="G157" s="99">
        <v>239</v>
      </c>
      <c r="H157" s="97">
        <f>IF(ISNUMBER(G157), (G157 - $B157) / $B157, "")</f>
        <v>5.2863436123348019E-2</v>
      </c>
      <c r="I157" s="100">
        <f>IF(ISNUMBER(G157), $B172 * H157, "")</f>
        <v>7929.5154185022029</v>
      </c>
      <c r="J157" s="96">
        <v>238</v>
      </c>
      <c r="K157" s="97">
        <f>IF(ISNUMBER(J157), (J157 - $B157) / $B157, "")</f>
        <v>4.8458149779735685E-2</v>
      </c>
      <c r="L157" s="98">
        <f>IF(ISNUMBER(J157), $B172 * K157, "")</f>
        <v>7268.7224669603529</v>
      </c>
      <c r="M157" s="99">
        <v>236</v>
      </c>
      <c r="N157" s="97">
        <f>IF(ISNUMBER(M157), (M157 - $B157) / $B157, "")</f>
        <v>3.9647577092511016E-2</v>
      </c>
      <c r="O157" s="98">
        <f>IF(ISNUMBER(M157), $B172 * N157, "")</f>
        <v>5947.136563876652</v>
      </c>
      <c r="Q157" s="146"/>
      <c r="R157" s="146"/>
      <c r="S157" s="146"/>
    </row>
    <row r="158" spans="1:19" ht="17.25" thickBot="1">
      <c r="A158" s="109" t="s">
        <v>105</v>
      </c>
      <c r="B158" s="110">
        <v>269</v>
      </c>
      <c r="C158" s="70">
        <v>-2.1818181799999999E-2</v>
      </c>
      <c r="D158" s="15">
        <v>280</v>
      </c>
      <c r="E158" s="32">
        <f t="shared" ref="E158:E161" si="82">IF(ISNUMBER(D158), (D158 - $B158) / $B158, "")</f>
        <v>4.0892193308550186E-2</v>
      </c>
      <c r="F158" s="18">
        <f>IF(ISNUMBER(D158), $B172 * E158, "")</f>
        <v>6133.8289962825274</v>
      </c>
      <c r="G158" s="31">
        <v>279</v>
      </c>
      <c r="H158" s="32">
        <f t="shared" ref="H158:H161" si="83">IF(ISNUMBER(G158), (G158 - $B158) / $B158, "")</f>
        <v>3.717472118959108E-2</v>
      </c>
      <c r="I158" s="91">
        <f>IF(ISNUMBER(G158), $B172 * H158, "")</f>
        <v>5576.2081784386619</v>
      </c>
      <c r="J158" s="15">
        <v>277</v>
      </c>
      <c r="K158" s="32">
        <f t="shared" ref="K158:K161" si="84">IF(ISNUMBER(J158), (J158 - $B158) / $B158, "")</f>
        <v>2.9739776951672861E-2</v>
      </c>
      <c r="L158" s="18">
        <f>IF(ISNUMBER(J158), $B172 * K158, "")</f>
        <v>4460.966542750929</v>
      </c>
      <c r="M158" s="31">
        <v>275</v>
      </c>
      <c r="N158" s="32">
        <f t="shared" ref="N158:N161" si="85">IF(ISNUMBER(M158), (M158 - $B158) / $B158, "")</f>
        <v>2.2304832713754646E-2</v>
      </c>
      <c r="O158" s="18">
        <f>IF(ISNUMBER(M158), $B172 * N158, "")</f>
        <v>3345.724907063197</v>
      </c>
      <c r="Q158" s="146"/>
      <c r="R158" s="146"/>
      <c r="S158" s="146"/>
    </row>
    <row r="159" spans="1:19" ht="17.25" thickBot="1">
      <c r="A159" s="109" t="s">
        <v>239</v>
      </c>
      <c r="B159" s="110">
        <v>483</v>
      </c>
      <c r="C159" s="70">
        <v>-2.2267206500000001E-2</v>
      </c>
      <c r="D159" s="15">
        <v>499</v>
      </c>
      <c r="E159" s="32">
        <f t="shared" si="82"/>
        <v>3.3126293995859216E-2</v>
      </c>
      <c r="F159" s="18">
        <f>IF(ISNUMBER(D159), $B172 * E159, "")</f>
        <v>4968.9440993788821</v>
      </c>
      <c r="G159" s="31">
        <v>499</v>
      </c>
      <c r="H159" s="32">
        <f t="shared" si="83"/>
        <v>3.3126293995859216E-2</v>
      </c>
      <c r="I159" s="91">
        <f>IF(ISNUMBER(G159), $B172 * H159, "")</f>
        <v>4968.9440993788821</v>
      </c>
      <c r="J159" s="15">
        <v>500</v>
      </c>
      <c r="K159" s="32">
        <f t="shared" si="84"/>
        <v>3.5196687370600416E-2</v>
      </c>
      <c r="L159" s="18">
        <f>IF(ISNUMBER(J159), $B172 * K159, "")</f>
        <v>5279.5031055900627</v>
      </c>
      <c r="M159" s="31">
        <v>499</v>
      </c>
      <c r="N159" s="32">
        <f t="shared" si="85"/>
        <v>3.3126293995859216E-2</v>
      </c>
      <c r="O159" s="18">
        <f>IF(ISNUMBER(M159), $B172 * N159, "")</f>
        <v>4968.9440993788821</v>
      </c>
      <c r="Q159" s="146"/>
      <c r="R159" s="146"/>
      <c r="S159" s="146"/>
    </row>
    <row r="160" spans="1:19" ht="17.25" thickBot="1">
      <c r="A160" s="109" t="s">
        <v>66</v>
      </c>
      <c r="B160" s="110">
        <v>805</v>
      </c>
      <c r="C160" s="70">
        <v>-2.30582524E-2</v>
      </c>
      <c r="D160" s="15">
        <v>844</v>
      </c>
      <c r="E160" s="32">
        <f t="shared" si="82"/>
        <v>4.8447204968944099E-2</v>
      </c>
      <c r="F160" s="18">
        <f>IF(ISNUMBER(D160), $B172 * E160, "")</f>
        <v>7267.0807453416146</v>
      </c>
      <c r="G160" s="31">
        <v>842</v>
      </c>
      <c r="H160" s="32">
        <f t="shared" si="83"/>
        <v>4.5962732919254658E-2</v>
      </c>
      <c r="I160" s="91">
        <f>IF(ISNUMBER(G160), $B172 * H160, "")</f>
        <v>6894.4099378881983</v>
      </c>
      <c r="J160" s="15">
        <v>838</v>
      </c>
      <c r="K160" s="32">
        <f t="shared" si="84"/>
        <v>4.0993788819875775E-2</v>
      </c>
      <c r="L160" s="18">
        <f>IF(ISNUMBER(J160), $B172 * K160, "")</f>
        <v>6149.0683229813658</v>
      </c>
      <c r="M160" s="31">
        <v>836</v>
      </c>
      <c r="N160" s="32">
        <f t="shared" si="85"/>
        <v>3.8509316770186333E-2</v>
      </c>
      <c r="O160" s="18">
        <f>IF(ISNUMBER(M160), $B172 * N160, "")</f>
        <v>5776.3975155279504</v>
      </c>
      <c r="Q160" s="33"/>
      <c r="R160" s="33"/>
    </row>
    <row r="161" spans="1:19" ht="17.25" thickBot="1">
      <c r="A161" s="114" t="s">
        <v>199</v>
      </c>
      <c r="B161" s="115">
        <v>338</v>
      </c>
      <c r="C161" s="72">
        <v>-2.3121387300000001E-2</v>
      </c>
      <c r="D161" s="24">
        <v>369</v>
      </c>
      <c r="E161" s="25">
        <f t="shared" si="82"/>
        <v>9.1715976331360943E-2</v>
      </c>
      <c r="F161" s="94">
        <f>IF(ISNUMBER(D161), $B172 * E161, "")</f>
        <v>13757.396449704142</v>
      </c>
      <c r="G161" s="92">
        <v>371</v>
      </c>
      <c r="H161" s="25">
        <f t="shared" si="83"/>
        <v>9.7633136094674555E-2</v>
      </c>
      <c r="I161" s="93">
        <f>IF(ISNUMBER(G161), $B172 * H161, "")</f>
        <v>14644.970414201183</v>
      </c>
      <c r="J161" s="24">
        <v>366</v>
      </c>
      <c r="K161" s="25">
        <f t="shared" si="84"/>
        <v>8.2840236686390539E-2</v>
      </c>
      <c r="L161" s="94">
        <f>IF(ISNUMBER(J161), $B172 * K161, "")</f>
        <v>12426.035502958581</v>
      </c>
      <c r="M161" s="92">
        <v>367</v>
      </c>
      <c r="N161" s="25">
        <f t="shared" si="85"/>
        <v>8.5798816568047331E-2</v>
      </c>
      <c r="O161" s="94">
        <f>IF(ISNUMBER(M161), $B172 * N161, "")</f>
        <v>12869.8224852071</v>
      </c>
      <c r="Q161" s="147"/>
      <c r="R161" s="148"/>
      <c r="S161" s="149"/>
    </row>
    <row r="162" spans="1:19">
      <c r="A162" s="107" t="s">
        <v>317</v>
      </c>
      <c r="B162" s="108">
        <v>604</v>
      </c>
      <c r="C162" s="69">
        <v>-2.42326333E-2</v>
      </c>
      <c r="D162" s="13">
        <v>624</v>
      </c>
      <c r="E162" s="14">
        <f>IF(ISNUMBER(D162), (D162 - $B162) / $B162, "")</f>
        <v>3.3112582781456956E-2</v>
      </c>
      <c r="F162" s="16">
        <f>IF(ISNUMBER(D162), $B172 * E162, "")</f>
        <v>4966.8874172185433</v>
      </c>
      <c r="G162" s="29">
        <v>660</v>
      </c>
      <c r="H162" s="14">
        <f>IF(ISNUMBER(G162), (G162 - $B162) / $B162, "")</f>
        <v>9.2715231788079472E-2</v>
      </c>
      <c r="I162" s="90">
        <f>IF(ISNUMBER(G162), $B172 * H162, "")</f>
        <v>13907.284768211921</v>
      </c>
      <c r="J162" s="13">
        <v>630</v>
      </c>
      <c r="K162" s="14">
        <f>IF(ISNUMBER(J162), (J162 - $B162) / $B162, "")</f>
        <v>4.3046357615894038E-2</v>
      </c>
      <c r="L162" s="16">
        <f>IF(ISNUMBER(J162), $B172 * K162, "")</f>
        <v>6456.9536423841055</v>
      </c>
      <c r="M162" s="29">
        <v>629</v>
      </c>
      <c r="N162" s="14">
        <f>IF(ISNUMBER(M162), (M162 - $B162) / $B162, "")</f>
        <v>4.1390728476821195E-2</v>
      </c>
      <c r="O162" s="16">
        <f>IF(ISNUMBER(M162), $B172 * N162, "")</f>
        <v>6208.6092715231789</v>
      </c>
      <c r="Q162" s="150"/>
      <c r="R162" s="151"/>
      <c r="S162" s="152"/>
    </row>
    <row r="163" spans="1:19" ht="17.25" thickBot="1">
      <c r="A163" s="109" t="s">
        <v>205</v>
      </c>
      <c r="B163" s="110">
        <v>120</v>
      </c>
      <c r="C163" s="70">
        <v>-2.4390243900000001E-2</v>
      </c>
      <c r="D163" s="15">
        <v>131</v>
      </c>
      <c r="E163" s="32">
        <f t="shared" ref="E163:E166" si="86">IF(ISNUMBER(D163), (D163 - $B163) / $B163, "")</f>
        <v>9.166666666666666E-2</v>
      </c>
      <c r="F163" s="18">
        <f>IF(ISNUMBER(D163), $B172 * E163, "")</f>
        <v>13749.999999999998</v>
      </c>
      <c r="G163" s="31">
        <v>131</v>
      </c>
      <c r="H163" s="32">
        <f t="shared" ref="H163:H166" si="87">IF(ISNUMBER(G163), (G163 - $B163) / $B163, "")</f>
        <v>9.166666666666666E-2</v>
      </c>
      <c r="I163" s="91">
        <f>IF(ISNUMBER(G163), $B172 * H163, "")</f>
        <v>13749.999999999998</v>
      </c>
      <c r="J163" s="15">
        <v>129</v>
      </c>
      <c r="K163" s="32">
        <f t="shared" ref="K163:K166" si="88">IF(ISNUMBER(J163), (J163 - $B163) / $B163, "")</f>
        <v>7.4999999999999997E-2</v>
      </c>
      <c r="L163" s="18">
        <f>IF(ISNUMBER(J163), $B172 * K163, "")</f>
        <v>11250</v>
      </c>
      <c r="M163" s="31">
        <v>128</v>
      </c>
      <c r="N163" s="32">
        <f t="shared" ref="N163:N166" si="89">IF(ISNUMBER(M163), (M163 - $B163) / $B163, "")</f>
        <v>6.6666666666666666E-2</v>
      </c>
      <c r="O163" s="18">
        <f>IF(ISNUMBER(M163), $B172 * N163, "")</f>
        <v>10000</v>
      </c>
      <c r="Q163" s="153"/>
      <c r="R163" s="154"/>
      <c r="S163" s="155"/>
    </row>
    <row r="164" spans="1:19" ht="17.25" thickBot="1">
      <c r="A164" s="109" t="s">
        <v>201</v>
      </c>
      <c r="B164" s="110">
        <v>275</v>
      </c>
      <c r="C164" s="70">
        <v>-2.4822694999999999E-2</v>
      </c>
      <c r="D164" s="15">
        <v>290</v>
      </c>
      <c r="E164" s="32">
        <f t="shared" si="86"/>
        <v>5.4545454545454543E-2</v>
      </c>
      <c r="F164" s="18">
        <f>IF(ISNUMBER(D164), $B172 * E164, "")</f>
        <v>8181.8181818181811</v>
      </c>
      <c r="G164" s="31">
        <v>288</v>
      </c>
      <c r="H164" s="32">
        <f t="shared" si="87"/>
        <v>4.7272727272727272E-2</v>
      </c>
      <c r="I164" s="91">
        <f>IF(ISNUMBER(G164), $B172 * H164, "")</f>
        <v>7090.909090909091</v>
      </c>
      <c r="J164" s="15">
        <v>287</v>
      </c>
      <c r="K164" s="32">
        <f t="shared" si="88"/>
        <v>4.363636363636364E-2</v>
      </c>
      <c r="L164" s="18">
        <f>IF(ISNUMBER(J164), $B172 * K164, "")</f>
        <v>6545.454545454546</v>
      </c>
      <c r="M164" s="31">
        <v>288</v>
      </c>
      <c r="N164" s="32">
        <f t="shared" si="89"/>
        <v>4.7272727272727272E-2</v>
      </c>
      <c r="O164" s="18">
        <f>IF(ISNUMBER(M164), $B172 * N164, "")</f>
        <v>7090.909090909091</v>
      </c>
      <c r="Q164" s="146"/>
      <c r="R164" s="146"/>
      <c r="S164" s="146"/>
    </row>
    <row r="165" spans="1:19" ht="17.25" thickBot="1">
      <c r="A165" s="109" t="s">
        <v>231</v>
      </c>
      <c r="B165" s="110">
        <v>383</v>
      </c>
      <c r="C165" s="70">
        <v>-2.5445292599999999E-2</v>
      </c>
      <c r="D165" s="15">
        <v>399</v>
      </c>
      <c r="E165" s="32">
        <f t="shared" si="86"/>
        <v>4.1775456919060053E-2</v>
      </c>
      <c r="F165" s="18">
        <f>IF(ISNUMBER(D165), $B172 * E165, "")</f>
        <v>6266.3185378590078</v>
      </c>
      <c r="G165" s="31">
        <v>399</v>
      </c>
      <c r="H165" s="32">
        <f t="shared" si="87"/>
        <v>4.1775456919060053E-2</v>
      </c>
      <c r="I165" s="91">
        <f>IF(ISNUMBER(G165), $B172 * H165, "")</f>
        <v>6266.3185378590078</v>
      </c>
      <c r="J165" s="15">
        <v>399</v>
      </c>
      <c r="K165" s="32">
        <f t="shared" si="88"/>
        <v>4.1775456919060053E-2</v>
      </c>
      <c r="L165" s="18">
        <f>IF(ISNUMBER(J165), $B172 * K165, "")</f>
        <v>6266.3185378590078</v>
      </c>
      <c r="M165" s="31">
        <v>398</v>
      </c>
      <c r="N165" s="32">
        <f t="shared" si="89"/>
        <v>3.91644908616188E-2</v>
      </c>
      <c r="O165" s="18">
        <f>IF(ISNUMBER(M165), $B172 * N165, "")</f>
        <v>5874.6736292428204</v>
      </c>
      <c r="Q165" s="156"/>
      <c r="R165" s="156"/>
      <c r="S165" s="156"/>
    </row>
    <row r="166" spans="1:19" ht="17.25" thickBot="1">
      <c r="A166" s="111" t="s">
        <v>130</v>
      </c>
      <c r="B166" s="112">
        <v>939</v>
      </c>
      <c r="C166" s="71">
        <v>-2.6943005200000002E-2</v>
      </c>
      <c r="D166" s="20">
        <v>997</v>
      </c>
      <c r="E166" s="21">
        <f t="shared" si="86"/>
        <v>6.1767838125665601E-2</v>
      </c>
      <c r="F166" s="22">
        <f>IF(ISNUMBER(D166), $B172 * E166, "")</f>
        <v>9265.1757188498395</v>
      </c>
      <c r="G166" s="30">
        <v>994</v>
      </c>
      <c r="H166" s="21">
        <f t="shared" si="87"/>
        <v>5.8572949946751864E-2</v>
      </c>
      <c r="I166" s="95">
        <f>IF(ISNUMBER(G166), $B172 * H166, "")</f>
        <v>8785.9424920127803</v>
      </c>
      <c r="J166" s="20">
        <v>981</v>
      </c>
      <c r="K166" s="21">
        <f t="shared" si="88"/>
        <v>4.472843450479233E-2</v>
      </c>
      <c r="L166" s="22">
        <f>IF(ISNUMBER(J166), $B172 * K166, "")</f>
        <v>6709.2651757188496</v>
      </c>
      <c r="M166" s="30">
        <v>986</v>
      </c>
      <c r="N166" s="21">
        <f t="shared" si="89"/>
        <v>5.0053248136315232E-2</v>
      </c>
      <c r="O166" s="22">
        <f>IF(ISNUMBER(M166), $B172 * N166, "")</f>
        <v>7507.9872204472849</v>
      </c>
      <c r="Q166" s="156"/>
      <c r="R166" s="156"/>
      <c r="S166" s="156"/>
    </row>
    <row r="167" spans="1:19" ht="17.25" thickBot="1">
      <c r="A167" s="109" t="s">
        <v>219</v>
      </c>
      <c r="B167" s="113">
        <v>464</v>
      </c>
      <c r="C167" s="73">
        <v>-2.7253668799999999E-2</v>
      </c>
      <c r="D167" s="96">
        <v>483</v>
      </c>
      <c r="E167" s="97">
        <f>IF(ISNUMBER(D167), (D167 - $B167) / $B167, "")</f>
        <v>4.0948275862068964E-2</v>
      </c>
      <c r="F167" s="98">
        <f>IF(ISNUMBER(D167), $B172 * E167, "")</f>
        <v>6142.2413793103442</v>
      </c>
      <c r="G167" s="99">
        <v>483</v>
      </c>
      <c r="H167" s="97">
        <f>IF(ISNUMBER(G167), (G167 - $B167) / $B167, "")</f>
        <v>4.0948275862068964E-2</v>
      </c>
      <c r="I167" s="100">
        <f>IF(ISNUMBER(G167), $B172 * H167, "")</f>
        <v>6142.2413793103442</v>
      </c>
      <c r="J167" s="96">
        <v>480</v>
      </c>
      <c r="K167" s="97">
        <f>IF(ISNUMBER(J167), (J167 - $B167) / $B167, "")</f>
        <v>3.4482758620689655E-2</v>
      </c>
      <c r="L167" s="98">
        <f>IF(ISNUMBER(J167), $B172 * K167, "")</f>
        <v>5172.4137931034484</v>
      </c>
      <c r="M167" s="99">
        <v>482</v>
      </c>
      <c r="N167" s="97">
        <f>IF(ISNUMBER(M167), (M167 - $B167) / $B167, "")</f>
        <v>3.8793103448275863E-2</v>
      </c>
      <c r="O167" s="98">
        <f>IF(ISNUMBER(M167), $B172 * N167, "")</f>
        <v>5818.9655172413795</v>
      </c>
      <c r="Q167" s="146"/>
      <c r="R167" s="146"/>
      <c r="S167" s="146"/>
    </row>
    <row r="168" spans="1:19" ht="17.25" thickBot="1">
      <c r="A168" s="109" t="s">
        <v>176</v>
      </c>
      <c r="B168" s="110">
        <v>351</v>
      </c>
      <c r="C168" s="70">
        <v>-2.7700830999999999E-2</v>
      </c>
      <c r="D168" s="15">
        <v>366</v>
      </c>
      <c r="E168" s="32">
        <f t="shared" ref="E168:E171" si="90">IF(ISNUMBER(D168), (D168 - $B168) / $B168, "")</f>
        <v>4.2735042735042736E-2</v>
      </c>
      <c r="F168" s="18">
        <f>IF(ISNUMBER(D168), $B172 * E168, "")</f>
        <v>6410.2564102564102</v>
      </c>
      <c r="G168" s="31">
        <v>367</v>
      </c>
      <c r="H168" s="32">
        <f t="shared" ref="H168:H171" si="91">IF(ISNUMBER(G168), (G168 - $B168) / $B168, "")</f>
        <v>4.5584045584045586E-2</v>
      </c>
      <c r="I168" s="91">
        <f>IF(ISNUMBER(G168), $B172 * H168, "")</f>
        <v>6837.6068376068379</v>
      </c>
      <c r="J168" s="15">
        <v>367</v>
      </c>
      <c r="K168" s="32">
        <f t="shared" ref="K168:K171" si="92">IF(ISNUMBER(J168), (J168 - $B168) / $B168, "")</f>
        <v>4.5584045584045586E-2</v>
      </c>
      <c r="L168" s="18">
        <f>IF(ISNUMBER(J168), $B172 * K168, "")</f>
        <v>6837.6068376068379</v>
      </c>
      <c r="M168" s="31">
        <v>367</v>
      </c>
      <c r="N168" s="32">
        <f t="shared" ref="N168:N171" si="93">IF(ISNUMBER(M168), (M168 - $B168) / $B168, "")</f>
        <v>4.5584045584045586E-2</v>
      </c>
      <c r="O168" s="18">
        <f>IF(ISNUMBER(M168), $B172 * N168, "")</f>
        <v>6837.6068376068379</v>
      </c>
      <c r="Q168" s="146"/>
      <c r="R168" s="146"/>
      <c r="S168" s="146"/>
    </row>
    <row r="169" spans="1:19" ht="17.25" thickBot="1">
      <c r="A169" s="109" t="s">
        <v>215</v>
      </c>
      <c r="B169" s="110">
        <v>379</v>
      </c>
      <c r="C169" s="70">
        <v>-2.8205128199999999E-2</v>
      </c>
      <c r="D169" s="15">
        <v>396</v>
      </c>
      <c r="E169" s="32">
        <f t="shared" si="90"/>
        <v>4.4854881266490766E-2</v>
      </c>
      <c r="F169" s="18">
        <f>IF(ISNUMBER(D169), $B172 * E169, "")</f>
        <v>6728.2321899736153</v>
      </c>
      <c r="G169" s="31">
        <v>394</v>
      </c>
      <c r="H169" s="32">
        <f t="shared" si="91"/>
        <v>3.9577836411609502E-2</v>
      </c>
      <c r="I169" s="91">
        <f>IF(ISNUMBER(G169), $B172 * H169, "")</f>
        <v>5936.6754617414254</v>
      </c>
      <c r="J169" s="15">
        <v>392</v>
      </c>
      <c r="K169" s="32">
        <f t="shared" si="92"/>
        <v>3.430079155672823E-2</v>
      </c>
      <c r="L169" s="18">
        <f>IF(ISNUMBER(J169), $B172 * K169, "")</f>
        <v>5145.1187335092345</v>
      </c>
      <c r="M169" s="31">
        <v>393</v>
      </c>
      <c r="N169" s="32">
        <f t="shared" si="93"/>
        <v>3.6939313984168866E-2</v>
      </c>
      <c r="O169" s="18">
        <f>IF(ISNUMBER(M169), $B172 * N169, "")</f>
        <v>5540.8970976253295</v>
      </c>
      <c r="Q169" s="146"/>
      <c r="R169" s="146"/>
      <c r="S169" s="146"/>
    </row>
    <row r="170" spans="1:19">
      <c r="A170" s="109" t="s">
        <v>161</v>
      </c>
      <c r="B170" s="110">
        <v>336</v>
      </c>
      <c r="C170" s="70">
        <v>-2.89017341E-2</v>
      </c>
      <c r="D170" s="15">
        <v>352</v>
      </c>
      <c r="E170" s="32">
        <f t="shared" si="90"/>
        <v>4.7619047619047616E-2</v>
      </c>
      <c r="F170" s="18">
        <f>IF(ISNUMBER(D170), $B172 * E170, "")</f>
        <v>7142.8571428571422</v>
      </c>
      <c r="G170" s="31">
        <v>353</v>
      </c>
      <c r="H170" s="32">
        <f t="shared" si="91"/>
        <v>5.0595238095238096E-2</v>
      </c>
      <c r="I170" s="91">
        <f>IF(ISNUMBER(G170), $B172 * H170, "")</f>
        <v>7589.2857142857147</v>
      </c>
      <c r="J170" s="15">
        <v>353</v>
      </c>
      <c r="K170" s="32">
        <f t="shared" si="92"/>
        <v>5.0595238095238096E-2</v>
      </c>
      <c r="L170" s="18">
        <f>IF(ISNUMBER(J170), $B172 * K170, "")</f>
        <v>7589.2857142857147</v>
      </c>
      <c r="M170" s="31">
        <v>354</v>
      </c>
      <c r="N170" s="32">
        <f t="shared" si="93"/>
        <v>5.3571428571428568E-2</v>
      </c>
      <c r="O170" s="18">
        <f>IF(ISNUMBER(M170), $B172 * N170, "")</f>
        <v>8035.7142857142853</v>
      </c>
      <c r="Q170" s="135"/>
      <c r="R170" s="136"/>
      <c r="S170" s="137"/>
    </row>
    <row r="171" spans="1:19" ht="17.25" thickBot="1">
      <c r="A171" s="114" t="s">
        <v>345</v>
      </c>
      <c r="B171" s="115">
        <v>217</v>
      </c>
      <c r="C171" s="72">
        <v>-3.125E-2</v>
      </c>
      <c r="D171" s="24">
        <v>256</v>
      </c>
      <c r="E171" s="25">
        <f t="shared" si="90"/>
        <v>0.17972350230414746</v>
      </c>
      <c r="F171" s="94">
        <f>IF(ISNUMBER(D171), $B172 * E171, "")</f>
        <v>26958.525345622118</v>
      </c>
      <c r="G171" s="92">
        <v>238</v>
      </c>
      <c r="H171" s="25">
        <f t="shared" si="91"/>
        <v>9.6774193548387094E-2</v>
      </c>
      <c r="I171" s="93">
        <f>IF(ISNUMBER(G171), $B172 * H171, "")</f>
        <v>14516.129032258064</v>
      </c>
      <c r="J171" s="24">
        <v>237</v>
      </c>
      <c r="K171" s="25">
        <f t="shared" si="92"/>
        <v>9.2165898617511524E-2</v>
      </c>
      <c r="L171" s="94">
        <f>IF(ISNUMBER(J171), $B172 * K171, "")</f>
        <v>13824.884792626728</v>
      </c>
      <c r="M171" s="92">
        <v>232</v>
      </c>
      <c r="N171" s="25">
        <f t="shared" si="93"/>
        <v>6.9124423963133647E-2</v>
      </c>
      <c r="O171" s="94">
        <f>IF(ISNUMBER(M171), $B172 * N171, "")</f>
        <v>10368.663594470047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6.0858821599784993E-2</v>
      </c>
      <c r="F172" s="28">
        <f>SUM(F152:F171)</f>
        <v>182576.46479935502</v>
      </c>
      <c r="G172" s="26" t="s">
        <v>258</v>
      </c>
      <c r="H172" s="27">
        <f>IF(COUNT(H152:H171), SUM(H152:H171) / COUNT(H152:H171), 0)</f>
        <v>5.9219225009557418E-2</v>
      </c>
      <c r="I172" s="28">
        <f>SUM(I152:I171)</f>
        <v>177657.67502867227</v>
      </c>
      <c r="J172" s="26" t="s">
        <v>258</v>
      </c>
      <c r="K172" s="27">
        <f>IF(COUNT(K152:K171), SUM(K152:K171) / COUNT(K152:K171), 0)</f>
        <v>5.2080285696423215E-2</v>
      </c>
      <c r="L172" s="28">
        <f>SUM(L152:L171)</f>
        <v>156240.85708926962</v>
      </c>
      <c r="M172" s="26" t="s">
        <v>258</v>
      </c>
      <c r="N172" s="27">
        <f>IF(COUNT(N152:N171), SUM(N152:N171) / COUNT(N152:N171), 0)</f>
        <v>5.0784078685026789E-2</v>
      </c>
      <c r="O172" s="28">
        <f>SUM(O152:O171)</f>
        <v>152352.23605508037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2023-01-26(목) 오전 00:00</v>
      </c>
      <c r="C177" s="198"/>
      <c r="D177" s="170" t="str">
        <f>TEXT($G$1, "[$-ko-KR]yyyy-mm-dd(ddd) ") &amp; "오후 14:00"</f>
        <v>2023-01-26(목) 오후 14:00</v>
      </c>
      <c r="E177" s="171"/>
      <c r="F177" s="172"/>
      <c r="G177" s="170" t="str">
        <f>TEXT($G$1, "[$-ko-KR]yyyy-mm-dd(ddd) ") &amp; "오후 19:00"</f>
        <v>2023-01-26(목) 오후 19:00</v>
      </c>
      <c r="H177" s="171"/>
      <c r="I177" s="172"/>
      <c r="J177" s="170" t="str">
        <f>TEXT($G$1, "[$-ko-KR]yyyy-mm-dd(ddd) ") &amp; "오후 21:00"</f>
        <v>2023-01-26(목) 오후 21:00</v>
      </c>
      <c r="K177" s="171"/>
      <c r="L177" s="172"/>
      <c r="M177" s="170" t="str">
        <f>TEXT($G$1+1, "[$-ko-KR]yyyy-mm-dd(ddd) ") &amp; "오전 00:00"</f>
        <v>2023-01-27(금)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317</v>
      </c>
      <c r="B179" s="108">
        <v>604</v>
      </c>
      <c r="C179" s="69">
        <v>-2.42326333E-2</v>
      </c>
      <c r="D179" s="13">
        <v>624</v>
      </c>
      <c r="E179" s="14">
        <f>IF(ISNUMBER(D179), (D179 - $B179) / $B179, "")</f>
        <v>3.3112582781456956E-2</v>
      </c>
      <c r="F179" s="16">
        <f>IF(ISNUMBER(D179), $B199 * E179, "")</f>
        <v>4966.8874172185433</v>
      </c>
      <c r="G179" s="29">
        <v>660</v>
      </c>
      <c r="H179" s="14">
        <f>IF(ISNUMBER(G179), (G179 - $B179) / $B179, "")</f>
        <v>9.2715231788079472E-2</v>
      </c>
      <c r="I179" s="90">
        <f>IF(ISNUMBER(G179), $B199 * H179, "")</f>
        <v>13907.284768211921</v>
      </c>
      <c r="J179" s="13">
        <v>630</v>
      </c>
      <c r="K179" s="14">
        <f>IF(ISNUMBER(J179), (J179 - $B179) / $B179, "")</f>
        <v>4.3046357615894038E-2</v>
      </c>
      <c r="L179" s="16">
        <f>IF(ISNUMBER(J179), $B199 * K179, "")</f>
        <v>6456.9536423841055</v>
      </c>
      <c r="M179" s="29">
        <v>629</v>
      </c>
      <c r="N179" s="14">
        <f>IF(ISNUMBER(M179), (M179 - $B179) / $B179, "")</f>
        <v>4.1390728476821195E-2</v>
      </c>
      <c r="O179" s="16">
        <f>IF(ISNUMBER(M179), $B199 * N179, "")</f>
        <v>6208.6092715231789</v>
      </c>
      <c r="Q179" s="156"/>
      <c r="R179" s="156"/>
      <c r="S179" s="156"/>
    </row>
    <row r="180" spans="1:19" ht="17.25" thickBot="1">
      <c r="A180" s="109" t="s">
        <v>205</v>
      </c>
      <c r="B180" s="110">
        <v>120</v>
      </c>
      <c r="C180" s="70">
        <v>-2.4390243900000001E-2</v>
      </c>
      <c r="D180" s="15">
        <v>131</v>
      </c>
      <c r="E180" s="32">
        <f t="shared" ref="E180:E183" si="94">IF(ISNUMBER(D180), (D180 - $B180) / $B180, "")</f>
        <v>9.166666666666666E-2</v>
      </c>
      <c r="F180" s="18">
        <f>IF(ISNUMBER(D180), $B199 * E180, "")</f>
        <v>13749.999999999998</v>
      </c>
      <c r="G180" s="31">
        <v>131</v>
      </c>
      <c r="H180" s="32">
        <f t="shared" ref="H180:H183" si="95">IF(ISNUMBER(G180), (G180 - $B180) / $B180, "")</f>
        <v>9.166666666666666E-2</v>
      </c>
      <c r="I180" s="91">
        <f>IF(ISNUMBER(G180), $B199 * H180, "")</f>
        <v>13749.999999999998</v>
      </c>
      <c r="J180" s="15">
        <v>129</v>
      </c>
      <c r="K180" s="32">
        <f t="shared" ref="K180:K183" si="96">IF(ISNUMBER(J180), (J180 - $B180) / $B180, "")</f>
        <v>7.4999999999999997E-2</v>
      </c>
      <c r="L180" s="18">
        <f>IF(ISNUMBER(J180), $B199 * K180, "")</f>
        <v>11250</v>
      </c>
      <c r="M180" s="31">
        <v>128</v>
      </c>
      <c r="N180" s="32">
        <f t="shared" ref="N180:N183" si="97">IF(ISNUMBER(M180), (M180 - $B180) / $B180, "")</f>
        <v>6.6666666666666666E-2</v>
      </c>
      <c r="O180" s="18">
        <f>IF(ISNUMBER(M180), $B199 * N180, "")</f>
        <v>10000</v>
      </c>
      <c r="Q180" s="156"/>
      <c r="R180" s="156"/>
      <c r="S180" s="156"/>
    </row>
    <row r="181" spans="1:19" ht="17.25" thickBot="1">
      <c r="A181" s="109" t="s">
        <v>201</v>
      </c>
      <c r="B181" s="110">
        <v>275</v>
      </c>
      <c r="C181" s="70">
        <v>-2.4822694999999999E-2</v>
      </c>
      <c r="D181" s="15">
        <v>290</v>
      </c>
      <c r="E181" s="32">
        <f t="shared" si="94"/>
        <v>5.4545454545454543E-2</v>
      </c>
      <c r="F181" s="18">
        <f>IF(ISNUMBER(D181), $B199 * E181, "")</f>
        <v>8181.8181818181811</v>
      </c>
      <c r="G181" s="31">
        <v>288</v>
      </c>
      <c r="H181" s="32">
        <f t="shared" si="95"/>
        <v>4.7272727272727272E-2</v>
      </c>
      <c r="I181" s="91">
        <f>IF(ISNUMBER(G181), $B199 * H181, "")</f>
        <v>7090.909090909091</v>
      </c>
      <c r="J181" s="15">
        <v>287</v>
      </c>
      <c r="K181" s="32">
        <f t="shared" si="96"/>
        <v>4.363636363636364E-2</v>
      </c>
      <c r="L181" s="18">
        <f>IF(ISNUMBER(J181), $B199 * K181, "")</f>
        <v>6545.454545454546</v>
      </c>
      <c r="M181" s="31">
        <v>288</v>
      </c>
      <c r="N181" s="32">
        <f t="shared" si="97"/>
        <v>4.7272727272727272E-2</v>
      </c>
      <c r="O181" s="18">
        <f>IF(ISNUMBER(M181), $B199 * N181, "")</f>
        <v>7090.909090909091</v>
      </c>
      <c r="Q181" s="146"/>
      <c r="R181" s="146"/>
      <c r="S181" s="146"/>
    </row>
    <row r="182" spans="1:19" ht="17.25" thickBot="1">
      <c r="A182" s="109" t="s">
        <v>141</v>
      </c>
      <c r="B182" s="110">
        <v>3.91</v>
      </c>
      <c r="C182" s="70">
        <v>-2.4937655900000001E-2</v>
      </c>
      <c r="D182" s="15">
        <v>4.0199999999999996</v>
      </c>
      <c r="E182" s="32">
        <f t="shared" si="94"/>
        <v>2.8132992327365582E-2</v>
      </c>
      <c r="F182" s="18">
        <f>IF(ISNUMBER(D182), $B199 * E182, "")</f>
        <v>4219.9488491048369</v>
      </c>
      <c r="G182" s="31">
        <v>4.03</v>
      </c>
      <c r="H182" s="32">
        <f t="shared" si="95"/>
        <v>3.0690537084399002E-2</v>
      </c>
      <c r="I182" s="91">
        <f>IF(ISNUMBER(G182), $B199 * H182, "")</f>
        <v>4603.5805626598503</v>
      </c>
      <c r="J182" s="15">
        <v>4</v>
      </c>
      <c r="K182" s="32">
        <f t="shared" si="96"/>
        <v>2.3017902813299195E-2</v>
      </c>
      <c r="L182" s="18">
        <f>IF(ISNUMBER(J182), $B199 * K182, "")</f>
        <v>3452.6854219948791</v>
      </c>
      <c r="M182" s="31">
        <v>4.0199999999999996</v>
      </c>
      <c r="N182" s="32">
        <f t="shared" si="97"/>
        <v>2.8132992327365582E-2</v>
      </c>
      <c r="O182" s="18">
        <f>IF(ISNUMBER(M182), $B199 * N182, "")</f>
        <v>4219.9488491048369</v>
      </c>
      <c r="Q182" s="146"/>
      <c r="R182" s="146"/>
      <c r="S182" s="146"/>
    </row>
    <row r="183" spans="1:19" ht="17.25" thickBot="1">
      <c r="A183" s="111" t="s">
        <v>189</v>
      </c>
      <c r="B183" s="112">
        <v>1350</v>
      </c>
      <c r="C183" s="71">
        <v>-2.5270758099999999E-2</v>
      </c>
      <c r="D183" s="20">
        <v>1445</v>
      </c>
      <c r="E183" s="21">
        <f t="shared" si="94"/>
        <v>7.0370370370370375E-2</v>
      </c>
      <c r="F183" s="22">
        <f>IF(ISNUMBER(D183), $B199 * E183, "")</f>
        <v>10555.555555555557</v>
      </c>
      <c r="G183" s="30">
        <v>1420</v>
      </c>
      <c r="H183" s="21">
        <f t="shared" si="95"/>
        <v>5.185185185185185E-2</v>
      </c>
      <c r="I183" s="95">
        <f>IF(ISNUMBER(G183), $B199 * H183, "")</f>
        <v>7777.7777777777774</v>
      </c>
      <c r="J183" s="20">
        <v>1400</v>
      </c>
      <c r="K183" s="21">
        <f t="shared" si="96"/>
        <v>3.7037037037037035E-2</v>
      </c>
      <c r="L183" s="22">
        <f>IF(ISNUMBER(J183), $B199 * K183, "")</f>
        <v>5555.5555555555557</v>
      </c>
      <c r="M183" s="30">
        <v>1415</v>
      </c>
      <c r="N183" s="21">
        <f t="shared" si="97"/>
        <v>4.8148148148148148E-2</v>
      </c>
      <c r="O183" s="22">
        <f>IF(ISNUMBER(M183), $B199 * N183, "")</f>
        <v>7222.2222222222226</v>
      </c>
      <c r="Q183" s="146"/>
      <c r="R183" s="146"/>
      <c r="S183" s="146"/>
    </row>
    <row r="184" spans="1:19" ht="17.25" thickBot="1">
      <c r="A184" s="109" t="s">
        <v>231</v>
      </c>
      <c r="B184" s="113">
        <v>383</v>
      </c>
      <c r="C184" s="73">
        <v>-2.5445292599999999E-2</v>
      </c>
      <c r="D184" s="96">
        <v>399</v>
      </c>
      <c r="E184" s="97">
        <f>IF(ISNUMBER(D184), (D184 - $B184) / $B184, "")</f>
        <v>4.1775456919060053E-2</v>
      </c>
      <c r="F184" s="98">
        <f>IF(ISNUMBER(D184), $B199 * E184, "")</f>
        <v>6266.3185378590078</v>
      </c>
      <c r="G184" s="99">
        <v>399</v>
      </c>
      <c r="H184" s="97">
        <f>IF(ISNUMBER(G184), (G184 - $B184) / $B184, "")</f>
        <v>4.1775456919060053E-2</v>
      </c>
      <c r="I184" s="100">
        <f>IF(ISNUMBER(G184), $B199 * H184, "")</f>
        <v>6266.3185378590078</v>
      </c>
      <c r="J184" s="96">
        <v>399</v>
      </c>
      <c r="K184" s="97">
        <f>IF(ISNUMBER(J184), (J184 - $B184) / $B184, "")</f>
        <v>4.1775456919060053E-2</v>
      </c>
      <c r="L184" s="98">
        <f>IF(ISNUMBER(J184), $B199 * K184, "")</f>
        <v>6266.3185378590078</v>
      </c>
      <c r="M184" s="99">
        <v>398</v>
      </c>
      <c r="N184" s="97">
        <f>IF(ISNUMBER(M184), (M184 - $B184) / $B184, "")</f>
        <v>3.91644908616188E-2</v>
      </c>
      <c r="O184" s="98">
        <f>IF(ISNUMBER(M184), $B199 * N184, "")</f>
        <v>5874.6736292428204</v>
      </c>
      <c r="Q184" s="146"/>
      <c r="R184" s="146"/>
      <c r="S184" s="146"/>
    </row>
    <row r="185" spans="1:19" ht="17.25" thickBot="1">
      <c r="A185" s="109" t="s">
        <v>197</v>
      </c>
      <c r="B185" s="110">
        <v>7.95</v>
      </c>
      <c r="C185" s="70">
        <v>-2.57352941E-2</v>
      </c>
      <c r="D185" s="15">
        <v>8.34</v>
      </c>
      <c r="E185" s="32">
        <f t="shared" ref="E185:E188" si="98">IF(ISNUMBER(D185), (D185 - $B185) / $B185, "")</f>
        <v>4.9056603773584867E-2</v>
      </c>
      <c r="F185" s="18">
        <f>IF(ISNUMBER(D185), $B199 * E185, "")</f>
        <v>7358.4905660377299</v>
      </c>
      <c r="G185" s="31">
        <v>8.16</v>
      </c>
      <c r="H185" s="32">
        <f t="shared" ref="H185:H188" si="99">IF(ISNUMBER(G185), (G185 - $B185) / $B185, "")</f>
        <v>2.6415094339622636E-2</v>
      </c>
      <c r="I185" s="91">
        <f>IF(ISNUMBER(G185), $B199 * H185, "")</f>
        <v>3962.2641509433952</v>
      </c>
      <c r="J185" s="15">
        <v>8.11</v>
      </c>
      <c r="K185" s="32">
        <f t="shared" ref="K185:K188" si="100">IF(ISNUMBER(J185), (J185 - $B185) / $B185, "")</f>
        <v>2.0125786163521918E-2</v>
      </c>
      <c r="L185" s="18">
        <f>IF(ISNUMBER(J185), $B199 * K185, "")</f>
        <v>3018.8679245282879</v>
      </c>
      <c r="M185" s="31">
        <v>8.1</v>
      </c>
      <c r="N185" s="32">
        <f t="shared" ref="N185:N188" si="101">IF(ISNUMBER(M185), (M185 - $B185) / $B185, "")</f>
        <v>1.886792452830182E-2</v>
      </c>
      <c r="O185" s="18">
        <f>IF(ISNUMBER(M185), $B199 * N185, "")</f>
        <v>2830.1886792452729</v>
      </c>
      <c r="Q185" s="146"/>
      <c r="R185" s="146"/>
      <c r="S185" s="146"/>
    </row>
    <row r="186" spans="1:19" ht="17.25" thickBot="1">
      <c r="A186" s="109" t="s">
        <v>113</v>
      </c>
      <c r="B186" s="110">
        <v>2060</v>
      </c>
      <c r="C186" s="70">
        <v>-2.6004728099999999E-2</v>
      </c>
      <c r="D186" s="15">
        <v>2130</v>
      </c>
      <c r="E186" s="32">
        <f t="shared" si="98"/>
        <v>3.3980582524271843E-2</v>
      </c>
      <c r="F186" s="18">
        <f>IF(ISNUMBER(D186), $B199 * E186, "")</f>
        <v>5097.0873786407765</v>
      </c>
      <c r="G186" s="31">
        <v>2105</v>
      </c>
      <c r="H186" s="32">
        <f t="shared" si="99"/>
        <v>2.1844660194174758E-2</v>
      </c>
      <c r="I186" s="91">
        <f>IF(ISNUMBER(G186), $B199 * H186, "")</f>
        <v>3276.6990291262136</v>
      </c>
      <c r="J186" s="15">
        <v>2100</v>
      </c>
      <c r="K186" s="32">
        <f t="shared" si="100"/>
        <v>1.9417475728155338E-2</v>
      </c>
      <c r="L186" s="18">
        <f>IF(ISNUMBER(J186), $B199 * K186, "")</f>
        <v>2912.6213592233007</v>
      </c>
      <c r="M186" s="31">
        <v>2095</v>
      </c>
      <c r="N186" s="32">
        <f t="shared" si="101"/>
        <v>1.6990291262135922E-2</v>
      </c>
      <c r="O186" s="18">
        <f>IF(ISNUMBER(M186), $B199 * N186, "")</f>
        <v>2548.5436893203882</v>
      </c>
      <c r="Q186" s="146"/>
      <c r="R186" s="146"/>
      <c r="S186" s="146"/>
    </row>
    <row r="187" spans="1:19" ht="17.25" thickBot="1">
      <c r="A187" s="109" t="s">
        <v>178</v>
      </c>
      <c r="B187" s="110">
        <v>1645</v>
      </c>
      <c r="C187" s="70">
        <v>-2.6627218899999999E-2</v>
      </c>
      <c r="D187" s="15">
        <v>1750</v>
      </c>
      <c r="E187" s="32">
        <f t="shared" si="98"/>
        <v>6.3829787234042548E-2</v>
      </c>
      <c r="F187" s="18">
        <f>IF(ISNUMBER(D187), $B199 * E187, "")</f>
        <v>9574.4680851063822</v>
      </c>
      <c r="G187" s="31">
        <v>1740</v>
      </c>
      <c r="H187" s="32">
        <f t="shared" si="99"/>
        <v>5.7750759878419454E-2</v>
      </c>
      <c r="I187" s="91">
        <f>IF(ISNUMBER(G187), $B199 * H187, "")</f>
        <v>8662.6139817629173</v>
      </c>
      <c r="J187" s="15">
        <v>1725</v>
      </c>
      <c r="K187" s="32">
        <f t="shared" si="100"/>
        <v>4.8632218844984802E-2</v>
      </c>
      <c r="L187" s="18">
        <f>IF(ISNUMBER(J187), $B199 * K187, "")</f>
        <v>7294.83282674772</v>
      </c>
      <c r="M187" s="31">
        <v>1720</v>
      </c>
      <c r="N187" s="32">
        <f t="shared" si="101"/>
        <v>4.5592705167173252E-2</v>
      </c>
      <c r="O187" s="18">
        <f>IF(ISNUMBER(M187), $B199 * N187, "")</f>
        <v>6838.9057750759875</v>
      </c>
      <c r="Q187" s="33"/>
      <c r="R187" s="33"/>
    </row>
    <row r="188" spans="1:19" ht="17.25" thickBot="1">
      <c r="A188" s="114" t="s">
        <v>130</v>
      </c>
      <c r="B188" s="115">
        <v>939</v>
      </c>
      <c r="C188" s="72">
        <v>-2.6943005200000002E-2</v>
      </c>
      <c r="D188" s="24">
        <v>997</v>
      </c>
      <c r="E188" s="25">
        <f t="shared" si="98"/>
        <v>6.1767838125665601E-2</v>
      </c>
      <c r="F188" s="94">
        <f>IF(ISNUMBER(D188), $B199 * E188, "")</f>
        <v>9265.1757188498395</v>
      </c>
      <c r="G188" s="92">
        <v>994</v>
      </c>
      <c r="H188" s="25">
        <f t="shared" si="99"/>
        <v>5.8572949946751864E-2</v>
      </c>
      <c r="I188" s="93">
        <f>IF(ISNUMBER(G188), $B199 * H188, "")</f>
        <v>8785.9424920127803</v>
      </c>
      <c r="J188" s="24">
        <v>981</v>
      </c>
      <c r="K188" s="25">
        <f t="shared" si="100"/>
        <v>4.472843450479233E-2</v>
      </c>
      <c r="L188" s="94">
        <f>IF(ISNUMBER(J188), $B199 * K188, "")</f>
        <v>6709.2651757188496</v>
      </c>
      <c r="M188" s="92">
        <v>986</v>
      </c>
      <c r="N188" s="25">
        <f t="shared" si="101"/>
        <v>5.0053248136315232E-2</v>
      </c>
      <c r="O188" s="94">
        <f>IF(ISNUMBER(M188), $B199 * N188, "")</f>
        <v>7507.9872204472849</v>
      </c>
      <c r="Q188" s="147"/>
      <c r="R188" s="148"/>
      <c r="S188" s="149"/>
    </row>
    <row r="189" spans="1:19">
      <c r="A189" s="107" t="s">
        <v>219</v>
      </c>
      <c r="B189" s="108">
        <v>464</v>
      </c>
      <c r="C189" s="69">
        <v>-2.7253668799999999E-2</v>
      </c>
      <c r="D189" s="13">
        <v>483</v>
      </c>
      <c r="E189" s="14">
        <f>IF(ISNUMBER(D189), (D189 - $B189) / $B189, "")</f>
        <v>4.0948275862068964E-2</v>
      </c>
      <c r="F189" s="16">
        <f>IF(ISNUMBER(D189), $B199 * E189, "")</f>
        <v>6142.2413793103442</v>
      </c>
      <c r="G189" s="29">
        <v>483</v>
      </c>
      <c r="H189" s="14">
        <f>IF(ISNUMBER(G189), (G189 - $B189) / $B189, "")</f>
        <v>4.0948275862068964E-2</v>
      </c>
      <c r="I189" s="90">
        <f>IF(ISNUMBER(G189), $B199 * H189, "")</f>
        <v>6142.2413793103442</v>
      </c>
      <c r="J189" s="13">
        <v>480</v>
      </c>
      <c r="K189" s="14">
        <f>IF(ISNUMBER(J189), (J189 - $B189) / $B189, "")</f>
        <v>3.4482758620689655E-2</v>
      </c>
      <c r="L189" s="16">
        <f>IF(ISNUMBER(J189), $B199 * K189, "")</f>
        <v>5172.4137931034484</v>
      </c>
      <c r="M189" s="29">
        <v>482</v>
      </c>
      <c r="N189" s="14">
        <f>IF(ISNUMBER(M189), (M189 - $B189) / $B189, "")</f>
        <v>3.8793103448275863E-2</v>
      </c>
      <c r="O189" s="16">
        <f>IF(ISNUMBER(M189), $B199 * N189, "")</f>
        <v>5818.9655172413795</v>
      </c>
      <c r="Q189" s="150"/>
      <c r="R189" s="151"/>
      <c r="S189" s="152"/>
    </row>
    <row r="190" spans="1:19" ht="17.25" thickBot="1">
      <c r="A190" s="109" t="s">
        <v>176</v>
      </c>
      <c r="B190" s="110">
        <v>351</v>
      </c>
      <c r="C190" s="70">
        <v>-2.7700830999999999E-2</v>
      </c>
      <c r="D190" s="15">
        <v>366</v>
      </c>
      <c r="E190" s="32">
        <f t="shared" ref="E190:E193" si="102">IF(ISNUMBER(D190), (D190 - $B190) / $B190, "")</f>
        <v>4.2735042735042736E-2</v>
      </c>
      <c r="F190" s="18">
        <f>IF(ISNUMBER(D190), $B199 * E190, "")</f>
        <v>6410.2564102564102</v>
      </c>
      <c r="G190" s="31">
        <v>367</v>
      </c>
      <c r="H190" s="32">
        <f t="shared" ref="H190:H193" si="103">IF(ISNUMBER(G190), (G190 - $B190) / $B190, "")</f>
        <v>4.5584045584045586E-2</v>
      </c>
      <c r="I190" s="91">
        <f>IF(ISNUMBER(G190), $B199 * H190, "")</f>
        <v>6837.6068376068379</v>
      </c>
      <c r="J190" s="15">
        <v>367</v>
      </c>
      <c r="K190" s="32">
        <f t="shared" ref="K190:K193" si="104">IF(ISNUMBER(J190), (J190 - $B190) / $B190, "")</f>
        <v>4.5584045584045586E-2</v>
      </c>
      <c r="L190" s="18">
        <f>IF(ISNUMBER(J190), $B199 * K190, "")</f>
        <v>6837.6068376068379</v>
      </c>
      <c r="M190" s="31">
        <v>367</v>
      </c>
      <c r="N190" s="32">
        <f t="shared" ref="N190:N193" si="105">IF(ISNUMBER(M190), (M190 - $B190) / $B190, "")</f>
        <v>4.5584045584045586E-2</v>
      </c>
      <c r="O190" s="18">
        <f>IF(ISNUMBER(M190), $B199 * N190, "")</f>
        <v>6837.6068376068379</v>
      </c>
      <c r="Q190" s="153"/>
      <c r="R190" s="154"/>
      <c r="S190" s="155"/>
    </row>
    <row r="191" spans="1:19" ht="17.25" thickBot="1">
      <c r="A191" s="109" t="s">
        <v>134</v>
      </c>
      <c r="B191" s="110">
        <v>1730</v>
      </c>
      <c r="C191" s="70">
        <v>-2.8089887599999998E-2</v>
      </c>
      <c r="D191" s="15">
        <v>1810</v>
      </c>
      <c r="E191" s="32">
        <f t="shared" si="102"/>
        <v>4.6242774566473986E-2</v>
      </c>
      <c r="F191" s="18">
        <f>IF(ISNUMBER(D191), $B199 * E191, "")</f>
        <v>6936.4161849710981</v>
      </c>
      <c r="G191" s="31">
        <v>1810</v>
      </c>
      <c r="H191" s="32">
        <f t="shared" si="103"/>
        <v>4.6242774566473986E-2</v>
      </c>
      <c r="I191" s="91">
        <f>IF(ISNUMBER(G191), $B199 * H191, "")</f>
        <v>6936.4161849710981</v>
      </c>
      <c r="J191" s="15">
        <v>1820</v>
      </c>
      <c r="K191" s="32">
        <f t="shared" si="104"/>
        <v>5.2023121387283239E-2</v>
      </c>
      <c r="L191" s="18">
        <f>IF(ISNUMBER(J191), $B199 * K191, "")</f>
        <v>7803.4682080924858</v>
      </c>
      <c r="M191" s="31">
        <v>1815</v>
      </c>
      <c r="N191" s="32">
        <f t="shared" si="105"/>
        <v>4.9132947976878616E-2</v>
      </c>
      <c r="O191" s="18">
        <f>IF(ISNUMBER(M191), $B199 * N191, "")</f>
        <v>7369.9421965317924</v>
      </c>
      <c r="Q191" s="146"/>
      <c r="R191" s="146"/>
      <c r="S191" s="146"/>
    </row>
    <row r="192" spans="1:19" ht="17.25" thickBot="1">
      <c r="A192" s="109" t="s">
        <v>215</v>
      </c>
      <c r="B192" s="110">
        <v>379</v>
      </c>
      <c r="C192" s="70">
        <v>-2.8205128199999999E-2</v>
      </c>
      <c r="D192" s="15">
        <v>396</v>
      </c>
      <c r="E192" s="32">
        <f t="shared" si="102"/>
        <v>4.4854881266490766E-2</v>
      </c>
      <c r="F192" s="18">
        <f>IF(ISNUMBER(D192), $B199 * E192, "")</f>
        <v>6728.2321899736153</v>
      </c>
      <c r="G192" s="31">
        <v>394</v>
      </c>
      <c r="H192" s="32">
        <f t="shared" si="103"/>
        <v>3.9577836411609502E-2</v>
      </c>
      <c r="I192" s="91">
        <f>IF(ISNUMBER(G192), $B199 * H192, "")</f>
        <v>5936.6754617414254</v>
      </c>
      <c r="J192" s="15">
        <v>392</v>
      </c>
      <c r="K192" s="32">
        <f t="shared" si="104"/>
        <v>3.430079155672823E-2</v>
      </c>
      <c r="L192" s="18">
        <f>IF(ISNUMBER(J192), $B199 * K192, "")</f>
        <v>5145.1187335092345</v>
      </c>
      <c r="M192" s="31">
        <v>393</v>
      </c>
      <c r="N192" s="32">
        <f t="shared" si="105"/>
        <v>3.6939313984168866E-2</v>
      </c>
      <c r="O192" s="18">
        <f>IF(ISNUMBER(M192), $B199 * N192, "")</f>
        <v>5540.8970976253295</v>
      </c>
      <c r="Q192" s="156"/>
      <c r="R192" s="156"/>
      <c r="S192" s="156"/>
    </row>
    <row r="193" spans="1:19" ht="17.25" thickBot="1">
      <c r="A193" s="111" t="s">
        <v>161</v>
      </c>
      <c r="B193" s="112">
        <v>336</v>
      </c>
      <c r="C193" s="71">
        <v>-2.89017341E-2</v>
      </c>
      <c r="D193" s="20">
        <v>352</v>
      </c>
      <c r="E193" s="21">
        <f t="shared" si="102"/>
        <v>4.7619047619047616E-2</v>
      </c>
      <c r="F193" s="22">
        <f>IF(ISNUMBER(D193), $B199 * E193, "")</f>
        <v>7142.8571428571422</v>
      </c>
      <c r="G193" s="30">
        <v>353</v>
      </c>
      <c r="H193" s="21">
        <f t="shared" si="103"/>
        <v>5.0595238095238096E-2</v>
      </c>
      <c r="I193" s="95">
        <f>IF(ISNUMBER(G193), $B199 * H193, "")</f>
        <v>7589.2857142857147</v>
      </c>
      <c r="J193" s="20">
        <v>353</v>
      </c>
      <c r="K193" s="21">
        <f t="shared" si="104"/>
        <v>5.0595238095238096E-2</v>
      </c>
      <c r="L193" s="22">
        <f>IF(ISNUMBER(J193), $B199 * K193, "")</f>
        <v>7589.2857142857147</v>
      </c>
      <c r="M193" s="30">
        <v>354</v>
      </c>
      <c r="N193" s="21">
        <f t="shared" si="105"/>
        <v>5.3571428571428568E-2</v>
      </c>
      <c r="O193" s="22">
        <f>IF(ISNUMBER(M193), $B199 * N193, "")</f>
        <v>8035.7142857142853</v>
      </c>
      <c r="Q193" s="156"/>
      <c r="R193" s="156"/>
      <c r="S193" s="156"/>
    </row>
    <row r="194" spans="1:19" ht="17.25" thickBot="1">
      <c r="A194" s="109" t="s">
        <v>138</v>
      </c>
      <c r="B194" s="113">
        <v>32.799999999999997</v>
      </c>
      <c r="C194" s="73">
        <v>-2.95857988E-2</v>
      </c>
      <c r="D194" s="96">
        <v>35.6</v>
      </c>
      <c r="E194" s="97">
        <f>IF(ISNUMBER(D194), (D194 - $B194) / $B194, "")</f>
        <v>8.5365853658536717E-2</v>
      </c>
      <c r="F194" s="98">
        <f>IF(ISNUMBER(D194), $B199 * E194, "")</f>
        <v>12804.878048780507</v>
      </c>
      <c r="G194" s="99">
        <v>35.200000000000003</v>
      </c>
      <c r="H194" s="97">
        <f>IF(ISNUMBER(G194), (G194 - $B194) / $B194, "")</f>
        <v>7.3170731707317249E-2</v>
      </c>
      <c r="I194" s="100">
        <f>IF(ISNUMBER(G194), $B199 * H194, "")</f>
        <v>10975.609756097587</v>
      </c>
      <c r="J194" s="96">
        <v>34.700000000000003</v>
      </c>
      <c r="K194" s="97">
        <f>IF(ISNUMBER(J194), (J194 - $B194) / $B194, "")</f>
        <v>5.7926829268292859E-2</v>
      </c>
      <c r="L194" s="98">
        <f>IF(ISNUMBER(J194), $B199 * K194, "")</f>
        <v>8689.0243902439288</v>
      </c>
      <c r="M194" s="99">
        <v>34.799999999999997</v>
      </c>
      <c r="N194" s="97">
        <f>IF(ISNUMBER(M194), (M194 - $B194) / $B194, "")</f>
        <v>6.0975609756097567E-2</v>
      </c>
      <c r="O194" s="98">
        <f>IF(ISNUMBER(M194), $B199 * N194, "")</f>
        <v>9146.3414634146357</v>
      </c>
      <c r="Q194" s="146"/>
      <c r="R194" s="146"/>
      <c r="S194" s="146"/>
    </row>
    <row r="195" spans="1:19" ht="17.25" thickBot="1">
      <c r="A195" s="109" t="s">
        <v>349</v>
      </c>
      <c r="B195" s="110">
        <v>60.8</v>
      </c>
      <c r="C195" s="70">
        <v>-3.0303030299999999E-2</v>
      </c>
      <c r="D195" s="15">
        <v>79.599999999999994</v>
      </c>
      <c r="E195" s="32">
        <f t="shared" ref="E195:E198" si="106">IF(ISNUMBER(D195), (D195 - $B195) / $B195, "")</f>
        <v>0.30921052631578944</v>
      </c>
      <c r="F195" s="18">
        <f>IF(ISNUMBER(D195), $B199 * E195, "")</f>
        <v>46381.578947368413</v>
      </c>
      <c r="G195" s="31">
        <v>71.8</v>
      </c>
      <c r="H195" s="32">
        <f t="shared" ref="H195:H198" si="107">IF(ISNUMBER(G195), (G195 - $B195) / $B195, "")</f>
        <v>0.18092105263157895</v>
      </c>
      <c r="I195" s="91">
        <f>IF(ISNUMBER(G195), $B199 * H195, "")</f>
        <v>27138.157894736843</v>
      </c>
      <c r="J195" s="15">
        <v>72</v>
      </c>
      <c r="K195" s="32">
        <f t="shared" ref="K195:K198" si="108">IF(ISNUMBER(J195), (J195 - $B195) / $B195, "")</f>
        <v>0.18421052631578952</v>
      </c>
      <c r="L195" s="18">
        <f>IF(ISNUMBER(J195), $B199 * K195, "")</f>
        <v>27631.578947368427</v>
      </c>
      <c r="M195" s="31">
        <v>69.3</v>
      </c>
      <c r="N195" s="32">
        <f t="shared" ref="N195:N198" si="109">IF(ISNUMBER(M195), (M195 - $B195) / $B195, "")</f>
        <v>0.13980263157894737</v>
      </c>
      <c r="O195" s="18">
        <f>IF(ISNUMBER(M195), $B199 * N195, "")</f>
        <v>20970.394736842107</v>
      </c>
      <c r="Q195" s="146"/>
      <c r="R195" s="146"/>
      <c r="S195" s="146"/>
    </row>
    <row r="196" spans="1:19" ht="17.25" thickBot="1">
      <c r="A196" s="109" t="s">
        <v>345</v>
      </c>
      <c r="B196" s="110">
        <v>217</v>
      </c>
      <c r="C196" s="70">
        <v>-3.125E-2</v>
      </c>
      <c r="D196" s="15">
        <v>256</v>
      </c>
      <c r="E196" s="32">
        <f t="shared" si="106"/>
        <v>0.17972350230414746</v>
      </c>
      <c r="F196" s="18">
        <f>IF(ISNUMBER(D196), $B199 * E196, "")</f>
        <v>26958.525345622118</v>
      </c>
      <c r="G196" s="31">
        <v>238</v>
      </c>
      <c r="H196" s="32">
        <f t="shared" si="107"/>
        <v>9.6774193548387094E-2</v>
      </c>
      <c r="I196" s="91">
        <f>IF(ISNUMBER(G196), $B199 * H196, "")</f>
        <v>14516.129032258064</v>
      </c>
      <c r="J196" s="15">
        <v>237</v>
      </c>
      <c r="K196" s="32">
        <f t="shared" si="108"/>
        <v>9.2165898617511524E-2</v>
      </c>
      <c r="L196" s="18">
        <f>IF(ISNUMBER(J196), $B199 * K196, "")</f>
        <v>13824.884792626728</v>
      </c>
      <c r="M196" s="31">
        <v>232</v>
      </c>
      <c r="N196" s="32">
        <f t="shared" si="109"/>
        <v>6.9124423963133647E-2</v>
      </c>
      <c r="O196" s="18">
        <f>IF(ISNUMBER(M196), $B199 * N196, "")</f>
        <v>10368.663594470047</v>
      </c>
      <c r="Q196" s="146"/>
      <c r="R196" s="146"/>
      <c r="S196" s="146"/>
    </row>
    <row r="197" spans="1:19">
      <c r="A197" s="109" t="s">
        <v>124</v>
      </c>
      <c r="B197" s="110">
        <v>35</v>
      </c>
      <c r="C197" s="70">
        <v>-3.5812672199999999E-2</v>
      </c>
      <c r="D197" s="15">
        <v>36.6</v>
      </c>
      <c r="E197" s="32">
        <f t="shared" si="106"/>
        <v>4.5714285714285756E-2</v>
      </c>
      <c r="F197" s="18">
        <f>IF(ISNUMBER(D197), $B199 * E197, "")</f>
        <v>6857.1428571428632</v>
      </c>
      <c r="G197" s="31">
        <v>36.4</v>
      </c>
      <c r="H197" s="32">
        <f t="shared" si="107"/>
        <v>3.9999999999999959E-2</v>
      </c>
      <c r="I197" s="91">
        <f>IF(ISNUMBER(G197), $B199 * H197, "")</f>
        <v>5999.9999999999936</v>
      </c>
      <c r="J197" s="15">
        <v>36.4</v>
      </c>
      <c r="K197" s="32">
        <f t="shared" si="108"/>
        <v>3.9999999999999959E-2</v>
      </c>
      <c r="L197" s="18">
        <f>IF(ISNUMBER(J197), $B199 * K197, "")</f>
        <v>5999.9999999999936</v>
      </c>
      <c r="M197" s="31">
        <v>36.4</v>
      </c>
      <c r="N197" s="32">
        <f t="shared" si="109"/>
        <v>3.9999999999999959E-2</v>
      </c>
      <c r="O197" s="18">
        <f>IF(ISNUMBER(M197), $B199 * N197, "")</f>
        <v>5999.9999999999936</v>
      </c>
      <c r="Q197" s="135"/>
      <c r="R197" s="136"/>
      <c r="S197" s="137"/>
    </row>
    <row r="198" spans="1:19" ht="17.25" thickBot="1">
      <c r="A198" s="114" t="s">
        <v>97</v>
      </c>
      <c r="B198" s="115">
        <v>8.9999999999999998E-4</v>
      </c>
      <c r="C198" s="72">
        <v>-0.1</v>
      </c>
      <c r="D198" s="24">
        <v>8.9999999999999998E-4</v>
      </c>
      <c r="E198" s="25">
        <f t="shared" si="106"/>
        <v>0</v>
      </c>
      <c r="F198" s="94">
        <f>IF(ISNUMBER(D198), $B199 * E198, "")</f>
        <v>0</v>
      </c>
      <c r="G198" s="92">
        <v>1E-3</v>
      </c>
      <c r="H198" s="25">
        <f t="shared" si="107"/>
        <v>0.11111111111111116</v>
      </c>
      <c r="I198" s="93">
        <f>IF(ISNUMBER(G198), $B199 * H198, "")</f>
        <v>16666.666666666675</v>
      </c>
      <c r="J198" s="24">
        <v>1E-3</v>
      </c>
      <c r="K198" s="25">
        <f t="shared" si="108"/>
        <v>0.11111111111111116</v>
      </c>
      <c r="L198" s="94">
        <f>IF(ISNUMBER(J198), $B199 * K198, "")</f>
        <v>16666.666666666675</v>
      </c>
      <c r="M198" s="92">
        <v>1E-3</v>
      </c>
      <c r="N198" s="25">
        <f t="shared" si="109"/>
        <v>0.11111111111111116</v>
      </c>
      <c r="O198" s="94">
        <f>IF(ISNUMBER(M198), $B199 * N198, "")</f>
        <v>16666.666666666675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6.8532626265491114E-2</v>
      </c>
      <c r="F199" s="28">
        <f>SUM(F179:F198)</f>
        <v>205597.87879647338</v>
      </c>
      <c r="G199" s="26" t="s">
        <v>258</v>
      </c>
      <c r="H199" s="27">
        <f>IF(COUNT(H179:H198), SUM(H179:H198) / COUNT(H179:H198), 0)</f>
        <v>6.2274059772979187E-2</v>
      </c>
      <c r="I199" s="28">
        <f>SUM(I179:I198)</f>
        <v>186822.17931893756</v>
      </c>
      <c r="J199" s="26" t="s">
        <v>258</v>
      </c>
      <c r="K199" s="27">
        <f>IF(COUNT(K179:K198), SUM(K179:K198) / COUNT(K179:K198), 0)</f>
        <v>5.4940867690989915E-2</v>
      </c>
      <c r="L199" s="28">
        <f>SUM(L179:L198)</f>
        <v>164822.60307296974</v>
      </c>
      <c r="M199" s="26" t="s">
        <v>258</v>
      </c>
      <c r="N199" s="27">
        <f>IF(COUNT(N179:N198), SUM(N179:N198) / COUNT(N179:N198), 0)</f>
        <v>5.2365726941068044E-2</v>
      </c>
      <c r="O199" s="28">
        <f>SUM(O179:O198)</f>
        <v>157097.18082320419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9AB36-B9C0-4F8A-B898-8BAC0B678AC7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44953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-295 KRW (-0.01%)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36,815 KRW (1.23%)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37,573 KRW (1.25%)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74,686 KRW (2.49%)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2023-01-27(금) 오전 00:00</v>
      </c>
      <c r="C15" s="196"/>
      <c r="D15" s="170" t="str">
        <f>TEXT($G$1, "[$-ko-KR]yyyy-mm-dd(ddd) ") &amp; "오후 14:00"</f>
        <v>2023-01-27(금) 오후 14:00</v>
      </c>
      <c r="E15" s="171"/>
      <c r="F15" s="172"/>
      <c r="G15" s="170" t="str">
        <f>TEXT($G$1, "[$-ko-KR]yyyy-mm-dd(ddd) ") &amp; "오후 19:00"</f>
        <v>2023-01-27(금) 오후 19:00</v>
      </c>
      <c r="H15" s="171"/>
      <c r="I15" s="172"/>
      <c r="J15" s="170" t="str">
        <f>TEXT($G$1, "[$-ko-KR]yyyy-mm-dd(ddd) ") &amp; "오후 21:00"</f>
        <v>2023-01-27(금) 오후 21:00</v>
      </c>
      <c r="K15" s="171"/>
      <c r="L15" s="172"/>
      <c r="M15" s="170" t="str">
        <f>TEXT($G$1+1, "[$-ko-KR]yyyy-mm-dd(ddd) ") &amp; "오전 00:00"</f>
        <v>2023-01-28(토)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2023-01-27(금) 오전 00:00</v>
      </c>
      <c r="C42" s="198"/>
      <c r="D42" s="170" t="str">
        <f>TEXT($G$1, "[$-ko-KR]yyyy-mm-dd(ddd) ") &amp; "오후 14:00"</f>
        <v>2023-01-27(금) 오후 14:00</v>
      </c>
      <c r="E42" s="171"/>
      <c r="F42" s="172"/>
      <c r="G42" s="170" t="str">
        <f>TEXT($G$1, "[$-ko-KR]yyyy-mm-dd(ddd) ") &amp; "오후 19:00"</f>
        <v>2023-01-27(금) 오후 19:00</v>
      </c>
      <c r="H42" s="171"/>
      <c r="I42" s="172"/>
      <c r="J42" s="170" t="str">
        <f>TEXT($G$1, "[$-ko-KR]yyyy-mm-dd(ddd) ") &amp; "오후 21:00"</f>
        <v>2023-01-27(금) 오후 21:00</v>
      </c>
      <c r="K42" s="171"/>
      <c r="L42" s="172"/>
      <c r="M42" s="170" t="str">
        <f>TEXT($G$1+1, "[$-ko-KR]yyyy-mm-dd(ddd) ") &amp; "오전 00:00"</f>
        <v>2023-01-28(토)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323</v>
      </c>
      <c r="B44" s="108">
        <v>4.9399999999999999E-2</v>
      </c>
      <c r="C44" s="69">
        <v>0.1488372093</v>
      </c>
      <c r="D44" s="13">
        <v>5.0900000000000001E-2</v>
      </c>
      <c r="E44" s="14">
        <f>IF(ISNUMBER(D44), (D44 - $B44) / $B44, "")</f>
        <v>3.0364372469635654E-2</v>
      </c>
      <c r="F44" s="16">
        <f>IF(ISNUMBER(D44), $B64 * E44, "")</f>
        <v>4554.6558704453482</v>
      </c>
      <c r="G44" s="29">
        <v>4.8800000000000003E-2</v>
      </c>
      <c r="H44" s="14">
        <f>IF(ISNUMBER(G44), (G44 - $B44) / $B44, "")</f>
        <v>-1.2145748987854178E-2</v>
      </c>
      <c r="I44" s="90">
        <f>IF(ISNUMBER(G44), $B64 * H44, "")</f>
        <v>-1821.8623481781267</v>
      </c>
      <c r="J44" s="13">
        <v>4.8599999999999997E-2</v>
      </c>
      <c r="K44" s="14">
        <f>IF(ISNUMBER(J44), (J44 - $B44) / $B44, "")</f>
        <v>-1.619433198380571E-2</v>
      </c>
      <c r="L44" s="16">
        <f>IF(ISNUMBER(J44), $B64 * K44, "")</f>
        <v>-2429.1497975708567</v>
      </c>
      <c r="M44" s="29">
        <v>4.9200000000000001E-2</v>
      </c>
      <c r="N44" s="14">
        <f>IF(ISNUMBER(M44), (M44 - $B44) / $B44, "")</f>
        <v>-4.0485829959513928E-3</v>
      </c>
      <c r="O44" s="16">
        <f>IF(ISNUMBER(M44), $B64 * N44, "")</f>
        <v>-607.28744939270894</v>
      </c>
      <c r="Q44" s="156"/>
      <c r="R44" s="156"/>
      <c r="S44" s="156"/>
    </row>
    <row r="45" spans="1:19" ht="17.25" customHeight="1" thickBot="1">
      <c r="A45" s="109" t="s">
        <v>349</v>
      </c>
      <c r="B45" s="110">
        <v>69.3</v>
      </c>
      <c r="C45" s="70">
        <v>7.2755418000000002E-2</v>
      </c>
      <c r="D45" s="15">
        <v>69.099999999999994</v>
      </c>
      <c r="E45" s="32">
        <f t="shared" ref="E45:E48" si="14">IF(ISNUMBER(D45), (D45 - $B45) / $B45, "")</f>
        <v>-2.8860028860029272E-3</v>
      </c>
      <c r="F45" s="18">
        <f>IF(ISNUMBER(D45), $B64 * E45, "")</f>
        <v>-432.90043290043906</v>
      </c>
      <c r="G45" s="31">
        <v>61.8</v>
      </c>
      <c r="H45" s="32">
        <f t="shared" ref="H45:H48" si="15">IF(ISNUMBER(G45), (G45 - $B45) / $B45, "")</f>
        <v>-0.10822510822510822</v>
      </c>
      <c r="I45" s="91">
        <f>IF(ISNUMBER(G45), $B64 * H45, "")</f>
        <v>-16233.766233766233</v>
      </c>
      <c r="J45" s="15">
        <v>59.2</v>
      </c>
      <c r="K45" s="32">
        <f t="shared" ref="K45:K48" si="16">IF(ISNUMBER(J45), (J45 - $B45) / $B45, "")</f>
        <v>-0.14574314574314567</v>
      </c>
      <c r="L45" s="18">
        <f>IF(ISNUMBER(J45), $B64 * K45, "")</f>
        <v>-21861.471861471851</v>
      </c>
      <c r="M45" s="31">
        <v>60.8</v>
      </c>
      <c r="N45" s="32">
        <f t="shared" ref="N45:N48" si="17">IF(ISNUMBER(M45), (M45 - $B45) / $B45, "")</f>
        <v>-0.12265512265512266</v>
      </c>
      <c r="O45" s="18">
        <f>IF(ISNUMBER(M45), $B64 * N45, "")</f>
        <v>-18398.268398268399</v>
      </c>
      <c r="Q45" s="156"/>
      <c r="R45" s="156"/>
      <c r="S45" s="156"/>
    </row>
    <row r="46" spans="1:19" ht="17.25" customHeight="1" thickBot="1">
      <c r="A46" s="109" t="s">
        <v>132</v>
      </c>
      <c r="B46" s="110">
        <v>60.5</v>
      </c>
      <c r="C46" s="70">
        <v>3.2423208199999998E-2</v>
      </c>
      <c r="D46" s="15">
        <v>66.2</v>
      </c>
      <c r="E46" s="32">
        <f t="shared" si="14"/>
        <v>9.4214876033057893E-2</v>
      </c>
      <c r="F46" s="18">
        <f>IF(ISNUMBER(D46), $B64 * E46, "")</f>
        <v>14132.231404958684</v>
      </c>
      <c r="G46" s="31">
        <v>70.2</v>
      </c>
      <c r="H46" s="32">
        <f t="shared" si="15"/>
        <v>0.16033057851239674</v>
      </c>
      <c r="I46" s="91">
        <f>IF(ISNUMBER(G46), $B64 * H46, "")</f>
        <v>24049.586776859509</v>
      </c>
      <c r="J46" s="15">
        <v>71.5</v>
      </c>
      <c r="K46" s="32">
        <f t="shared" si="16"/>
        <v>0.18181818181818182</v>
      </c>
      <c r="L46" s="18">
        <f>IF(ISNUMBER(J46), $B64 * K46, "")</f>
        <v>27272.727272727272</v>
      </c>
      <c r="M46" s="31">
        <v>72.2</v>
      </c>
      <c r="N46" s="32">
        <f t="shared" si="17"/>
        <v>0.19338842975206616</v>
      </c>
      <c r="O46" s="18">
        <f>IF(ISNUMBER(M46), $B64 * N46, "")</f>
        <v>29008.264462809922</v>
      </c>
      <c r="Q46" s="146"/>
      <c r="R46" s="146"/>
      <c r="S46" s="146"/>
    </row>
    <row r="47" spans="1:19" ht="17.25" customHeight="1" thickBot="1">
      <c r="A47" s="109" t="s">
        <v>122</v>
      </c>
      <c r="B47" s="110">
        <v>29.4</v>
      </c>
      <c r="C47" s="70">
        <v>2.4390243900000001E-2</v>
      </c>
      <c r="D47" s="15">
        <v>29.6</v>
      </c>
      <c r="E47" s="32">
        <f t="shared" si="14"/>
        <v>6.802721088435471E-3</v>
      </c>
      <c r="F47" s="18">
        <f>IF(ISNUMBER(D47), $B64 * E47, "")</f>
        <v>1020.4081632653207</v>
      </c>
      <c r="G47" s="31">
        <v>30</v>
      </c>
      <c r="H47" s="32">
        <f t="shared" si="15"/>
        <v>2.0408163265306173E-2</v>
      </c>
      <c r="I47" s="91">
        <f>IF(ISNUMBER(G47), $B64 * H47, "")</f>
        <v>3061.2244897959258</v>
      </c>
      <c r="J47" s="15">
        <v>30.1</v>
      </c>
      <c r="K47" s="32">
        <f t="shared" si="16"/>
        <v>2.3809523809523909E-2</v>
      </c>
      <c r="L47" s="18">
        <f>IF(ISNUMBER(J47), $B64 * K47, "")</f>
        <v>3571.4285714285861</v>
      </c>
      <c r="M47" s="31">
        <v>30.2</v>
      </c>
      <c r="N47" s="32">
        <f t="shared" si="17"/>
        <v>2.7210884353741523E-2</v>
      </c>
      <c r="O47" s="18">
        <f>IF(ISNUMBER(M47), $B64 * N47, "")</f>
        <v>4081.6326530612287</v>
      </c>
      <c r="Q47" s="146"/>
      <c r="R47" s="146"/>
      <c r="S47" s="146"/>
    </row>
    <row r="48" spans="1:19" ht="17.25" customHeight="1" thickBot="1">
      <c r="A48" s="111" t="s">
        <v>227</v>
      </c>
      <c r="B48" s="112">
        <v>49.9</v>
      </c>
      <c r="C48" s="71">
        <v>2.0449897799999998E-2</v>
      </c>
      <c r="D48" s="20">
        <v>50.8</v>
      </c>
      <c r="E48" s="21">
        <f t="shared" si="14"/>
        <v>1.803607214428855E-2</v>
      </c>
      <c r="F48" s="22">
        <f>IF(ISNUMBER(D48), $B64 * E48, "")</f>
        <v>2705.4108216432824</v>
      </c>
      <c r="G48" s="30">
        <v>52.5</v>
      </c>
      <c r="H48" s="21">
        <f t="shared" si="15"/>
        <v>5.2104208416833699E-2</v>
      </c>
      <c r="I48" s="95">
        <f>IF(ISNUMBER(G48), $B64 * H48, "")</f>
        <v>7815.6312625250548</v>
      </c>
      <c r="J48" s="20">
        <v>51.8</v>
      </c>
      <c r="K48" s="21">
        <f t="shared" si="16"/>
        <v>3.8076152304609194E-2</v>
      </c>
      <c r="L48" s="22">
        <f>IF(ISNUMBER(J48), $B64 * K48, "")</f>
        <v>5711.4228456913788</v>
      </c>
      <c r="M48" s="30">
        <v>52.2</v>
      </c>
      <c r="N48" s="21">
        <f t="shared" si="17"/>
        <v>4.6092184368737563E-2</v>
      </c>
      <c r="O48" s="22">
        <f>IF(ISNUMBER(M48), $B64 * N48, "")</f>
        <v>6913.8276553106343</v>
      </c>
      <c r="Q48" s="146"/>
      <c r="R48" s="146"/>
      <c r="S48" s="146"/>
    </row>
    <row r="49" spans="1:19" ht="17.25" customHeight="1" thickBot="1">
      <c r="A49" s="109" t="s">
        <v>329</v>
      </c>
      <c r="B49" s="113">
        <v>84.7</v>
      </c>
      <c r="C49" s="73">
        <v>1.43712575E-2</v>
      </c>
      <c r="D49" s="96">
        <v>83.4</v>
      </c>
      <c r="E49" s="97">
        <f>IF(ISNUMBER(D49), (D49 - $B49) / $B49, "")</f>
        <v>-1.5348288075560769E-2</v>
      </c>
      <c r="F49" s="98">
        <f>IF(ISNUMBER(D49), $B64 * E49, "")</f>
        <v>-2302.2432113341156</v>
      </c>
      <c r="G49" s="99">
        <v>85.3</v>
      </c>
      <c r="H49" s="97">
        <f>IF(ISNUMBER(G49), (G49 - $B49) / $B49, "")</f>
        <v>7.0838252656433799E-3</v>
      </c>
      <c r="I49" s="100">
        <f>IF(ISNUMBER(G49), $B64 * H49, "")</f>
        <v>1062.573789846507</v>
      </c>
      <c r="J49" s="96">
        <v>85.8</v>
      </c>
      <c r="K49" s="97">
        <f>IF(ISNUMBER(J49), (J49 - $B49) / $B49, "")</f>
        <v>1.298701298701292E-2</v>
      </c>
      <c r="L49" s="98">
        <f>IF(ISNUMBER(J49), $B64 * K49, "")</f>
        <v>1948.0519480519381</v>
      </c>
      <c r="M49" s="99">
        <v>85.8</v>
      </c>
      <c r="N49" s="97">
        <f>IF(ISNUMBER(M49), (M49 - $B49) / $B49, "")</f>
        <v>1.298701298701292E-2</v>
      </c>
      <c r="O49" s="98">
        <f>IF(ISNUMBER(M49), $B64 * N49, "")</f>
        <v>1948.0519480519381</v>
      </c>
      <c r="Q49" s="146"/>
      <c r="R49" s="146"/>
      <c r="S49" s="146"/>
    </row>
    <row r="50" spans="1:19" ht="17.25" customHeight="1" thickBot="1">
      <c r="A50" s="109" t="s">
        <v>138</v>
      </c>
      <c r="B50" s="110">
        <v>34.799999999999997</v>
      </c>
      <c r="C50" s="70">
        <v>5.7803467999999998E-3</v>
      </c>
      <c r="D50" s="15">
        <v>33.9</v>
      </c>
      <c r="E50" s="32">
        <f t="shared" ref="E50:E53" si="18">IF(ISNUMBER(D50), (D50 - $B50) / $B50, "")</f>
        <v>-2.5862068965517203E-2</v>
      </c>
      <c r="F50" s="18">
        <f>IF(ISNUMBER(D50), $B64 * E50, "")</f>
        <v>-3879.3103448275806</v>
      </c>
      <c r="G50" s="31">
        <v>34.200000000000003</v>
      </c>
      <c r="H50" s="32">
        <f t="shared" ref="H50:H53" si="19">IF(ISNUMBER(G50), (G50 - $B50) / $B50, "")</f>
        <v>-1.7241379310344664E-2</v>
      </c>
      <c r="I50" s="91">
        <f>IF(ISNUMBER(G50), $B64 * H50, "")</f>
        <v>-2586.2068965516996</v>
      </c>
      <c r="J50" s="15">
        <v>34.299999999999997</v>
      </c>
      <c r="K50" s="32">
        <f t="shared" ref="K50:K53" si="20">IF(ISNUMBER(J50), (J50 - $B50) / $B50, "")</f>
        <v>-1.4367816091954025E-2</v>
      </c>
      <c r="L50" s="18">
        <f>IF(ISNUMBER(J50), $B64 * K50, "")</f>
        <v>-2155.1724137931037</v>
      </c>
      <c r="M50" s="31">
        <v>34.200000000000003</v>
      </c>
      <c r="N50" s="32">
        <f t="shared" ref="N50:N53" si="21">IF(ISNUMBER(M50), (M50 - $B50) / $B50, "")</f>
        <v>-1.7241379310344664E-2</v>
      </c>
      <c r="O50" s="18">
        <f>IF(ISNUMBER(M50), $B64 * N50, "")</f>
        <v>-2586.2068965516996</v>
      </c>
      <c r="Q50" s="146"/>
      <c r="R50" s="146"/>
      <c r="S50" s="146"/>
    </row>
    <row r="51" spans="1:19" ht="17.25" customHeight="1" thickBot="1">
      <c r="A51" s="109" t="s">
        <v>145</v>
      </c>
      <c r="B51" s="110">
        <v>77.400000000000006</v>
      </c>
      <c r="C51" s="70">
        <v>3.8910505999999998E-3</v>
      </c>
      <c r="D51" s="15">
        <v>77.5</v>
      </c>
      <c r="E51" s="32">
        <f t="shared" si="18"/>
        <v>1.2919896640826139E-3</v>
      </c>
      <c r="F51" s="18">
        <f>IF(ISNUMBER(D51), $B64 * E51, "")</f>
        <v>193.79844961239209</v>
      </c>
      <c r="G51" s="31">
        <v>77.8</v>
      </c>
      <c r="H51" s="32">
        <f t="shared" si="19"/>
        <v>5.1679586563306385E-3</v>
      </c>
      <c r="I51" s="91">
        <f>IF(ISNUMBER(G51), $B64 * H51, "")</f>
        <v>775.19379844959576</v>
      </c>
      <c r="J51" s="15">
        <v>78</v>
      </c>
      <c r="K51" s="32">
        <f t="shared" si="20"/>
        <v>7.7519379844960502E-3</v>
      </c>
      <c r="L51" s="18">
        <f>IF(ISNUMBER(J51), $B64 * K51, "")</f>
        <v>1162.7906976744075</v>
      </c>
      <c r="M51" s="31">
        <v>78.599999999999994</v>
      </c>
      <c r="N51" s="32">
        <f t="shared" si="21"/>
        <v>1.55038759689921E-2</v>
      </c>
      <c r="O51" s="18">
        <f>IF(ISNUMBER(M51), $B64 * N51, "")</f>
        <v>2325.581395348815</v>
      </c>
      <c r="Q51" s="146"/>
      <c r="R51" s="146"/>
      <c r="S51" s="146"/>
    </row>
    <row r="52" spans="1:19" ht="17.25" customHeight="1" thickBot="1">
      <c r="A52" s="109" t="s">
        <v>191</v>
      </c>
      <c r="B52" s="110">
        <v>75.7</v>
      </c>
      <c r="C52" s="70">
        <v>2.6490066E-3</v>
      </c>
      <c r="D52" s="15">
        <v>72.599999999999994</v>
      </c>
      <c r="E52" s="32">
        <f t="shared" si="18"/>
        <v>-4.0951122853368674E-2</v>
      </c>
      <c r="F52" s="18">
        <f>IF(ISNUMBER(D52), $B64 * E52, "")</f>
        <v>-6142.6684280053014</v>
      </c>
      <c r="G52" s="31">
        <v>72.099999999999994</v>
      </c>
      <c r="H52" s="32">
        <f t="shared" si="19"/>
        <v>-4.7556142668428114E-2</v>
      </c>
      <c r="I52" s="91">
        <f>IF(ISNUMBER(G52), $B64 * H52, "")</f>
        <v>-7133.4214002642175</v>
      </c>
      <c r="J52" s="15">
        <v>72.3</v>
      </c>
      <c r="K52" s="32">
        <f t="shared" si="20"/>
        <v>-4.4914134742404299E-2</v>
      </c>
      <c r="L52" s="18">
        <f>IF(ISNUMBER(J52), $B64 * K52, "")</f>
        <v>-6737.120211360645</v>
      </c>
      <c r="M52" s="31">
        <v>72.3</v>
      </c>
      <c r="N52" s="32">
        <f t="shared" si="21"/>
        <v>-4.4914134742404299E-2</v>
      </c>
      <c r="O52" s="18">
        <f>IF(ISNUMBER(M52), $B64 * N52, "")</f>
        <v>-6737.120211360645</v>
      </c>
      <c r="Q52" s="33"/>
      <c r="R52" s="33"/>
    </row>
    <row r="53" spans="1:19" ht="17.25" customHeight="1" thickBot="1">
      <c r="A53" s="114" t="s">
        <v>97</v>
      </c>
      <c r="B53" s="115">
        <v>1E-3</v>
      </c>
      <c r="C53" s="72">
        <v>0</v>
      </c>
      <c r="D53" s="24">
        <v>1E-3</v>
      </c>
      <c r="E53" s="25">
        <f t="shared" si="18"/>
        <v>0</v>
      </c>
      <c r="F53" s="94">
        <f>IF(ISNUMBER(D53), $B64 * E53, "")</f>
        <v>0</v>
      </c>
      <c r="G53" s="92">
        <v>8.9999999999999998E-4</v>
      </c>
      <c r="H53" s="25">
        <f t="shared" si="19"/>
        <v>-0.10000000000000005</v>
      </c>
      <c r="I53" s="93">
        <f>IF(ISNUMBER(G53), $B64 * H53, "")</f>
        <v>-15000.000000000007</v>
      </c>
      <c r="J53" s="24">
        <v>8.9999999999999998E-4</v>
      </c>
      <c r="K53" s="25">
        <f t="shared" si="20"/>
        <v>-0.10000000000000005</v>
      </c>
      <c r="L53" s="94">
        <f>IF(ISNUMBER(J53), $B64 * K53, "")</f>
        <v>-15000.000000000007</v>
      </c>
      <c r="M53" s="92">
        <v>8.9999999999999998E-4</v>
      </c>
      <c r="N53" s="25">
        <f t="shared" si="21"/>
        <v>-0.10000000000000005</v>
      </c>
      <c r="O53" s="94">
        <f>IF(ISNUMBER(M53), $B64 * N53, "")</f>
        <v>-15000.000000000007</v>
      </c>
      <c r="Q53" s="147"/>
      <c r="R53" s="148"/>
      <c r="S53" s="149"/>
    </row>
    <row r="54" spans="1:19" ht="17.25" customHeight="1">
      <c r="A54" s="107" t="s">
        <v>185</v>
      </c>
      <c r="B54" s="108">
        <v>38.9</v>
      </c>
      <c r="C54" s="69">
        <v>0</v>
      </c>
      <c r="D54" s="13">
        <v>37.799999999999997</v>
      </c>
      <c r="E54" s="14">
        <f>IF(ISNUMBER(D54), (D54 - $B54) / $B54, "")</f>
        <v>-2.8277634961439625E-2</v>
      </c>
      <c r="F54" s="16">
        <f>IF(ISNUMBER(D54), $B64 * E54, "")</f>
        <v>-4241.6452442159434</v>
      </c>
      <c r="G54" s="29">
        <v>38.1</v>
      </c>
      <c r="H54" s="14">
        <f>IF(ISNUMBER(G54), (G54 - $B54) / $B54, "")</f>
        <v>-2.0565552699228721E-2</v>
      </c>
      <c r="I54" s="90">
        <f>IF(ISNUMBER(G54), $B64 * H54, "")</f>
        <v>-3084.8329048843079</v>
      </c>
      <c r="J54" s="13">
        <v>38.200000000000003</v>
      </c>
      <c r="K54" s="14">
        <f>IF(ISNUMBER(J54), (J54 - $B54) / $B54, "")</f>
        <v>-1.7994858611825083E-2</v>
      </c>
      <c r="L54" s="16">
        <f>IF(ISNUMBER(J54), $B64 * K54, "")</f>
        <v>-2699.2287917737626</v>
      </c>
      <c r="M54" s="29">
        <v>38.5</v>
      </c>
      <c r="N54" s="14">
        <f>IF(ISNUMBER(M54), (M54 - $B54) / $B54, "")</f>
        <v>-1.028277634961436E-2</v>
      </c>
      <c r="O54" s="16">
        <f>IF(ISNUMBER(M54), $B64 * N54, "")</f>
        <v>-1542.416452442154</v>
      </c>
      <c r="Q54" s="150"/>
      <c r="R54" s="151"/>
      <c r="S54" s="152"/>
    </row>
    <row r="55" spans="1:19" ht="17.25" customHeight="1" thickBot="1">
      <c r="A55" s="109" t="s">
        <v>352</v>
      </c>
      <c r="B55" s="110">
        <v>1.46E-2</v>
      </c>
      <c r="C55" s="70">
        <v>0</v>
      </c>
      <c r="D55" s="15">
        <v>1.43E-2</v>
      </c>
      <c r="E55" s="32">
        <f t="shared" ref="E55:E58" si="22">IF(ISNUMBER(D55), (D55 - $B55) / $B55, "")</f>
        <v>-2.0547945205479447E-2</v>
      </c>
      <c r="F55" s="18">
        <f>IF(ISNUMBER(D55), $B64 * E55, "")</f>
        <v>-3082.1917808219173</v>
      </c>
      <c r="G55" s="31">
        <v>1.44E-2</v>
      </c>
      <c r="H55" s="32">
        <f t="shared" ref="H55:H58" si="23">IF(ISNUMBER(G55), (G55 - $B55) / $B55, "")</f>
        <v>-1.3698630136986337E-2</v>
      </c>
      <c r="I55" s="91">
        <f>IF(ISNUMBER(G55), $B64 * H55, "")</f>
        <v>-2054.7945205479505</v>
      </c>
      <c r="J55" s="15">
        <v>1.44E-2</v>
      </c>
      <c r="K55" s="32">
        <f t="shared" ref="K55:K58" si="24">IF(ISNUMBER(J55), (J55 - $B55) / $B55, "")</f>
        <v>-1.3698630136986337E-2</v>
      </c>
      <c r="L55" s="18">
        <f>IF(ISNUMBER(J55), $B64 * K55, "")</f>
        <v>-2054.7945205479505</v>
      </c>
      <c r="M55" s="31">
        <v>1.4500000000000001E-2</v>
      </c>
      <c r="N55" s="32">
        <f t="shared" ref="N55:N58" si="25">IF(ISNUMBER(M55), (M55 - $B55) / $B55, "")</f>
        <v>-6.8493150684931095E-3</v>
      </c>
      <c r="O55" s="18">
        <f>IF(ISNUMBER(M55), $B64 * N55, "")</f>
        <v>-1027.3972602739664</v>
      </c>
      <c r="Q55" s="153"/>
      <c r="R55" s="154"/>
      <c r="S55" s="155"/>
    </row>
    <row r="56" spans="1:19" ht="17.25" customHeight="1" thickBot="1">
      <c r="A56" s="109" t="s">
        <v>155</v>
      </c>
      <c r="B56" s="110">
        <v>32.799999999999997</v>
      </c>
      <c r="C56" s="70">
        <v>0</v>
      </c>
      <c r="D56" s="15">
        <v>34</v>
      </c>
      <c r="E56" s="32">
        <f t="shared" si="22"/>
        <v>3.6585365853658625E-2</v>
      </c>
      <c r="F56" s="18">
        <f>IF(ISNUMBER(D56), $B64 * E56, "")</f>
        <v>5487.8048780487934</v>
      </c>
      <c r="G56" s="31">
        <v>33.6</v>
      </c>
      <c r="H56" s="32">
        <f t="shared" si="23"/>
        <v>2.4390243902439157E-2</v>
      </c>
      <c r="I56" s="91">
        <f>IF(ISNUMBER(G56), $B64 * H56, "")</f>
        <v>3658.5365853658736</v>
      </c>
      <c r="J56" s="15">
        <v>33.799999999999997</v>
      </c>
      <c r="K56" s="32">
        <f t="shared" si="24"/>
        <v>3.0487804878048783E-2</v>
      </c>
      <c r="L56" s="18">
        <f>IF(ISNUMBER(J56), $B64 * K56, "")</f>
        <v>4573.1707317073178</v>
      </c>
      <c r="M56" s="31">
        <v>33.9</v>
      </c>
      <c r="N56" s="32">
        <f t="shared" si="25"/>
        <v>3.3536585365853702E-2</v>
      </c>
      <c r="O56" s="18">
        <f>IF(ISNUMBER(M56), $B64 * N56, "")</f>
        <v>5030.4878048780556</v>
      </c>
      <c r="Q56" s="146"/>
      <c r="R56" s="146"/>
      <c r="S56" s="146"/>
    </row>
    <row r="57" spans="1:19" ht="17.25" customHeight="1" thickBot="1">
      <c r="A57" s="109" t="s">
        <v>181</v>
      </c>
      <c r="B57" s="110">
        <v>4.9400000000000004</v>
      </c>
      <c r="C57" s="70">
        <v>-2.020202E-3</v>
      </c>
      <c r="D57" s="15">
        <v>4.9800000000000004</v>
      </c>
      <c r="E57" s="32">
        <f t="shared" si="22"/>
        <v>8.097165991902841E-3</v>
      </c>
      <c r="F57" s="18">
        <f>IF(ISNUMBER(D57), $B64 * E57, "")</f>
        <v>1214.5748987854261</v>
      </c>
      <c r="G57" s="31">
        <v>5.04</v>
      </c>
      <c r="H57" s="32">
        <f t="shared" si="23"/>
        <v>2.0242914979757012E-2</v>
      </c>
      <c r="I57" s="91">
        <f>IF(ISNUMBER(G57), $B64 * H57, "")</f>
        <v>3036.4372469635518</v>
      </c>
      <c r="J57" s="15">
        <v>5.09</v>
      </c>
      <c r="K57" s="32">
        <f t="shared" si="24"/>
        <v>3.0364372469635519E-2</v>
      </c>
      <c r="L57" s="18">
        <f>IF(ISNUMBER(J57), $B64 * K57, "")</f>
        <v>4554.6558704453282</v>
      </c>
      <c r="M57" s="31">
        <v>5.15</v>
      </c>
      <c r="N57" s="32">
        <f t="shared" si="25"/>
        <v>4.251012145748987E-2</v>
      </c>
      <c r="O57" s="18">
        <f>IF(ISNUMBER(M57), $B64 * N57, "")</f>
        <v>6376.5182186234806</v>
      </c>
      <c r="Q57" s="156"/>
      <c r="R57" s="156"/>
      <c r="S57" s="156"/>
    </row>
    <row r="58" spans="1:19" ht="17.25" customHeight="1" thickBot="1">
      <c r="A58" s="111" t="s">
        <v>56</v>
      </c>
      <c r="B58" s="112">
        <v>47.6</v>
      </c>
      <c r="C58" s="71">
        <v>-2.0964361000000002E-3</v>
      </c>
      <c r="D58" s="20">
        <v>47.8</v>
      </c>
      <c r="E58" s="21">
        <f t="shared" si="22"/>
        <v>4.201680672268818E-3</v>
      </c>
      <c r="F58" s="22">
        <f>IF(ISNUMBER(D58), $B64 * E58, "")</f>
        <v>630.25210084032267</v>
      </c>
      <c r="G58" s="30">
        <v>48.9</v>
      </c>
      <c r="H58" s="21">
        <f t="shared" si="23"/>
        <v>2.731092436974784E-2</v>
      </c>
      <c r="I58" s="95">
        <f>IF(ISNUMBER(G58), $B64 * H58, "")</f>
        <v>4096.6386554621758</v>
      </c>
      <c r="J58" s="20">
        <v>48.7</v>
      </c>
      <c r="K58" s="21">
        <f t="shared" si="24"/>
        <v>2.3109243697479021E-2</v>
      </c>
      <c r="L58" s="22">
        <f>IF(ISNUMBER(J58), $B64 * K58, "")</f>
        <v>3466.3865546218531</v>
      </c>
      <c r="M58" s="30">
        <v>49.2</v>
      </c>
      <c r="N58" s="21">
        <f t="shared" si="25"/>
        <v>3.3613445378151287E-2</v>
      </c>
      <c r="O58" s="22">
        <f>IF(ISNUMBER(M58), $B64 * N58, "")</f>
        <v>5042.0168067226932</v>
      </c>
      <c r="Q58" s="156"/>
      <c r="R58" s="156"/>
      <c r="S58" s="156"/>
    </row>
    <row r="59" spans="1:19" ht="17.25" customHeight="1" thickBot="1">
      <c r="A59" s="109" t="s">
        <v>203</v>
      </c>
      <c r="B59" s="113">
        <v>3.99</v>
      </c>
      <c r="C59" s="73">
        <v>-4.9875312E-3</v>
      </c>
      <c r="D59" s="96">
        <v>3.93</v>
      </c>
      <c r="E59" s="97">
        <f>IF(ISNUMBER(D59), (D59 - $B59) / $B59, "")</f>
        <v>-1.5037593984962419E-2</v>
      </c>
      <c r="F59" s="98">
        <f>IF(ISNUMBER(D59), $B64 * E59, "")</f>
        <v>-2255.639097744363</v>
      </c>
      <c r="G59" s="99">
        <v>4.04</v>
      </c>
      <c r="H59" s="97">
        <f>IF(ISNUMBER(G59), (G59 - $B59) / $B59, "")</f>
        <v>1.2531328320801959E-2</v>
      </c>
      <c r="I59" s="100">
        <f>IF(ISNUMBER(G59), $B64 * H59, "")</f>
        <v>1879.699248120294</v>
      </c>
      <c r="J59" s="96">
        <v>4.05</v>
      </c>
      <c r="K59" s="97">
        <f>IF(ISNUMBER(J59), (J59 - $B59) / $B59, "")</f>
        <v>1.5037593984962308E-2</v>
      </c>
      <c r="L59" s="98">
        <f>IF(ISNUMBER(J59), $B64 * K59, "")</f>
        <v>2255.6390977443461</v>
      </c>
      <c r="M59" s="99">
        <v>4.04</v>
      </c>
      <c r="N59" s="97">
        <f>IF(ISNUMBER(M59), (M59 - $B59) / $B59, "")</f>
        <v>1.2531328320801959E-2</v>
      </c>
      <c r="O59" s="98">
        <f>IF(ISNUMBER(M59), $B64 * N59, "")</f>
        <v>1879.699248120294</v>
      </c>
      <c r="Q59" s="146"/>
      <c r="R59" s="146"/>
      <c r="S59" s="146"/>
    </row>
    <row r="60" spans="1:19" ht="17.25" customHeight="1" thickBot="1">
      <c r="A60" s="109" t="s">
        <v>237</v>
      </c>
      <c r="B60" s="110">
        <v>31.7</v>
      </c>
      <c r="C60" s="70">
        <v>-6.2695924999999998E-3</v>
      </c>
      <c r="D60" s="15">
        <v>32</v>
      </c>
      <c r="E60" s="32">
        <f t="shared" ref="E60:E63" si="26">IF(ISNUMBER(D60), (D60 - $B60) / $B60, "")</f>
        <v>9.4637223974763634E-3</v>
      </c>
      <c r="F60" s="18">
        <f>IF(ISNUMBER(D60), $B64 * E60, "")</f>
        <v>1419.5583596214544</v>
      </c>
      <c r="G60" s="31">
        <v>35.4</v>
      </c>
      <c r="H60" s="32">
        <f t="shared" ref="H60:H63" si="27">IF(ISNUMBER(G60), (G60 - $B60) / $B60, "")</f>
        <v>0.11671924290220818</v>
      </c>
      <c r="I60" s="91">
        <f>IF(ISNUMBER(G60), $B64 * H60, "")</f>
        <v>17507.886435331227</v>
      </c>
      <c r="J60" s="15">
        <v>34.6</v>
      </c>
      <c r="K60" s="32">
        <f t="shared" ref="K60:K63" si="28">IF(ISNUMBER(J60), (J60 - $B60) / $B60, "")</f>
        <v>9.1482649842271363E-2</v>
      </c>
      <c r="L60" s="18">
        <f>IF(ISNUMBER(J60), $B64 * K60, "")</f>
        <v>13722.397476340704</v>
      </c>
      <c r="M60" s="31">
        <v>34.6</v>
      </c>
      <c r="N60" s="32">
        <f t="shared" ref="N60:N63" si="29">IF(ISNUMBER(M60), (M60 - $B60) / $B60, "")</f>
        <v>9.1482649842271363E-2</v>
      </c>
      <c r="O60" s="18">
        <f>IF(ISNUMBER(M60), $B64 * N60, "")</f>
        <v>13722.397476340704</v>
      </c>
      <c r="Q60" s="146"/>
      <c r="R60" s="146"/>
      <c r="S60" s="146"/>
    </row>
    <row r="61" spans="1:19" ht="17.25" customHeight="1" thickBot="1">
      <c r="A61" s="109" t="s">
        <v>143</v>
      </c>
      <c r="B61" s="110">
        <v>4.49</v>
      </c>
      <c r="C61" s="70">
        <v>-6.6371681000000002E-3</v>
      </c>
      <c r="D61" s="15">
        <v>4.4400000000000004</v>
      </c>
      <c r="E61" s="32">
        <f t="shared" si="26"/>
        <v>-1.1135857461024459E-2</v>
      </c>
      <c r="F61" s="18">
        <f>IF(ISNUMBER(D61), $B64 * E61, "")</f>
        <v>-1670.3786191536688</v>
      </c>
      <c r="G61" s="31">
        <v>4.62</v>
      </c>
      <c r="H61" s="32">
        <f t="shared" si="27"/>
        <v>2.8953229398663672E-2</v>
      </c>
      <c r="I61" s="91">
        <f>IF(ISNUMBER(G61), $B64 * H61, "")</f>
        <v>4342.984409799551</v>
      </c>
      <c r="J61" s="15">
        <v>4.57</v>
      </c>
      <c r="K61" s="32">
        <f t="shared" si="28"/>
        <v>1.7817371937639215E-2</v>
      </c>
      <c r="L61" s="18">
        <f>IF(ISNUMBER(J61), $B64 * K61, "")</f>
        <v>2672.6057906458823</v>
      </c>
      <c r="M61" s="31">
        <v>4.57</v>
      </c>
      <c r="N61" s="32">
        <f t="shared" si="29"/>
        <v>1.7817371937639215E-2</v>
      </c>
      <c r="O61" s="18">
        <f>IF(ISNUMBER(M61), $B64 * N61, "")</f>
        <v>2672.6057906458823</v>
      </c>
      <c r="Q61" s="146"/>
      <c r="R61" s="146"/>
      <c r="S61" s="146"/>
    </row>
    <row r="62" spans="1:19" ht="17.25" customHeight="1">
      <c r="A62" s="109" t="s">
        <v>141</v>
      </c>
      <c r="B62" s="110">
        <v>4.0199999999999996</v>
      </c>
      <c r="C62" s="70">
        <v>-7.4074073999999997E-3</v>
      </c>
      <c r="D62" s="15">
        <v>3.95</v>
      </c>
      <c r="E62" s="32">
        <f t="shared" si="26"/>
        <v>-1.7412935323382936E-2</v>
      </c>
      <c r="F62" s="18">
        <f>IF(ISNUMBER(D62), $B64 * E62, "")</f>
        <v>-2611.9402985074403</v>
      </c>
      <c r="G62" s="31">
        <v>4.04</v>
      </c>
      <c r="H62" s="32">
        <f t="shared" si="27"/>
        <v>4.975124378109568E-3</v>
      </c>
      <c r="I62" s="91">
        <f>IF(ISNUMBER(G62), $B64 * H62, "")</f>
        <v>746.2686567164352</v>
      </c>
      <c r="J62" s="15">
        <v>4.07</v>
      </c>
      <c r="K62" s="32">
        <f t="shared" si="28"/>
        <v>1.2437810945273809E-2</v>
      </c>
      <c r="L62" s="18">
        <f>IF(ISNUMBER(J62), $B64 * K62, "")</f>
        <v>1865.6716417910714</v>
      </c>
      <c r="M62" s="31">
        <v>4.05</v>
      </c>
      <c r="N62" s="32">
        <f t="shared" si="29"/>
        <v>7.4626865671642414E-3</v>
      </c>
      <c r="O62" s="18">
        <f>IF(ISNUMBER(M62), $B64 * N62, "")</f>
        <v>1119.4029850746363</v>
      </c>
      <c r="Q62" s="135"/>
      <c r="R62" s="136"/>
      <c r="S62" s="137"/>
    </row>
    <row r="63" spans="1:19" ht="17.25" customHeight="1" thickBot="1">
      <c r="A63" s="114" t="s">
        <v>126</v>
      </c>
      <c r="B63" s="115">
        <v>34.700000000000003</v>
      </c>
      <c r="C63" s="72">
        <v>-8.5714286000000001E-3</v>
      </c>
      <c r="D63" s="24">
        <v>34.5</v>
      </c>
      <c r="E63" s="25">
        <f t="shared" si="26"/>
        <v>-5.7636887608069976E-3</v>
      </c>
      <c r="F63" s="94">
        <f>IF(ISNUMBER(D63), $B64 * E63, "")</f>
        <v>-864.55331412104965</v>
      </c>
      <c r="G63" s="92">
        <v>35.6</v>
      </c>
      <c r="H63" s="25">
        <f t="shared" si="27"/>
        <v>2.5936599423631079E-2</v>
      </c>
      <c r="I63" s="93">
        <f>IF(ISNUMBER(G63), $B64 * H63, "")</f>
        <v>3890.4899135446617</v>
      </c>
      <c r="J63" s="24">
        <v>35.4</v>
      </c>
      <c r="K63" s="25">
        <f t="shared" si="28"/>
        <v>2.0172910662824083E-2</v>
      </c>
      <c r="L63" s="94">
        <f>IF(ISNUMBER(J63), $B64 * K63, "")</f>
        <v>3025.9365994236123</v>
      </c>
      <c r="M63" s="92">
        <v>35.299999999999997</v>
      </c>
      <c r="N63" s="25">
        <f t="shared" si="29"/>
        <v>1.7291066282420584E-2</v>
      </c>
      <c r="O63" s="94">
        <f>IF(ISNUMBER(M63), $B64 * N63, "")</f>
        <v>2593.6599423630878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1.2917413918630681E-3</v>
      </c>
      <c r="F64" s="28">
        <f>SUM(F44:F63)</f>
        <v>3875.2241755892046</v>
      </c>
      <c r="G64" s="26" t="s">
        <v>258</v>
      </c>
      <c r="H64" s="27">
        <f>IF(COUNT(H44:H63), SUM(H44:H63) / COUNT(H44:H63), 0)</f>
        <v>9.3360889881959411E-3</v>
      </c>
      <c r="I64" s="28">
        <f>SUM(I44:I63)</f>
        <v>28008.266964587823</v>
      </c>
      <c r="J64" s="26" t="s">
        <v>258</v>
      </c>
      <c r="K64" s="27">
        <f>IF(COUNT(K44:K63), SUM(K44:K63) / COUNT(K44:K63), 0)</f>
        <v>7.6219825005918408E-3</v>
      </c>
      <c r="L64" s="28">
        <f>SUM(L44:L63)</f>
        <v>22865.947501775518</v>
      </c>
      <c r="M64" s="26" t="s">
        <v>258</v>
      </c>
      <c r="N64" s="27">
        <f>IF(COUNT(N44:N63), SUM(N44:N63) / COUNT(N44:N63), 0)</f>
        <v>1.2271816573020598E-2</v>
      </c>
      <c r="O64" s="28">
        <f>SUM(O44:O63)</f>
        <v>36815.449719061791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2023-01-27(금) 오전 00:00</v>
      </c>
      <c r="C69" s="198"/>
      <c r="D69" s="170" t="str">
        <f>TEXT($G$1, "[$-ko-KR]yyyy-mm-dd(ddd) ") &amp; "오후 14:00"</f>
        <v>2023-01-27(금) 오후 14:00</v>
      </c>
      <c r="E69" s="171"/>
      <c r="F69" s="172"/>
      <c r="G69" s="170" t="str">
        <f>TEXT($G$1, "[$-ko-KR]yyyy-mm-dd(ddd) ") &amp; "오후 19:00"</f>
        <v>2023-01-27(금) 오후 19:00</v>
      </c>
      <c r="H69" s="171"/>
      <c r="I69" s="172"/>
      <c r="J69" s="170" t="str">
        <f>TEXT($G$1, "[$-ko-KR]yyyy-mm-dd(ddd) ") &amp; "오후 21:00"</f>
        <v>2023-01-27(금) 오후 21:00</v>
      </c>
      <c r="K69" s="171"/>
      <c r="L69" s="172"/>
      <c r="M69" s="170" t="str">
        <f>TEXT($G$1+1, "[$-ko-KR]yyyy-mm-dd(ddd) ") &amp; "오전 00:00"</f>
        <v>2023-01-28(토)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319</v>
      </c>
      <c r="B71" s="108">
        <v>776</v>
      </c>
      <c r="C71" s="69">
        <v>8.5314685299999998E-2</v>
      </c>
      <c r="D71" s="13">
        <v>744</v>
      </c>
      <c r="E71" s="14">
        <f>IF(ISNUMBER(D71), (D71 - $B71) / $B71, "")</f>
        <v>-4.1237113402061855E-2</v>
      </c>
      <c r="F71" s="16">
        <f>IF(ISNUMBER(D71), $B91 * E71, "")</f>
        <v>-6185.567010309278</v>
      </c>
      <c r="G71" s="29">
        <v>741</v>
      </c>
      <c r="H71" s="14">
        <f>IF(ISNUMBER(G71), (G71 - $B71) / $B71, "")</f>
        <v>-4.5103092783505154E-2</v>
      </c>
      <c r="I71" s="90">
        <f>IF(ISNUMBER(G71), $B91 * H71, "")</f>
        <v>-6765.4639175257735</v>
      </c>
      <c r="J71" s="13">
        <v>741</v>
      </c>
      <c r="K71" s="14">
        <f>IF(ISNUMBER(J71), (J71 - $B71) / $B71, "")</f>
        <v>-4.5103092783505154E-2</v>
      </c>
      <c r="L71" s="16">
        <f>IF(ISNUMBER(J71), $B91 * K71, "")</f>
        <v>-6765.4639175257735</v>
      </c>
      <c r="M71" s="29">
        <v>742</v>
      </c>
      <c r="N71" s="14">
        <f>IF(ISNUMBER(M71), (M71 - $B71) / $B71, "")</f>
        <v>-4.3814432989690719E-2</v>
      </c>
      <c r="O71" s="16">
        <f>IF(ISNUMBER(M71), $B91 * N71, "")</f>
        <v>-6572.1649484536074</v>
      </c>
      <c r="Q71" s="156"/>
      <c r="R71" s="156"/>
      <c r="S71" s="156"/>
    </row>
    <row r="72" spans="1:19" ht="17.25" thickBot="1">
      <c r="A72" s="109" t="s">
        <v>341</v>
      </c>
      <c r="B72" s="110">
        <v>968</v>
      </c>
      <c r="C72" s="70">
        <v>6.4906490600000005E-2</v>
      </c>
      <c r="D72" s="15">
        <v>960</v>
      </c>
      <c r="E72" s="32">
        <f t="shared" ref="E72:E75" si="30">IF(ISNUMBER(D72), (D72 - $B72) / $B72, "")</f>
        <v>-8.2644628099173556E-3</v>
      </c>
      <c r="F72" s="18">
        <f>IF(ISNUMBER(D72), $B91 * E72, "")</f>
        <v>-1239.6694214876034</v>
      </c>
      <c r="G72" s="31">
        <v>961</v>
      </c>
      <c r="H72" s="32">
        <f t="shared" ref="H72:H75" si="31">IF(ISNUMBER(G72), (G72 - $B72) / $B72, "")</f>
        <v>-7.2314049586776862E-3</v>
      </c>
      <c r="I72" s="91">
        <f>IF(ISNUMBER(G72), $B91 * H72, "")</f>
        <v>-1084.7107438016528</v>
      </c>
      <c r="J72" s="15">
        <v>985</v>
      </c>
      <c r="K72" s="32">
        <f t="shared" ref="K72:K75" si="32">IF(ISNUMBER(J72), (J72 - $B72) / $B72, "")</f>
        <v>1.7561983471074381E-2</v>
      </c>
      <c r="L72" s="18">
        <f>IF(ISNUMBER(J72), $B91 * K72, "")</f>
        <v>2634.2975206611573</v>
      </c>
      <c r="M72" s="31">
        <v>995</v>
      </c>
      <c r="N72" s="32">
        <f t="shared" ref="N72:N75" si="33">IF(ISNUMBER(M72), (M72 - $B72) / $B72, "")</f>
        <v>2.7892561983471075E-2</v>
      </c>
      <c r="O72" s="18">
        <f>IF(ISNUMBER(M72), $B91 * N72, "")</f>
        <v>4183.8842975206617</v>
      </c>
      <c r="Q72" s="156"/>
      <c r="R72" s="156"/>
      <c r="S72" s="156"/>
    </row>
    <row r="73" spans="1:19" ht="17.25" thickBot="1">
      <c r="A73" s="109" t="s">
        <v>199</v>
      </c>
      <c r="B73" s="110">
        <v>367</v>
      </c>
      <c r="C73" s="70">
        <v>3.9660056700000001E-2</v>
      </c>
      <c r="D73" s="15">
        <v>364</v>
      </c>
      <c r="E73" s="32">
        <f t="shared" si="30"/>
        <v>-8.1743869209809257E-3</v>
      </c>
      <c r="F73" s="18">
        <f>IF(ISNUMBER(D73), $B91 * E73, "")</f>
        <v>-1226.1580381471388</v>
      </c>
      <c r="G73" s="31">
        <v>362</v>
      </c>
      <c r="H73" s="32">
        <f t="shared" si="31"/>
        <v>-1.3623978201634877E-2</v>
      </c>
      <c r="I73" s="91">
        <f>IF(ISNUMBER(G73), $B91 * H73, "")</f>
        <v>-2043.5967302452316</v>
      </c>
      <c r="J73" s="15">
        <v>364</v>
      </c>
      <c r="K73" s="32">
        <f t="shared" si="32"/>
        <v>-8.1743869209809257E-3</v>
      </c>
      <c r="L73" s="18">
        <f>IF(ISNUMBER(J73), $B91 * K73, "")</f>
        <v>-1226.1580381471388</v>
      </c>
      <c r="M73" s="31">
        <v>365</v>
      </c>
      <c r="N73" s="32">
        <f t="shared" si="33"/>
        <v>-5.4495912806539508E-3</v>
      </c>
      <c r="O73" s="18">
        <f>IF(ISNUMBER(M73), $B91 * N73, "")</f>
        <v>-817.43869209809259</v>
      </c>
      <c r="Q73" s="146"/>
      <c r="R73" s="146"/>
      <c r="S73" s="146"/>
    </row>
    <row r="74" spans="1:19" ht="17.25" thickBot="1">
      <c r="A74" s="109" t="s">
        <v>101</v>
      </c>
      <c r="B74" s="110">
        <v>269</v>
      </c>
      <c r="C74" s="70">
        <v>3.46153846E-2</v>
      </c>
      <c r="D74" s="15">
        <v>266</v>
      </c>
      <c r="E74" s="32">
        <f t="shared" si="30"/>
        <v>-1.1152416356877323E-2</v>
      </c>
      <c r="F74" s="18">
        <f>IF(ISNUMBER(D74), $B91 * E74, "")</f>
        <v>-1672.8624535315985</v>
      </c>
      <c r="G74" s="31">
        <v>272</v>
      </c>
      <c r="H74" s="32">
        <f t="shared" si="31"/>
        <v>1.1152416356877323E-2</v>
      </c>
      <c r="I74" s="91">
        <f>IF(ISNUMBER(G74), $B91 * H74, "")</f>
        <v>1672.8624535315985</v>
      </c>
      <c r="J74" s="15">
        <v>272</v>
      </c>
      <c r="K74" s="32">
        <f t="shared" si="32"/>
        <v>1.1152416356877323E-2</v>
      </c>
      <c r="L74" s="18">
        <f>IF(ISNUMBER(J74), $B91 * K74, "")</f>
        <v>1672.8624535315985</v>
      </c>
      <c r="M74" s="31">
        <v>272</v>
      </c>
      <c r="N74" s="32">
        <f t="shared" si="33"/>
        <v>1.1152416356877323E-2</v>
      </c>
      <c r="O74" s="18">
        <f>IF(ISNUMBER(M74), $B91 * N74, "")</f>
        <v>1672.8624535315985</v>
      </c>
      <c r="Q74" s="146"/>
      <c r="R74" s="146"/>
      <c r="S74" s="146"/>
    </row>
    <row r="75" spans="1:19" ht="17.25" thickBot="1">
      <c r="A75" s="111" t="s">
        <v>79</v>
      </c>
      <c r="B75" s="112">
        <v>324</v>
      </c>
      <c r="C75" s="71">
        <v>3.1847133800000003E-2</v>
      </c>
      <c r="D75" s="20">
        <v>318</v>
      </c>
      <c r="E75" s="21">
        <f t="shared" si="30"/>
        <v>-1.8518518518518517E-2</v>
      </c>
      <c r="F75" s="22">
        <f>IF(ISNUMBER(D75), $B91 * E75, "")</f>
        <v>-2777.7777777777778</v>
      </c>
      <c r="G75" s="30">
        <v>325</v>
      </c>
      <c r="H75" s="21">
        <f t="shared" si="31"/>
        <v>3.0864197530864196E-3</v>
      </c>
      <c r="I75" s="95">
        <f>IF(ISNUMBER(G75), $B91 * H75, "")</f>
        <v>462.96296296296293</v>
      </c>
      <c r="J75" s="20">
        <v>330</v>
      </c>
      <c r="K75" s="21">
        <f t="shared" si="32"/>
        <v>1.8518518518518517E-2</v>
      </c>
      <c r="L75" s="22">
        <f>IF(ISNUMBER(J75), $B91 * K75, "")</f>
        <v>2777.7777777777778</v>
      </c>
      <c r="M75" s="30">
        <v>327</v>
      </c>
      <c r="N75" s="21">
        <f t="shared" si="33"/>
        <v>9.2592592592592587E-3</v>
      </c>
      <c r="O75" s="22">
        <f>IF(ISNUMBER(M75), $B91 * N75, "")</f>
        <v>1388.8888888888889</v>
      </c>
      <c r="Q75" s="146"/>
      <c r="R75" s="146"/>
      <c r="S75" s="146"/>
    </row>
    <row r="76" spans="1:19" ht="17.25" thickBot="1">
      <c r="A76" s="109" t="s">
        <v>345</v>
      </c>
      <c r="B76" s="113">
        <v>232</v>
      </c>
      <c r="C76" s="73">
        <v>2.65486726E-2</v>
      </c>
      <c r="D76" s="96">
        <v>234</v>
      </c>
      <c r="E76" s="97">
        <f>IF(ISNUMBER(D76), (D76 - $B76) / $B76, "")</f>
        <v>8.6206896551724137E-3</v>
      </c>
      <c r="F76" s="98">
        <f>IF(ISNUMBER(D76), $B91 * E76, "")</f>
        <v>1293.1034482758621</v>
      </c>
      <c r="G76" s="99">
        <v>219</v>
      </c>
      <c r="H76" s="97">
        <f>IF(ISNUMBER(G76), (G76 - $B76) / $B76, "")</f>
        <v>-5.6034482758620691E-2</v>
      </c>
      <c r="I76" s="100">
        <f>IF(ISNUMBER(G76), $B91 * H76, "")</f>
        <v>-8405.1724137931033</v>
      </c>
      <c r="J76" s="96">
        <v>220</v>
      </c>
      <c r="K76" s="97">
        <f>IF(ISNUMBER(J76), (J76 - $B76) / $B76, "")</f>
        <v>-5.1724137931034482E-2</v>
      </c>
      <c r="L76" s="98">
        <f>IF(ISNUMBER(J76), $B91 * K76, "")</f>
        <v>-7758.6206896551721</v>
      </c>
      <c r="M76" s="99">
        <v>221</v>
      </c>
      <c r="N76" s="97">
        <f>IF(ISNUMBER(M76), (M76 - $B76) / $B76, "")</f>
        <v>-4.7413793103448273E-2</v>
      </c>
      <c r="O76" s="98">
        <f>IF(ISNUMBER(M76), $B91 * N76, "")</f>
        <v>-7112.0689655172409</v>
      </c>
      <c r="Q76" s="146"/>
      <c r="R76" s="146"/>
      <c r="S76" s="146"/>
    </row>
    <row r="77" spans="1:19" ht="17.25" thickBot="1">
      <c r="A77" s="109" t="s">
        <v>330</v>
      </c>
      <c r="B77" s="110">
        <v>366</v>
      </c>
      <c r="C77" s="70">
        <v>2.2346368700000001E-2</v>
      </c>
      <c r="D77" s="15">
        <v>364</v>
      </c>
      <c r="E77" s="32">
        <f t="shared" ref="E77:E80" si="34">IF(ISNUMBER(D77), (D77 - $B77) / $B77, "")</f>
        <v>-5.4644808743169399E-3</v>
      </c>
      <c r="F77" s="18">
        <f>IF(ISNUMBER(D77), $B91 * E77, "")</f>
        <v>-819.67213114754099</v>
      </c>
      <c r="G77" s="31">
        <v>369</v>
      </c>
      <c r="H77" s="32">
        <f t="shared" ref="H77:H80" si="35">IF(ISNUMBER(G77), (G77 - $B77) / $B77, "")</f>
        <v>8.1967213114754103E-3</v>
      </c>
      <c r="I77" s="91">
        <f>IF(ISNUMBER(G77), $B91 * H77, "")</f>
        <v>1229.5081967213116</v>
      </c>
      <c r="J77" s="15">
        <v>368</v>
      </c>
      <c r="K77" s="32">
        <f t="shared" ref="K77:K80" si="36">IF(ISNUMBER(J77), (J77 - $B77) / $B77, "")</f>
        <v>5.4644808743169399E-3</v>
      </c>
      <c r="L77" s="18">
        <f>IF(ISNUMBER(J77), $B91 * K77, "")</f>
        <v>819.67213114754099</v>
      </c>
      <c r="M77" s="31">
        <v>370</v>
      </c>
      <c r="N77" s="32">
        <f t="shared" ref="N77:N80" si="37">IF(ISNUMBER(M77), (M77 - $B77) / $B77, "")</f>
        <v>1.092896174863388E-2</v>
      </c>
      <c r="O77" s="18">
        <f>IF(ISNUMBER(M77), $B91 * N77, "")</f>
        <v>1639.344262295082</v>
      </c>
      <c r="Q77" s="146"/>
      <c r="R77" s="146"/>
      <c r="S77" s="146"/>
    </row>
    <row r="78" spans="1:19" ht="17.25" thickBot="1">
      <c r="A78" s="109" t="s">
        <v>81</v>
      </c>
      <c r="B78" s="110">
        <v>475</v>
      </c>
      <c r="C78" s="70">
        <v>1.9313304699999999E-2</v>
      </c>
      <c r="D78" s="15">
        <v>468</v>
      </c>
      <c r="E78" s="32">
        <f t="shared" si="34"/>
        <v>-1.4736842105263158E-2</v>
      </c>
      <c r="F78" s="18">
        <f>IF(ISNUMBER(D78), $B91 * E78, "")</f>
        <v>-2210.5263157894738</v>
      </c>
      <c r="G78" s="31">
        <v>473</v>
      </c>
      <c r="H78" s="32">
        <f t="shared" si="35"/>
        <v>-4.2105263157894736E-3</v>
      </c>
      <c r="I78" s="91">
        <f>IF(ISNUMBER(G78), $B91 * H78, "")</f>
        <v>-631.57894736842104</v>
      </c>
      <c r="J78" s="15">
        <v>472</v>
      </c>
      <c r="K78" s="32">
        <f t="shared" si="36"/>
        <v>-6.3157894736842104E-3</v>
      </c>
      <c r="L78" s="18">
        <f>IF(ISNUMBER(J78), $B91 * K78, "")</f>
        <v>-947.36842105263156</v>
      </c>
      <c r="M78" s="31">
        <v>476</v>
      </c>
      <c r="N78" s="32">
        <f t="shared" si="37"/>
        <v>2.1052631578947368E-3</v>
      </c>
      <c r="O78" s="18">
        <f>IF(ISNUMBER(M78), $B91 * N78, "")</f>
        <v>315.78947368421052</v>
      </c>
      <c r="Q78" s="146"/>
      <c r="R78" s="146"/>
      <c r="S78" s="146"/>
    </row>
    <row r="79" spans="1:19" ht="17.25" thickBot="1">
      <c r="A79" s="109" t="s">
        <v>120</v>
      </c>
      <c r="B79" s="110">
        <v>136</v>
      </c>
      <c r="C79" s="70">
        <v>1.49253731E-2</v>
      </c>
      <c r="D79" s="15">
        <v>134</v>
      </c>
      <c r="E79" s="32">
        <f t="shared" si="34"/>
        <v>-1.4705882352941176E-2</v>
      </c>
      <c r="F79" s="18">
        <f>IF(ISNUMBER(D79), $B91 * E79, "")</f>
        <v>-2205.8823529411766</v>
      </c>
      <c r="G79" s="31">
        <v>137</v>
      </c>
      <c r="H79" s="32">
        <f t="shared" si="35"/>
        <v>7.3529411764705881E-3</v>
      </c>
      <c r="I79" s="91">
        <f>IF(ISNUMBER(G79), $B91 * H79, "")</f>
        <v>1102.9411764705883</v>
      </c>
      <c r="J79" s="15">
        <v>136</v>
      </c>
      <c r="K79" s="32">
        <f t="shared" si="36"/>
        <v>0</v>
      </c>
      <c r="L79" s="18">
        <f>IF(ISNUMBER(J79), $B91 * K79, "")</f>
        <v>0</v>
      </c>
      <c r="M79" s="31">
        <v>140</v>
      </c>
      <c r="N79" s="32">
        <f t="shared" si="37"/>
        <v>2.9411764705882353E-2</v>
      </c>
      <c r="O79" s="18">
        <f>IF(ISNUMBER(M79), $B91 * N79, "")</f>
        <v>4411.7647058823532</v>
      </c>
      <c r="Q79" s="33"/>
      <c r="R79" s="33"/>
    </row>
    <row r="80" spans="1:19" ht="17.25" thickBot="1">
      <c r="A80" s="114" t="s">
        <v>103</v>
      </c>
      <c r="B80" s="115">
        <v>285</v>
      </c>
      <c r="C80" s="72">
        <v>1.4234875399999999E-2</v>
      </c>
      <c r="D80" s="24">
        <v>292</v>
      </c>
      <c r="E80" s="25">
        <f t="shared" si="34"/>
        <v>2.456140350877193E-2</v>
      </c>
      <c r="F80" s="94">
        <f>IF(ISNUMBER(D80), $B91 * E80, "")</f>
        <v>3684.2105263157896</v>
      </c>
      <c r="G80" s="92">
        <v>294</v>
      </c>
      <c r="H80" s="25">
        <f t="shared" si="35"/>
        <v>3.1578947368421054E-2</v>
      </c>
      <c r="I80" s="93">
        <f>IF(ISNUMBER(G80), $B91 * H80, "")</f>
        <v>4736.8421052631584</v>
      </c>
      <c r="J80" s="24">
        <v>298</v>
      </c>
      <c r="K80" s="25">
        <f t="shared" si="36"/>
        <v>4.5614035087719301E-2</v>
      </c>
      <c r="L80" s="94">
        <f>IF(ISNUMBER(J80), $B91 * K80, "")</f>
        <v>6842.105263157895</v>
      </c>
      <c r="M80" s="92">
        <v>298</v>
      </c>
      <c r="N80" s="25">
        <f t="shared" si="37"/>
        <v>4.5614035087719301E-2</v>
      </c>
      <c r="O80" s="94">
        <f>IF(ISNUMBER(M80), $B91 * N80, "")</f>
        <v>6842.105263157895</v>
      </c>
      <c r="Q80" s="147"/>
      <c r="R80" s="148"/>
      <c r="S80" s="149"/>
    </row>
    <row r="81" spans="1:19">
      <c r="A81" s="107" t="s">
        <v>153</v>
      </c>
      <c r="B81" s="108">
        <v>454</v>
      </c>
      <c r="C81" s="69">
        <v>1.3392857100000001E-2</v>
      </c>
      <c r="D81" s="13">
        <v>473</v>
      </c>
      <c r="E81" s="14">
        <f>IF(ISNUMBER(D81), (D81 - $B81) / $B81, "")</f>
        <v>4.185022026431718E-2</v>
      </c>
      <c r="F81" s="16">
        <f>IF(ISNUMBER(D81), $B91 * E81, "")</f>
        <v>6277.5330396475765</v>
      </c>
      <c r="G81" s="29">
        <v>475</v>
      </c>
      <c r="H81" s="14">
        <f>IF(ISNUMBER(G81), (G81 - $B81) / $B81, "")</f>
        <v>4.6255506607929514E-2</v>
      </c>
      <c r="I81" s="90">
        <f>IF(ISNUMBER(G81), $B91 * H81, "")</f>
        <v>6938.3259911894274</v>
      </c>
      <c r="J81" s="13">
        <v>486</v>
      </c>
      <c r="K81" s="14">
        <f>IF(ISNUMBER(J81), (J81 - $B81) / $B81, "")</f>
        <v>7.0484581497797363E-2</v>
      </c>
      <c r="L81" s="16">
        <f>IF(ISNUMBER(J81), $B91 * K81, "")</f>
        <v>10572.687224669604</v>
      </c>
      <c r="M81" s="29">
        <v>490</v>
      </c>
      <c r="N81" s="14">
        <f>IF(ISNUMBER(M81), (M81 - $B81) / $B81, "")</f>
        <v>7.9295154185022032E-2</v>
      </c>
      <c r="O81" s="16">
        <f>IF(ISNUMBER(M81), $B91 * N81, "")</f>
        <v>11894.273127753304</v>
      </c>
      <c r="Q81" s="150"/>
      <c r="R81" s="151"/>
      <c r="S81" s="152"/>
    </row>
    <row r="82" spans="1:19" ht="17.25" thickBot="1">
      <c r="A82" s="109" t="s">
        <v>235</v>
      </c>
      <c r="B82" s="110">
        <v>656</v>
      </c>
      <c r="C82" s="70">
        <v>1.2345679E-2</v>
      </c>
      <c r="D82" s="15">
        <v>841</v>
      </c>
      <c r="E82" s="32">
        <f t="shared" ref="E82:E85" si="38">IF(ISNUMBER(D82), (D82 - $B82) / $B82, "")</f>
        <v>0.28201219512195119</v>
      </c>
      <c r="F82" s="18">
        <f>IF(ISNUMBER(D82), $B91 * E82, "")</f>
        <v>42301.829268292677</v>
      </c>
      <c r="G82" s="31">
        <v>772</v>
      </c>
      <c r="H82" s="32">
        <f t="shared" ref="H82:H85" si="39">IF(ISNUMBER(G82), (G82 - $B82) / $B82, "")</f>
        <v>0.17682926829268292</v>
      </c>
      <c r="I82" s="91">
        <f>IF(ISNUMBER(G82), $B91 * H82, "")</f>
        <v>26524.390243902439</v>
      </c>
      <c r="J82" s="15">
        <v>763</v>
      </c>
      <c r="K82" s="32">
        <f t="shared" ref="K82:K85" si="40">IF(ISNUMBER(J82), (J82 - $B82) / $B82, "")</f>
        <v>0.16310975609756098</v>
      </c>
      <c r="L82" s="18">
        <f>IF(ISNUMBER(J82), $B91 * K82, "")</f>
        <v>24466.463414634149</v>
      </c>
      <c r="M82" s="31">
        <v>776</v>
      </c>
      <c r="N82" s="32">
        <f t="shared" ref="N82:N85" si="41">IF(ISNUMBER(M82), (M82 - $B82) / $B82, "")</f>
        <v>0.18292682926829268</v>
      </c>
      <c r="O82" s="18">
        <f>IF(ISNUMBER(M82), $B91 * N82, "")</f>
        <v>27439.024390243903</v>
      </c>
      <c r="Q82" s="153"/>
      <c r="R82" s="154"/>
      <c r="S82" s="155"/>
    </row>
    <row r="83" spans="1:19" ht="17.25" thickBot="1">
      <c r="A83" s="109" t="s">
        <v>253</v>
      </c>
      <c r="B83" s="110">
        <v>108</v>
      </c>
      <c r="C83" s="70">
        <v>9.3457943999999994E-3</v>
      </c>
      <c r="D83" s="15">
        <v>106</v>
      </c>
      <c r="E83" s="32">
        <f t="shared" si="38"/>
        <v>-1.8518518518518517E-2</v>
      </c>
      <c r="F83" s="18">
        <f>IF(ISNUMBER(D83), $B91 * E83, "")</f>
        <v>-2777.7777777777778</v>
      </c>
      <c r="G83" s="31">
        <v>107</v>
      </c>
      <c r="H83" s="32">
        <f t="shared" si="39"/>
        <v>-9.2592592592592587E-3</v>
      </c>
      <c r="I83" s="91">
        <f>IF(ISNUMBER(G83), $B91 * H83, "")</f>
        <v>-1388.8888888888889</v>
      </c>
      <c r="J83" s="15">
        <v>108</v>
      </c>
      <c r="K83" s="32">
        <f t="shared" si="40"/>
        <v>0</v>
      </c>
      <c r="L83" s="18">
        <f>IF(ISNUMBER(J83), $B91 * K83, "")</f>
        <v>0</v>
      </c>
      <c r="M83" s="31">
        <v>107</v>
      </c>
      <c r="N83" s="32">
        <f t="shared" si="41"/>
        <v>-9.2592592592592587E-3</v>
      </c>
      <c r="O83" s="18">
        <f>IF(ISNUMBER(M83), $B91 * N83, "")</f>
        <v>-1388.8888888888889</v>
      </c>
      <c r="Q83" s="146"/>
      <c r="R83" s="146"/>
      <c r="S83" s="146"/>
    </row>
    <row r="84" spans="1:19" ht="17.25" thickBot="1">
      <c r="A84" s="109" t="s">
        <v>205</v>
      </c>
      <c r="B84" s="110">
        <v>128</v>
      </c>
      <c r="C84" s="70">
        <v>7.8740157000000005E-3</v>
      </c>
      <c r="D84" s="15">
        <v>126</v>
      </c>
      <c r="E84" s="32">
        <f t="shared" si="38"/>
        <v>-1.5625E-2</v>
      </c>
      <c r="F84" s="18">
        <f>IF(ISNUMBER(D84), $B91 * E84, "")</f>
        <v>-2343.75</v>
      </c>
      <c r="G84" s="31">
        <v>128</v>
      </c>
      <c r="H84" s="32">
        <f t="shared" si="39"/>
        <v>0</v>
      </c>
      <c r="I84" s="91">
        <f>IF(ISNUMBER(G84), $B91 * H84, "")</f>
        <v>0</v>
      </c>
      <c r="J84" s="15">
        <v>128</v>
      </c>
      <c r="K84" s="32">
        <f t="shared" si="40"/>
        <v>0</v>
      </c>
      <c r="L84" s="18">
        <f>IF(ISNUMBER(J84), $B91 * K84, "")</f>
        <v>0</v>
      </c>
      <c r="M84" s="31">
        <v>127</v>
      </c>
      <c r="N84" s="32">
        <f t="shared" si="41"/>
        <v>-7.8125E-3</v>
      </c>
      <c r="O84" s="18">
        <f>IF(ISNUMBER(M84), $B91 * N84, "")</f>
        <v>-1171.875</v>
      </c>
      <c r="Q84" s="156"/>
      <c r="R84" s="156"/>
      <c r="S84" s="156"/>
    </row>
    <row r="85" spans="1:19" ht="17.25" thickBot="1">
      <c r="A85" s="111" t="s">
        <v>85</v>
      </c>
      <c r="B85" s="112">
        <v>172</v>
      </c>
      <c r="C85" s="71">
        <v>5.8479532000000004E-3</v>
      </c>
      <c r="D85" s="20">
        <v>170</v>
      </c>
      <c r="E85" s="21">
        <f t="shared" si="38"/>
        <v>-1.1627906976744186E-2</v>
      </c>
      <c r="F85" s="22">
        <f>IF(ISNUMBER(D85), $B91 * E85, "")</f>
        <v>-1744.1860465116279</v>
      </c>
      <c r="G85" s="30">
        <v>171</v>
      </c>
      <c r="H85" s="21">
        <f t="shared" si="39"/>
        <v>-5.8139534883720929E-3</v>
      </c>
      <c r="I85" s="95">
        <f>IF(ISNUMBER(G85), $B91 * H85, "")</f>
        <v>-872.09302325581393</v>
      </c>
      <c r="J85" s="20">
        <v>171</v>
      </c>
      <c r="K85" s="21">
        <f t="shared" si="40"/>
        <v>-5.8139534883720929E-3</v>
      </c>
      <c r="L85" s="22">
        <f>IF(ISNUMBER(J85), $B91 * K85, "")</f>
        <v>-872.09302325581393</v>
      </c>
      <c r="M85" s="30">
        <v>169</v>
      </c>
      <c r="N85" s="21">
        <f t="shared" si="41"/>
        <v>-1.7441860465116279E-2</v>
      </c>
      <c r="O85" s="22">
        <f>IF(ISNUMBER(M85), $B91 * N85, "")</f>
        <v>-2616.2790697674418</v>
      </c>
      <c r="Q85" s="156"/>
      <c r="R85" s="156"/>
      <c r="S85" s="156"/>
    </row>
    <row r="86" spans="1:19" ht="17.25" thickBot="1">
      <c r="A86" s="109" t="s">
        <v>326</v>
      </c>
      <c r="B86" s="113">
        <v>307</v>
      </c>
      <c r="C86" s="73">
        <v>3.2679738999999998E-3</v>
      </c>
      <c r="D86" s="96">
        <v>303</v>
      </c>
      <c r="E86" s="97">
        <f>IF(ISNUMBER(D86), (D86 - $B86) / $B86, "")</f>
        <v>-1.3029315960912053E-2</v>
      </c>
      <c r="F86" s="98">
        <f>IF(ISNUMBER(D86), $B91 * E86, "")</f>
        <v>-1954.3973941368079</v>
      </c>
      <c r="G86" s="99">
        <v>309</v>
      </c>
      <c r="H86" s="97">
        <f>IF(ISNUMBER(G86), (G86 - $B86) / $B86, "")</f>
        <v>6.5146579804560263E-3</v>
      </c>
      <c r="I86" s="100">
        <f>IF(ISNUMBER(G86), $B91 * H86, "")</f>
        <v>977.19869706840393</v>
      </c>
      <c r="J86" s="96">
        <v>310</v>
      </c>
      <c r="K86" s="97">
        <f>IF(ISNUMBER(J86), (J86 - $B86) / $B86, "")</f>
        <v>9.7719869706840382E-3</v>
      </c>
      <c r="L86" s="98">
        <f>IF(ISNUMBER(J86), $B91 * K86, "")</f>
        <v>1465.7980456026057</v>
      </c>
      <c r="M86" s="99">
        <v>312</v>
      </c>
      <c r="N86" s="97">
        <f>IF(ISNUMBER(M86), (M86 - $B86) / $B86, "")</f>
        <v>1.6286644951140065E-2</v>
      </c>
      <c r="O86" s="98">
        <f>IF(ISNUMBER(M86), $B91 * N86, "")</f>
        <v>2442.99674267101</v>
      </c>
      <c r="Q86" s="146"/>
      <c r="R86" s="146"/>
      <c r="S86" s="146"/>
    </row>
    <row r="87" spans="1:19" ht="17.25" thickBot="1">
      <c r="A87" s="109" t="s">
        <v>161</v>
      </c>
      <c r="B87" s="110">
        <v>354</v>
      </c>
      <c r="C87" s="70">
        <v>2.8328612E-3</v>
      </c>
      <c r="D87" s="15">
        <v>353</v>
      </c>
      <c r="E87" s="32">
        <f t="shared" ref="E87:E90" si="42">IF(ISNUMBER(D87), (D87 - $B87) / $B87, "")</f>
        <v>-2.8248587570621469E-3</v>
      </c>
      <c r="F87" s="18">
        <f>IF(ISNUMBER(D87), $B91 * E87, "")</f>
        <v>-423.72881355932202</v>
      </c>
      <c r="G87" s="31">
        <v>360</v>
      </c>
      <c r="H87" s="32">
        <f t="shared" ref="H87:H90" si="43">IF(ISNUMBER(G87), (G87 - $B87) / $B87, "")</f>
        <v>1.6949152542372881E-2</v>
      </c>
      <c r="I87" s="91">
        <f>IF(ISNUMBER(G87), $B91 * H87, "")</f>
        <v>2542.3728813559323</v>
      </c>
      <c r="J87" s="15">
        <v>360</v>
      </c>
      <c r="K87" s="32">
        <f t="shared" ref="K87:K90" si="44">IF(ISNUMBER(J87), (J87 - $B87) / $B87, "")</f>
        <v>1.6949152542372881E-2</v>
      </c>
      <c r="L87" s="18">
        <f>IF(ISNUMBER(J87), $B91 * K87, "")</f>
        <v>2542.3728813559323</v>
      </c>
      <c r="M87" s="31">
        <v>359</v>
      </c>
      <c r="N87" s="32">
        <f t="shared" ref="N87:N90" si="45">IF(ISNUMBER(M87), (M87 - $B87) / $B87, "")</f>
        <v>1.4124293785310734E-2</v>
      </c>
      <c r="O87" s="18">
        <f>IF(ISNUMBER(M87), $B91 * N87, "")</f>
        <v>2118.6440677966102</v>
      </c>
      <c r="Q87" s="146"/>
      <c r="R87" s="146"/>
      <c r="S87" s="146"/>
    </row>
    <row r="88" spans="1:19" ht="17.25" thickBot="1">
      <c r="A88" s="109" t="s">
        <v>68</v>
      </c>
      <c r="B88" s="110">
        <v>687</v>
      </c>
      <c r="C88" s="70">
        <v>1.4577259000000001E-3</v>
      </c>
      <c r="D88" s="15">
        <v>669</v>
      </c>
      <c r="E88" s="32">
        <f t="shared" si="42"/>
        <v>-2.6200873362445413E-2</v>
      </c>
      <c r="F88" s="18">
        <f>IF(ISNUMBER(D88), $B91 * E88, "")</f>
        <v>-3930.1310043668122</v>
      </c>
      <c r="G88" s="31">
        <v>662</v>
      </c>
      <c r="H88" s="32">
        <f t="shared" si="43"/>
        <v>-3.6390101892285295E-2</v>
      </c>
      <c r="I88" s="91">
        <f>IF(ISNUMBER(G88), $B91 * H88, "")</f>
        <v>-5458.5152838427939</v>
      </c>
      <c r="J88" s="15">
        <v>662</v>
      </c>
      <c r="K88" s="32">
        <f t="shared" si="44"/>
        <v>-3.6390101892285295E-2</v>
      </c>
      <c r="L88" s="18">
        <f>IF(ISNUMBER(J88), $B91 * K88, "")</f>
        <v>-5458.5152838427939</v>
      </c>
      <c r="M88" s="31">
        <v>666</v>
      </c>
      <c r="N88" s="32">
        <f t="shared" si="45"/>
        <v>-3.0567685589519649E-2</v>
      </c>
      <c r="O88" s="18">
        <f>IF(ISNUMBER(M88), $B91 * N88, "")</f>
        <v>-4585.1528384279472</v>
      </c>
      <c r="Q88" s="146"/>
      <c r="R88" s="146"/>
      <c r="S88" s="146"/>
    </row>
    <row r="89" spans="1:19">
      <c r="A89" s="109" t="s">
        <v>324</v>
      </c>
      <c r="B89" s="110">
        <v>102</v>
      </c>
      <c r="C89" s="70">
        <v>0</v>
      </c>
      <c r="D89" s="15">
        <v>99.3</v>
      </c>
      <c r="E89" s="32">
        <f t="shared" si="42"/>
        <v>-2.6470588235294145E-2</v>
      </c>
      <c r="F89" s="18">
        <f>IF(ISNUMBER(D89), $B91 * E89, "")</f>
        <v>-3970.5882352941217</v>
      </c>
      <c r="G89" s="31">
        <v>100</v>
      </c>
      <c r="H89" s="32">
        <f t="shared" si="43"/>
        <v>-1.9607843137254902E-2</v>
      </c>
      <c r="I89" s="91">
        <f>IF(ISNUMBER(G89), $B91 * H89, "")</f>
        <v>-2941.1764705882351</v>
      </c>
      <c r="J89" s="15">
        <v>100</v>
      </c>
      <c r="K89" s="32">
        <f t="shared" si="44"/>
        <v>-1.9607843137254902E-2</v>
      </c>
      <c r="L89" s="18">
        <f>IF(ISNUMBER(J89), $B91 * K89, "")</f>
        <v>-2941.1764705882351</v>
      </c>
      <c r="M89" s="31">
        <v>101</v>
      </c>
      <c r="N89" s="32">
        <f t="shared" si="45"/>
        <v>-9.8039215686274508E-3</v>
      </c>
      <c r="O89" s="18">
        <f>IF(ISNUMBER(M89), $B91 * N89, "")</f>
        <v>-1470.5882352941176</v>
      </c>
      <c r="Q89" s="135"/>
      <c r="R89" s="136"/>
      <c r="S89" s="137"/>
    </row>
    <row r="90" spans="1:19" ht="17.25" thickBot="1">
      <c r="A90" s="114" t="s">
        <v>201</v>
      </c>
      <c r="B90" s="115">
        <v>288</v>
      </c>
      <c r="C90" s="72">
        <v>0</v>
      </c>
      <c r="D90" s="24">
        <v>283</v>
      </c>
      <c r="E90" s="25">
        <f t="shared" si="42"/>
        <v>-1.7361111111111112E-2</v>
      </c>
      <c r="F90" s="94">
        <f>IF(ISNUMBER(D90), $B91 * E90, "")</f>
        <v>-2604.166666666667</v>
      </c>
      <c r="G90" s="92">
        <v>286</v>
      </c>
      <c r="H90" s="25">
        <f t="shared" si="43"/>
        <v>-6.9444444444444441E-3</v>
      </c>
      <c r="I90" s="93">
        <f>IF(ISNUMBER(G90), $B91 * H90, "")</f>
        <v>-1041.6666666666665</v>
      </c>
      <c r="J90" s="24">
        <v>286</v>
      </c>
      <c r="K90" s="25">
        <f t="shared" si="44"/>
        <v>-6.9444444444444441E-3</v>
      </c>
      <c r="L90" s="94">
        <f>IF(ISNUMBER(J90), $B91 * K90, "")</f>
        <v>-1041.6666666666665</v>
      </c>
      <c r="M90" s="92">
        <v>286</v>
      </c>
      <c r="N90" s="25">
        <f t="shared" si="45"/>
        <v>-6.9444444444444441E-3</v>
      </c>
      <c r="O90" s="94">
        <f>IF(ISNUMBER(M90), $B91 * N90, "")</f>
        <v>-1041.6666666666665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5.1566116143623927E-3</v>
      </c>
      <c r="F91" s="28">
        <f>SUM(F71:F90)</f>
        <v>15469.834843087174</v>
      </c>
      <c r="G91" s="26" t="s">
        <v>258</v>
      </c>
      <c r="H91" s="27">
        <f>IF(COUNT(H71:H90), SUM(H71:H90) / COUNT(H71:H90), 0)</f>
        <v>5.1848472074964135E-3</v>
      </c>
      <c r="I91" s="28">
        <f>SUM(I71:I90)</f>
        <v>15554.541622489241</v>
      </c>
      <c r="J91" s="26" t="s">
        <v>258</v>
      </c>
      <c r="K91" s="27">
        <f>IF(COUNT(K71:K90), SUM(K71:K90) / COUNT(K71:K90), 0)</f>
        <v>8.9276580672680121E-3</v>
      </c>
      <c r="L91" s="28">
        <f>SUM(L71:L90)</f>
        <v>26782.974201804045</v>
      </c>
      <c r="M91" s="26" t="s">
        <v>258</v>
      </c>
      <c r="N91" s="27">
        <f>IF(COUNT(N71:N90), SUM(N71:N90) / COUNT(N71:N90), 0)</f>
        <v>1.2524484789437171E-2</v>
      </c>
      <c r="O91" s="28">
        <f>SUM(O71:O90)</f>
        <v>37573.454368311519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2023-01-27(금) 오전 00:00</v>
      </c>
      <c r="C96" s="198"/>
      <c r="D96" s="170" t="str">
        <f>TEXT($G$1, "[$-ko-KR]yyyy-mm-dd(ddd) ") &amp; "오후 14:00"</f>
        <v>2023-01-27(금) 오후 14:00</v>
      </c>
      <c r="E96" s="171"/>
      <c r="F96" s="172"/>
      <c r="G96" s="170" t="str">
        <f>TEXT($G$1, "[$-ko-KR]yyyy-mm-dd(ddd) ") &amp; "오후 19:00"</f>
        <v>2023-01-27(금) 오후 19:00</v>
      </c>
      <c r="H96" s="171"/>
      <c r="I96" s="172"/>
      <c r="J96" s="170" t="str">
        <f>TEXT($G$1, "[$-ko-KR]yyyy-mm-dd(ddd) ") &amp; "오후 21:00"</f>
        <v>2023-01-27(금) 오후 21:00</v>
      </c>
      <c r="K96" s="171"/>
      <c r="L96" s="172"/>
      <c r="M96" s="170" t="str">
        <f>TEXT($G$1+1, "[$-ko-KR]yyyy-mm-dd(ddd) ") &amp; "오전 00:00"</f>
        <v>2023-01-28(토)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323</v>
      </c>
      <c r="B98" s="108">
        <v>4.9399999999999999E-2</v>
      </c>
      <c r="C98" s="69">
        <v>0.1488372093</v>
      </c>
      <c r="D98" s="13">
        <v>5.0900000000000001E-2</v>
      </c>
      <c r="E98" s="14">
        <f>IF(ISNUMBER(D98), (D98 - $B98) / $B98, "")</f>
        <v>3.0364372469635654E-2</v>
      </c>
      <c r="F98" s="16">
        <f>IF(ISNUMBER(D98), $B118 * E98, "")</f>
        <v>4554.6558704453482</v>
      </c>
      <c r="G98" s="29">
        <v>4.8800000000000003E-2</v>
      </c>
      <c r="H98" s="14">
        <f>IF(ISNUMBER(G98), (G98 - $B98) / $B98, "")</f>
        <v>-1.2145748987854178E-2</v>
      </c>
      <c r="I98" s="90">
        <f>IF(ISNUMBER(G98), $B118 * H98, "")</f>
        <v>-1821.8623481781267</v>
      </c>
      <c r="J98" s="13">
        <v>4.8599999999999997E-2</v>
      </c>
      <c r="K98" s="14">
        <f>IF(ISNUMBER(J98), (J98 - $B98) / $B98, "")</f>
        <v>-1.619433198380571E-2</v>
      </c>
      <c r="L98" s="16">
        <f>IF(ISNUMBER(J98), $B118 * K98, "")</f>
        <v>-2429.1497975708567</v>
      </c>
      <c r="M98" s="29">
        <v>4.9200000000000001E-2</v>
      </c>
      <c r="N98" s="14">
        <f>IF(ISNUMBER(M98), (M98 - $B98) / $B98, "")</f>
        <v>-4.0485829959513928E-3</v>
      </c>
      <c r="O98" s="16">
        <f>IF(ISNUMBER(M98), $B118 * N98, "")</f>
        <v>-607.28744939270894</v>
      </c>
      <c r="Q98" s="156"/>
      <c r="R98" s="156"/>
      <c r="S98" s="156"/>
    </row>
    <row r="99" spans="1:19" ht="17.25" thickBot="1">
      <c r="A99" s="109" t="s">
        <v>91</v>
      </c>
      <c r="B99" s="110">
        <v>22260</v>
      </c>
      <c r="C99" s="70">
        <v>8.8508557500000001E-2</v>
      </c>
      <c r="D99" s="15">
        <v>21780</v>
      </c>
      <c r="E99" s="32">
        <f t="shared" ref="E99:E102" si="46">IF(ISNUMBER(D99), (D99 - $B99) / $B99, "")</f>
        <v>-2.15633423180593E-2</v>
      </c>
      <c r="F99" s="18">
        <f>IF(ISNUMBER(D99), $B118 * E99, "")</f>
        <v>-3234.5013477088951</v>
      </c>
      <c r="G99" s="31">
        <v>21490</v>
      </c>
      <c r="H99" s="32">
        <f t="shared" ref="H99:H102" si="47">IF(ISNUMBER(G99), (G99 - $B99) / $B99, "")</f>
        <v>-3.4591194968553458E-2</v>
      </c>
      <c r="I99" s="91">
        <f>IF(ISNUMBER(G99), $B118 * H99, "")</f>
        <v>-5188.6792452830186</v>
      </c>
      <c r="J99" s="15">
        <v>21420</v>
      </c>
      <c r="K99" s="32">
        <f t="shared" ref="K99:K102" si="48">IF(ISNUMBER(J99), (J99 - $B99) / $B99, "")</f>
        <v>-3.7735849056603772E-2</v>
      </c>
      <c r="L99" s="18">
        <f>IF(ISNUMBER(J99), $B118 * K99, "")</f>
        <v>-5660.3773584905657</v>
      </c>
      <c r="M99" s="31">
        <v>21490</v>
      </c>
      <c r="N99" s="32">
        <f t="shared" ref="N99:N102" si="49">IF(ISNUMBER(M99), (M99 - $B99) / $B99, "")</f>
        <v>-3.4591194968553458E-2</v>
      </c>
      <c r="O99" s="18">
        <f>IF(ISNUMBER(M99), $B118 * N99, "")</f>
        <v>-5188.6792452830186</v>
      </c>
      <c r="Q99" s="156"/>
      <c r="R99" s="156"/>
      <c r="S99" s="156"/>
    </row>
    <row r="100" spans="1:19" ht="17.25" thickBot="1">
      <c r="A100" s="109" t="s">
        <v>319</v>
      </c>
      <c r="B100" s="110">
        <v>776</v>
      </c>
      <c r="C100" s="70">
        <v>8.5314685299999998E-2</v>
      </c>
      <c r="D100" s="15">
        <v>744</v>
      </c>
      <c r="E100" s="32">
        <f t="shared" si="46"/>
        <v>-4.1237113402061855E-2</v>
      </c>
      <c r="F100" s="18">
        <f>IF(ISNUMBER(D100), $B118 * E100, "")</f>
        <v>-6185.567010309278</v>
      </c>
      <c r="G100" s="31">
        <v>741</v>
      </c>
      <c r="H100" s="32">
        <f t="shared" si="47"/>
        <v>-4.5103092783505154E-2</v>
      </c>
      <c r="I100" s="91">
        <f>IF(ISNUMBER(G100), $B118 * H100, "")</f>
        <v>-6765.4639175257735</v>
      </c>
      <c r="J100" s="15">
        <v>741</v>
      </c>
      <c r="K100" s="32">
        <f t="shared" si="48"/>
        <v>-4.5103092783505154E-2</v>
      </c>
      <c r="L100" s="18">
        <f>IF(ISNUMBER(J100), $B118 * K100, "")</f>
        <v>-6765.4639175257735</v>
      </c>
      <c r="M100" s="31">
        <v>742</v>
      </c>
      <c r="N100" s="32">
        <f t="shared" si="49"/>
        <v>-4.3814432989690719E-2</v>
      </c>
      <c r="O100" s="18">
        <f>IF(ISNUMBER(M100), $B118 * N100, "")</f>
        <v>-6572.1649484536074</v>
      </c>
      <c r="Q100" s="146"/>
      <c r="R100" s="146"/>
      <c r="S100" s="146"/>
    </row>
    <row r="101" spans="1:19" ht="17.25" thickBot="1">
      <c r="A101" s="109" t="s">
        <v>339</v>
      </c>
      <c r="B101" s="110">
        <v>1340</v>
      </c>
      <c r="C101" s="70">
        <v>8.0645161300000004E-2</v>
      </c>
      <c r="D101" s="15">
        <v>1365</v>
      </c>
      <c r="E101" s="32">
        <f t="shared" si="46"/>
        <v>1.8656716417910446E-2</v>
      </c>
      <c r="F101" s="18">
        <f>IF(ISNUMBER(D101), $B118 * E101, "")</f>
        <v>2798.5074626865671</v>
      </c>
      <c r="G101" s="31">
        <v>1355</v>
      </c>
      <c r="H101" s="32">
        <f t="shared" si="47"/>
        <v>1.1194029850746268E-2</v>
      </c>
      <c r="I101" s="91">
        <f>IF(ISNUMBER(G101), $B118 * H101, "")</f>
        <v>1679.1044776119402</v>
      </c>
      <c r="J101" s="15">
        <v>1350</v>
      </c>
      <c r="K101" s="32">
        <f t="shared" si="48"/>
        <v>7.462686567164179E-3</v>
      </c>
      <c r="L101" s="18">
        <f>IF(ISNUMBER(J101), $B118 * K101, "")</f>
        <v>1119.4029850746269</v>
      </c>
      <c r="M101" s="31">
        <v>1410</v>
      </c>
      <c r="N101" s="32">
        <f t="shared" si="49"/>
        <v>5.2238805970149252E-2</v>
      </c>
      <c r="O101" s="18">
        <f>IF(ISNUMBER(M101), $B118 * N101, "")</f>
        <v>7835.8208955223881</v>
      </c>
      <c r="Q101" s="146"/>
      <c r="R101" s="146"/>
      <c r="S101" s="146"/>
    </row>
    <row r="102" spans="1:19" ht="17.25" thickBot="1">
      <c r="A102" s="111" t="s">
        <v>349</v>
      </c>
      <c r="B102" s="112">
        <v>69.3</v>
      </c>
      <c r="C102" s="71">
        <v>7.2755418000000002E-2</v>
      </c>
      <c r="D102" s="20">
        <v>69.099999999999994</v>
      </c>
      <c r="E102" s="21">
        <f t="shared" si="46"/>
        <v>-2.8860028860029272E-3</v>
      </c>
      <c r="F102" s="22">
        <f>IF(ISNUMBER(D102), $B118 * E102, "")</f>
        <v>-432.90043290043906</v>
      </c>
      <c r="G102" s="30">
        <v>61.8</v>
      </c>
      <c r="H102" s="21">
        <f t="shared" si="47"/>
        <v>-0.10822510822510822</v>
      </c>
      <c r="I102" s="95">
        <f>IF(ISNUMBER(G102), $B118 * H102, "")</f>
        <v>-16233.766233766233</v>
      </c>
      <c r="J102" s="20">
        <v>59.2</v>
      </c>
      <c r="K102" s="21">
        <f t="shared" si="48"/>
        <v>-0.14574314574314567</v>
      </c>
      <c r="L102" s="22">
        <f>IF(ISNUMBER(J102), $B118 * K102, "")</f>
        <v>-21861.471861471851</v>
      </c>
      <c r="M102" s="30">
        <v>60.8</v>
      </c>
      <c r="N102" s="21">
        <f t="shared" si="49"/>
        <v>-0.12265512265512266</v>
      </c>
      <c r="O102" s="22">
        <f>IF(ISNUMBER(M102), $B118 * N102, "")</f>
        <v>-18398.268398268399</v>
      </c>
      <c r="Q102" s="146"/>
      <c r="R102" s="146"/>
      <c r="S102" s="146"/>
    </row>
    <row r="103" spans="1:19" ht="17.25" thickBot="1">
      <c r="A103" s="109" t="s">
        <v>341</v>
      </c>
      <c r="B103" s="113">
        <v>968</v>
      </c>
      <c r="C103" s="73">
        <v>6.4906490600000005E-2</v>
      </c>
      <c r="D103" s="96">
        <v>960</v>
      </c>
      <c r="E103" s="97">
        <f>IF(ISNUMBER(D103), (D103 - $B103) / $B103, "")</f>
        <v>-8.2644628099173556E-3</v>
      </c>
      <c r="F103" s="98">
        <f>IF(ISNUMBER(D103), $B118 * E103, "")</f>
        <v>-1239.6694214876034</v>
      </c>
      <c r="G103" s="99">
        <v>961</v>
      </c>
      <c r="H103" s="97">
        <f>IF(ISNUMBER(G103), (G103 - $B103) / $B103, "")</f>
        <v>-7.2314049586776862E-3</v>
      </c>
      <c r="I103" s="100">
        <f>IF(ISNUMBER(G103), $B118 * H103, "")</f>
        <v>-1084.7107438016528</v>
      </c>
      <c r="J103" s="96">
        <v>985</v>
      </c>
      <c r="K103" s="97">
        <f>IF(ISNUMBER(J103), (J103 - $B103) / $B103, "")</f>
        <v>1.7561983471074381E-2</v>
      </c>
      <c r="L103" s="98">
        <f>IF(ISNUMBER(J103), $B118 * K103, "")</f>
        <v>2634.2975206611573</v>
      </c>
      <c r="M103" s="99">
        <v>995</v>
      </c>
      <c r="N103" s="97">
        <f>IF(ISNUMBER(M103), (M103 - $B103) / $B103, "")</f>
        <v>2.7892561983471075E-2</v>
      </c>
      <c r="O103" s="98">
        <f>IF(ISNUMBER(M103), $B118 * N103, "")</f>
        <v>4183.8842975206617</v>
      </c>
      <c r="Q103" s="146"/>
      <c r="R103" s="146"/>
      <c r="S103" s="146"/>
    </row>
    <row r="104" spans="1:19" ht="17.25" thickBot="1">
      <c r="A104" s="109" t="s">
        <v>335</v>
      </c>
      <c r="B104" s="110">
        <v>3315</v>
      </c>
      <c r="C104" s="70">
        <v>4.5741324899999998E-2</v>
      </c>
      <c r="D104" s="15">
        <v>3060</v>
      </c>
      <c r="E104" s="32">
        <f t="shared" ref="E104:E107" si="50">IF(ISNUMBER(D104), (D104 - $B104) / $B104, "")</f>
        <v>-7.6923076923076927E-2</v>
      </c>
      <c r="F104" s="18">
        <f>IF(ISNUMBER(D104), $B118 * E104, "")</f>
        <v>-11538.461538461539</v>
      </c>
      <c r="G104" s="31">
        <v>3055</v>
      </c>
      <c r="H104" s="32">
        <f t="shared" ref="H104:H107" si="51">IF(ISNUMBER(G104), (G104 - $B104) / $B104, "")</f>
        <v>-7.8431372549019607E-2</v>
      </c>
      <c r="I104" s="91">
        <f>IF(ISNUMBER(G104), $B118 * H104, "")</f>
        <v>-11764.705882352941</v>
      </c>
      <c r="J104" s="15">
        <v>3025</v>
      </c>
      <c r="K104" s="32">
        <f t="shared" ref="K104:K107" si="52">IF(ISNUMBER(J104), (J104 - $B104) / $B104, "")</f>
        <v>-8.7481146304675711E-2</v>
      </c>
      <c r="L104" s="18">
        <f>IF(ISNUMBER(J104), $B118 * K104, "")</f>
        <v>-13122.171945701357</v>
      </c>
      <c r="M104" s="31">
        <v>3080</v>
      </c>
      <c r="N104" s="32">
        <f t="shared" ref="N104:N107" si="53">IF(ISNUMBER(M104), (M104 - $B104) / $B104, "")</f>
        <v>-7.0889894419306182E-2</v>
      </c>
      <c r="O104" s="18">
        <f>IF(ISNUMBER(M104), $B118 * N104, "")</f>
        <v>-10633.484162895928</v>
      </c>
      <c r="Q104" s="146"/>
      <c r="R104" s="146"/>
      <c r="S104" s="146"/>
    </row>
    <row r="105" spans="1:19" ht="17.25" thickBot="1">
      <c r="A105" s="109" t="s">
        <v>199</v>
      </c>
      <c r="B105" s="110">
        <v>367</v>
      </c>
      <c r="C105" s="70">
        <v>3.9660056700000001E-2</v>
      </c>
      <c r="D105" s="15">
        <v>364</v>
      </c>
      <c r="E105" s="32">
        <f t="shared" si="50"/>
        <v>-8.1743869209809257E-3</v>
      </c>
      <c r="F105" s="18">
        <f>IF(ISNUMBER(D105), $B118 * E105, "")</f>
        <v>-1226.1580381471388</v>
      </c>
      <c r="G105" s="31">
        <v>362</v>
      </c>
      <c r="H105" s="32">
        <f t="shared" si="51"/>
        <v>-1.3623978201634877E-2</v>
      </c>
      <c r="I105" s="91">
        <f>IF(ISNUMBER(G105), $B118 * H105, "")</f>
        <v>-2043.5967302452316</v>
      </c>
      <c r="J105" s="15">
        <v>364</v>
      </c>
      <c r="K105" s="32">
        <f t="shared" si="52"/>
        <v>-8.1743869209809257E-3</v>
      </c>
      <c r="L105" s="18">
        <f>IF(ISNUMBER(J105), $B118 * K105, "")</f>
        <v>-1226.1580381471388</v>
      </c>
      <c r="M105" s="31">
        <v>365</v>
      </c>
      <c r="N105" s="32">
        <f t="shared" si="53"/>
        <v>-5.4495912806539508E-3</v>
      </c>
      <c r="O105" s="18">
        <f>IF(ISNUMBER(M105), $B118 * N105, "")</f>
        <v>-817.43869209809259</v>
      </c>
      <c r="Q105" s="146"/>
      <c r="R105" s="146"/>
      <c r="S105" s="146"/>
    </row>
    <row r="106" spans="1:19" ht="17.25" thickBot="1">
      <c r="A106" s="109" t="s">
        <v>347</v>
      </c>
      <c r="B106" s="110">
        <v>22990</v>
      </c>
      <c r="C106" s="70">
        <v>3.6986919299999997E-2</v>
      </c>
      <c r="D106" s="15">
        <v>22380</v>
      </c>
      <c r="E106" s="32">
        <f t="shared" si="50"/>
        <v>-2.6533275337103087E-2</v>
      </c>
      <c r="F106" s="18">
        <f>IF(ISNUMBER(D106), $B118 * E106, "")</f>
        <v>-3979.991300565463</v>
      </c>
      <c r="G106" s="31">
        <v>22600</v>
      </c>
      <c r="H106" s="32">
        <f t="shared" si="51"/>
        <v>-1.6963897346672467E-2</v>
      </c>
      <c r="I106" s="91">
        <f>IF(ISNUMBER(G106), $B118 * H106, "")</f>
        <v>-2544.5846020008703</v>
      </c>
      <c r="J106" s="15">
        <v>22550</v>
      </c>
      <c r="K106" s="32">
        <f t="shared" si="52"/>
        <v>-1.9138755980861243E-2</v>
      </c>
      <c r="L106" s="18">
        <f>IF(ISNUMBER(J106), $B118 * K106, "")</f>
        <v>-2870.8133971291863</v>
      </c>
      <c r="M106" s="31">
        <v>22580</v>
      </c>
      <c r="N106" s="32">
        <f t="shared" si="53"/>
        <v>-1.7833840800347979E-2</v>
      </c>
      <c r="O106" s="18">
        <f>IF(ISNUMBER(M106), $B118 * N106, "")</f>
        <v>-2675.076120052197</v>
      </c>
      <c r="Q106" s="33"/>
      <c r="R106" s="33"/>
    </row>
    <row r="107" spans="1:19" ht="17.25" thickBot="1">
      <c r="A107" s="114" t="s">
        <v>101</v>
      </c>
      <c r="B107" s="115">
        <v>269</v>
      </c>
      <c r="C107" s="72">
        <v>3.46153846E-2</v>
      </c>
      <c r="D107" s="24">
        <v>266</v>
      </c>
      <c r="E107" s="25">
        <f t="shared" si="50"/>
        <v>-1.1152416356877323E-2</v>
      </c>
      <c r="F107" s="94">
        <f>IF(ISNUMBER(D107), $B118 * E107, "")</f>
        <v>-1672.8624535315985</v>
      </c>
      <c r="G107" s="92">
        <v>272</v>
      </c>
      <c r="H107" s="25">
        <f t="shared" si="51"/>
        <v>1.1152416356877323E-2</v>
      </c>
      <c r="I107" s="93">
        <f>IF(ISNUMBER(G107), $B118 * H107, "")</f>
        <v>1672.8624535315985</v>
      </c>
      <c r="J107" s="24">
        <v>272</v>
      </c>
      <c r="K107" s="25">
        <f t="shared" si="52"/>
        <v>1.1152416356877323E-2</v>
      </c>
      <c r="L107" s="94">
        <f>IF(ISNUMBER(J107), $B118 * K107, "")</f>
        <v>1672.8624535315985</v>
      </c>
      <c r="M107" s="92">
        <v>272</v>
      </c>
      <c r="N107" s="25">
        <f t="shared" si="53"/>
        <v>1.1152416356877323E-2</v>
      </c>
      <c r="O107" s="94">
        <f>IF(ISNUMBER(M107), $B118 * N107, "")</f>
        <v>1672.8624535315985</v>
      </c>
      <c r="Q107" s="147"/>
      <c r="R107" s="148"/>
      <c r="S107" s="149"/>
    </row>
    <row r="108" spans="1:19">
      <c r="A108" s="107" t="s">
        <v>132</v>
      </c>
      <c r="B108" s="108">
        <v>60.5</v>
      </c>
      <c r="C108" s="69">
        <v>3.2423208199999998E-2</v>
      </c>
      <c r="D108" s="13">
        <v>66.2</v>
      </c>
      <c r="E108" s="14">
        <f>IF(ISNUMBER(D108), (D108 - $B108) / $B108, "")</f>
        <v>9.4214876033057893E-2</v>
      </c>
      <c r="F108" s="16">
        <f>IF(ISNUMBER(D108), $B118 * E108, "")</f>
        <v>14132.231404958684</v>
      </c>
      <c r="G108" s="29">
        <v>70.2</v>
      </c>
      <c r="H108" s="14">
        <f>IF(ISNUMBER(G108), (G108 - $B108) / $B108, "")</f>
        <v>0.16033057851239674</v>
      </c>
      <c r="I108" s="90">
        <f>IF(ISNUMBER(G108), $B118 * H108, "")</f>
        <v>24049.586776859509</v>
      </c>
      <c r="J108" s="13">
        <v>71.5</v>
      </c>
      <c r="K108" s="14">
        <f>IF(ISNUMBER(J108), (J108 - $B108) / $B108, "")</f>
        <v>0.18181818181818182</v>
      </c>
      <c r="L108" s="16">
        <f>IF(ISNUMBER(J108), $B118 * K108, "")</f>
        <v>27272.727272727272</v>
      </c>
      <c r="M108" s="29">
        <v>72.2</v>
      </c>
      <c r="N108" s="14">
        <f>IF(ISNUMBER(M108), (M108 - $B108) / $B108, "")</f>
        <v>0.19338842975206616</v>
      </c>
      <c r="O108" s="16">
        <f>IF(ISNUMBER(M108), $B118 * N108, "")</f>
        <v>29008.264462809922</v>
      </c>
      <c r="Q108" s="150"/>
      <c r="R108" s="151"/>
      <c r="S108" s="152"/>
    </row>
    <row r="109" spans="1:19" ht="17.25" thickBot="1">
      <c r="A109" s="109" t="s">
        <v>79</v>
      </c>
      <c r="B109" s="110">
        <v>324</v>
      </c>
      <c r="C109" s="70">
        <v>3.1847133800000003E-2</v>
      </c>
      <c r="D109" s="15">
        <v>318</v>
      </c>
      <c r="E109" s="32">
        <f t="shared" ref="E109:E112" si="54">IF(ISNUMBER(D109), (D109 - $B109) / $B109, "")</f>
        <v>-1.8518518518518517E-2</v>
      </c>
      <c r="F109" s="18">
        <f>IF(ISNUMBER(D109), $B118 * E109, "")</f>
        <v>-2777.7777777777778</v>
      </c>
      <c r="G109" s="31">
        <v>325</v>
      </c>
      <c r="H109" s="32">
        <f t="shared" ref="H109:H112" si="55">IF(ISNUMBER(G109), (G109 - $B109) / $B109, "")</f>
        <v>3.0864197530864196E-3</v>
      </c>
      <c r="I109" s="91">
        <f>IF(ISNUMBER(G109), $B118 * H109, "")</f>
        <v>462.96296296296293</v>
      </c>
      <c r="J109" s="15">
        <v>330</v>
      </c>
      <c r="K109" s="32">
        <f t="shared" ref="K109:K112" si="56">IF(ISNUMBER(J109), (J109 - $B109) / $B109, "")</f>
        <v>1.8518518518518517E-2</v>
      </c>
      <c r="L109" s="18">
        <f>IF(ISNUMBER(J109), $B118 * K109, "")</f>
        <v>2777.7777777777778</v>
      </c>
      <c r="M109" s="31">
        <v>327</v>
      </c>
      <c r="N109" s="32">
        <f t="shared" ref="N109:N112" si="57">IF(ISNUMBER(M109), (M109 - $B109) / $B109, "")</f>
        <v>9.2592592592592587E-3</v>
      </c>
      <c r="O109" s="18">
        <f>IF(ISNUMBER(M109), $B118 * N109, "")</f>
        <v>1388.8888888888889</v>
      </c>
      <c r="Q109" s="153"/>
      <c r="R109" s="154"/>
      <c r="S109" s="155"/>
    </row>
    <row r="110" spans="1:19" ht="17.25" thickBot="1">
      <c r="A110" s="109" t="s">
        <v>147</v>
      </c>
      <c r="B110" s="110">
        <v>15070</v>
      </c>
      <c r="C110" s="70">
        <v>3.0075187999999999E-2</v>
      </c>
      <c r="D110" s="15">
        <v>14300</v>
      </c>
      <c r="E110" s="32">
        <f t="shared" si="54"/>
        <v>-5.1094890510948905E-2</v>
      </c>
      <c r="F110" s="18">
        <f>IF(ISNUMBER(D110), $B118 * E110, "")</f>
        <v>-7664.2335766423357</v>
      </c>
      <c r="G110" s="31">
        <v>14180</v>
      </c>
      <c r="H110" s="32">
        <f t="shared" si="55"/>
        <v>-5.9057730590577305E-2</v>
      </c>
      <c r="I110" s="91">
        <f>IF(ISNUMBER(G110), $B118 * H110, "")</f>
        <v>-8858.6595885865954</v>
      </c>
      <c r="J110" s="15">
        <v>14100</v>
      </c>
      <c r="K110" s="32">
        <f t="shared" si="56"/>
        <v>-6.4366290643662907E-2</v>
      </c>
      <c r="L110" s="18">
        <f>IF(ISNUMBER(J110), $B118 * K110, "")</f>
        <v>-9654.9435965494358</v>
      </c>
      <c r="M110" s="31">
        <v>14130</v>
      </c>
      <c r="N110" s="32">
        <f t="shared" si="57"/>
        <v>-6.2375580623755804E-2</v>
      </c>
      <c r="O110" s="18">
        <f>IF(ISNUMBER(M110), $B118 * N110, "")</f>
        <v>-9356.3370935633702</v>
      </c>
      <c r="Q110" s="146"/>
      <c r="R110" s="146"/>
      <c r="S110" s="146"/>
    </row>
    <row r="111" spans="1:19" ht="17.25" thickBot="1">
      <c r="A111" s="109" t="s">
        <v>172</v>
      </c>
      <c r="B111" s="110">
        <v>3295</v>
      </c>
      <c r="C111" s="70">
        <v>2.9687499999999999E-2</v>
      </c>
      <c r="D111" s="15">
        <v>3250</v>
      </c>
      <c r="E111" s="32">
        <f t="shared" si="54"/>
        <v>-1.3657056145675266E-2</v>
      </c>
      <c r="F111" s="18">
        <f>IF(ISNUMBER(D111), $B118 * E111, "")</f>
        <v>-2048.5584218512899</v>
      </c>
      <c r="G111" s="31">
        <v>3340</v>
      </c>
      <c r="H111" s="32">
        <f t="shared" si="55"/>
        <v>1.3657056145675266E-2</v>
      </c>
      <c r="I111" s="91">
        <f>IF(ISNUMBER(G111), $B118 * H111, "")</f>
        <v>2048.5584218512899</v>
      </c>
      <c r="J111" s="15">
        <v>3335</v>
      </c>
      <c r="K111" s="32">
        <f t="shared" si="56"/>
        <v>1.2139605462822459E-2</v>
      </c>
      <c r="L111" s="18">
        <f>IF(ISNUMBER(J111), $B118 * K111, "")</f>
        <v>1820.9408194233688</v>
      </c>
      <c r="M111" s="31">
        <v>3365</v>
      </c>
      <c r="N111" s="32">
        <f t="shared" si="57"/>
        <v>2.1244309559939303E-2</v>
      </c>
      <c r="O111" s="18">
        <f>IF(ISNUMBER(M111), $B118 * N111, "")</f>
        <v>3186.6464339908953</v>
      </c>
      <c r="Q111" s="156"/>
      <c r="R111" s="156"/>
      <c r="S111" s="156"/>
    </row>
    <row r="112" spans="1:19" ht="17.25" thickBot="1">
      <c r="A112" s="111" t="s">
        <v>345</v>
      </c>
      <c r="B112" s="112">
        <v>232</v>
      </c>
      <c r="C112" s="71">
        <v>2.65486726E-2</v>
      </c>
      <c r="D112" s="20">
        <v>234</v>
      </c>
      <c r="E112" s="21">
        <f t="shared" si="54"/>
        <v>8.6206896551724137E-3</v>
      </c>
      <c r="F112" s="22">
        <f>IF(ISNUMBER(D112), $B118 * E112, "")</f>
        <v>1293.1034482758621</v>
      </c>
      <c r="G112" s="30">
        <v>219</v>
      </c>
      <c r="H112" s="21">
        <f t="shared" si="55"/>
        <v>-5.6034482758620691E-2</v>
      </c>
      <c r="I112" s="95">
        <f>IF(ISNUMBER(G112), $B118 * H112, "")</f>
        <v>-8405.1724137931033</v>
      </c>
      <c r="J112" s="20">
        <v>220</v>
      </c>
      <c r="K112" s="21">
        <f t="shared" si="56"/>
        <v>-5.1724137931034482E-2</v>
      </c>
      <c r="L112" s="22">
        <f>IF(ISNUMBER(J112), $B118 * K112, "")</f>
        <v>-7758.6206896551721</v>
      </c>
      <c r="M112" s="30">
        <v>221</v>
      </c>
      <c r="N112" s="21">
        <f t="shared" si="57"/>
        <v>-4.7413793103448273E-2</v>
      </c>
      <c r="O112" s="22">
        <f>IF(ISNUMBER(M112), $B118 * N112, "")</f>
        <v>-7112.0689655172409</v>
      </c>
      <c r="Q112" s="156"/>
      <c r="R112" s="156"/>
      <c r="S112" s="156"/>
    </row>
    <row r="113" spans="1:19" ht="17.25" thickBot="1">
      <c r="A113" s="109" t="s">
        <v>122</v>
      </c>
      <c r="B113" s="113">
        <v>29.4</v>
      </c>
      <c r="C113" s="73">
        <v>2.4390243900000001E-2</v>
      </c>
      <c r="D113" s="96">
        <v>29.6</v>
      </c>
      <c r="E113" s="97">
        <f>IF(ISNUMBER(D113), (D113 - $B113) / $B113, "")</f>
        <v>6.802721088435471E-3</v>
      </c>
      <c r="F113" s="98">
        <f>IF(ISNUMBER(D113), $B118 * E113, "")</f>
        <v>1020.4081632653207</v>
      </c>
      <c r="G113" s="99">
        <v>30</v>
      </c>
      <c r="H113" s="97">
        <f>IF(ISNUMBER(G113), (G113 - $B113) / $B113, "")</f>
        <v>2.0408163265306173E-2</v>
      </c>
      <c r="I113" s="100">
        <f>IF(ISNUMBER(G113), $B118 * H113, "")</f>
        <v>3061.2244897959258</v>
      </c>
      <c r="J113" s="96">
        <v>30.1</v>
      </c>
      <c r="K113" s="97">
        <f>IF(ISNUMBER(J113), (J113 - $B113) / $B113, "")</f>
        <v>2.3809523809523909E-2</v>
      </c>
      <c r="L113" s="98">
        <f>IF(ISNUMBER(J113), $B118 * K113, "")</f>
        <v>3571.4285714285861</v>
      </c>
      <c r="M113" s="99">
        <v>30.2</v>
      </c>
      <c r="N113" s="97">
        <f>IF(ISNUMBER(M113), (M113 - $B113) / $B113, "")</f>
        <v>2.7210884353741523E-2</v>
      </c>
      <c r="O113" s="98">
        <f>IF(ISNUMBER(M113), $B118 * N113, "")</f>
        <v>4081.6326530612287</v>
      </c>
      <c r="Q113" s="146"/>
      <c r="R113" s="146"/>
      <c r="S113" s="146"/>
    </row>
    <row r="114" spans="1:19" ht="17.25" thickBot="1">
      <c r="A114" s="109" t="s">
        <v>337</v>
      </c>
      <c r="B114" s="110">
        <v>109300</v>
      </c>
      <c r="C114" s="70">
        <v>2.2450888700000001E-2</v>
      </c>
      <c r="D114" s="15">
        <v>108250</v>
      </c>
      <c r="E114" s="32">
        <f t="shared" ref="E114:E117" si="58">IF(ISNUMBER(D114), (D114 - $B114) / $B114, "")</f>
        <v>-9.6065873741994507E-3</v>
      </c>
      <c r="F114" s="18">
        <f>IF(ISNUMBER(D114), $B118 * E114, "")</f>
        <v>-1440.9881061299177</v>
      </c>
      <c r="G114" s="31">
        <v>108950</v>
      </c>
      <c r="H114" s="32">
        <f t="shared" ref="H114:H117" si="59">IF(ISNUMBER(G114), (G114 - $B114) / $B114, "")</f>
        <v>-3.2021957913998169E-3</v>
      </c>
      <c r="I114" s="91">
        <f>IF(ISNUMBER(G114), $B118 * H114, "")</f>
        <v>-480.32936870997253</v>
      </c>
      <c r="J114" s="15">
        <v>108550</v>
      </c>
      <c r="K114" s="32">
        <f t="shared" ref="K114:K117" si="60">IF(ISNUMBER(J114), (J114 - $B114) / $B114, "")</f>
        <v>-6.861848124428179E-3</v>
      </c>
      <c r="L114" s="18">
        <f>IF(ISNUMBER(J114), $B118 * K114, "")</f>
        <v>-1029.2772186642269</v>
      </c>
      <c r="M114" s="31">
        <v>109500</v>
      </c>
      <c r="N114" s="32">
        <f t="shared" ref="N114:N117" si="61">IF(ISNUMBER(M114), (M114 - $B114) / $B114, "")</f>
        <v>1.8298261665141812E-3</v>
      </c>
      <c r="O114" s="18">
        <f>IF(ISNUMBER(M114), $B118 * N114, "")</f>
        <v>274.47392497712718</v>
      </c>
      <c r="Q114" s="146"/>
      <c r="R114" s="146"/>
      <c r="S114" s="146"/>
    </row>
    <row r="115" spans="1:19" ht="17.25" thickBot="1">
      <c r="A115" s="109" t="s">
        <v>330</v>
      </c>
      <c r="B115" s="110">
        <v>366</v>
      </c>
      <c r="C115" s="70">
        <v>2.2346368700000001E-2</v>
      </c>
      <c r="D115" s="15">
        <v>364</v>
      </c>
      <c r="E115" s="32">
        <f t="shared" si="58"/>
        <v>-5.4644808743169399E-3</v>
      </c>
      <c r="F115" s="18">
        <f>IF(ISNUMBER(D115), $B118 * E115, "")</f>
        <v>-819.67213114754099</v>
      </c>
      <c r="G115" s="31">
        <v>369</v>
      </c>
      <c r="H115" s="32">
        <f t="shared" si="59"/>
        <v>8.1967213114754103E-3</v>
      </c>
      <c r="I115" s="91">
        <f>IF(ISNUMBER(G115), $B118 * H115, "")</f>
        <v>1229.5081967213116</v>
      </c>
      <c r="J115" s="15">
        <v>368</v>
      </c>
      <c r="K115" s="32">
        <f t="shared" si="60"/>
        <v>5.4644808743169399E-3</v>
      </c>
      <c r="L115" s="18">
        <f>IF(ISNUMBER(J115), $B118 * K115, "")</f>
        <v>819.67213114754099</v>
      </c>
      <c r="M115" s="31">
        <v>370</v>
      </c>
      <c r="N115" s="32">
        <f t="shared" si="61"/>
        <v>1.092896174863388E-2</v>
      </c>
      <c r="O115" s="18">
        <f>IF(ISNUMBER(M115), $B118 * N115, "")</f>
        <v>1639.344262295082</v>
      </c>
      <c r="Q115" s="146"/>
      <c r="R115" s="146"/>
      <c r="S115" s="146"/>
    </row>
    <row r="116" spans="1:19">
      <c r="A116" s="109" t="s">
        <v>62</v>
      </c>
      <c r="B116" s="110">
        <v>10220</v>
      </c>
      <c r="C116" s="70">
        <v>2.1999999999999999E-2</v>
      </c>
      <c r="D116" s="15">
        <v>10130</v>
      </c>
      <c r="E116" s="32">
        <f t="shared" si="58"/>
        <v>-8.8062622309197647E-3</v>
      </c>
      <c r="F116" s="18">
        <f>IF(ISNUMBER(D116), $B118 * E116, "")</f>
        <v>-1320.9393346379647</v>
      </c>
      <c r="G116" s="31">
        <v>10290</v>
      </c>
      <c r="H116" s="32">
        <f t="shared" si="59"/>
        <v>6.8493150684931503E-3</v>
      </c>
      <c r="I116" s="91">
        <f>IF(ISNUMBER(G116), $B118 * H116, "")</f>
        <v>1027.3972602739725</v>
      </c>
      <c r="J116" s="15">
        <v>10260</v>
      </c>
      <c r="K116" s="32">
        <f t="shared" si="60"/>
        <v>3.9138943248532287E-3</v>
      </c>
      <c r="L116" s="18">
        <f>IF(ISNUMBER(J116), $B118 * K116, "")</f>
        <v>587.08414872798426</v>
      </c>
      <c r="M116" s="31">
        <v>10280</v>
      </c>
      <c r="N116" s="32">
        <f t="shared" si="61"/>
        <v>5.8708414872798431E-3</v>
      </c>
      <c r="O116" s="18">
        <f>IF(ISNUMBER(M116), $B118 * N116, "")</f>
        <v>880.6262230919765</v>
      </c>
      <c r="Q116" s="135"/>
      <c r="R116" s="136"/>
      <c r="S116" s="137"/>
    </row>
    <row r="117" spans="1:19" ht="17.25" thickBot="1">
      <c r="A117" s="114" t="s">
        <v>227</v>
      </c>
      <c r="B117" s="115">
        <v>49.9</v>
      </c>
      <c r="C117" s="72">
        <v>2.0449897799999998E-2</v>
      </c>
      <c r="D117" s="24">
        <v>50.8</v>
      </c>
      <c r="E117" s="25">
        <f t="shared" si="58"/>
        <v>1.803607214428855E-2</v>
      </c>
      <c r="F117" s="94">
        <f>IF(ISNUMBER(D117), $B118 * E117, "")</f>
        <v>2705.4108216432824</v>
      </c>
      <c r="G117" s="92">
        <v>52.5</v>
      </c>
      <c r="H117" s="25">
        <f t="shared" si="59"/>
        <v>5.2104208416833699E-2</v>
      </c>
      <c r="I117" s="93">
        <f>IF(ISNUMBER(G117), $B118 * H117, "")</f>
        <v>7815.6312625250548</v>
      </c>
      <c r="J117" s="24">
        <v>51.8</v>
      </c>
      <c r="K117" s="25">
        <f t="shared" si="60"/>
        <v>3.8076152304609194E-2</v>
      </c>
      <c r="L117" s="94">
        <f>IF(ISNUMBER(J117), $B118 * K117, "")</f>
        <v>5711.4228456913788</v>
      </c>
      <c r="M117" s="92">
        <v>52.2</v>
      </c>
      <c r="N117" s="25">
        <f t="shared" si="61"/>
        <v>4.6092184368737563E-2</v>
      </c>
      <c r="O117" s="94">
        <f>IF(ISNUMBER(M117), $B118 * N117, "")</f>
        <v>6913.8276553106343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-6.3593212400079079E-3</v>
      </c>
      <c r="F118" s="28">
        <f>SUM(F98:F117)</f>
        <v>-19077.963720023716</v>
      </c>
      <c r="G118" s="26" t="s">
        <v>258</v>
      </c>
      <c r="H118" s="27">
        <f>IF(COUNT(H98:H117), SUM(H98:H117) / COUNT(H98:H117), 0)</f>
        <v>-7.3815649240366503E-3</v>
      </c>
      <c r="I118" s="28">
        <f>SUM(I98:I117)</f>
        <v>-22144.694772109953</v>
      </c>
      <c r="J118" s="26" t="s">
        <v>258</v>
      </c>
      <c r="K118" s="27">
        <f>IF(COUNT(K98:K117), SUM(K98:K117) / COUNT(K98:K117), 0)</f>
        <v>-8.1302770982380895E-3</v>
      </c>
      <c r="L118" s="28">
        <f>SUM(L98:L117)</f>
        <v>-24390.831294714277</v>
      </c>
      <c r="M118" s="26" t="s">
        <v>258</v>
      </c>
      <c r="N118" s="27">
        <f>IF(COUNT(N98:N117), SUM(N98:N117) / COUNT(N98:N117), 0)</f>
        <v>-9.8177641508050137E-5</v>
      </c>
      <c r="O118" s="28">
        <f>SUM(O98:O117)</f>
        <v>-294.53292452416736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2023-01-27(금) 오전 00:00</v>
      </c>
      <c r="C123" s="198"/>
      <c r="D123" s="170" t="str">
        <f>TEXT($G$1, "[$-ko-KR]yyyy-mm-dd(ddd) ") &amp; "오후 14:00"</f>
        <v>2023-01-27(금) 오후 14:00</v>
      </c>
      <c r="E123" s="171"/>
      <c r="F123" s="172"/>
      <c r="G123" s="170" t="str">
        <f>TEXT($G$1, "[$-ko-KR]yyyy-mm-dd(ddd) ") &amp; "오후 19:00"</f>
        <v>2023-01-27(금) 오후 19:00</v>
      </c>
      <c r="H123" s="171"/>
      <c r="I123" s="172"/>
      <c r="J123" s="170" t="str">
        <f>TEXT($G$1, "[$-ko-KR]yyyy-mm-dd(ddd) ") &amp; "오후 21:00"</f>
        <v>2023-01-27(금) 오후 21:00</v>
      </c>
      <c r="K123" s="171"/>
      <c r="L123" s="172"/>
      <c r="M123" s="170" t="str">
        <f>TEXT($G$1+1, "[$-ko-KR]yyyy-mm-dd(ddd) ") &amp; "오전 00:00"</f>
        <v>2023-01-28(토)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203</v>
      </c>
      <c r="B125" s="108">
        <v>3.99</v>
      </c>
      <c r="C125" s="69">
        <v>-4.9875312E-3</v>
      </c>
      <c r="D125" s="13">
        <v>3.93</v>
      </c>
      <c r="E125" s="14">
        <f>IF(ISNUMBER(D125), (D125 - $B125) / $B125, "")</f>
        <v>-1.5037593984962419E-2</v>
      </c>
      <c r="F125" s="16">
        <f>IF(ISNUMBER(D125), $B145 * E125, "")</f>
        <v>-2255.639097744363</v>
      </c>
      <c r="G125" s="29">
        <v>4.04</v>
      </c>
      <c r="H125" s="14">
        <f>IF(ISNUMBER(G125), (G125 - $B125) / $B125, "")</f>
        <v>1.2531328320801959E-2</v>
      </c>
      <c r="I125" s="90">
        <f>IF(ISNUMBER(G125), $B145 * H125, "")</f>
        <v>1879.699248120294</v>
      </c>
      <c r="J125" s="13">
        <v>4.05</v>
      </c>
      <c r="K125" s="14">
        <f>IF(ISNUMBER(J125), (J125 - $B125) / $B125, "")</f>
        <v>1.5037593984962308E-2</v>
      </c>
      <c r="L125" s="16">
        <f>IF(ISNUMBER(J125), $B145 * K125, "")</f>
        <v>2255.6390977443461</v>
      </c>
      <c r="M125" s="29">
        <v>4.04</v>
      </c>
      <c r="N125" s="14">
        <f>IF(ISNUMBER(M125), (M125 - $B125) / $B125, "")</f>
        <v>1.2531328320801959E-2</v>
      </c>
      <c r="O125" s="16">
        <f>IF(ISNUMBER(M125), $B145 * N125, "")</f>
        <v>1879.699248120294</v>
      </c>
      <c r="Q125" s="156"/>
      <c r="R125" s="156"/>
      <c r="S125" s="156"/>
    </row>
    <row r="126" spans="1:19" ht="17.25" thickBot="1">
      <c r="A126" s="109" t="s">
        <v>237</v>
      </c>
      <c r="B126" s="110">
        <v>31.7</v>
      </c>
      <c r="C126" s="70">
        <v>-6.2695924999999998E-3</v>
      </c>
      <c r="D126" s="15">
        <v>32</v>
      </c>
      <c r="E126" s="32">
        <f t="shared" ref="E126:E129" si="62">IF(ISNUMBER(D126), (D126 - $B126) / $B126, "")</f>
        <v>9.4637223974763634E-3</v>
      </c>
      <c r="F126" s="18">
        <f>IF(ISNUMBER(D126), $B145 * E126, "")</f>
        <v>1419.5583596214544</v>
      </c>
      <c r="G126" s="31">
        <v>35.4</v>
      </c>
      <c r="H126" s="32">
        <f t="shared" ref="H126:H129" si="63">IF(ISNUMBER(G126), (G126 - $B126) / $B126, "")</f>
        <v>0.11671924290220818</v>
      </c>
      <c r="I126" s="91">
        <f>IF(ISNUMBER(G126), $B145 * H126, "")</f>
        <v>17507.886435331227</v>
      </c>
      <c r="J126" s="15">
        <v>34.6</v>
      </c>
      <c r="K126" s="32">
        <f t="shared" ref="K126:K129" si="64">IF(ISNUMBER(J126), (J126 - $B126) / $B126, "")</f>
        <v>9.1482649842271363E-2</v>
      </c>
      <c r="L126" s="18">
        <f>IF(ISNUMBER(J126), $B145 * K126, "")</f>
        <v>13722.397476340704</v>
      </c>
      <c r="M126" s="31">
        <v>34.6</v>
      </c>
      <c r="N126" s="32">
        <f t="shared" ref="N126:N129" si="65">IF(ISNUMBER(M126), (M126 - $B126) / $B126, "")</f>
        <v>9.1482649842271363E-2</v>
      </c>
      <c r="O126" s="18">
        <f>IF(ISNUMBER(M126), $B145 * N126, "")</f>
        <v>13722.397476340704</v>
      </c>
      <c r="Q126" s="156"/>
      <c r="R126" s="156"/>
      <c r="S126" s="156"/>
    </row>
    <row r="127" spans="1:19" ht="17.25" thickBot="1">
      <c r="A127" s="109" t="s">
        <v>143</v>
      </c>
      <c r="B127" s="110">
        <v>4.49</v>
      </c>
      <c r="C127" s="70">
        <v>-6.6371681000000002E-3</v>
      </c>
      <c r="D127" s="15">
        <v>4.4400000000000004</v>
      </c>
      <c r="E127" s="32">
        <f t="shared" si="62"/>
        <v>-1.1135857461024459E-2</v>
      </c>
      <c r="F127" s="18">
        <f>IF(ISNUMBER(D127), $B145 * E127, "")</f>
        <v>-1670.3786191536688</v>
      </c>
      <c r="G127" s="31">
        <v>4.62</v>
      </c>
      <c r="H127" s="32">
        <f t="shared" si="63"/>
        <v>2.8953229398663672E-2</v>
      </c>
      <c r="I127" s="91">
        <f>IF(ISNUMBER(G127), $B145 * H127, "")</f>
        <v>4342.984409799551</v>
      </c>
      <c r="J127" s="15">
        <v>4.57</v>
      </c>
      <c r="K127" s="32">
        <f t="shared" si="64"/>
        <v>1.7817371937639215E-2</v>
      </c>
      <c r="L127" s="18">
        <f>IF(ISNUMBER(J127), $B145 * K127, "")</f>
        <v>2672.6057906458823</v>
      </c>
      <c r="M127" s="31">
        <v>4.57</v>
      </c>
      <c r="N127" s="32">
        <f t="shared" si="65"/>
        <v>1.7817371937639215E-2</v>
      </c>
      <c r="O127" s="18">
        <f>IF(ISNUMBER(M127), $B145 * N127, "")</f>
        <v>2672.6057906458823</v>
      </c>
      <c r="Q127" s="146"/>
      <c r="R127" s="146"/>
      <c r="S127" s="146"/>
    </row>
    <row r="128" spans="1:19" ht="17.25" thickBot="1">
      <c r="A128" s="109" t="s">
        <v>141</v>
      </c>
      <c r="B128" s="110">
        <v>4.0199999999999996</v>
      </c>
      <c r="C128" s="70">
        <v>-7.4074073999999997E-3</v>
      </c>
      <c r="D128" s="15">
        <v>3.95</v>
      </c>
      <c r="E128" s="32">
        <f t="shared" si="62"/>
        <v>-1.7412935323382936E-2</v>
      </c>
      <c r="F128" s="18">
        <f>IF(ISNUMBER(D128), $B145 * E128, "")</f>
        <v>-2611.9402985074403</v>
      </c>
      <c r="G128" s="31">
        <v>4.04</v>
      </c>
      <c r="H128" s="32">
        <f t="shared" si="63"/>
        <v>4.975124378109568E-3</v>
      </c>
      <c r="I128" s="91">
        <f>IF(ISNUMBER(G128), $B145 * H128, "")</f>
        <v>746.2686567164352</v>
      </c>
      <c r="J128" s="15">
        <v>4.07</v>
      </c>
      <c r="K128" s="32">
        <f t="shared" si="64"/>
        <v>1.2437810945273809E-2</v>
      </c>
      <c r="L128" s="18">
        <f>IF(ISNUMBER(J128), $B145 * K128, "")</f>
        <v>1865.6716417910714</v>
      </c>
      <c r="M128" s="31">
        <v>4.05</v>
      </c>
      <c r="N128" s="32">
        <f t="shared" si="65"/>
        <v>7.4626865671642414E-3</v>
      </c>
      <c r="O128" s="18">
        <f>IF(ISNUMBER(M128), $B145 * N128, "")</f>
        <v>1119.4029850746363</v>
      </c>
      <c r="Q128" s="146"/>
      <c r="R128" s="146"/>
      <c r="S128" s="146"/>
    </row>
    <row r="129" spans="1:19" ht="17.25" thickBot="1">
      <c r="A129" s="111" t="s">
        <v>126</v>
      </c>
      <c r="B129" s="112">
        <v>34.700000000000003</v>
      </c>
      <c r="C129" s="71">
        <v>-8.5714286000000001E-3</v>
      </c>
      <c r="D129" s="20">
        <v>34.5</v>
      </c>
      <c r="E129" s="21">
        <f t="shared" si="62"/>
        <v>-5.7636887608069976E-3</v>
      </c>
      <c r="F129" s="22">
        <f>IF(ISNUMBER(D129), $B145 * E129, "")</f>
        <v>-864.55331412104965</v>
      </c>
      <c r="G129" s="30">
        <v>35.6</v>
      </c>
      <c r="H129" s="21">
        <f t="shared" si="63"/>
        <v>2.5936599423631079E-2</v>
      </c>
      <c r="I129" s="95">
        <f>IF(ISNUMBER(G129), $B145 * H129, "")</f>
        <v>3890.4899135446617</v>
      </c>
      <c r="J129" s="20">
        <v>35.4</v>
      </c>
      <c r="K129" s="21">
        <f t="shared" si="64"/>
        <v>2.0172910662824083E-2</v>
      </c>
      <c r="L129" s="22">
        <f>IF(ISNUMBER(J129), $B145 * K129, "")</f>
        <v>3025.9365994236123</v>
      </c>
      <c r="M129" s="30">
        <v>35.299999999999997</v>
      </c>
      <c r="N129" s="21">
        <f t="shared" si="65"/>
        <v>1.7291066282420584E-2</v>
      </c>
      <c r="O129" s="22">
        <f>IF(ISNUMBER(M129), $B145 * N129, "")</f>
        <v>2593.6599423630878</v>
      </c>
      <c r="Q129" s="146"/>
      <c r="R129" s="146"/>
      <c r="S129" s="146"/>
    </row>
    <row r="130" spans="1:19" ht="17.25" thickBot="1">
      <c r="A130" s="109" t="s">
        <v>195</v>
      </c>
      <c r="B130" s="113">
        <v>7.11</v>
      </c>
      <c r="C130" s="73">
        <v>-9.7493036000000002E-3</v>
      </c>
      <c r="D130" s="96">
        <v>7.04</v>
      </c>
      <c r="E130" s="97">
        <f>IF(ISNUMBER(D130), (D130 - $B130) / $B130, "")</f>
        <v>-9.8452883263010233E-3</v>
      </c>
      <c r="F130" s="98">
        <f>IF(ISNUMBER(D130), $B145 * E130, "")</f>
        <v>-1476.7932489451534</v>
      </c>
      <c r="G130" s="99">
        <v>7.22</v>
      </c>
      <c r="H130" s="97">
        <f>IF(ISNUMBER(G130), (G130 - $B130) / $B130, "")</f>
        <v>1.5471167369901466E-2</v>
      </c>
      <c r="I130" s="100">
        <f>IF(ISNUMBER(G130), $B145 * H130, "")</f>
        <v>2320.6751054852198</v>
      </c>
      <c r="J130" s="96">
        <v>7.23</v>
      </c>
      <c r="K130" s="97">
        <f>IF(ISNUMBER(J130), (J130 - $B130) / $B130, "")</f>
        <v>1.6877637130801704E-2</v>
      </c>
      <c r="L130" s="98">
        <f>IF(ISNUMBER(J130), $B145 * K130, "")</f>
        <v>2531.6455696202556</v>
      </c>
      <c r="M130" s="99">
        <v>7.26</v>
      </c>
      <c r="N130" s="97">
        <f>IF(ISNUMBER(M130), (M130 - $B130) / $B130, "")</f>
        <v>2.1097046413502032E-2</v>
      </c>
      <c r="O130" s="98">
        <f>IF(ISNUMBER(M130), $B145 * N130, "")</f>
        <v>3164.556962025305</v>
      </c>
      <c r="Q130" s="146"/>
      <c r="R130" s="146"/>
      <c r="S130" s="146"/>
    </row>
    <row r="131" spans="1:19" ht="17.25" thickBot="1">
      <c r="A131" s="109" t="s">
        <v>225</v>
      </c>
      <c r="B131" s="110">
        <v>65.5</v>
      </c>
      <c r="C131" s="70">
        <v>-1.0574018100000001E-2</v>
      </c>
      <c r="D131" s="15">
        <v>65.400000000000006</v>
      </c>
      <c r="E131" s="32">
        <f t="shared" ref="E131:E134" si="66">IF(ISNUMBER(D131), (D131 - $B131) / $B131, "")</f>
        <v>-1.5267175572518216E-3</v>
      </c>
      <c r="F131" s="18">
        <f>IF(ISNUMBER(D131), $B145 * E131, "")</f>
        <v>-229.00763358777326</v>
      </c>
      <c r="G131" s="31">
        <v>66</v>
      </c>
      <c r="H131" s="32">
        <f t="shared" ref="H131:H134" si="67">IF(ISNUMBER(G131), (G131 - $B131) / $B131, "")</f>
        <v>7.6335877862595417E-3</v>
      </c>
      <c r="I131" s="91">
        <f>IF(ISNUMBER(G131), $B145 * H131, "")</f>
        <v>1145.0381679389313</v>
      </c>
      <c r="J131" s="15">
        <v>66.5</v>
      </c>
      <c r="K131" s="32">
        <f t="shared" ref="K131:K134" si="68">IF(ISNUMBER(J131), (J131 - $B131) / $B131, "")</f>
        <v>1.5267175572519083E-2</v>
      </c>
      <c r="L131" s="18">
        <f>IF(ISNUMBER(J131), $B145 * K131, "")</f>
        <v>2290.0763358778627</v>
      </c>
      <c r="M131" s="31">
        <v>66.400000000000006</v>
      </c>
      <c r="N131" s="32">
        <f t="shared" ref="N131:N134" si="69">IF(ISNUMBER(M131), (M131 - $B131) / $B131, "")</f>
        <v>1.3740458015267262E-2</v>
      </c>
      <c r="O131" s="18">
        <f>IF(ISNUMBER(M131), $B145 * N131, "")</f>
        <v>2061.0687022900893</v>
      </c>
      <c r="Q131" s="146"/>
      <c r="R131" s="146"/>
      <c r="S131" s="146"/>
    </row>
    <row r="132" spans="1:19" ht="17.25" thickBot="1">
      <c r="A132" s="109" t="s">
        <v>333</v>
      </c>
      <c r="B132" s="110">
        <v>5.17</v>
      </c>
      <c r="C132" s="70">
        <v>-1.1472275299999999E-2</v>
      </c>
      <c r="D132" s="15">
        <v>5.22</v>
      </c>
      <c r="E132" s="32">
        <f t="shared" si="66"/>
        <v>9.6711798839458074E-3</v>
      </c>
      <c r="F132" s="18">
        <f>IF(ISNUMBER(D132), $B145 * E132, "")</f>
        <v>1450.6769825918711</v>
      </c>
      <c r="G132" s="31">
        <v>5.36</v>
      </c>
      <c r="H132" s="32">
        <f t="shared" si="67"/>
        <v>3.6750483558994275E-2</v>
      </c>
      <c r="I132" s="91">
        <f>IF(ISNUMBER(G132), $B145 * H132, "")</f>
        <v>5512.5725338491411</v>
      </c>
      <c r="J132" s="15">
        <v>5.24</v>
      </c>
      <c r="K132" s="32">
        <f t="shared" si="68"/>
        <v>1.3539651837524234E-2</v>
      </c>
      <c r="L132" s="18">
        <f>IF(ISNUMBER(J132), $B145 * K132, "")</f>
        <v>2030.9477756286351</v>
      </c>
      <c r="M132" s="31">
        <v>5.31</v>
      </c>
      <c r="N132" s="32">
        <f t="shared" si="69"/>
        <v>2.7079303675048294E-2</v>
      </c>
      <c r="O132" s="18">
        <f>IF(ISNUMBER(M132), $B145 * N132, "")</f>
        <v>4061.8955512572443</v>
      </c>
      <c r="Q132" s="146"/>
      <c r="R132" s="146"/>
      <c r="S132" s="146"/>
    </row>
    <row r="133" spans="1:19" ht="17.25" thickBot="1">
      <c r="A133" s="109" t="s">
        <v>193</v>
      </c>
      <c r="B133" s="110">
        <v>21.1</v>
      </c>
      <c r="C133" s="70">
        <v>-1.4018691600000001E-2</v>
      </c>
      <c r="D133" s="15">
        <v>20.9</v>
      </c>
      <c r="E133" s="32">
        <f t="shared" si="66"/>
        <v>-9.4786729857821248E-3</v>
      </c>
      <c r="F133" s="18">
        <f>IF(ISNUMBER(D133), $B145 * E133, "")</f>
        <v>-1421.8009478673187</v>
      </c>
      <c r="G133" s="31">
        <v>21.4</v>
      </c>
      <c r="H133" s="32">
        <f t="shared" si="67"/>
        <v>1.421800947867285E-2</v>
      </c>
      <c r="I133" s="91">
        <f>IF(ISNUMBER(G133), $B145 * H133, "")</f>
        <v>2132.7014218009276</v>
      </c>
      <c r="J133" s="15">
        <v>21.2</v>
      </c>
      <c r="K133" s="32">
        <f t="shared" si="68"/>
        <v>4.7393364928908941E-3</v>
      </c>
      <c r="L133" s="18">
        <f>IF(ISNUMBER(J133), $B145 * K133, "")</f>
        <v>710.90047393363409</v>
      </c>
      <c r="M133" s="31">
        <v>21.9</v>
      </c>
      <c r="N133" s="32">
        <f t="shared" si="69"/>
        <v>3.7914691943127826E-2</v>
      </c>
      <c r="O133" s="18">
        <f>IF(ISNUMBER(M133), $B145 * N133, "")</f>
        <v>5687.2037914691737</v>
      </c>
      <c r="Q133" s="33"/>
      <c r="R133" s="33"/>
    </row>
    <row r="134" spans="1:19" ht="17.25" thickBot="1">
      <c r="A134" s="114" t="s">
        <v>107</v>
      </c>
      <c r="B134" s="115">
        <v>46.1</v>
      </c>
      <c r="C134" s="72">
        <v>-1.4957265000000001E-2</v>
      </c>
      <c r="D134" s="24">
        <v>45.7</v>
      </c>
      <c r="E134" s="25">
        <f t="shared" si="66"/>
        <v>-8.6767895878524636E-3</v>
      </c>
      <c r="F134" s="94">
        <f>IF(ISNUMBER(D134), $B145 * E134, "")</f>
        <v>-1301.5184381778695</v>
      </c>
      <c r="G134" s="92">
        <v>46.7</v>
      </c>
      <c r="H134" s="25">
        <f t="shared" si="67"/>
        <v>1.3015184381778773E-2</v>
      </c>
      <c r="I134" s="93">
        <f>IF(ISNUMBER(G134), $B145 * H134, "")</f>
        <v>1952.2776572668158</v>
      </c>
      <c r="J134" s="24">
        <v>47</v>
      </c>
      <c r="K134" s="25">
        <f t="shared" si="68"/>
        <v>1.9522776572668082E-2</v>
      </c>
      <c r="L134" s="94">
        <f>IF(ISNUMBER(J134), $B145 * K134, "")</f>
        <v>2928.4164859002121</v>
      </c>
      <c r="M134" s="92">
        <v>47</v>
      </c>
      <c r="N134" s="25">
        <f t="shared" si="69"/>
        <v>1.9522776572668082E-2</v>
      </c>
      <c r="O134" s="94">
        <f>IF(ISNUMBER(M134), $B145 * N134, "")</f>
        <v>2928.4164859002121</v>
      </c>
      <c r="Q134" s="147"/>
      <c r="R134" s="148"/>
      <c r="S134" s="149"/>
    </row>
    <row r="135" spans="1:19">
      <c r="A135" s="107" t="s">
        <v>207</v>
      </c>
      <c r="B135" s="108">
        <v>78.2</v>
      </c>
      <c r="C135" s="69">
        <v>-1.5113350100000001E-2</v>
      </c>
      <c r="D135" s="13">
        <v>77.099999999999994</v>
      </c>
      <c r="E135" s="14">
        <f>IF(ISNUMBER(D135), (D135 - $B135) / $B135, "")</f>
        <v>-1.4066496163682973E-2</v>
      </c>
      <c r="F135" s="16">
        <f>IF(ISNUMBER(D135), $B145 * E135, "")</f>
        <v>-2109.9744245524457</v>
      </c>
      <c r="G135" s="29">
        <v>77.400000000000006</v>
      </c>
      <c r="H135" s="14">
        <f>IF(ISNUMBER(G135), (G135 - $B135) / $B135, "")</f>
        <v>-1.0230179028132955E-2</v>
      </c>
      <c r="I135" s="90">
        <f>IF(ISNUMBER(G135), $B145 * H135, "")</f>
        <v>-1534.5268542199433</v>
      </c>
      <c r="J135" s="13">
        <v>77.3</v>
      </c>
      <c r="K135" s="14">
        <f>IF(ISNUMBER(J135), (J135 - $B135) / $B135, "")</f>
        <v>-1.1508951406649688E-2</v>
      </c>
      <c r="L135" s="16">
        <f>IF(ISNUMBER(J135), $B145 * K135, "")</f>
        <v>-1726.3427109974532</v>
      </c>
      <c r="M135" s="29">
        <v>77.599999999999994</v>
      </c>
      <c r="N135" s="14">
        <f>IF(ISNUMBER(M135), (M135 - $B135) / $B135, "")</f>
        <v>-7.6726342710998529E-3</v>
      </c>
      <c r="O135" s="16">
        <f>IF(ISNUMBER(M135), $B145 * N135, "")</f>
        <v>-1150.8951406649778</v>
      </c>
      <c r="Q135" s="150"/>
      <c r="R135" s="151"/>
      <c r="S135" s="152"/>
    </row>
    <row r="136" spans="1:19" ht="17.25" thickBot="1">
      <c r="A136" s="109" t="s">
        <v>209</v>
      </c>
      <c r="B136" s="110">
        <v>94.5</v>
      </c>
      <c r="C136" s="70">
        <v>-1.5625E-2</v>
      </c>
      <c r="D136" s="15">
        <v>93.9</v>
      </c>
      <c r="E136" s="32">
        <f t="shared" ref="E136:E139" si="70">IF(ISNUMBER(D136), (D136 - $B136) / $B136, "")</f>
        <v>-6.3492063492062894E-3</v>
      </c>
      <c r="F136" s="18">
        <f>IF(ISNUMBER(D136), $B145 * E136, "")</f>
        <v>-952.38095238094343</v>
      </c>
      <c r="G136" s="31">
        <v>95.1</v>
      </c>
      <c r="H136" s="32">
        <f t="shared" ref="H136:H139" si="71">IF(ISNUMBER(G136), (G136 - $B136) / $B136, "")</f>
        <v>6.3492063492062894E-3</v>
      </c>
      <c r="I136" s="91">
        <f>IF(ISNUMBER(G136), $B145 * H136, "")</f>
        <v>952.38095238094343</v>
      </c>
      <c r="J136" s="15">
        <v>96.1</v>
      </c>
      <c r="K136" s="32">
        <f t="shared" ref="K136:K139" si="72">IF(ISNUMBER(J136), (J136 - $B136) / $B136, "")</f>
        <v>1.693121693121687E-2</v>
      </c>
      <c r="L136" s="18">
        <f>IF(ISNUMBER(J136), $B145 * K136, "")</f>
        <v>2539.6825396825307</v>
      </c>
      <c r="M136" s="31">
        <v>96.6</v>
      </c>
      <c r="N136" s="32">
        <f t="shared" ref="N136:N139" si="73">IF(ISNUMBER(M136), (M136 - $B136) / $B136, "")</f>
        <v>2.2222222222222161E-2</v>
      </c>
      <c r="O136" s="18">
        <f>IF(ISNUMBER(M136), $B145 * N136, "")</f>
        <v>3333.3333333333239</v>
      </c>
      <c r="Q136" s="153"/>
      <c r="R136" s="154"/>
      <c r="S136" s="155"/>
    </row>
    <row r="137" spans="1:19" ht="17.25" thickBot="1">
      <c r="A137" s="109" t="s">
        <v>124</v>
      </c>
      <c r="B137" s="110">
        <v>36.4</v>
      </c>
      <c r="C137" s="70">
        <v>-1.6216216200000001E-2</v>
      </c>
      <c r="D137" s="15">
        <v>36.299999999999997</v>
      </c>
      <c r="E137" s="32">
        <f t="shared" si="70"/>
        <v>-2.7472527472527865E-3</v>
      </c>
      <c r="F137" s="18">
        <f>IF(ISNUMBER(D137), $B145 * E137, "")</f>
        <v>-412.08791208791797</v>
      </c>
      <c r="G137" s="31">
        <v>36.9</v>
      </c>
      <c r="H137" s="32">
        <f t="shared" si="71"/>
        <v>1.3736263736263736E-2</v>
      </c>
      <c r="I137" s="91">
        <f>IF(ISNUMBER(G137), $B145 * H137, "")</f>
        <v>2060.4395604395604</v>
      </c>
      <c r="J137" s="15">
        <v>37.1</v>
      </c>
      <c r="K137" s="32">
        <f t="shared" si="72"/>
        <v>1.9230769230769308E-2</v>
      </c>
      <c r="L137" s="18">
        <f>IF(ISNUMBER(J137), $B145 * K137, "")</f>
        <v>2884.6153846153961</v>
      </c>
      <c r="M137" s="31">
        <v>37.5</v>
      </c>
      <c r="N137" s="32">
        <f t="shared" si="73"/>
        <v>3.0219780219780262E-2</v>
      </c>
      <c r="O137" s="18">
        <f>IF(ISNUMBER(M137), $B145 * N137, "")</f>
        <v>4532.9670329670389</v>
      </c>
      <c r="Q137" s="146"/>
      <c r="R137" s="146"/>
      <c r="S137" s="146"/>
    </row>
    <row r="138" spans="1:19" ht="17.25" thickBot="1">
      <c r="A138" s="109" t="s">
        <v>221</v>
      </c>
      <c r="B138" s="110">
        <v>23.2</v>
      </c>
      <c r="C138" s="70">
        <v>-1.6949152499999998E-2</v>
      </c>
      <c r="D138" s="15">
        <v>23.7</v>
      </c>
      <c r="E138" s="32">
        <f t="shared" si="70"/>
        <v>2.1551724137931036E-2</v>
      </c>
      <c r="F138" s="18">
        <f>IF(ISNUMBER(D138), $B145 * E138, "")</f>
        <v>3232.7586206896553</v>
      </c>
      <c r="G138" s="31">
        <v>23.8</v>
      </c>
      <c r="H138" s="32">
        <f t="shared" si="71"/>
        <v>2.5862068965517303E-2</v>
      </c>
      <c r="I138" s="91">
        <f>IF(ISNUMBER(G138), $B145 * H138, "")</f>
        <v>3879.3103448275956</v>
      </c>
      <c r="J138" s="15">
        <v>23.8</v>
      </c>
      <c r="K138" s="32">
        <f t="shared" si="72"/>
        <v>2.5862068965517303E-2</v>
      </c>
      <c r="L138" s="18">
        <f>IF(ISNUMBER(J138), $B145 * K138, "")</f>
        <v>3879.3103448275956</v>
      </c>
      <c r="M138" s="31">
        <v>23.9</v>
      </c>
      <c r="N138" s="32">
        <f t="shared" si="73"/>
        <v>3.0172413793103418E-2</v>
      </c>
      <c r="O138" s="18">
        <f>IF(ISNUMBER(M138), $B145 * N138, "")</f>
        <v>4525.8620689655127</v>
      </c>
      <c r="Q138" s="156"/>
      <c r="R138" s="156"/>
      <c r="S138" s="156"/>
    </row>
    <row r="139" spans="1:19" ht="17.25" thickBot="1">
      <c r="A139" s="111" t="s">
        <v>350</v>
      </c>
      <c r="B139" s="112">
        <v>7.75</v>
      </c>
      <c r="C139" s="71">
        <v>-1.7743979699999999E-2</v>
      </c>
      <c r="D139" s="20">
        <v>7.66</v>
      </c>
      <c r="E139" s="21">
        <f t="shared" si="70"/>
        <v>-1.1612903225806433E-2</v>
      </c>
      <c r="F139" s="22">
        <f>IF(ISNUMBER(D139), $B145 * E139, "")</f>
        <v>-1741.9354838709651</v>
      </c>
      <c r="G139" s="30">
        <v>7.78</v>
      </c>
      <c r="H139" s="21">
        <f t="shared" si="71"/>
        <v>3.870967741935516E-3</v>
      </c>
      <c r="I139" s="95">
        <f>IF(ISNUMBER(G139), $B145 * H139, "")</f>
        <v>580.64516129032745</v>
      </c>
      <c r="J139" s="20">
        <v>7.91</v>
      </c>
      <c r="K139" s="21">
        <f t="shared" si="72"/>
        <v>2.0645161290322598E-2</v>
      </c>
      <c r="L139" s="22">
        <f>IF(ISNUMBER(J139), $B145 * K139, "")</f>
        <v>3096.7741935483896</v>
      </c>
      <c r="M139" s="30">
        <v>7.88</v>
      </c>
      <c r="N139" s="21">
        <f t="shared" si="73"/>
        <v>1.6774193548387082E-2</v>
      </c>
      <c r="O139" s="22">
        <f>IF(ISNUMBER(M139), $B145 * N139, "")</f>
        <v>2516.1290322580621</v>
      </c>
      <c r="Q139" s="156"/>
      <c r="R139" s="156"/>
      <c r="S139" s="156"/>
    </row>
    <row r="140" spans="1:19" ht="17.25" thickBot="1">
      <c r="A140" s="109" t="s">
        <v>197</v>
      </c>
      <c r="B140" s="113">
        <v>8.1</v>
      </c>
      <c r="C140" s="73">
        <v>-1.9370459999999999E-2</v>
      </c>
      <c r="D140" s="96">
        <v>8.01</v>
      </c>
      <c r="E140" s="97">
        <f>IF(ISNUMBER(D140), (D140 - $B140) / $B140, "")</f>
        <v>-1.1111111111111094E-2</v>
      </c>
      <c r="F140" s="98">
        <f>IF(ISNUMBER(D140), $B145 * E140, "")</f>
        <v>-1666.6666666666642</v>
      </c>
      <c r="G140" s="99">
        <v>8.1300000000000008</v>
      </c>
      <c r="H140" s="97">
        <f>IF(ISNUMBER(G140), (G140 - $B140) / $B140, "")</f>
        <v>3.7037037037038444E-3</v>
      </c>
      <c r="I140" s="100">
        <f>IF(ISNUMBER(G140), $B145 * H140, "")</f>
        <v>555.55555555557669</v>
      </c>
      <c r="J140" s="96">
        <v>8.1</v>
      </c>
      <c r="K140" s="97">
        <f>IF(ISNUMBER(J140), (J140 - $B140) / $B140, "")</f>
        <v>0</v>
      </c>
      <c r="L140" s="98">
        <f>IF(ISNUMBER(J140), $B145 * K140, "")</f>
        <v>0</v>
      </c>
      <c r="M140" s="99">
        <v>8.1199999999999992</v>
      </c>
      <c r="N140" s="97">
        <f>IF(ISNUMBER(M140), (M140 - $B140) / $B140, "")</f>
        <v>2.4691358024690833E-3</v>
      </c>
      <c r="O140" s="98">
        <f>IF(ISNUMBER(M140), $B145 * N140, "")</f>
        <v>370.37037037036248</v>
      </c>
      <c r="Q140" s="146"/>
      <c r="R140" s="146"/>
      <c r="S140" s="146"/>
    </row>
    <row r="141" spans="1:19" ht="17.25" thickBot="1">
      <c r="A141" s="109" t="s">
        <v>217</v>
      </c>
      <c r="B141" s="110">
        <v>86.9</v>
      </c>
      <c r="C141" s="70">
        <v>-2.13963964E-2</v>
      </c>
      <c r="D141" s="15">
        <v>85.8</v>
      </c>
      <c r="E141" s="32">
        <f t="shared" ref="E141:E144" si="74">IF(ISNUMBER(D141), (D141 - $B141) / $B141, "")</f>
        <v>-1.2658227848101363E-2</v>
      </c>
      <c r="F141" s="18">
        <f>IF(ISNUMBER(D141), $B145 * E141, "")</f>
        <v>-1898.7341772152045</v>
      </c>
      <c r="G141" s="31">
        <v>86.7</v>
      </c>
      <c r="H141" s="32">
        <f t="shared" ref="H141:H144" si="75">IF(ISNUMBER(G141), (G141 - $B141) / $B141, "")</f>
        <v>-2.3014959723820809E-3</v>
      </c>
      <c r="I141" s="91">
        <f>IF(ISNUMBER(G141), $B145 * H141, "")</f>
        <v>-345.22439585731212</v>
      </c>
      <c r="J141" s="15">
        <v>87.3</v>
      </c>
      <c r="K141" s="32">
        <f t="shared" ref="K141:K144" si="76">IF(ISNUMBER(J141), (J141 - $B141) / $B141, "")</f>
        <v>4.6029919447639987E-3</v>
      </c>
      <c r="L141" s="18">
        <f>IF(ISNUMBER(J141), $B145 * K141, "")</f>
        <v>690.44879171459979</v>
      </c>
      <c r="M141" s="31">
        <v>87.1</v>
      </c>
      <c r="N141" s="32">
        <f t="shared" ref="N141:N144" si="77">IF(ISNUMBER(M141), (M141 - $B141) / $B141, "")</f>
        <v>2.3014959723819174E-3</v>
      </c>
      <c r="O141" s="18">
        <f>IF(ISNUMBER(M141), $B145 * N141, "")</f>
        <v>345.22439585728762</v>
      </c>
      <c r="Q141" s="146"/>
      <c r="R141" s="146"/>
      <c r="S141" s="146"/>
    </row>
    <row r="142" spans="1:19" ht="17.25" thickBot="1">
      <c r="A142" s="109" t="s">
        <v>118</v>
      </c>
      <c r="B142" s="110">
        <v>6.85</v>
      </c>
      <c r="C142" s="70">
        <v>-2.1428571399999999E-2</v>
      </c>
      <c r="D142" s="15">
        <v>6.96</v>
      </c>
      <c r="E142" s="32">
        <f t="shared" si="74"/>
        <v>1.6058394160583991E-2</v>
      </c>
      <c r="F142" s="18">
        <f>IF(ISNUMBER(D142), $B145 * E142, "")</f>
        <v>2408.7591240875986</v>
      </c>
      <c r="G142" s="31">
        <v>7.23</v>
      </c>
      <c r="H142" s="32">
        <f t="shared" si="75"/>
        <v>5.547445255474464E-2</v>
      </c>
      <c r="I142" s="91">
        <f>IF(ISNUMBER(G142), $B145 * H142, "")</f>
        <v>8321.1678832116959</v>
      </c>
      <c r="J142" s="15">
        <v>7.14</v>
      </c>
      <c r="K142" s="32">
        <f t="shared" si="76"/>
        <v>4.2335766423357672E-2</v>
      </c>
      <c r="L142" s="18">
        <f>IF(ISNUMBER(J142), $B145 * K142, "")</f>
        <v>6350.3649635036509</v>
      </c>
      <c r="M142" s="31">
        <v>7.18</v>
      </c>
      <c r="N142" s="32">
        <f t="shared" si="77"/>
        <v>4.8175182481751837E-2</v>
      </c>
      <c r="O142" s="18">
        <f>IF(ISNUMBER(M142), $B145 * N142, "")</f>
        <v>7226.2773722627753</v>
      </c>
      <c r="Q142" s="146"/>
      <c r="R142" s="146"/>
      <c r="S142" s="146"/>
    </row>
    <row r="143" spans="1:19">
      <c r="A143" s="109" t="s">
        <v>64</v>
      </c>
      <c r="B143" s="110">
        <v>12.7</v>
      </c>
      <c r="C143" s="70">
        <v>-2.3076923100000001E-2</v>
      </c>
      <c r="D143" s="15">
        <v>12.6</v>
      </c>
      <c r="E143" s="32">
        <f t="shared" si="74"/>
        <v>-7.8740157480314682E-3</v>
      </c>
      <c r="F143" s="18">
        <f>IF(ISNUMBER(D143), $B145 * E143, "")</f>
        <v>-1181.1023622047203</v>
      </c>
      <c r="G143" s="31">
        <v>12.9</v>
      </c>
      <c r="H143" s="32">
        <f t="shared" si="75"/>
        <v>1.5748031496063079E-2</v>
      </c>
      <c r="I143" s="91">
        <f>IF(ISNUMBER(G143), $B145 * H143, "")</f>
        <v>2362.204724409462</v>
      </c>
      <c r="J143" s="15">
        <v>12.9</v>
      </c>
      <c r="K143" s="32">
        <f t="shared" si="76"/>
        <v>1.5748031496063079E-2</v>
      </c>
      <c r="L143" s="18">
        <f>IF(ISNUMBER(J143), $B145 * K143, "")</f>
        <v>2362.204724409462</v>
      </c>
      <c r="M143" s="31">
        <v>13</v>
      </c>
      <c r="N143" s="32">
        <f t="shared" si="77"/>
        <v>2.3622047244094547E-2</v>
      </c>
      <c r="O143" s="18">
        <f>IF(ISNUMBER(M143), $B145 * N143, "")</f>
        <v>3543.307086614182</v>
      </c>
      <c r="Q143" s="135"/>
      <c r="R143" s="136"/>
      <c r="S143" s="137"/>
    </row>
    <row r="144" spans="1:19" ht="17.25" thickBot="1">
      <c r="A144" s="114" t="s">
        <v>71</v>
      </c>
      <c r="B144" s="115">
        <v>12.7</v>
      </c>
      <c r="C144" s="72">
        <v>-3.0534351099999999E-2</v>
      </c>
      <c r="D144" s="24">
        <v>12.8</v>
      </c>
      <c r="E144" s="25">
        <f t="shared" si="74"/>
        <v>7.8740157480316087E-3</v>
      </c>
      <c r="F144" s="94">
        <f>IF(ISNUMBER(D144), $B145 * E144, "")</f>
        <v>1181.1023622047412</v>
      </c>
      <c r="G144" s="92">
        <v>13.4</v>
      </c>
      <c r="H144" s="25">
        <f t="shared" si="75"/>
        <v>5.5118110236220562E-2</v>
      </c>
      <c r="I144" s="93">
        <f>IF(ISNUMBER(G144), $B145 * H144, "")</f>
        <v>8267.7165354330846</v>
      </c>
      <c r="J144" s="24">
        <v>13.4</v>
      </c>
      <c r="K144" s="25">
        <f t="shared" si="76"/>
        <v>5.5118110236220562E-2</v>
      </c>
      <c r="L144" s="94">
        <f>IF(ISNUMBER(J144), $B145 * K144, "")</f>
        <v>8267.7165354330846</v>
      </c>
      <c r="M144" s="92">
        <v>13.3</v>
      </c>
      <c r="N144" s="25">
        <f t="shared" si="77"/>
        <v>4.7244094488189094E-2</v>
      </c>
      <c r="O144" s="94">
        <f>IF(ISNUMBER(M144), $B145 * N144, "")</f>
        <v>7086.6141732283641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-4.0338860426293926E-3</v>
      </c>
      <c r="F145" s="28">
        <f>SUM(F125:F144)</f>
        <v>-12101.658127888173</v>
      </c>
      <c r="G145" s="26" t="s">
        <v>258</v>
      </c>
      <c r="H145" s="27">
        <f>IF(COUNT(H125:H144), SUM(H125:H144) / COUNT(H125:H144), 0)</f>
        <v>2.2176754339108061E-2</v>
      </c>
      <c r="I145" s="28">
        <f>SUM(I125:I144)</f>
        <v>66530.263017324207</v>
      </c>
      <c r="J145" s="26" t="s">
        <v>258</v>
      </c>
      <c r="K145" s="27">
        <f>IF(COUNT(K125:K144), SUM(K125:K144) / COUNT(K125:K144), 0)</f>
        <v>2.0793004004547824E-2</v>
      </c>
      <c r="L145" s="28">
        <f>SUM(L125:L144)</f>
        <v>62379.012013643463</v>
      </c>
      <c r="M145" s="26" t="s">
        <v>258</v>
      </c>
      <c r="N145" s="27">
        <f>IF(COUNT(N125:N144), SUM(N125:N144) / COUNT(N125:N144), 0)</f>
        <v>2.4073365553559524E-2</v>
      </c>
      <c r="O145" s="28">
        <f>SUM(O125:O144)</f>
        <v>72220.096660678551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2023-01-27(금) 오전 00:00</v>
      </c>
      <c r="C150" s="198"/>
      <c r="D150" s="170" t="str">
        <f>TEXT($G$1, "[$-ko-KR]yyyy-mm-dd(ddd) ") &amp; "오후 14:00"</f>
        <v>2023-01-27(금) 오후 14:00</v>
      </c>
      <c r="E150" s="171"/>
      <c r="F150" s="172"/>
      <c r="G150" s="170" t="str">
        <f>TEXT($G$1, "[$-ko-KR]yyyy-mm-dd(ddd) ") &amp; "오후 19:00"</f>
        <v>2023-01-27(금) 오후 19:00</v>
      </c>
      <c r="H150" s="171"/>
      <c r="I150" s="172"/>
      <c r="J150" s="170" t="str">
        <f>TEXT($G$1, "[$-ko-KR]yyyy-mm-dd(ddd) ") &amp; "오후 21:00"</f>
        <v>2023-01-27(금) 오후 21:00</v>
      </c>
      <c r="K150" s="171"/>
      <c r="L150" s="172"/>
      <c r="M150" s="170" t="str">
        <f>TEXT($G$1+1, "[$-ko-KR]yyyy-mm-dd(ddd) ") &amp; "오전 00:00"</f>
        <v>2023-01-28(토)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157</v>
      </c>
      <c r="B152" s="108">
        <v>225</v>
      </c>
      <c r="C152" s="69">
        <v>-4.4247788000000001E-3</v>
      </c>
      <c r="D152" s="13">
        <v>235</v>
      </c>
      <c r="E152" s="14">
        <f>IF(ISNUMBER(D152), (D152 - $B152) / $B152, "")</f>
        <v>4.4444444444444446E-2</v>
      </c>
      <c r="F152" s="16">
        <f>IF(ISNUMBER(D152), $B172 * E152, "")</f>
        <v>6666.666666666667</v>
      </c>
      <c r="G152" s="29">
        <v>229</v>
      </c>
      <c r="H152" s="14">
        <f>IF(ISNUMBER(G152), (G152 - $B152) / $B152, "")</f>
        <v>1.7777777777777778E-2</v>
      </c>
      <c r="I152" s="90">
        <f>IF(ISNUMBER(G152), $B172 * H152, "")</f>
        <v>2666.6666666666665</v>
      </c>
      <c r="J152" s="13">
        <v>228</v>
      </c>
      <c r="K152" s="14">
        <f>IF(ISNUMBER(J152), (J152 - $B152) / $B152, "")</f>
        <v>1.3333333333333334E-2</v>
      </c>
      <c r="L152" s="16">
        <f>IF(ISNUMBER(J152), $B172 * K152, "")</f>
        <v>2000.0000000000002</v>
      </c>
      <c r="M152" s="29">
        <v>228</v>
      </c>
      <c r="N152" s="14">
        <f>IF(ISNUMBER(M152), (M152 - $B152) / $B152, "")</f>
        <v>1.3333333333333334E-2</v>
      </c>
      <c r="O152" s="16">
        <f>IF(ISNUMBER(M152), $B172 * N152, "")</f>
        <v>2000.0000000000002</v>
      </c>
      <c r="Q152" s="156"/>
      <c r="R152" s="156"/>
      <c r="S152" s="156"/>
    </row>
    <row r="153" spans="1:19" ht="17.25" thickBot="1">
      <c r="A153" s="109" t="s">
        <v>167</v>
      </c>
      <c r="B153" s="110">
        <v>219</v>
      </c>
      <c r="C153" s="70">
        <v>-4.5454544999999997E-3</v>
      </c>
      <c r="D153" s="15">
        <v>225</v>
      </c>
      <c r="E153" s="32">
        <f t="shared" ref="E153:E156" si="78">IF(ISNUMBER(D153), (D153 - $B153) / $B153, "")</f>
        <v>2.7397260273972601E-2</v>
      </c>
      <c r="F153" s="18">
        <f>IF(ISNUMBER(D153), $B172 * E153, "")</f>
        <v>4109.58904109589</v>
      </c>
      <c r="G153" s="31">
        <v>227</v>
      </c>
      <c r="H153" s="32">
        <f t="shared" ref="H153:H156" si="79">IF(ISNUMBER(G153), (G153 - $B153) / $B153, "")</f>
        <v>3.6529680365296802E-2</v>
      </c>
      <c r="I153" s="91">
        <f>IF(ISNUMBER(G153), $B172 * H153, "")</f>
        <v>5479.4520547945203</v>
      </c>
      <c r="J153" s="15">
        <v>233</v>
      </c>
      <c r="K153" s="32">
        <f t="shared" ref="K153:K156" si="80">IF(ISNUMBER(J153), (J153 - $B153) / $B153, "")</f>
        <v>6.3926940639269403E-2</v>
      </c>
      <c r="L153" s="18">
        <f>IF(ISNUMBER(J153), $B172 * K153, "")</f>
        <v>9589.0410958904104</v>
      </c>
      <c r="M153" s="31">
        <v>232</v>
      </c>
      <c r="N153" s="32">
        <f t="shared" ref="N153:N156" si="81">IF(ISNUMBER(M153), (M153 - $B153) / $B153, "")</f>
        <v>5.9360730593607303E-2</v>
      </c>
      <c r="O153" s="18">
        <f>IF(ISNUMBER(M153), $B172 * N153, "")</f>
        <v>8904.1095890410961</v>
      </c>
      <c r="Q153" s="156"/>
      <c r="R153" s="156"/>
      <c r="S153" s="156"/>
    </row>
    <row r="154" spans="1:19" ht="17.25" thickBot="1">
      <c r="A154" s="109" t="s">
        <v>176</v>
      </c>
      <c r="B154" s="110">
        <v>367</v>
      </c>
      <c r="C154" s="70">
        <v>-8.1081081000000006E-3</v>
      </c>
      <c r="D154" s="15">
        <v>383</v>
      </c>
      <c r="E154" s="32">
        <f t="shared" si="78"/>
        <v>4.3596730245231606E-2</v>
      </c>
      <c r="F154" s="18">
        <f>IF(ISNUMBER(D154), $B172 * E154, "")</f>
        <v>6539.5095367847407</v>
      </c>
      <c r="G154" s="31">
        <v>378</v>
      </c>
      <c r="H154" s="32">
        <f t="shared" si="79"/>
        <v>2.9972752043596729E-2</v>
      </c>
      <c r="I154" s="91">
        <f>IF(ISNUMBER(G154), $B172 * H154, "")</f>
        <v>4495.9128065395089</v>
      </c>
      <c r="J154" s="15">
        <v>381</v>
      </c>
      <c r="K154" s="32">
        <f t="shared" si="80"/>
        <v>3.8147138964577658E-2</v>
      </c>
      <c r="L154" s="18">
        <f>IF(ISNUMBER(J154), $B172 * K154, "")</f>
        <v>5722.0708446866483</v>
      </c>
      <c r="M154" s="31">
        <v>382</v>
      </c>
      <c r="N154" s="32">
        <f t="shared" si="81"/>
        <v>4.0871934604904632E-2</v>
      </c>
      <c r="O154" s="18">
        <f>IF(ISNUMBER(M154), $B172 * N154, "")</f>
        <v>6130.7901907356945</v>
      </c>
      <c r="Q154" s="146"/>
      <c r="R154" s="146"/>
      <c r="S154" s="146"/>
    </row>
    <row r="155" spans="1:19" ht="17.25" thickBot="1">
      <c r="A155" s="109" t="s">
        <v>89</v>
      </c>
      <c r="B155" s="110">
        <v>515</v>
      </c>
      <c r="C155" s="70">
        <v>-9.6153846000000005E-3</v>
      </c>
      <c r="D155" s="15">
        <v>508</v>
      </c>
      <c r="E155" s="32">
        <f t="shared" si="78"/>
        <v>-1.3592233009708738E-2</v>
      </c>
      <c r="F155" s="18">
        <f>IF(ISNUMBER(D155), $B172 * E155, "")</f>
        <v>-2038.8349514563106</v>
      </c>
      <c r="G155" s="31">
        <v>511</v>
      </c>
      <c r="H155" s="32">
        <f t="shared" si="79"/>
        <v>-7.7669902912621356E-3</v>
      </c>
      <c r="I155" s="91">
        <f>IF(ISNUMBER(G155), $B172 * H155, "")</f>
        <v>-1165.0485436893202</v>
      </c>
      <c r="J155" s="15">
        <v>509</v>
      </c>
      <c r="K155" s="32">
        <f t="shared" si="80"/>
        <v>-1.1650485436893204E-2</v>
      </c>
      <c r="L155" s="18">
        <f>IF(ISNUMBER(J155), $B172 * K155, "")</f>
        <v>-1747.5728155339807</v>
      </c>
      <c r="M155" s="31">
        <v>511</v>
      </c>
      <c r="N155" s="32">
        <f t="shared" si="81"/>
        <v>-7.7669902912621356E-3</v>
      </c>
      <c r="O155" s="18">
        <f>IF(ISNUMBER(M155), $B172 * N155, "")</f>
        <v>-1165.0485436893202</v>
      </c>
      <c r="Q155" s="146"/>
      <c r="R155" s="146"/>
      <c r="S155" s="146"/>
    </row>
    <row r="156" spans="1:19" ht="17.25" thickBot="1">
      <c r="A156" s="111" t="s">
        <v>229</v>
      </c>
      <c r="B156" s="112">
        <v>295</v>
      </c>
      <c r="C156" s="71">
        <v>-1.00671141E-2</v>
      </c>
      <c r="D156" s="20">
        <v>321</v>
      </c>
      <c r="E156" s="21">
        <f t="shared" si="78"/>
        <v>8.8135593220338981E-2</v>
      </c>
      <c r="F156" s="22">
        <f>IF(ISNUMBER(D156), $B172 * E156, "")</f>
        <v>13220.338983050848</v>
      </c>
      <c r="G156" s="30">
        <v>302</v>
      </c>
      <c r="H156" s="21">
        <f t="shared" si="79"/>
        <v>2.3728813559322035E-2</v>
      </c>
      <c r="I156" s="95">
        <f>IF(ISNUMBER(G156), $B172 * H156, "")</f>
        <v>3559.3220338983051</v>
      </c>
      <c r="J156" s="20">
        <v>304</v>
      </c>
      <c r="K156" s="21">
        <f t="shared" si="80"/>
        <v>3.0508474576271188E-2</v>
      </c>
      <c r="L156" s="22">
        <f>IF(ISNUMBER(J156), $B172 * K156, "")</f>
        <v>4576.2711864406783</v>
      </c>
      <c r="M156" s="30">
        <v>305</v>
      </c>
      <c r="N156" s="21">
        <f t="shared" si="81"/>
        <v>3.3898305084745763E-2</v>
      </c>
      <c r="O156" s="22">
        <f>IF(ISNUMBER(M156), $B172 * N156, "")</f>
        <v>5084.7457627118647</v>
      </c>
      <c r="Q156" s="146"/>
      <c r="R156" s="146"/>
      <c r="S156" s="146"/>
    </row>
    <row r="157" spans="1:19" ht="17.25" thickBot="1">
      <c r="A157" s="109" t="s">
        <v>219</v>
      </c>
      <c r="B157" s="113">
        <v>482</v>
      </c>
      <c r="C157" s="73">
        <v>-1.02669405E-2</v>
      </c>
      <c r="D157" s="96">
        <v>503</v>
      </c>
      <c r="E157" s="97">
        <f>IF(ISNUMBER(D157), (D157 - $B157) / $B157, "")</f>
        <v>4.3568464730290454E-2</v>
      </c>
      <c r="F157" s="98">
        <f>IF(ISNUMBER(D157), $B172 * E157, "")</f>
        <v>6535.2697095435678</v>
      </c>
      <c r="G157" s="99">
        <v>511</v>
      </c>
      <c r="H157" s="97">
        <f>IF(ISNUMBER(G157), (G157 - $B157) / $B157, "")</f>
        <v>6.0165975103734441E-2</v>
      </c>
      <c r="I157" s="100">
        <f>IF(ISNUMBER(G157), $B172 * H157, "")</f>
        <v>9024.8962655601663</v>
      </c>
      <c r="J157" s="96">
        <v>527</v>
      </c>
      <c r="K157" s="97">
        <f>IF(ISNUMBER(J157), (J157 - $B157) / $B157, "")</f>
        <v>9.3360995850622408E-2</v>
      </c>
      <c r="L157" s="98">
        <f>IF(ISNUMBER(J157), $B172 * K157, "")</f>
        <v>14004.149377593361</v>
      </c>
      <c r="M157" s="99">
        <v>517</v>
      </c>
      <c r="N157" s="97">
        <f>IF(ISNUMBER(M157), (M157 - $B157) / $B157, "")</f>
        <v>7.2614107883817433E-2</v>
      </c>
      <c r="O157" s="98">
        <f>IF(ISNUMBER(M157), $B172 * N157, "")</f>
        <v>10892.116182572616</v>
      </c>
      <c r="Q157" s="146"/>
      <c r="R157" s="146"/>
      <c r="S157" s="146"/>
    </row>
    <row r="158" spans="1:19" ht="17.25" thickBot="1">
      <c r="A158" s="109" t="s">
        <v>60</v>
      </c>
      <c r="B158" s="110">
        <v>850</v>
      </c>
      <c r="C158" s="70">
        <v>-1.04772992E-2</v>
      </c>
      <c r="D158" s="15">
        <v>826</v>
      </c>
      <c r="E158" s="32">
        <f t="shared" ref="E158:E161" si="82">IF(ISNUMBER(D158), (D158 - $B158) / $B158, "")</f>
        <v>-2.823529411764706E-2</v>
      </c>
      <c r="F158" s="18">
        <f>IF(ISNUMBER(D158), $B172 * E158, "")</f>
        <v>-4235.2941176470586</v>
      </c>
      <c r="G158" s="31">
        <v>828</v>
      </c>
      <c r="H158" s="32">
        <f t="shared" ref="H158:H161" si="83">IF(ISNUMBER(G158), (G158 - $B158) / $B158, "")</f>
        <v>-2.5882352941176471E-2</v>
      </c>
      <c r="I158" s="91">
        <f>IF(ISNUMBER(G158), $B172 * H158, "")</f>
        <v>-3882.3529411764707</v>
      </c>
      <c r="J158" s="15">
        <v>827</v>
      </c>
      <c r="K158" s="32">
        <f t="shared" ref="K158:K161" si="84">IF(ISNUMBER(J158), (J158 - $B158) / $B158, "")</f>
        <v>-2.7058823529411764E-2</v>
      </c>
      <c r="L158" s="18">
        <f>IF(ISNUMBER(J158), $B172 * K158, "")</f>
        <v>-4058.8235294117644</v>
      </c>
      <c r="M158" s="31">
        <v>829</v>
      </c>
      <c r="N158" s="32">
        <f t="shared" ref="N158:N161" si="85">IF(ISNUMBER(M158), (M158 - $B158) / $B158, "")</f>
        <v>-2.4705882352941175E-2</v>
      </c>
      <c r="O158" s="18">
        <f>IF(ISNUMBER(M158), $B172 * N158, "")</f>
        <v>-3705.8823529411761</v>
      </c>
      <c r="Q158" s="146"/>
      <c r="R158" s="146"/>
      <c r="S158" s="146"/>
    </row>
    <row r="159" spans="1:19" ht="17.25" thickBot="1">
      <c r="A159" s="109" t="s">
        <v>231</v>
      </c>
      <c r="B159" s="110">
        <v>398</v>
      </c>
      <c r="C159" s="70">
        <v>-1.24069479E-2</v>
      </c>
      <c r="D159" s="15">
        <v>419</v>
      </c>
      <c r="E159" s="32">
        <f t="shared" si="82"/>
        <v>5.2763819095477386E-2</v>
      </c>
      <c r="F159" s="18">
        <f>IF(ISNUMBER(D159), $B172 * E159, "")</f>
        <v>7914.572864321608</v>
      </c>
      <c r="G159" s="31">
        <v>414</v>
      </c>
      <c r="H159" s="32">
        <f t="shared" si="83"/>
        <v>4.0201005025125629E-2</v>
      </c>
      <c r="I159" s="91">
        <f>IF(ISNUMBER(G159), $B172 * H159, "")</f>
        <v>6030.150753768844</v>
      </c>
      <c r="J159" s="15">
        <v>420</v>
      </c>
      <c r="K159" s="32">
        <f t="shared" si="84"/>
        <v>5.5276381909547742E-2</v>
      </c>
      <c r="L159" s="18">
        <f>IF(ISNUMBER(J159), $B172 * K159, "")</f>
        <v>8291.4572864321617</v>
      </c>
      <c r="M159" s="31">
        <v>420</v>
      </c>
      <c r="N159" s="32">
        <f t="shared" si="85"/>
        <v>5.5276381909547742E-2</v>
      </c>
      <c r="O159" s="18">
        <f>IF(ISNUMBER(M159), $B172 * N159, "")</f>
        <v>8291.4572864321617</v>
      </c>
      <c r="Q159" s="146"/>
      <c r="R159" s="146"/>
      <c r="S159" s="146"/>
    </row>
    <row r="160" spans="1:19" ht="17.25" thickBot="1">
      <c r="A160" s="109" t="s">
        <v>149</v>
      </c>
      <c r="B160" s="110">
        <v>524</v>
      </c>
      <c r="C160" s="70">
        <v>-1.3182674199999999E-2</v>
      </c>
      <c r="D160" s="15">
        <v>510</v>
      </c>
      <c r="E160" s="32">
        <f t="shared" si="82"/>
        <v>-2.6717557251908396E-2</v>
      </c>
      <c r="F160" s="18">
        <f>IF(ISNUMBER(D160), $B172 * E160, "")</f>
        <v>-4007.6335877862593</v>
      </c>
      <c r="G160" s="31">
        <v>514</v>
      </c>
      <c r="H160" s="32">
        <f t="shared" si="83"/>
        <v>-1.9083969465648856E-2</v>
      </c>
      <c r="I160" s="91">
        <f>IF(ISNUMBER(G160), $B172 * H160, "")</f>
        <v>-2862.5954198473282</v>
      </c>
      <c r="J160" s="15">
        <v>516</v>
      </c>
      <c r="K160" s="32">
        <f t="shared" si="84"/>
        <v>-1.5267175572519083E-2</v>
      </c>
      <c r="L160" s="18">
        <f>IF(ISNUMBER(J160), $B172 * K160, "")</f>
        <v>-2290.0763358778627</v>
      </c>
      <c r="M160" s="31">
        <v>515</v>
      </c>
      <c r="N160" s="32">
        <f t="shared" si="85"/>
        <v>-1.717557251908397E-2</v>
      </c>
      <c r="O160" s="18">
        <f>IF(ISNUMBER(M160), $B172 * N160, "")</f>
        <v>-2576.3358778625957</v>
      </c>
      <c r="Q160" s="33"/>
      <c r="R160" s="33"/>
    </row>
    <row r="161" spans="1:19" ht="17.25" thickBot="1">
      <c r="A161" s="114" t="s">
        <v>111</v>
      </c>
      <c r="B161" s="115">
        <v>929</v>
      </c>
      <c r="C161" s="72">
        <v>-1.4846235399999999E-2</v>
      </c>
      <c r="D161" s="24">
        <v>906</v>
      </c>
      <c r="E161" s="25">
        <f t="shared" si="82"/>
        <v>-2.4757804090419805E-2</v>
      </c>
      <c r="F161" s="94">
        <f>IF(ISNUMBER(D161), $B172 * E161, "")</f>
        <v>-3713.6706135629706</v>
      </c>
      <c r="G161" s="92">
        <v>906</v>
      </c>
      <c r="H161" s="25">
        <f t="shared" si="83"/>
        <v>-2.4757804090419805E-2</v>
      </c>
      <c r="I161" s="93">
        <f>IF(ISNUMBER(G161), $B172 * H161, "")</f>
        <v>-3713.6706135629706</v>
      </c>
      <c r="J161" s="24">
        <v>905</v>
      </c>
      <c r="K161" s="25">
        <f t="shared" si="84"/>
        <v>-2.5834230355220669E-2</v>
      </c>
      <c r="L161" s="94">
        <f>IF(ISNUMBER(J161), $B172 * K161, "")</f>
        <v>-3875.1345532831001</v>
      </c>
      <c r="M161" s="92">
        <v>908</v>
      </c>
      <c r="N161" s="25">
        <f t="shared" si="85"/>
        <v>-2.2604951560818085E-2</v>
      </c>
      <c r="O161" s="94">
        <f>IF(ISNUMBER(M161), $B172 * N161, "")</f>
        <v>-3390.7427341227126</v>
      </c>
      <c r="Q161" s="147"/>
      <c r="R161" s="148"/>
      <c r="S161" s="149"/>
    </row>
    <row r="162" spans="1:19">
      <c r="A162" s="107" t="s">
        <v>332</v>
      </c>
      <c r="B162" s="108">
        <v>656</v>
      </c>
      <c r="C162" s="69">
        <v>-1.5015015E-2</v>
      </c>
      <c r="D162" s="13">
        <v>646</v>
      </c>
      <c r="E162" s="14">
        <f>IF(ISNUMBER(D162), (D162 - $B162) / $B162, "")</f>
        <v>-1.524390243902439E-2</v>
      </c>
      <c r="F162" s="16">
        <f>IF(ISNUMBER(D162), $B172 * E162, "")</f>
        <v>-2286.5853658536585</v>
      </c>
      <c r="G162" s="29">
        <v>653</v>
      </c>
      <c r="H162" s="14">
        <f>IF(ISNUMBER(G162), (G162 - $B162) / $B162, "")</f>
        <v>-4.5731707317073168E-3</v>
      </c>
      <c r="I162" s="90">
        <f>IF(ISNUMBER(G162), $B172 * H162, "")</f>
        <v>-685.97560975609747</v>
      </c>
      <c r="J162" s="13">
        <v>652</v>
      </c>
      <c r="K162" s="14">
        <f>IF(ISNUMBER(J162), (J162 - $B162) / $B162, "")</f>
        <v>-6.0975609756097563E-3</v>
      </c>
      <c r="L162" s="16">
        <f>IF(ISNUMBER(J162), $B172 * K162, "")</f>
        <v>-914.63414634146341</v>
      </c>
      <c r="M162" s="29">
        <v>654</v>
      </c>
      <c r="N162" s="14">
        <f>IF(ISNUMBER(M162), (M162 - $B162) / $B162, "")</f>
        <v>-3.0487804878048782E-3</v>
      </c>
      <c r="O162" s="16">
        <f>IF(ISNUMBER(M162), $B172 * N162, "")</f>
        <v>-457.3170731707317</v>
      </c>
      <c r="Q162" s="150"/>
      <c r="R162" s="151"/>
      <c r="S162" s="152"/>
    </row>
    <row r="163" spans="1:19" ht="17.25" thickBot="1">
      <c r="A163" s="109" t="s">
        <v>66</v>
      </c>
      <c r="B163" s="110">
        <v>836</v>
      </c>
      <c r="C163" s="70">
        <v>-1.53121319E-2</v>
      </c>
      <c r="D163" s="15">
        <v>840</v>
      </c>
      <c r="E163" s="32">
        <f t="shared" ref="E163:E166" si="86">IF(ISNUMBER(D163), (D163 - $B163) / $B163, "")</f>
        <v>4.7846889952153108E-3</v>
      </c>
      <c r="F163" s="18">
        <f>IF(ISNUMBER(D163), $B172 * E163, "")</f>
        <v>717.70334928229659</v>
      </c>
      <c r="G163" s="31">
        <v>844</v>
      </c>
      <c r="H163" s="32">
        <f t="shared" ref="H163:H166" si="87">IF(ISNUMBER(G163), (G163 - $B163) / $B163, "")</f>
        <v>9.5693779904306216E-3</v>
      </c>
      <c r="I163" s="91">
        <f>IF(ISNUMBER(G163), $B172 * H163, "")</f>
        <v>1435.4066985645932</v>
      </c>
      <c r="J163" s="15">
        <v>846</v>
      </c>
      <c r="K163" s="32">
        <f t="shared" ref="K163:K166" si="88">IF(ISNUMBER(J163), (J163 - $B163) / $B163, "")</f>
        <v>1.1961722488038277E-2</v>
      </c>
      <c r="L163" s="18">
        <f>IF(ISNUMBER(J163), $B172 * K163, "")</f>
        <v>1794.2583732057417</v>
      </c>
      <c r="M163" s="31">
        <v>850</v>
      </c>
      <c r="N163" s="32">
        <f t="shared" ref="N163:N166" si="89">IF(ISNUMBER(M163), (M163 - $B163) / $B163, "")</f>
        <v>1.6746411483253589E-2</v>
      </c>
      <c r="O163" s="18">
        <f>IF(ISNUMBER(M163), $B172 * N163, "")</f>
        <v>2511.9617224880385</v>
      </c>
      <c r="Q163" s="153"/>
      <c r="R163" s="154"/>
      <c r="S163" s="155"/>
    </row>
    <row r="164" spans="1:19" ht="17.25" thickBot="1">
      <c r="A164" s="109" t="s">
        <v>239</v>
      </c>
      <c r="B164" s="110">
        <v>499</v>
      </c>
      <c r="C164" s="70">
        <v>-1.57790927E-2</v>
      </c>
      <c r="D164" s="15">
        <v>620</v>
      </c>
      <c r="E164" s="32">
        <f t="shared" si="86"/>
        <v>0.24248496993987975</v>
      </c>
      <c r="F164" s="18">
        <f>IF(ISNUMBER(D164), $B172 * E164, "")</f>
        <v>36372.745490981964</v>
      </c>
      <c r="G164" s="31">
        <v>524</v>
      </c>
      <c r="H164" s="32">
        <f t="shared" si="87"/>
        <v>5.0100200400801605E-2</v>
      </c>
      <c r="I164" s="91">
        <f>IF(ISNUMBER(G164), $B172 * H164, "")</f>
        <v>7515.0300601202407</v>
      </c>
      <c r="J164" s="15">
        <v>525</v>
      </c>
      <c r="K164" s="32">
        <f t="shared" si="88"/>
        <v>5.2104208416833664E-2</v>
      </c>
      <c r="L164" s="18">
        <f>IF(ISNUMBER(J164), $B172 * K164, "")</f>
        <v>7815.6312625250494</v>
      </c>
      <c r="M164" s="31">
        <v>529</v>
      </c>
      <c r="N164" s="32">
        <f t="shared" si="89"/>
        <v>6.0120240480961921E-2</v>
      </c>
      <c r="O164" s="18">
        <f>IF(ISNUMBER(M164), $B172 * N164, "")</f>
        <v>9018.0360721442885</v>
      </c>
      <c r="Q164" s="146"/>
      <c r="R164" s="146"/>
      <c r="S164" s="146"/>
    </row>
    <row r="165" spans="1:19" ht="17.25" thickBot="1">
      <c r="A165" s="109" t="s">
        <v>159</v>
      </c>
      <c r="B165" s="110">
        <v>239</v>
      </c>
      <c r="C165" s="70">
        <v>-1.6460905299999998E-2</v>
      </c>
      <c r="D165" s="15">
        <v>236</v>
      </c>
      <c r="E165" s="32">
        <f t="shared" si="86"/>
        <v>-1.2552301255230125E-2</v>
      </c>
      <c r="F165" s="18">
        <f>IF(ISNUMBER(D165), $B172 * E165, "")</f>
        <v>-1882.8451882845188</v>
      </c>
      <c r="G165" s="31">
        <v>237</v>
      </c>
      <c r="H165" s="32">
        <f t="shared" si="87"/>
        <v>-8.368200836820083E-3</v>
      </c>
      <c r="I165" s="91">
        <f>IF(ISNUMBER(G165), $B172 * H165, "")</f>
        <v>-1255.2301255230125</v>
      </c>
      <c r="J165" s="15">
        <v>237</v>
      </c>
      <c r="K165" s="32">
        <f t="shared" si="88"/>
        <v>-8.368200836820083E-3</v>
      </c>
      <c r="L165" s="18">
        <f>IF(ISNUMBER(J165), $B172 * K165, "")</f>
        <v>-1255.2301255230125</v>
      </c>
      <c r="M165" s="31">
        <v>237</v>
      </c>
      <c r="N165" s="32">
        <f t="shared" si="89"/>
        <v>-8.368200836820083E-3</v>
      </c>
      <c r="O165" s="18">
        <f>IF(ISNUMBER(M165), $B172 * N165, "")</f>
        <v>-1255.2301255230125</v>
      </c>
      <c r="Q165" s="156"/>
      <c r="R165" s="156"/>
      <c r="S165" s="156"/>
    </row>
    <row r="166" spans="1:19" ht="17.25" thickBot="1">
      <c r="A166" s="111" t="s">
        <v>51</v>
      </c>
      <c r="B166" s="112">
        <v>114</v>
      </c>
      <c r="C166" s="71">
        <v>-1.7241379300000002E-2</v>
      </c>
      <c r="D166" s="20">
        <v>114</v>
      </c>
      <c r="E166" s="21">
        <f t="shared" si="86"/>
        <v>0</v>
      </c>
      <c r="F166" s="22">
        <f>IF(ISNUMBER(D166), $B172 * E166, "")</f>
        <v>0</v>
      </c>
      <c r="G166" s="30">
        <v>114</v>
      </c>
      <c r="H166" s="21">
        <f t="shared" si="87"/>
        <v>0</v>
      </c>
      <c r="I166" s="95">
        <f>IF(ISNUMBER(G166), $B172 * H166, "")</f>
        <v>0</v>
      </c>
      <c r="J166" s="20">
        <v>114</v>
      </c>
      <c r="K166" s="21">
        <f t="shared" si="88"/>
        <v>0</v>
      </c>
      <c r="L166" s="22">
        <f>IF(ISNUMBER(J166), $B172 * K166, "")</f>
        <v>0</v>
      </c>
      <c r="M166" s="30">
        <v>114</v>
      </c>
      <c r="N166" s="21">
        <f t="shared" si="89"/>
        <v>0</v>
      </c>
      <c r="O166" s="22">
        <f>IF(ISNUMBER(M166), $B172 * N166, "")</f>
        <v>0</v>
      </c>
      <c r="Q166" s="156"/>
      <c r="R166" s="156"/>
      <c r="S166" s="156"/>
    </row>
    <row r="167" spans="1:19" ht="17.25" thickBot="1">
      <c r="A167" s="109" t="s">
        <v>215</v>
      </c>
      <c r="B167" s="113">
        <v>393</v>
      </c>
      <c r="C167" s="73">
        <v>-1.7500000000000002E-2</v>
      </c>
      <c r="D167" s="96">
        <v>404</v>
      </c>
      <c r="E167" s="97">
        <f>IF(ISNUMBER(D167), (D167 - $B167) / $B167, "")</f>
        <v>2.7989821882951654E-2</v>
      </c>
      <c r="F167" s="98">
        <f>IF(ISNUMBER(D167), $B172 * E167, "")</f>
        <v>4198.4732824427483</v>
      </c>
      <c r="G167" s="99">
        <v>410</v>
      </c>
      <c r="H167" s="97">
        <f>IF(ISNUMBER(G167), (G167 - $B167) / $B167, "")</f>
        <v>4.3256997455470736E-2</v>
      </c>
      <c r="I167" s="100">
        <f>IF(ISNUMBER(G167), $B172 * H167, "")</f>
        <v>6488.5496183206105</v>
      </c>
      <c r="J167" s="96">
        <v>413</v>
      </c>
      <c r="K167" s="97">
        <f>IF(ISNUMBER(J167), (J167 - $B167) / $B167, "")</f>
        <v>5.0890585241730277E-2</v>
      </c>
      <c r="L167" s="98">
        <f>IF(ISNUMBER(J167), $B172 * K167, "")</f>
        <v>7633.5877862595416</v>
      </c>
      <c r="M167" s="99">
        <v>416</v>
      </c>
      <c r="N167" s="97">
        <f>IF(ISNUMBER(M167), (M167 - $B167) / $B167, "")</f>
        <v>5.8524173027989825E-2</v>
      </c>
      <c r="O167" s="98">
        <f>IF(ISNUMBER(M167), $B172 * N167, "")</f>
        <v>8778.6259541984746</v>
      </c>
      <c r="Q167" s="146"/>
      <c r="R167" s="146"/>
      <c r="S167" s="146"/>
    </row>
    <row r="168" spans="1:19" ht="17.25" thickBot="1">
      <c r="A168" s="109" t="s">
        <v>105</v>
      </c>
      <c r="B168" s="110">
        <v>275</v>
      </c>
      <c r="C168" s="70">
        <v>-1.7857142900000001E-2</v>
      </c>
      <c r="D168" s="15">
        <v>269</v>
      </c>
      <c r="E168" s="32">
        <f t="shared" ref="E168:E171" si="90">IF(ISNUMBER(D168), (D168 - $B168) / $B168, "")</f>
        <v>-2.181818181818182E-2</v>
      </c>
      <c r="F168" s="18">
        <f>IF(ISNUMBER(D168), $B172 * E168, "")</f>
        <v>-3272.727272727273</v>
      </c>
      <c r="G168" s="31">
        <v>273</v>
      </c>
      <c r="H168" s="32">
        <f t="shared" ref="H168:H171" si="91">IF(ISNUMBER(G168), (G168 - $B168) / $B168, "")</f>
        <v>-7.2727272727272727E-3</v>
      </c>
      <c r="I168" s="91">
        <f>IF(ISNUMBER(G168), $B172 * H168, "")</f>
        <v>-1090.909090909091</v>
      </c>
      <c r="J168" s="15">
        <v>274</v>
      </c>
      <c r="K168" s="32">
        <f t="shared" ref="K168:K171" si="92">IF(ISNUMBER(J168), (J168 - $B168) / $B168, "")</f>
        <v>-3.6363636363636364E-3</v>
      </c>
      <c r="L168" s="18">
        <f>IF(ISNUMBER(J168), $B172 * K168, "")</f>
        <v>-545.4545454545455</v>
      </c>
      <c r="M168" s="31">
        <v>273</v>
      </c>
      <c r="N168" s="32">
        <f t="shared" ref="N168:N171" si="93">IF(ISNUMBER(M168), (M168 - $B168) / $B168, "")</f>
        <v>-7.2727272727272727E-3</v>
      </c>
      <c r="O168" s="18">
        <f>IF(ISNUMBER(M168), $B172 * N168, "")</f>
        <v>-1090.909090909091</v>
      </c>
      <c r="Q168" s="146"/>
      <c r="R168" s="146"/>
      <c r="S168" s="146"/>
    </row>
    <row r="169" spans="1:19" ht="17.25" thickBot="1">
      <c r="A169" s="109" t="s">
        <v>241</v>
      </c>
      <c r="B169" s="110">
        <v>108</v>
      </c>
      <c r="C169" s="70">
        <v>-1.8181818200000002E-2</v>
      </c>
      <c r="D169" s="15">
        <v>111</v>
      </c>
      <c r="E169" s="32">
        <f t="shared" si="90"/>
        <v>2.7777777777777776E-2</v>
      </c>
      <c r="F169" s="18">
        <f>IF(ISNUMBER(D169), $B172 * E169, "")</f>
        <v>4166.6666666666661</v>
      </c>
      <c r="G169" s="31">
        <v>114</v>
      </c>
      <c r="H169" s="32">
        <f t="shared" si="91"/>
        <v>5.5555555555555552E-2</v>
      </c>
      <c r="I169" s="91">
        <f>IF(ISNUMBER(G169), $B172 * H169, "")</f>
        <v>8333.3333333333321</v>
      </c>
      <c r="J169" s="15">
        <v>114</v>
      </c>
      <c r="K169" s="32">
        <f t="shared" si="92"/>
        <v>5.5555555555555552E-2</v>
      </c>
      <c r="L169" s="18">
        <f>IF(ISNUMBER(J169), $B172 * K169, "")</f>
        <v>8333.3333333333321</v>
      </c>
      <c r="M169" s="31">
        <v>115</v>
      </c>
      <c r="N169" s="32">
        <f t="shared" si="93"/>
        <v>6.4814814814814811E-2</v>
      </c>
      <c r="O169" s="18">
        <f>IF(ISNUMBER(M169), $B172 * N169, "")</f>
        <v>9722.2222222222208</v>
      </c>
      <c r="Q169" s="146"/>
      <c r="R169" s="146"/>
      <c r="S169" s="146"/>
    </row>
    <row r="170" spans="1:19">
      <c r="A170" s="109" t="s">
        <v>183</v>
      </c>
      <c r="B170" s="110">
        <v>156</v>
      </c>
      <c r="C170" s="70">
        <v>-1.8867924500000001E-2</v>
      </c>
      <c r="D170" s="15">
        <v>156</v>
      </c>
      <c r="E170" s="32">
        <f t="shared" si="90"/>
        <v>0</v>
      </c>
      <c r="F170" s="18">
        <f>IF(ISNUMBER(D170), $B172 * E170, "")</f>
        <v>0</v>
      </c>
      <c r="G170" s="31">
        <v>161</v>
      </c>
      <c r="H170" s="32">
        <f t="shared" si="91"/>
        <v>3.2051282051282048E-2</v>
      </c>
      <c r="I170" s="91">
        <f>IF(ISNUMBER(G170), $B172 * H170, "")</f>
        <v>4807.6923076923076</v>
      </c>
      <c r="J170" s="15">
        <v>165</v>
      </c>
      <c r="K170" s="32">
        <f t="shared" si="92"/>
        <v>5.7692307692307696E-2</v>
      </c>
      <c r="L170" s="18">
        <f>IF(ISNUMBER(J170), $B172 * K170, "")</f>
        <v>8653.8461538461543</v>
      </c>
      <c r="M170" s="31">
        <v>168</v>
      </c>
      <c r="N170" s="32">
        <f t="shared" si="93"/>
        <v>7.6923076923076927E-2</v>
      </c>
      <c r="O170" s="18">
        <f>IF(ISNUMBER(M170), $B172 * N170, "")</f>
        <v>11538.461538461539</v>
      </c>
      <c r="Q170" s="135"/>
      <c r="R170" s="136"/>
      <c r="S170" s="137"/>
    </row>
    <row r="171" spans="1:19" ht="17.25" thickBot="1">
      <c r="A171" s="114" t="s">
        <v>321</v>
      </c>
      <c r="B171" s="115">
        <v>236</v>
      </c>
      <c r="C171" s="72">
        <v>-2.0746888000000002E-2</v>
      </c>
      <c r="D171" s="24">
        <v>239</v>
      </c>
      <c r="E171" s="25">
        <f t="shared" si="90"/>
        <v>1.2711864406779662E-2</v>
      </c>
      <c r="F171" s="94">
        <f>IF(ISNUMBER(D171), $B172 * E171, "")</f>
        <v>1906.7796610169494</v>
      </c>
      <c r="G171" s="92">
        <v>242</v>
      </c>
      <c r="H171" s="25">
        <f t="shared" si="91"/>
        <v>2.5423728813559324E-2</v>
      </c>
      <c r="I171" s="93">
        <f>IF(ISNUMBER(G171), $B172 * H171, "")</f>
        <v>3813.5593220338988</v>
      </c>
      <c r="J171" s="24">
        <v>244</v>
      </c>
      <c r="K171" s="25">
        <f t="shared" si="92"/>
        <v>3.3898305084745763E-2</v>
      </c>
      <c r="L171" s="94">
        <f>IF(ISNUMBER(J171), $B172 * K171, "")</f>
        <v>5084.7457627118647</v>
      </c>
      <c r="M171" s="92">
        <v>246</v>
      </c>
      <c r="N171" s="25">
        <f t="shared" si="93"/>
        <v>4.2372881355932202E-2</v>
      </c>
      <c r="O171" s="94">
        <f>IF(ISNUMBER(M171), $B172 * N171, "")</f>
        <v>6355.9322033898306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2.3636908051511966E-2</v>
      </c>
      <c r="F172" s="28">
        <f>SUM(F152:F171)</f>
        <v>70910.724154535885</v>
      </c>
      <c r="G172" s="26" t="s">
        <v>258</v>
      </c>
      <c r="H172" s="27">
        <f>IF(COUNT(H152:H171), SUM(H152:H171) / COUNT(H152:H171), 0)</f>
        <v>1.6331396525609568E-2</v>
      </c>
      <c r="I172" s="28">
        <f>SUM(I152:I171)</f>
        <v>48994.1895768287</v>
      </c>
      <c r="J172" s="26" t="s">
        <v>258</v>
      </c>
      <c r="K172" s="27">
        <f>IF(COUNT(K152:K171), SUM(K152:K171) / COUNT(K152:K171), 0)</f>
        <v>2.2937155470499737E-2</v>
      </c>
      <c r="L172" s="28">
        <f>SUM(L152:L171)</f>
        <v>68811.466411499234</v>
      </c>
      <c r="M172" s="26" t="s">
        <v>258</v>
      </c>
      <c r="N172" s="27">
        <f>IF(COUNT(N152:N171), SUM(N152:N171) / COUNT(N152:N171), 0)</f>
        <v>2.5195664308726395E-2</v>
      </c>
      <c r="O172" s="28">
        <f>SUM(O152:O171)</f>
        <v>75586.992926179184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2023-01-27(금) 오전 00:00</v>
      </c>
      <c r="C177" s="198"/>
      <c r="D177" s="170" t="str">
        <f>TEXT($G$1, "[$-ko-KR]yyyy-mm-dd(ddd) ") &amp; "오후 14:00"</f>
        <v>2023-01-27(금) 오후 14:00</v>
      </c>
      <c r="E177" s="171"/>
      <c r="F177" s="172"/>
      <c r="G177" s="170" t="str">
        <f>TEXT($G$1, "[$-ko-KR]yyyy-mm-dd(ddd) ") &amp; "오후 19:00"</f>
        <v>2023-01-27(금) 오후 19:00</v>
      </c>
      <c r="H177" s="171"/>
      <c r="I177" s="172"/>
      <c r="J177" s="170" t="str">
        <f>TEXT($G$1, "[$-ko-KR]yyyy-mm-dd(ddd) ") &amp; "오후 21:00"</f>
        <v>2023-01-27(금) 오후 21:00</v>
      </c>
      <c r="K177" s="171"/>
      <c r="L177" s="172"/>
      <c r="M177" s="170" t="str">
        <f>TEXT($G$1+1, "[$-ko-KR]yyyy-mm-dd(ddd) ") &amp; "오전 00:00"</f>
        <v>2023-01-28(토)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207</v>
      </c>
      <c r="B179" s="108">
        <v>78.2</v>
      </c>
      <c r="C179" s="69">
        <v>-1.5113350100000001E-2</v>
      </c>
      <c r="D179" s="13">
        <v>77.099999999999994</v>
      </c>
      <c r="E179" s="14">
        <f>IF(ISNUMBER(D179), (D179 - $B179) / $B179, "")</f>
        <v>-1.4066496163682973E-2</v>
      </c>
      <c r="F179" s="16">
        <f>IF(ISNUMBER(D179), $B199 * E179, "")</f>
        <v>-2109.9744245524457</v>
      </c>
      <c r="G179" s="29">
        <v>77.400000000000006</v>
      </c>
      <c r="H179" s="14">
        <f>IF(ISNUMBER(G179), (G179 - $B179) / $B179, "")</f>
        <v>-1.0230179028132955E-2</v>
      </c>
      <c r="I179" s="90">
        <f>IF(ISNUMBER(G179), $B199 * H179, "")</f>
        <v>-1534.5268542199433</v>
      </c>
      <c r="J179" s="13">
        <v>77.3</v>
      </c>
      <c r="K179" s="14">
        <f>IF(ISNUMBER(J179), (J179 - $B179) / $B179, "")</f>
        <v>-1.1508951406649688E-2</v>
      </c>
      <c r="L179" s="16">
        <f>IF(ISNUMBER(J179), $B199 * K179, "")</f>
        <v>-1726.3427109974532</v>
      </c>
      <c r="M179" s="29">
        <v>77.599999999999994</v>
      </c>
      <c r="N179" s="14">
        <f>IF(ISNUMBER(M179), (M179 - $B179) / $B179, "")</f>
        <v>-7.6726342710998529E-3</v>
      </c>
      <c r="O179" s="16">
        <f>IF(ISNUMBER(M179), $B199 * N179, "")</f>
        <v>-1150.8951406649778</v>
      </c>
      <c r="Q179" s="156"/>
      <c r="R179" s="156"/>
      <c r="S179" s="156"/>
    </row>
    <row r="180" spans="1:19" ht="17.25" thickBot="1">
      <c r="A180" s="109" t="s">
        <v>66</v>
      </c>
      <c r="B180" s="110">
        <v>836</v>
      </c>
      <c r="C180" s="70">
        <v>-1.53121319E-2</v>
      </c>
      <c r="D180" s="15">
        <v>840</v>
      </c>
      <c r="E180" s="32">
        <f t="shared" ref="E180:E183" si="94">IF(ISNUMBER(D180), (D180 - $B180) / $B180, "")</f>
        <v>4.7846889952153108E-3</v>
      </c>
      <c r="F180" s="18">
        <f>IF(ISNUMBER(D180), $B199 * E180, "")</f>
        <v>717.70334928229659</v>
      </c>
      <c r="G180" s="31">
        <v>844</v>
      </c>
      <c r="H180" s="32">
        <f t="shared" ref="H180:H183" si="95">IF(ISNUMBER(G180), (G180 - $B180) / $B180, "")</f>
        <v>9.5693779904306216E-3</v>
      </c>
      <c r="I180" s="91">
        <f>IF(ISNUMBER(G180), $B199 * H180, "")</f>
        <v>1435.4066985645932</v>
      </c>
      <c r="J180" s="15">
        <v>846</v>
      </c>
      <c r="K180" s="32">
        <f t="shared" ref="K180:K183" si="96">IF(ISNUMBER(J180), (J180 - $B180) / $B180, "")</f>
        <v>1.1961722488038277E-2</v>
      </c>
      <c r="L180" s="18">
        <f>IF(ISNUMBER(J180), $B199 * K180, "")</f>
        <v>1794.2583732057417</v>
      </c>
      <c r="M180" s="31">
        <v>850</v>
      </c>
      <c r="N180" s="32">
        <f t="shared" ref="N180:N183" si="97">IF(ISNUMBER(M180), (M180 - $B180) / $B180, "")</f>
        <v>1.6746411483253589E-2</v>
      </c>
      <c r="O180" s="18">
        <f>IF(ISNUMBER(M180), $B199 * N180, "")</f>
        <v>2511.9617224880385</v>
      </c>
      <c r="Q180" s="156"/>
      <c r="R180" s="156"/>
      <c r="S180" s="156"/>
    </row>
    <row r="181" spans="1:19" ht="17.25" thickBot="1">
      <c r="A181" s="109" t="s">
        <v>209</v>
      </c>
      <c r="B181" s="110">
        <v>94.5</v>
      </c>
      <c r="C181" s="70">
        <v>-1.5625E-2</v>
      </c>
      <c r="D181" s="15">
        <v>93.9</v>
      </c>
      <c r="E181" s="32">
        <f t="shared" si="94"/>
        <v>-6.3492063492062894E-3</v>
      </c>
      <c r="F181" s="18">
        <f>IF(ISNUMBER(D181), $B199 * E181, "")</f>
        <v>-952.38095238094343</v>
      </c>
      <c r="G181" s="31">
        <v>95.1</v>
      </c>
      <c r="H181" s="32">
        <f t="shared" si="95"/>
        <v>6.3492063492062894E-3</v>
      </c>
      <c r="I181" s="91">
        <f>IF(ISNUMBER(G181), $B199 * H181, "")</f>
        <v>952.38095238094343</v>
      </c>
      <c r="J181" s="15">
        <v>96.1</v>
      </c>
      <c r="K181" s="32">
        <f t="shared" si="96"/>
        <v>1.693121693121687E-2</v>
      </c>
      <c r="L181" s="18">
        <f>IF(ISNUMBER(J181), $B199 * K181, "")</f>
        <v>2539.6825396825307</v>
      </c>
      <c r="M181" s="31">
        <v>96.6</v>
      </c>
      <c r="N181" s="32">
        <f t="shared" si="97"/>
        <v>2.2222222222222161E-2</v>
      </c>
      <c r="O181" s="18">
        <f>IF(ISNUMBER(M181), $B199 * N181, "")</f>
        <v>3333.3333333333239</v>
      </c>
      <c r="Q181" s="146"/>
      <c r="R181" s="146"/>
      <c r="S181" s="146"/>
    </row>
    <row r="182" spans="1:19" ht="17.25" thickBot="1">
      <c r="A182" s="109" t="s">
        <v>239</v>
      </c>
      <c r="B182" s="110">
        <v>499</v>
      </c>
      <c r="C182" s="70">
        <v>-1.57790927E-2</v>
      </c>
      <c r="D182" s="15">
        <v>620</v>
      </c>
      <c r="E182" s="32">
        <f t="shared" si="94"/>
        <v>0.24248496993987975</v>
      </c>
      <c r="F182" s="18">
        <f>IF(ISNUMBER(D182), $B199 * E182, "")</f>
        <v>36372.745490981964</v>
      </c>
      <c r="G182" s="31">
        <v>524</v>
      </c>
      <c r="H182" s="32">
        <f t="shared" si="95"/>
        <v>5.0100200400801605E-2</v>
      </c>
      <c r="I182" s="91">
        <f>IF(ISNUMBER(G182), $B199 * H182, "")</f>
        <v>7515.0300601202407</v>
      </c>
      <c r="J182" s="15">
        <v>525</v>
      </c>
      <c r="K182" s="32">
        <f t="shared" si="96"/>
        <v>5.2104208416833664E-2</v>
      </c>
      <c r="L182" s="18">
        <f>IF(ISNUMBER(J182), $B199 * K182, "")</f>
        <v>7815.6312625250494</v>
      </c>
      <c r="M182" s="31">
        <v>529</v>
      </c>
      <c r="N182" s="32">
        <f t="shared" si="97"/>
        <v>6.0120240480961921E-2</v>
      </c>
      <c r="O182" s="18">
        <f>IF(ISNUMBER(M182), $B199 * N182, "")</f>
        <v>9018.0360721442885</v>
      </c>
      <c r="Q182" s="146"/>
      <c r="R182" s="146"/>
      <c r="S182" s="146"/>
    </row>
    <row r="183" spans="1:19" ht="17.25" thickBot="1">
      <c r="A183" s="111" t="s">
        <v>124</v>
      </c>
      <c r="B183" s="112">
        <v>36.4</v>
      </c>
      <c r="C183" s="71">
        <v>-1.6216216200000001E-2</v>
      </c>
      <c r="D183" s="20">
        <v>36.299999999999997</v>
      </c>
      <c r="E183" s="21">
        <f t="shared" si="94"/>
        <v>-2.7472527472527865E-3</v>
      </c>
      <c r="F183" s="22">
        <f>IF(ISNUMBER(D183), $B199 * E183, "")</f>
        <v>-412.08791208791797</v>
      </c>
      <c r="G183" s="30">
        <v>36.9</v>
      </c>
      <c r="H183" s="21">
        <f t="shared" si="95"/>
        <v>1.3736263736263736E-2</v>
      </c>
      <c r="I183" s="95">
        <f>IF(ISNUMBER(G183), $B199 * H183, "")</f>
        <v>2060.4395604395604</v>
      </c>
      <c r="J183" s="20">
        <v>37.1</v>
      </c>
      <c r="K183" s="21">
        <f t="shared" si="96"/>
        <v>1.9230769230769308E-2</v>
      </c>
      <c r="L183" s="22">
        <f>IF(ISNUMBER(J183), $B199 * K183, "")</f>
        <v>2884.6153846153961</v>
      </c>
      <c r="M183" s="30">
        <v>37.5</v>
      </c>
      <c r="N183" s="21">
        <f t="shared" si="97"/>
        <v>3.0219780219780262E-2</v>
      </c>
      <c r="O183" s="22">
        <f>IF(ISNUMBER(M183), $B199 * N183, "")</f>
        <v>4532.9670329670389</v>
      </c>
      <c r="Q183" s="146"/>
      <c r="R183" s="146"/>
      <c r="S183" s="146"/>
    </row>
    <row r="184" spans="1:19" ht="17.25" thickBot="1">
      <c r="A184" s="109" t="s">
        <v>159</v>
      </c>
      <c r="B184" s="113">
        <v>239</v>
      </c>
      <c r="C184" s="73">
        <v>-1.6460905299999998E-2</v>
      </c>
      <c r="D184" s="96">
        <v>236</v>
      </c>
      <c r="E184" s="97">
        <f>IF(ISNUMBER(D184), (D184 - $B184) / $B184, "")</f>
        <v>-1.2552301255230125E-2</v>
      </c>
      <c r="F184" s="98">
        <f>IF(ISNUMBER(D184), $B199 * E184, "")</f>
        <v>-1882.8451882845188</v>
      </c>
      <c r="G184" s="99">
        <v>237</v>
      </c>
      <c r="H184" s="97">
        <f>IF(ISNUMBER(G184), (G184 - $B184) / $B184, "")</f>
        <v>-8.368200836820083E-3</v>
      </c>
      <c r="I184" s="100">
        <f>IF(ISNUMBER(G184), $B199 * H184, "")</f>
        <v>-1255.2301255230125</v>
      </c>
      <c r="J184" s="96">
        <v>237</v>
      </c>
      <c r="K184" s="97">
        <f>IF(ISNUMBER(J184), (J184 - $B184) / $B184, "")</f>
        <v>-8.368200836820083E-3</v>
      </c>
      <c r="L184" s="98">
        <f>IF(ISNUMBER(J184), $B199 * K184, "")</f>
        <v>-1255.2301255230125</v>
      </c>
      <c r="M184" s="99">
        <v>237</v>
      </c>
      <c r="N184" s="97">
        <f>IF(ISNUMBER(M184), (M184 - $B184) / $B184, "")</f>
        <v>-8.368200836820083E-3</v>
      </c>
      <c r="O184" s="98">
        <f>IF(ISNUMBER(M184), $B199 * N184, "")</f>
        <v>-1255.2301255230125</v>
      </c>
      <c r="Q184" s="146"/>
      <c r="R184" s="146"/>
      <c r="S184" s="146"/>
    </row>
    <row r="185" spans="1:19" ht="17.25" thickBot="1">
      <c r="A185" s="109" t="s">
        <v>221</v>
      </c>
      <c r="B185" s="110">
        <v>23.2</v>
      </c>
      <c r="C185" s="70">
        <v>-1.6949152499999998E-2</v>
      </c>
      <c r="D185" s="15">
        <v>23.7</v>
      </c>
      <c r="E185" s="32">
        <f t="shared" ref="E185:E188" si="98">IF(ISNUMBER(D185), (D185 - $B185) / $B185, "")</f>
        <v>2.1551724137931036E-2</v>
      </c>
      <c r="F185" s="18">
        <f>IF(ISNUMBER(D185), $B199 * E185, "")</f>
        <v>3232.7586206896553</v>
      </c>
      <c r="G185" s="31">
        <v>23.8</v>
      </c>
      <c r="H185" s="32">
        <f t="shared" ref="H185:H188" si="99">IF(ISNUMBER(G185), (G185 - $B185) / $B185, "")</f>
        <v>2.5862068965517303E-2</v>
      </c>
      <c r="I185" s="91">
        <f>IF(ISNUMBER(G185), $B199 * H185, "")</f>
        <v>3879.3103448275956</v>
      </c>
      <c r="J185" s="15">
        <v>23.8</v>
      </c>
      <c r="K185" s="32">
        <f t="shared" ref="K185:K188" si="100">IF(ISNUMBER(J185), (J185 - $B185) / $B185, "")</f>
        <v>2.5862068965517303E-2</v>
      </c>
      <c r="L185" s="18">
        <f>IF(ISNUMBER(J185), $B199 * K185, "")</f>
        <v>3879.3103448275956</v>
      </c>
      <c r="M185" s="31">
        <v>23.9</v>
      </c>
      <c r="N185" s="32">
        <f t="shared" ref="N185:N188" si="101">IF(ISNUMBER(M185), (M185 - $B185) / $B185, "")</f>
        <v>3.0172413793103418E-2</v>
      </c>
      <c r="O185" s="18">
        <f>IF(ISNUMBER(M185), $B199 * N185, "")</f>
        <v>4525.8620689655127</v>
      </c>
      <c r="Q185" s="146"/>
      <c r="R185" s="146"/>
      <c r="S185" s="146"/>
    </row>
    <row r="186" spans="1:19" ht="17.25" thickBot="1">
      <c r="A186" s="109" t="s">
        <v>51</v>
      </c>
      <c r="B186" s="110">
        <v>114</v>
      </c>
      <c r="C186" s="70">
        <v>-1.7241379300000002E-2</v>
      </c>
      <c r="D186" s="15">
        <v>114</v>
      </c>
      <c r="E186" s="32">
        <f t="shared" si="98"/>
        <v>0</v>
      </c>
      <c r="F186" s="18">
        <f>IF(ISNUMBER(D186), $B199 * E186, "")</f>
        <v>0</v>
      </c>
      <c r="G186" s="31">
        <v>114</v>
      </c>
      <c r="H186" s="32">
        <f t="shared" si="99"/>
        <v>0</v>
      </c>
      <c r="I186" s="91">
        <f>IF(ISNUMBER(G186), $B199 * H186, "")</f>
        <v>0</v>
      </c>
      <c r="J186" s="15">
        <v>114</v>
      </c>
      <c r="K186" s="32">
        <f t="shared" si="100"/>
        <v>0</v>
      </c>
      <c r="L186" s="18">
        <f>IF(ISNUMBER(J186), $B199 * K186, "")</f>
        <v>0</v>
      </c>
      <c r="M186" s="31">
        <v>114</v>
      </c>
      <c r="N186" s="32">
        <f t="shared" si="101"/>
        <v>0</v>
      </c>
      <c r="O186" s="18">
        <f>IF(ISNUMBER(M186), $B199 * N186, "")</f>
        <v>0</v>
      </c>
      <c r="Q186" s="146"/>
      <c r="R186" s="146"/>
      <c r="S186" s="146"/>
    </row>
    <row r="187" spans="1:19" ht="17.25" thickBot="1">
      <c r="A187" s="109" t="s">
        <v>215</v>
      </c>
      <c r="B187" s="110">
        <v>393</v>
      </c>
      <c r="C187" s="70">
        <v>-1.7500000000000002E-2</v>
      </c>
      <c r="D187" s="15">
        <v>404</v>
      </c>
      <c r="E187" s="32">
        <f t="shared" si="98"/>
        <v>2.7989821882951654E-2</v>
      </c>
      <c r="F187" s="18">
        <f>IF(ISNUMBER(D187), $B199 * E187, "")</f>
        <v>4198.4732824427483</v>
      </c>
      <c r="G187" s="31">
        <v>410</v>
      </c>
      <c r="H187" s="32">
        <f t="shared" si="99"/>
        <v>4.3256997455470736E-2</v>
      </c>
      <c r="I187" s="91">
        <f>IF(ISNUMBER(G187), $B199 * H187, "")</f>
        <v>6488.5496183206105</v>
      </c>
      <c r="J187" s="15">
        <v>413</v>
      </c>
      <c r="K187" s="32">
        <f t="shared" si="100"/>
        <v>5.0890585241730277E-2</v>
      </c>
      <c r="L187" s="18">
        <f>IF(ISNUMBER(J187), $B199 * K187, "")</f>
        <v>7633.5877862595416</v>
      </c>
      <c r="M187" s="31">
        <v>416</v>
      </c>
      <c r="N187" s="32">
        <f t="shared" si="101"/>
        <v>5.8524173027989825E-2</v>
      </c>
      <c r="O187" s="18">
        <f>IF(ISNUMBER(M187), $B199 * N187, "")</f>
        <v>8778.6259541984746</v>
      </c>
      <c r="Q187" s="33"/>
      <c r="R187" s="33"/>
    </row>
    <row r="188" spans="1:19" ht="17.25" thickBot="1">
      <c r="A188" s="114" t="s">
        <v>350</v>
      </c>
      <c r="B188" s="115">
        <v>7.75</v>
      </c>
      <c r="C188" s="72">
        <v>-1.7743979699999999E-2</v>
      </c>
      <c r="D188" s="24">
        <v>7.66</v>
      </c>
      <c r="E188" s="25">
        <f t="shared" si="98"/>
        <v>-1.1612903225806433E-2</v>
      </c>
      <c r="F188" s="94">
        <f>IF(ISNUMBER(D188), $B199 * E188, "")</f>
        <v>-1741.9354838709651</v>
      </c>
      <c r="G188" s="92">
        <v>7.78</v>
      </c>
      <c r="H188" s="25">
        <f t="shared" si="99"/>
        <v>3.870967741935516E-3</v>
      </c>
      <c r="I188" s="93">
        <f>IF(ISNUMBER(G188), $B199 * H188, "")</f>
        <v>580.64516129032745</v>
      </c>
      <c r="J188" s="24">
        <v>7.91</v>
      </c>
      <c r="K188" s="25">
        <f t="shared" si="100"/>
        <v>2.0645161290322598E-2</v>
      </c>
      <c r="L188" s="94">
        <f>IF(ISNUMBER(J188), $B199 * K188, "")</f>
        <v>3096.7741935483896</v>
      </c>
      <c r="M188" s="92">
        <v>7.88</v>
      </c>
      <c r="N188" s="25">
        <f t="shared" si="101"/>
        <v>1.6774193548387082E-2</v>
      </c>
      <c r="O188" s="94">
        <f>IF(ISNUMBER(M188), $B199 * N188, "")</f>
        <v>2516.1290322580621</v>
      </c>
      <c r="Q188" s="147"/>
      <c r="R188" s="148"/>
      <c r="S188" s="149"/>
    </row>
    <row r="189" spans="1:19">
      <c r="A189" s="107" t="s">
        <v>105</v>
      </c>
      <c r="B189" s="108">
        <v>275</v>
      </c>
      <c r="C189" s="69">
        <v>-1.7857142900000001E-2</v>
      </c>
      <c r="D189" s="13">
        <v>269</v>
      </c>
      <c r="E189" s="14">
        <f>IF(ISNUMBER(D189), (D189 - $B189) / $B189, "")</f>
        <v>-2.181818181818182E-2</v>
      </c>
      <c r="F189" s="16">
        <f>IF(ISNUMBER(D189), $B199 * E189, "")</f>
        <v>-3272.727272727273</v>
      </c>
      <c r="G189" s="29">
        <v>273</v>
      </c>
      <c r="H189" s="14">
        <f>IF(ISNUMBER(G189), (G189 - $B189) / $B189, "")</f>
        <v>-7.2727272727272727E-3</v>
      </c>
      <c r="I189" s="90">
        <f>IF(ISNUMBER(G189), $B199 * H189, "")</f>
        <v>-1090.909090909091</v>
      </c>
      <c r="J189" s="13">
        <v>274</v>
      </c>
      <c r="K189" s="14">
        <f>IF(ISNUMBER(J189), (J189 - $B189) / $B189, "")</f>
        <v>-3.6363636363636364E-3</v>
      </c>
      <c r="L189" s="16">
        <f>IF(ISNUMBER(J189), $B199 * K189, "")</f>
        <v>-545.4545454545455</v>
      </c>
      <c r="M189" s="29">
        <v>273</v>
      </c>
      <c r="N189" s="14">
        <f>IF(ISNUMBER(M189), (M189 - $B189) / $B189, "")</f>
        <v>-7.2727272727272727E-3</v>
      </c>
      <c r="O189" s="16">
        <f>IF(ISNUMBER(M189), $B199 * N189, "")</f>
        <v>-1090.909090909091</v>
      </c>
      <c r="Q189" s="150"/>
      <c r="R189" s="151"/>
      <c r="S189" s="152"/>
    </row>
    <row r="190" spans="1:19" ht="17.25" thickBot="1">
      <c r="A190" s="109" t="s">
        <v>241</v>
      </c>
      <c r="B190" s="110">
        <v>108</v>
      </c>
      <c r="C190" s="70">
        <v>-1.8181818200000002E-2</v>
      </c>
      <c r="D190" s="15">
        <v>111</v>
      </c>
      <c r="E190" s="32">
        <f t="shared" ref="E190:E193" si="102">IF(ISNUMBER(D190), (D190 - $B190) / $B190, "")</f>
        <v>2.7777777777777776E-2</v>
      </c>
      <c r="F190" s="18">
        <f>IF(ISNUMBER(D190), $B199 * E190, "")</f>
        <v>4166.6666666666661</v>
      </c>
      <c r="G190" s="31">
        <v>114</v>
      </c>
      <c r="H190" s="32">
        <f t="shared" ref="H190:H193" si="103">IF(ISNUMBER(G190), (G190 - $B190) / $B190, "")</f>
        <v>5.5555555555555552E-2</v>
      </c>
      <c r="I190" s="91">
        <f>IF(ISNUMBER(G190), $B199 * H190, "")</f>
        <v>8333.3333333333321</v>
      </c>
      <c r="J190" s="15">
        <v>114</v>
      </c>
      <c r="K190" s="32">
        <f t="shared" ref="K190:K193" si="104">IF(ISNUMBER(J190), (J190 - $B190) / $B190, "")</f>
        <v>5.5555555555555552E-2</v>
      </c>
      <c r="L190" s="18">
        <f>IF(ISNUMBER(J190), $B199 * K190, "")</f>
        <v>8333.3333333333321</v>
      </c>
      <c r="M190" s="31">
        <v>115</v>
      </c>
      <c r="N190" s="32">
        <f t="shared" ref="N190:N193" si="105">IF(ISNUMBER(M190), (M190 - $B190) / $B190, "")</f>
        <v>6.4814814814814811E-2</v>
      </c>
      <c r="O190" s="18">
        <f>IF(ISNUMBER(M190), $B199 * N190, "")</f>
        <v>9722.2222222222208</v>
      </c>
      <c r="Q190" s="153"/>
      <c r="R190" s="154"/>
      <c r="S190" s="155"/>
    </row>
    <row r="191" spans="1:19" ht="17.25" thickBot="1">
      <c r="A191" s="109" t="s">
        <v>183</v>
      </c>
      <c r="B191" s="110">
        <v>156</v>
      </c>
      <c r="C191" s="70">
        <v>-1.8867924500000001E-2</v>
      </c>
      <c r="D191" s="15">
        <v>156</v>
      </c>
      <c r="E191" s="32">
        <f t="shared" si="102"/>
        <v>0</v>
      </c>
      <c r="F191" s="18">
        <f>IF(ISNUMBER(D191), $B199 * E191, "")</f>
        <v>0</v>
      </c>
      <c r="G191" s="31">
        <v>161</v>
      </c>
      <c r="H191" s="32">
        <f t="shared" si="103"/>
        <v>3.2051282051282048E-2</v>
      </c>
      <c r="I191" s="91">
        <f>IF(ISNUMBER(G191), $B199 * H191, "")</f>
        <v>4807.6923076923076</v>
      </c>
      <c r="J191" s="15">
        <v>165</v>
      </c>
      <c r="K191" s="32">
        <f t="shared" si="104"/>
        <v>5.7692307692307696E-2</v>
      </c>
      <c r="L191" s="18">
        <f>IF(ISNUMBER(J191), $B199 * K191, "")</f>
        <v>8653.8461538461543</v>
      </c>
      <c r="M191" s="31">
        <v>168</v>
      </c>
      <c r="N191" s="32">
        <f t="shared" si="105"/>
        <v>7.6923076923076927E-2</v>
      </c>
      <c r="O191" s="18">
        <f>IF(ISNUMBER(M191), $B199 * N191, "")</f>
        <v>11538.461538461539</v>
      </c>
      <c r="Q191" s="146"/>
      <c r="R191" s="146"/>
      <c r="S191" s="146"/>
    </row>
    <row r="192" spans="1:19" ht="17.25" thickBot="1">
      <c r="A192" s="109" t="s">
        <v>197</v>
      </c>
      <c r="B192" s="110">
        <v>8.1</v>
      </c>
      <c r="C192" s="70">
        <v>-1.9370459999999999E-2</v>
      </c>
      <c r="D192" s="15">
        <v>8.01</v>
      </c>
      <c r="E192" s="32">
        <f t="shared" si="102"/>
        <v>-1.1111111111111094E-2</v>
      </c>
      <c r="F192" s="18">
        <f>IF(ISNUMBER(D192), $B199 * E192, "")</f>
        <v>-1666.6666666666642</v>
      </c>
      <c r="G192" s="31">
        <v>8.1300000000000008</v>
      </c>
      <c r="H192" s="32">
        <f t="shared" si="103"/>
        <v>3.7037037037038444E-3</v>
      </c>
      <c r="I192" s="91">
        <f>IF(ISNUMBER(G192), $B199 * H192, "")</f>
        <v>555.55555555557669</v>
      </c>
      <c r="J192" s="15">
        <v>8.1</v>
      </c>
      <c r="K192" s="32">
        <f t="shared" si="104"/>
        <v>0</v>
      </c>
      <c r="L192" s="18">
        <f>IF(ISNUMBER(J192), $B199 * K192, "")</f>
        <v>0</v>
      </c>
      <c r="M192" s="31">
        <v>8.1199999999999992</v>
      </c>
      <c r="N192" s="32">
        <f t="shared" si="105"/>
        <v>2.4691358024690833E-3</v>
      </c>
      <c r="O192" s="18">
        <f>IF(ISNUMBER(M192), $B199 * N192, "")</f>
        <v>370.37037037036248</v>
      </c>
      <c r="Q192" s="156"/>
      <c r="R192" s="156"/>
      <c r="S192" s="156"/>
    </row>
    <row r="193" spans="1:19" ht="17.25" thickBot="1">
      <c r="A193" s="111" t="s">
        <v>321</v>
      </c>
      <c r="B193" s="112">
        <v>236</v>
      </c>
      <c r="C193" s="71">
        <v>-2.0746888000000002E-2</v>
      </c>
      <c r="D193" s="20">
        <v>239</v>
      </c>
      <c r="E193" s="21">
        <f t="shared" si="102"/>
        <v>1.2711864406779662E-2</v>
      </c>
      <c r="F193" s="22">
        <f>IF(ISNUMBER(D193), $B199 * E193, "")</f>
        <v>1906.7796610169494</v>
      </c>
      <c r="G193" s="30">
        <v>242</v>
      </c>
      <c r="H193" s="21">
        <f t="shared" si="103"/>
        <v>2.5423728813559324E-2</v>
      </c>
      <c r="I193" s="95">
        <f>IF(ISNUMBER(G193), $B199 * H193, "")</f>
        <v>3813.5593220338988</v>
      </c>
      <c r="J193" s="20">
        <v>244</v>
      </c>
      <c r="K193" s="21">
        <f t="shared" si="104"/>
        <v>3.3898305084745763E-2</v>
      </c>
      <c r="L193" s="22">
        <f>IF(ISNUMBER(J193), $B199 * K193, "")</f>
        <v>5084.7457627118647</v>
      </c>
      <c r="M193" s="30">
        <v>246</v>
      </c>
      <c r="N193" s="21">
        <f t="shared" si="105"/>
        <v>4.2372881355932202E-2</v>
      </c>
      <c r="O193" s="22">
        <f>IF(ISNUMBER(M193), $B199 * N193, "")</f>
        <v>6355.9322033898306</v>
      </c>
      <c r="Q193" s="156"/>
      <c r="R193" s="156"/>
      <c r="S193" s="156"/>
    </row>
    <row r="194" spans="1:19" ht="17.25" thickBot="1">
      <c r="A194" s="109" t="s">
        <v>113</v>
      </c>
      <c r="B194" s="113">
        <v>2095</v>
      </c>
      <c r="C194" s="73">
        <v>-2.1028037400000001E-2</v>
      </c>
      <c r="D194" s="96">
        <v>2040</v>
      </c>
      <c r="E194" s="97">
        <f>IF(ISNUMBER(D194), (D194 - $B194) / $B194, "")</f>
        <v>-2.6252983293556086E-2</v>
      </c>
      <c r="F194" s="98">
        <f>IF(ISNUMBER(D194), $B199 * E194, "")</f>
        <v>-3937.947494033413</v>
      </c>
      <c r="G194" s="99">
        <v>2095</v>
      </c>
      <c r="H194" s="97">
        <f>IF(ISNUMBER(G194), (G194 - $B194) / $B194, "")</f>
        <v>0</v>
      </c>
      <c r="I194" s="100">
        <f>IF(ISNUMBER(G194), $B199 * H194, "")</f>
        <v>0</v>
      </c>
      <c r="J194" s="96">
        <v>2070</v>
      </c>
      <c r="K194" s="97">
        <f>IF(ISNUMBER(J194), (J194 - $B194) / $B194, "")</f>
        <v>-1.1933174224343675E-2</v>
      </c>
      <c r="L194" s="98">
        <f>IF(ISNUMBER(J194), $B199 * K194, "")</f>
        <v>-1789.9761336515512</v>
      </c>
      <c r="M194" s="99">
        <v>2050</v>
      </c>
      <c r="N194" s="97">
        <f>IF(ISNUMBER(M194), (M194 - $B194) / $B194, "")</f>
        <v>-2.1479713603818614E-2</v>
      </c>
      <c r="O194" s="98">
        <f>IF(ISNUMBER(M194), $B199 * N194, "")</f>
        <v>-3221.9570405727923</v>
      </c>
      <c r="Q194" s="146"/>
      <c r="R194" s="146"/>
      <c r="S194" s="146"/>
    </row>
    <row r="195" spans="1:19" ht="17.25" thickBot="1">
      <c r="A195" s="109" t="s">
        <v>217</v>
      </c>
      <c r="B195" s="110">
        <v>86.9</v>
      </c>
      <c r="C195" s="70">
        <v>-2.13963964E-2</v>
      </c>
      <c r="D195" s="15">
        <v>85.8</v>
      </c>
      <c r="E195" s="32">
        <f t="shared" ref="E195:E198" si="106">IF(ISNUMBER(D195), (D195 - $B195) / $B195, "")</f>
        <v>-1.2658227848101363E-2</v>
      </c>
      <c r="F195" s="18">
        <f>IF(ISNUMBER(D195), $B199 * E195, "")</f>
        <v>-1898.7341772152045</v>
      </c>
      <c r="G195" s="31">
        <v>86.7</v>
      </c>
      <c r="H195" s="32">
        <f t="shared" ref="H195:H198" si="107">IF(ISNUMBER(G195), (G195 - $B195) / $B195, "")</f>
        <v>-2.3014959723820809E-3</v>
      </c>
      <c r="I195" s="91">
        <f>IF(ISNUMBER(G195), $B199 * H195, "")</f>
        <v>-345.22439585731212</v>
      </c>
      <c r="J195" s="15">
        <v>87.3</v>
      </c>
      <c r="K195" s="32">
        <f t="shared" ref="K195:K198" si="108">IF(ISNUMBER(J195), (J195 - $B195) / $B195, "")</f>
        <v>4.6029919447639987E-3</v>
      </c>
      <c r="L195" s="18">
        <f>IF(ISNUMBER(J195), $B199 * K195, "")</f>
        <v>690.44879171459979</v>
      </c>
      <c r="M195" s="31">
        <v>87.1</v>
      </c>
      <c r="N195" s="32">
        <f t="shared" ref="N195:N198" si="109">IF(ISNUMBER(M195), (M195 - $B195) / $B195, "")</f>
        <v>2.3014959723819174E-3</v>
      </c>
      <c r="O195" s="18">
        <f>IF(ISNUMBER(M195), $B199 * N195, "")</f>
        <v>345.22439585728762</v>
      </c>
      <c r="Q195" s="146"/>
      <c r="R195" s="146"/>
      <c r="S195" s="146"/>
    </row>
    <row r="196" spans="1:19" ht="17.25" thickBot="1">
      <c r="A196" s="109" t="s">
        <v>118</v>
      </c>
      <c r="B196" s="110">
        <v>6.85</v>
      </c>
      <c r="C196" s="70">
        <v>-2.1428571399999999E-2</v>
      </c>
      <c r="D196" s="15">
        <v>6.96</v>
      </c>
      <c r="E196" s="32">
        <f t="shared" si="106"/>
        <v>1.6058394160583991E-2</v>
      </c>
      <c r="F196" s="18">
        <f>IF(ISNUMBER(D196), $B199 * E196, "")</f>
        <v>2408.7591240875986</v>
      </c>
      <c r="G196" s="31">
        <v>7.23</v>
      </c>
      <c r="H196" s="32">
        <f t="shared" si="107"/>
        <v>5.547445255474464E-2</v>
      </c>
      <c r="I196" s="91">
        <f>IF(ISNUMBER(G196), $B199 * H196, "")</f>
        <v>8321.1678832116959</v>
      </c>
      <c r="J196" s="15">
        <v>7.14</v>
      </c>
      <c r="K196" s="32">
        <f t="shared" si="108"/>
        <v>4.2335766423357672E-2</v>
      </c>
      <c r="L196" s="18">
        <f>IF(ISNUMBER(J196), $B199 * K196, "")</f>
        <v>6350.3649635036509</v>
      </c>
      <c r="M196" s="31">
        <v>7.18</v>
      </c>
      <c r="N196" s="32">
        <f t="shared" si="109"/>
        <v>4.8175182481751837E-2</v>
      </c>
      <c r="O196" s="18">
        <f>IF(ISNUMBER(M196), $B199 * N196, "")</f>
        <v>7226.2773722627753</v>
      </c>
      <c r="Q196" s="146"/>
      <c r="R196" s="146"/>
      <c r="S196" s="146"/>
    </row>
    <row r="197" spans="1:19">
      <c r="A197" s="109" t="s">
        <v>64</v>
      </c>
      <c r="B197" s="110">
        <v>12.7</v>
      </c>
      <c r="C197" s="70">
        <v>-2.3076923100000001E-2</v>
      </c>
      <c r="D197" s="15">
        <v>12.6</v>
      </c>
      <c r="E197" s="32">
        <f t="shared" si="106"/>
        <v>-7.8740157480314682E-3</v>
      </c>
      <c r="F197" s="18">
        <f>IF(ISNUMBER(D197), $B199 * E197, "")</f>
        <v>-1181.1023622047203</v>
      </c>
      <c r="G197" s="31">
        <v>12.9</v>
      </c>
      <c r="H197" s="32">
        <f t="shared" si="107"/>
        <v>1.5748031496063079E-2</v>
      </c>
      <c r="I197" s="91">
        <f>IF(ISNUMBER(G197), $B199 * H197, "")</f>
        <v>2362.204724409462</v>
      </c>
      <c r="J197" s="15">
        <v>12.9</v>
      </c>
      <c r="K197" s="32">
        <f t="shared" si="108"/>
        <v>1.5748031496063079E-2</v>
      </c>
      <c r="L197" s="18">
        <f>IF(ISNUMBER(J197), $B199 * K197, "")</f>
        <v>2362.204724409462</v>
      </c>
      <c r="M197" s="31">
        <v>13</v>
      </c>
      <c r="N197" s="32">
        <f t="shared" si="109"/>
        <v>2.3622047244094547E-2</v>
      </c>
      <c r="O197" s="18">
        <f>IF(ISNUMBER(M197), $B199 * N197, "")</f>
        <v>3543.307086614182</v>
      </c>
      <c r="Q197" s="135"/>
      <c r="R197" s="136"/>
      <c r="S197" s="137"/>
    </row>
    <row r="198" spans="1:19" ht="17.25" thickBot="1">
      <c r="A198" s="114" t="s">
        <v>71</v>
      </c>
      <c r="B198" s="115">
        <v>12.7</v>
      </c>
      <c r="C198" s="72">
        <v>-3.0534351099999999E-2</v>
      </c>
      <c r="D198" s="24">
        <v>12.8</v>
      </c>
      <c r="E198" s="25">
        <f t="shared" si="106"/>
        <v>7.8740157480316087E-3</v>
      </c>
      <c r="F198" s="94">
        <f>IF(ISNUMBER(D198), $B199 * E198, "")</f>
        <v>1181.1023622047412</v>
      </c>
      <c r="G198" s="92">
        <v>13.4</v>
      </c>
      <c r="H198" s="25">
        <f t="shared" si="107"/>
        <v>5.5118110236220562E-2</v>
      </c>
      <c r="I198" s="93">
        <f>IF(ISNUMBER(G198), $B199 * H198, "")</f>
        <v>8267.7165354330846</v>
      </c>
      <c r="J198" s="24">
        <v>13.4</v>
      </c>
      <c r="K198" s="25">
        <f t="shared" si="108"/>
        <v>5.5118110236220562E-2</v>
      </c>
      <c r="L198" s="94">
        <f>IF(ISNUMBER(J198), $B199 * K198, "")</f>
        <v>8267.7165354330846</v>
      </c>
      <c r="M198" s="92">
        <v>13.3</v>
      </c>
      <c r="N198" s="25">
        <f t="shared" si="109"/>
        <v>4.7244094488189094E-2</v>
      </c>
      <c r="O198" s="94">
        <f>IF(ISNUMBER(M198), $B199 * N198, "")</f>
        <v>7086.6141732283641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1.1709528874449517E-2</v>
      </c>
      <c r="F199" s="28">
        <f>SUM(F179:F198)</f>
        <v>35128.58662334855</v>
      </c>
      <c r="G199" s="26" t="s">
        <v>258</v>
      </c>
      <c r="H199" s="27">
        <f>IF(COUNT(H179:H198), SUM(H179:H198) / COUNT(H179:H198), 0)</f>
        <v>1.8382367197034621E-2</v>
      </c>
      <c r="I199" s="28">
        <f>SUM(I179:I198)</f>
        <v>55147.101591103878</v>
      </c>
      <c r="J199" s="26" t="s">
        <v>258</v>
      </c>
      <c r="K199" s="27">
        <f>IF(COUNT(K179:K198), SUM(K179:K198) / COUNT(K179:K198), 0)</f>
        <v>2.1356505544663278E-2</v>
      </c>
      <c r="L199" s="28">
        <f>SUM(L179:L198)</f>
        <v>64069.516633989835</v>
      </c>
      <c r="M199" s="26" t="s">
        <v>258</v>
      </c>
      <c r="N199" s="27">
        <f>IF(COUNT(N179:N198), SUM(N179:N198) / COUNT(N179:N198), 0)</f>
        <v>2.4895444393697147E-2</v>
      </c>
      <c r="O199" s="28">
        <f>SUM(O179:O198)</f>
        <v>74686.333181091424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D9698-607C-4A47-98E1-D0391B8122BE}">
  <sheetPr codeName="Sheet3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44954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-35,503 KRW (-1.18%)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-10,798 KRW (-0.36%)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-35,645 KRW (-1.19%)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24,525 KRW (0.82%)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2023-01-28(토) 오전 00:00</v>
      </c>
      <c r="C15" s="196"/>
      <c r="D15" s="170" t="str">
        <f>TEXT($G$1, "[$-ko-KR]yyyy-mm-dd(ddd) ") &amp; "오후 14:00"</f>
        <v>2023-01-28(토) 오후 14:00</v>
      </c>
      <c r="E15" s="171"/>
      <c r="F15" s="172"/>
      <c r="G15" s="170" t="str">
        <f>TEXT($G$1, "[$-ko-KR]yyyy-mm-dd(ddd) ") &amp; "오후 19:00"</f>
        <v>2023-01-28(토) 오후 19:00</v>
      </c>
      <c r="H15" s="171"/>
      <c r="I15" s="172"/>
      <c r="J15" s="170" t="str">
        <f>TEXT($G$1, "[$-ko-KR]yyyy-mm-dd(ddd) ") &amp; "오후 21:00"</f>
        <v>2023-01-28(토) 오후 21:00</v>
      </c>
      <c r="K15" s="171"/>
      <c r="L15" s="172"/>
      <c r="M15" s="170" t="str">
        <f>TEXT($G$1+1, "[$-ko-KR]yyyy-mm-dd(ddd) ") &amp; "오전 00:00"</f>
        <v>2023-01-29(일)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2023-01-28(토) 오전 00:00</v>
      </c>
      <c r="C42" s="198"/>
      <c r="D42" s="170" t="str">
        <f>TEXT($G$1, "[$-ko-KR]yyyy-mm-dd(ddd) ") &amp; "오후 14:00"</f>
        <v>2023-01-28(토) 오후 14:00</v>
      </c>
      <c r="E42" s="171"/>
      <c r="F42" s="172"/>
      <c r="G42" s="170" t="str">
        <f>TEXT($G$1, "[$-ko-KR]yyyy-mm-dd(ddd) ") &amp; "오후 19:00"</f>
        <v>2023-01-28(토) 오후 19:00</v>
      </c>
      <c r="H42" s="171"/>
      <c r="I42" s="172"/>
      <c r="J42" s="170" t="str">
        <f>TEXT($G$1, "[$-ko-KR]yyyy-mm-dd(ddd) ") &amp; "오후 21:00"</f>
        <v>2023-01-28(토) 오후 21:00</v>
      </c>
      <c r="K42" s="171"/>
      <c r="L42" s="172"/>
      <c r="M42" s="170" t="str">
        <f>TEXT($G$1+1, "[$-ko-KR]yyyy-mm-dd(ddd) ") &amp; "오전 00:00"</f>
        <v>2023-01-29(일)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132</v>
      </c>
      <c r="B44" s="108">
        <v>72.2</v>
      </c>
      <c r="C44" s="69">
        <v>0.14785373609999999</v>
      </c>
      <c r="D44" s="13">
        <v>73.900000000000006</v>
      </c>
      <c r="E44" s="14">
        <f>IF(ISNUMBER(D44), (D44 - $B44) / $B44, "")</f>
        <v>2.3545706371191175E-2</v>
      </c>
      <c r="F44" s="16">
        <f>IF(ISNUMBER(D44), $B64 * E44, "")</f>
        <v>3531.8559556786763</v>
      </c>
      <c r="G44" s="29">
        <v>73.400000000000006</v>
      </c>
      <c r="H44" s="14">
        <f>IF(ISNUMBER(G44), (G44 - $B44) / $B44, "")</f>
        <v>1.6620498614958488E-2</v>
      </c>
      <c r="I44" s="90">
        <f>IF(ISNUMBER(G44), $B64 * H44, "")</f>
        <v>2493.0747922437731</v>
      </c>
      <c r="J44" s="13">
        <v>72.7</v>
      </c>
      <c r="K44" s="14">
        <f>IF(ISNUMBER(J44), (J44 - $B44) / $B44, "")</f>
        <v>6.9252077562326868E-3</v>
      </c>
      <c r="L44" s="16">
        <f>IF(ISNUMBER(J44), $B64 * K44, "")</f>
        <v>1038.781163434903</v>
      </c>
      <c r="M44" s="29">
        <v>72.400000000000006</v>
      </c>
      <c r="N44" s="14">
        <f>IF(ISNUMBER(M44), (M44 - $B44) / $B44, "")</f>
        <v>2.7700831024931143E-3</v>
      </c>
      <c r="O44" s="16">
        <f>IF(ISNUMBER(M44), $B64 * N44, "")</f>
        <v>415.51246537396713</v>
      </c>
      <c r="Q44" s="156"/>
      <c r="R44" s="156"/>
      <c r="S44" s="156"/>
    </row>
    <row r="45" spans="1:19" ht="17.25" customHeight="1" thickBot="1">
      <c r="A45" s="109" t="s">
        <v>237</v>
      </c>
      <c r="B45" s="110">
        <v>34.6</v>
      </c>
      <c r="C45" s="70">
        <v>8.8050314500000004E-2</v>
      </c>
      <c r="D45" s="15">
        <v>35</v>
      </c>
      <c r="E45" s="32">
        <f t="shared" ref="E45:E48" si="14">IF(ISNUMBER(D45), (D45 - $B45) / $B45, "")</f>
        <v>1.1560693641618455E-2</v>
      </c>
      <c r="F45" s="18">
        <f>IF(ISNUMBER(D45), $B64 * E45, "")</f>
        <v>1734.1040462427682</v>
      </c>
      <c r="G45" s="31">
        <v>34.9</v>
      </c>
      <c r="H45" s="32">
        <f t="shared" ref="H45:H48" si="15">IF(ISNUMBER(G45), (G45 - $B45) / $B45, "")</f>
        <v>8.6705202312137904E-3</v>
      </c>
      <c r="I45" s="91">
        <f>IF(ISNUMBER(G45), $B64 * H45, "")</f>
        <v>1300.5780346820686</v>
      </c>
      <c r="J45" s="15">
        <v>34.6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34.299999999999997</v>
      </c>
      <c r="N45" s="32">
        <f t="shared" ref="N45:N48" si="17">IF(ISNUMBER(M45), (M45 - $B45) / $B45, "")</f>
        <v>-8.6705202312139951E-3</v>
      </c>
      <c r="O45" s="18">
        <f>IF(ISNUMBER(M45), $B64 * N45, "")</f>
        <v>-1300.5780346820993</v>
      </c>
      <c r="Q45" s="156"/>
      <c r="R45" s="156"/>
      <c r="S45" s="156"/>
    </row>
    <row r="46" spans="1:19" ht="17.25" customHeight="1" thickBot="1">
      <c r="A46" s="109" t="s">
        <v>118</v>
      </c>
      <c r="B46" s="110">
        <v>7.18</v>
      </c>
      <c r="C46" s="70">
        <v>3.1609195399999998E-2</v>
      </c>
      <c r="D46" s="15">
        <v>7.35</v>
      </c>
      <c r="E46" s="32">
        <f t="shared" si="14"/>
        <v>2.3676880222841215E-2</v>
      </c>
      <c r="F46" s="18">
        <f>IF(ISNUMBER(D46), $B64 * E46, "")</f>
        <v>3551.5320334261824</v>
      </c>
      <c r="G46" s="31">
        <v>7.3</v>
      </c>
      <c r="H46" s="32">
        <f t="shared" si="15"/>
        <v>1.6713091922005586E-2</v>
      </c>
      <c r="I46" s="91">
        <f>IF(ISNUMBER(G46), $B64 * H46, "")</f>
        <v>2506.9637883008377</v>
      </c>
      <c r="J46" s="15">
        <v>7.25</v>
      </c>
      <c r="K46" s="32">
        <f t="shared" si="16"/>
        <v>9.7493036211699566E-3</v>
      </c>
      <c r="L46" s="18">
        <f>IF(ISNUMBER(J46), $B64 * K46, "")</f>
        <v>1462.3955431754935</v>
      </c>
      <c r="M46" s="31">
        <v>7.09</v>
      </c>
      <c r="N46" s="32">
        <f t="shared" si="17"/>
        <v>-1.2534818941504159E-2</v>
      </c>
      <c r="O46" s="18">
        <f>IF(ISNUMBER(M46), $B64 * N46, "")</f>
        <v>-1880.2228412256238</v>
      </c>
      <c r="Q46" s="146"/>
      <c r="R46" s="146"/>
      <c r="S46" s="146"/>
    </row>
    <row r="47" spans="1:19" ht="17.25" customHeight="1" thickBot="1">
      <c r="A47" s="109" t="s">
        <v>181</v>
      </c>
      <c r="B47" s="110">
        <v>5.15</v>
      </c>
      <c r="C47" s="70">
        <v>0.03</v>
      </c>
      <c r="D47" s="15">
        <v>5.21</v>
      </c>
      <c r="E47" s="32">
        <f t="shared" si="14"/>
        <v>1.1650485436893128E-2</v>
      </c>
      <c r="F47" s="18">
        <f>IF(ISNUMBER(D47), $B64 * E47, "")</f>
        <v>1747.5728155339691</v>
      </c>
      <c r="G47" s="31">
        <v>5.2</v>
      </c>
      <c r="H47" s="32">
        <f t="shared" si="15"/>
        <v>9.7087378640776344E-3</v>
      </c>
      <c r="I47" s="91">
        <f>IF(ISNUMBER(G47), $B64 * H47, "")</f>
        <v>1456.3106796116451</v>
      </c>
      <c r="J47" s="15">
        <v>5.16</v>
      </c>
      <c r="K47" s="32">
        <f t="shared" si="16"/>
        <v>1.9417475728154925E-3</v>
      </c>
      <c r="L47" s="18">
        <f>IF(ISNUMBER(J47), $B64 * K47, "")</f>
        <v>291.26213592232386</v>
      </c>
      <c r="M47" s="31">
        <v>5.1100000000000003</v>
      </c>
      <c r="N47" s="32">
        <f t="shared" si="17"/>
        <v>-7.7669902912621425E-3</v>
      </c>
      <c r="O47" s="18">
        <f>IF(ISNUMBER(M47), $B64 * N47, "")</f>
        <v>-1165.0485436893214</v>
      </c>
      <c r="Q47" s="146"/>
      <c r="R47" s="146"/>
      <c r="S47" s="146"/>
    </row>
    <row r="48" spans="1:19" ht="17.25" customHeight="1" thickBot="1">
      <c r="A48" s="111" t="s">
        <v>193</v>
      </c>
      <c r="B48" s="112">
        <v>21.9</v>
      </c>
      <c r="C48" s="71">
        <v>2.3364486E-2</v>
      </c>
      <c r="D48" s="20">
        <v>22</v>
      </c>
      <c r="E48" s="21">
        <f t="shared" si="14"/>
        <v>4.5662100456621653E-3</v>
      </c>
      <c r="F48" s="22">
        <f>IF(ISNUMBER(D48), $B64 * E48, "")</f>
        <v>684.93150684932482</v>
      </c>
      <c r="G48" s="30">
        <v>21.9</v>
      </c>
      <c r="H48" s="21">
        <f t="shared" si="15"/>
        <v>0</v>
      </c>
      <c r="I48" s="95">
        <f>IF(ISNUMBER(G48), $B64 * H48, "")</f>
        <v>0</v>
      </c>
      <c r="J48" s="20">
        <v>21.8</v>
      </c>
      <c r="K48" s="21">
        <f t="shared" si="16"/>
        <v>-4.5662100456620031E-3</v>
      </c>
      <c r="L48" s="22">
        <f>IF(ISNUMBER(J48), $B64 * K48, "")</f>
        <v>-684.93150684930049</v>
      </c>
      <c r="M48" s="30">
        <v>21.6</v>
      </c>
      <c r="N48" s="21">
        <f t="shared" si="17"/>
        <v>-1.3698630136986172E-2</v>
      </c>
      <c r="O48" s="22">
        <f>IF(ISNUMBER(M48), $B64 * N48, "")</f>
        <v>-2054.7945205479259</v>
      </c>
      <c r="Q48" s="146"/>
      <c r="R48" s="146"/>
      <c r="S48" s="146"/>
    </row>
    <row r="49" spans="1:19" ht="17.25" customHeight="1" thickBot="1">
      <c r="A49" s="109" t="s">
        <v>56</v>
      </c>
      <c r="B49" s="113">
        <v>49.2</v>
      </c>
      <c r="C49" s="73">
        <v>1.8633540399999999E-2</v>
      </c>
      <c r="D49" s="96">
        <v>49.8</v>
      </c>
      <c r="E49" s="97">
        <f>IF(ISNUMBER(D49), (D49 - $B49) / $B49, "")</f>
        <v>1.2195121951219396E-2</v>
      </c>
      <c r="F49" s="98">
        <f>IF(ISNUMBER(D49), $B64 * E49, "")</f>
        <v>1829.2682926829095</v>
      </c>
      <c r="G49" s="99">
        <v>49.4</v>
      </c>
      <c r="H49" s="97">
        <f>IF(ISNUMBER(G49), (G49 - $B49) / $B49, "")</f>
        <v>4.0650406504064169E-3</v>
      </c>
      <c r="I49" s="100">
        <f>IF(ISNUMBER(G49), $B64 * H49, "")</f>
        <v>609.75609756096253</v>
      </c>
      <c r="J49" s="96">
        <v>49.3</v>
      </c>
      <c r="K49" s="97">
        <f>IF(ISNUMBER(J49), (J49 - $B49) / $B49, "")</f>
        <v>2.0325203252031365E-3</v>
      </c>
      <c r="L49" s="98">
        <f>IF(ISNUMBER(J49), $B64 * K49, "")</f>
        <v>304.87804878047046</v>
      </c>
      <c r="M49" s="99">
        <v>48.1</v>
      </c>
      <c r="N49" s="97">
        <f>IF(ISNUMBER(M49), (M49 - $B49) / $B49, "")</f>
        <v>-2.23577235772358E-2</v>
      </c>
      <c r="O49" s="98">
        <f>IF(ISNUMBER(M49), $B64 * N49, "")</f>
        <v>-3353.6585365853703</v>
      </c>
      <c r="Q49" s="146"/>
      <c r="R49" s="146"/>
      <c r="S49" s="146"/>
    </row>
    <row r="50" spans="1:19" ht="17.25" customHeight="1" thickBot="1">
      <c r="A50" s="109" t="s">
        <v>329</v>
      </c>
      <c r="B50" s="110">
        <v>85.8</v>
      </c>
      <c r="C50" s="70">
        <v>1.77935943E-2</v>
      </c>
      <c r="D50" s="15">
        <v>87.5</v>
      </c>
      <c r="E50" s="32">
        <f t="shared" ref="E50:E53" si="18">IF(ISNUMBER(D50), (D50 - $B50) / $B50, "")</f>
        <v>1.9813519813519847E-2</v>
      </c>
      <c r="F50" s="18">
        <f>IF(ISNUMBER(D50), $B64 * E50, "")</f>
        <v>2972.0279720279768</v>
      </c>
      <c r="G50" s="31">
        <v>86.3</v>
      </c>
      <c r="H50" s="32">
        <f t="shared" ref="H50:H53" si="19">IF(ISNUMBER(G50), (G50 - $B50) / $B50, "")</f>
        <v>5.8275058275058279E-3</v>
      </c>
      <c r="I50" s="91">
        <f>IF(ISNUMBER(G50), $B64 * H50, "")</f>
        <v>874.12587412587413</v>
      </c>
      <c r="J50" s="15">
        <v>85.5</v>
      </c>
      <c r="K50" s="32">
        <f t="shared" ref="K50:K53" si="20">IF(ISNUMBER(J50), (J50 - $B50) / $B50, "")</f>
        <v>-3.4965034965034635E-3</v>
      </c>
      <c r="L50" s="18">
        <f>IF(ISNUMBER(J50), $B64 * K50, "")</f>
        <v>-524.47552447551948</v>
      </c>
      <c r="M50" s="31">
        <v>85.7</v>
      </c>
      <c r="N50" s="32">
        <f t="shared" ref="N50:N53" si="21">IF(ISNUMBER(M50), (M50 - $B50) / $B50, "")</f>
        <v>-1.1655011655010994E-3</v>
      </c>
      <c r="O50" s="18">
        <f>IF(ISNUMBER(M50), $B64 * N50, "")</f>
        <v>-174.82517482516491</v>
      </c>
      <c r="Q50" s="146"/>
      <c r="R50" s="146"/>
      <c r="S50" s="146"/>
    </row>
    <row r="51" spans="1:19" ht="17.25" customHeight="1" thickBot="1">
      <c r="A51" s="109" t="s">
        <v>64</v>
      </c>
      <c r="B51" s="110">
        <v>13</v>
      </c>
      <c r="C51" s="70">
        <v>1.5625E-2</v>
      </c>
      <c r="D51" s="15">
        <v>13.1</v>
      </c>
      <c r="E51" s="32">
        <f t="shared" si="18"/>
        <v>7.692307692307665E-3</v>
      </c>
      <c r="F51" s="18">
        <f>IF(ISNUMBER(D51), $B64 * E51, "")</f>
        <v>1153.8461538461497</v>
      </c>
      <c r="G51" s="31">
        <v>12.9</v>
      </c>
      <c r="H51" s="32">
        <f t="shared" si="19"/>
        <v>-7.692307692307665E-3</v>
      </c>
      <c r="I51" s="91">
        <f>IF(ISNUMBER(G51), $B64 * H51, "")</f>
        <v>-1153.8461538461497</v>
      </c>
      <c r="J51" s="15">
        <v>12.9</v>
      </c>
      <c r="K51" s="32">
        <f t="shared" si="20"/>
        <v>-7.692307692307665E-3</v>
      </c>
      <c r="L51" s="18">
        <f>IF(ISNUMBER(J51), $B64 * K51, "")</f>
        <v>-1153.8461538461497</v>
      </c>
      <c r="M51" s="31">
        <v>12.7</v>
      </c>
      <c r="N51" s="32">
        <f t="shared" si="21"/>
        <v>-2.307692307692313E-2</v>
      </c>
      <c r="O51" s="18">
        <f>IF(ISNUMBER(M51), $B64 * N51, "")</f>
        <v>-3461.5384615384696</v>
      </c>
      <c r="Q51" s="146"/>
      <c r="R51" s="146"/>
      <c r="S51" s="146"/>
    </row>
    <row r="52" spans="1:19" ht="17.25" customHeight="1" thickBot="1">
      <c r="A52" s="109" t="s">
        <v>71</v>
      </c>
      <c r="B52" s="110">
        <v>13.3</v>
      </c>
      <c r="C52" s="70">
        <v>1.52671756E-2</v>
      </c>
      <c r="D52" s="15">
        <v>13.5</v>
      </c>
      <c r="E52" s="32">
        <f t="shared" si="18"/>
        <v>1.5037593984962351E-2</v>
      </c>
      <c r="F52" s="18">
        <f>IF(ISNUMBER(D52), $B64 * E52, "")</f>
        <v>2255.6390977443525</v>
      </c>
      <c r="G52" s="31">
        <v>13.4</v>
      </c>
      <c r="H52" s="32">
        <f t="shared" si="19"/>
        <v>7.5187969924811757E-3</v>
      </c>
      <c r="I52" s="91">
        <f>IF(ISNUMBER(G52), $B64 * H52, "")</f>
        <v>1127.8195488721763</v>
      </c>
      <c r="J52" s="15">
        <v>13.3</v>
      </c>
      <c r="K52" s="32">
        <f t="shared" si="20"/>
        <v>0</v>
      </c>
      <c r="L52" s="18">
        <f>IF(ISNUMBER(J52), $B64 * K52, "")</f>
        <v>0</v>
      </c>
      <c r="M52" s="31">
        <v>13.1</v>
      </c>
      <c r="N52" s="32">
        <f t="shared" si="21"/>
        <v>-1.5037593984962485E-2</v>
      </c>
      <c r="O52" s="18">
        <f>IF(ISNUMBER(M52), $B64 * N52, "")</f>
        <v>-2255.6390977443725</v>
      </c>
      <c r="Q52" s="33"/>
      <c r="R52" s="33"/>
    </row>
    <row r="53" spans="1:19" ht="17.25" customHeight="1" thickBot="1">
      <c r="A53" s="114" t="s">
        <v>124</v>
      </c>
      <c r="B53" s="115">
        <v>37.5</v>
      </c>
      <c r="C53" s="72">
        <v>1.3513513499999999E-2</v>
      </c>
      <c r="D53" s="24">
        <v>38.6</v>
      </c>
      <c r="E53" s="25">
        <f t="shared" si="18"/>
        <v>2.9333333333333371E-2</v>
      </c>
      <c r="F53" s="94">
        <f>IF(ISNUMBER(D53), $B64 * E53, "")</f>
        <v>4400.0000000000055</v>
      </c>
      <c r="G53" s="92">
        <v>38</v>
      </c>
      <c r="H53" s="25">
        <f t="shared" si="19"/>
        <v>1.3333333333333334E-2</v>
      </c>
      <c r="I53" s="93">
        <f>IF(ISNUMBER(G53), $B64 * H53, "")</f>
        <v>2000.0000000000002</v>
      </c>
      <c r="J53" s="24">
        <v>37.9</v>
      </c>
      <c r="K53" s="25">
        <f t="shared" si="20"/>
        <v>1.0666666666666628E-2</v>
      </c>
      <c r="L53" s="94">
        <f>IF(ISNUMBER(J53), $B64 * K53, "")</f>
        <v>1599.9999999999943</v>
      </c>
      <c r="M53" s="92">
        <v>37.700000000000003</v>
      </c>
      <c r="N53" s="25">
        <f t="shared" si="21"/>
        <v>5.3333333333334095E-3</v>
      </c>
      <c r="O53" s="94">
        <f>IF(ISNUMBER(M53), $B64 * N53, "")</f>
        <v>800.00000000001137</v>
      </c>
      <c r="Q53" s="147"/>
      <c r="R53" s="148"/>
      <c r="S53" s="149"/>
    </row>
    <row r="54" spans="1:19" ht="17.25" customHeight="1">
      <c r="A54" s="107" t="s">
        <v>333</v>
      </c>
      <c r="B54" s="108">
        <v>5.31</v>
      </c>
      <c r="C54" s="69">
        <v>1.3358778599999999E-2</v>
      </c>
      <c r="D54" s="13">
        <v>5.44</v>
      </c>
      <c r="E54" s="14">
        <f>IF(ISNUMBER(D54), (D54 - $B54) / $B54, "")</f>
        <v>2.4482109227872088E-2</v>
      </c>
      <c r="F54" s="16">
        <f>IF(ISNUMBER(D54), $B64 * E54, "")</f>
        <v>3672.3163841808132</v>
      </c>
      <c r="G54" s="29">
        <v>5.44</v>
      </c>
      <c r="H54" s="14">
        <f>IF(ISNUMBER(G54), (G54 - $B54) / $B54, "")</f>
        <v>2.4482109227872088E-2</v>
      </c>
      <c r="I54" s="90">
        <f>IF(ISNUMBER(G54), $B64 * H54, "")</f>
        <v>3672.3163841808132</v>
      </c>
      <c r="J54" s="13">
        <v>5.48</v>
      </c>
      <c r="K54" s="14">
        <f>IF(ISNUMBER(J54), (J54 - $B54) / $B54, "")</f>
        <v>3.2015065913371152E-2</v>
      </c>
      <c r="L54" s="16">
        <f>IF(ISNUMBER(J54), $B64 * K54, "")</f>
        <v>4802.2598870056727</v>
      </c>
      <c r="M54" s="29">
        <v>5.36</v>
      </c>
      <c r="N54" s="14">
        <f>IF(ISNUMBER(M54), (M54 - $B54) / $B54, "")</f>
        <v>9.4161958568739577E-3</v>
      </c>
      <c r="O54" s="16">
        <f>IF(ISNUMBER(M54), $B64 * N54, "")</f>
        <v>1412.4293785310936</v>
      </c>
      <c r="Q54" s="150"/>
      <c r="R54" s="151"/>
      <c r="S54" s="152"/>
    </row>
    <row r="55" spans="1:19" ht="17.25" customHeight="1" thickBot="1">
      <c r="A55" s="109" t="s">
        <v>155</v>
      </c>
      <c r="B55" s="110">
        <v>33.9</v>
      </c>
      <c r="C55" s="70">
        <v>1.19402985E-2</v>
      </c>
      <c r="D55" s="15">
        <v>34.200000000000003</v>
      </c>
      <c r="E55" s="32">
        <f t="shared" ref="E55:E58" si="22">IF(ISNUMBER(D55), (D55 - $B55) / $B55, "")</f>
        <v>8.8495575221240203E-3</v>
      </c>
      <c r="F55" s="18">
        <f>IF(ISNUMBER(D55), $B64 * E55, "")</f>
        <v>1327.433628318603</v>
      </c>
      <c r="G55" s="31">
        <v>33.6</v>
      </c>
      <c r="H55" s="32">
        <f t="shared" ref="H55:H58" si="23">IF(ISNUMBER(G55), (G55 - $B55) / $B55, "")</f>
        <v>-8.8495575221238104E-3</v>
      </c>
      <c r="I55" s="91">
        <f>IF(ISNUMBER(G55), $B64 * H55, "")</f>
        <v>-1327.4336283185717</v>
      </c>
      <c r="J55" s="15">
        <v>33.9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33.5</v>
      </c>
      <c r="N55" s="32">
        <f t="shared" ref="N55:N58" si="25">IF(ISNUMBER(M55), (M55 - $B55) / $B55, "")</f>
        <v>-1.1799410029498483E-2</v>
      </c>
      <c r="O55" s="18">
        <f>IF(ISNUMBER(M55), $B64 * N55, "")</f>
        <v>-1769.9115044247726</v>
      </c>
      <c r="Q55" s="153"/>
      <c r="R55" s="154"/>
      <c r="S55" s="155"/>
    </row>
    <row r="56" spans="1:19" ht="17.25" customHeight="1" thickBot="1">
      <c r="A56" s="109" t="s">
        <v>145</v>
      </c>
      <c r="B56" s="110">
        <v>78.599999999999994</v>
      </c>
      <c r="C56" s="70">
        <v>1.15830116E-2</v>
      </c>
      <c r="D56" s="15">
        <v>79.099999999999994</v>
      </c>
      <c r="E56" s="32">
        <f t="shared" si="22"/>
        <v>6.3613231552162855E-3</v>
      </c>
      <c r="F56" s="18">
        <f>IF(ISNUMBER(D56), $B64 * E56, "")</f>
        <v>954.19847328244282</v>
      </c>
      <c r="G56" s="31">
        <v>79.3</v>
      </c>
      <c r="H56" s="32">
        <f t="shared" si="23"/>
        <v>8.9058524173028352E-3</v>
      </c>
      <c r="I56" s="91">
        <f>IF(ISNUMBER(G56), $B64 * H56, "")</f>
        <v>1335.8778625954253</v>
      </c>
      <c r="J56" s="15">
        <v>79.2</v>
      </c>
      <c r="K56" s="32">
        <f t="shared" si="24"/>
        <v>7.633587786259651E-3</v>
      </c>
      <c r="L56" s="18">
        <f>IF(ISNUMBER(J56), $B64 * K56, "")</f>
        <v>1145.0381679389477</v>
      </c>
      <c r="M56" s="31">
        <v>78.400000000000006</v>
      </c>
      <c r="N56" s="32">
        <f t="shared" si="25"/>
        <v>-2.5445292620863693E-3</v>
      </c>
      <c r="O56" s="18">
        <f>IF(ISNUMBER(M56), $B64 * N56, "")</f>
        <v>-381.67938931295538</v>
      </c>
      <c r="Q56" s="146"/>
      <c r="R56" s="146"/>
      <c r="S56" s="146"/>
    </row>
    <row r="57" spans="1:19" ht="17.25" customHeight="1" thickBot="1">
      <c r="A57" s="109" t="s">
        <v>209</v>
      </c>
      <c r="B57" s="110">
        <v>96.6</v>
      </c>
      <c r="C57" s="70">
        <v>1.1518324599999999E-2</v>
      </c>
      <c r="D57" s="15">
        <v>100</v>
      </c>
      <c r="E57" s="32">
        <f t="shared" si="22"/>
        <v>3.5196687370600478E-2</v>
      </c>
      <c r="F57" s="18">
        <f>IF(ISNUMBER(D57), $B64 * E57, "")</f>
        <v>5279.5031055900718</v>
      </c>
      <c r="G57" s="31">
        <v>98.3</v>
      </c>
      <c r="H57" s="32">
        <f t="shared" si="23"/>
        <v>1.7598343685300239E-2</v>
      </c>
      <c r="I57" s="91">
        <f>IF(ISNUMBER(G57), $B64 * H57, "")</f>
        <v>2639.7515527950359</v>
      </c>
      <c r="J57" s="15">
        <v>98</v>
      </c>
      <c r="K57" s="32">
        <f t="shared" si="24"/>
        <v>1.4492753623188465E-2</v>
      </c>
      <c r="L57" s="18">
        <f>IF(ISNUMBER(J57), $B64 * K57, "")</f>
        <v>2173.9130434782696</v>
      </c>
      <c r="M57" s="31">
        <v>97.2</v>
      </c>
      <c r="N57" s="32">
        <f t="shared" si="25"/>
        <v>6.2111801242236914E-3</v>
      </c>
      <c r="O57" s="18">
        <f>IF(ISNUMBER(M57), $B64 * N57, "")</f>
        <v>931.67701863355376</v>
      </c>
      <c r="Q57" s="156"/>
      <c r="R57" s="156"/>
      <c r="S57" s="156"/>
    </row>
    <row r="58" spans="1:19" ht="17.25" customHeight="1" thickBot="1">
      <c r="A58" s="111" t="s">
        <v>195</v>
      </c>
      <c r="B58" s="112">
        <v>7.26</v>
      </c>
      <c r="C58" s="71">
        <v>1.1142061300000001E-2</v>
      </c>
      <c r="D58" s="20">
        <v>7.42</v>
      </c>
      <c r="E58" s="21">
        <f t="shared" si="22"/>
        <v>2.2038567493112969E-2</v>
      </c>
      <c r="F58" s="22">
        <f>IF(ISNUMBER(D58), $B64 * E58, "")</f>
        <v>3305.7851239669453</v>
      </c>
      <c r="G58" s="30">
        <v>7.35</v>
      </c>
      <c r="H58" s="21">
        <f t="shared" si="23"/>
        <v>1.2396694214876014E-2</v>
      </c>
      <c r="I58" s="95">
        <f>IF(ISNUMBER(G58), $B64 * H58, "")</f>
        <v>1859.5041322314021</v>
      </c>
      <c r="J58" s="20">
        <v>7.33</v>
      </c>
      <c r="K58" s="21">
        <f t="shared" si="24"/>
        <v>9.6418732782369548E-3</v>
      </c>
      <c r="L58" s="22">
        <f>IF(ISNUMBER(J58), $B64 * K58, "")</f>
        <v>1446.2809917355432</v>
      </c>
      <c r="M58" s="30">
        <v>7.25</v>
      </c>
      <c r="N58" s="21">
        <f t="shared" si="25"/>
        <v>-1.37741046831953E-3</v>
      </c>
      <c r="O58" s="22">
        <f>IF(ISNUMBER(M58), $B64 * N58, "")</f>
        <v>-206.61157024792951</v>
      </c>
      <c r="Q58" s="156"/>
      <c r="R58" s="156"/>
      <c r="S58" s="156"/>
    </row>
    <row r="59" spans="1:19" ht="17.25" customHeight="1" thickBot="1">
      <c r="A59" s="109" t="s">
        <v>143</v>
      </c>
      <c r="B59" s="113">
        <v>4.57</v>
      </c>
      <c r="C59" s="73">
        <v>8.8300220999999995E-3</v>
      </c>
      <c r="D59" s="96">
        <v>4.63</v>
      </c>
      <c r="E59" s="97">
        <f>IF(ISNUMBER(D59), (D59 - $B59) / $B59, "")</f>
        <v>1.3129102844638864E-2</v>
      </c>
      <c r="F59" s="98">
        <f>IF(ISNUMBER(D59), $B64 * E59, "")</f>
        <v>1969.3654266958297</v>
      </c>
      <c r="G59" s="99">
        <v>4.57</v>
      </c>
      <c r="H59" s="97">
        <f>IF(ISNUMBER(G59), (G59 - $B59) / $B59, "")</f>
        <v>0</v>
      </c>
      <c r="I59" s="100">
        <f>IF(ISNUMBER(G59), $B64 * H59, "")</f>
        <v>0</v>
      </c>
      <c r="J59" s="96">
        <v>4.62</v>
      </c>
      <c r="K59" s="97">
        <f>IF(ISNUMBER(J59), (J59 - $B59) / $B59, "")</f>
        <v>1.0940919037199084E-2</v>
      </c>
      <c r="L59" s="98">
        <f>IF(ISNUMBER(J59), $B64 * K59, "")</f>
        <v>1641.1378555798626</v>
      </c>
      <c r="M59" s="99">
        <v>4.47</v>
      </c>
      <c r="N59" s="97">
        <f>IF(ISNUMBER(M59), (M59 - $B59) / $B59, "")</f>
        <v>-2.1881838074398363E-2</v>
      </c>
      <c r="O59" s="98">
        <f>IF(ISNUMBER(M59), $B64 * N59, "")</f>
        <v>-3282.2757111597543</v>
      </c>
      <c r="Q59" s="146"/>
      <c r="R59" s="146"/>
      <c r="S59" s="146"/>
    </row>
    <row r="60" spans="1:19" ht="17.25" customHeight="1" thickBot="1">
      <c r="A60" s="109" t="s">
        <v>122</v>
      </c>
      <c r="B60" s="110">
        <v>30.2</v>
      </c>
      <c r="C60" s="70">
        <v>6.6666666999999997E-3</v>
      </c>
      <c r="D60" s="15">
        <v>31.1</v>
      </c>
      <c r="E60" s="32">
        <f t="shared" ref="E60:E63" si="26">IF(ISNUMBER(D60), (D60 - $B60) / $B60, "")</f>
        <v>2.9801324503311331E-2</v>
      </c>
      <c r="F60" s="18">
        <f>IF(ISNUMBER(D60), $B64 * E60, "")</f>
        <v>4470.1986754966993</v>
      </c>
      <c r="G60" s="31">
        <v>30.7</v>
      </c>
      <c r="H60" s="32">
        <f t="shared" ref="H60:H63" si="27">IF(ISNUMBER(G60), (G60 - $B60) / $B60, "")</f>
        <v>1.6556291390728478E-2</v>
      </c>
      <c r="I60" s="91">
        <f>IF(ISNUMBER(G60), $B64 * H60, "")</f>
        <v>2483.4437086092717</v>
      </c>
      <c r="J60" s="15">
        <v>30.5</v>
      </c>
      <c r="K60" s="32">
        <f t="shared" ref="K60:K63" si="28">IF(ISNUMBER(J60), (J60 - $B60) / $B60, "")</f>
        <v>9.9337748344371091E-3</v>
      </c>
      <c r="L60" s="18">
        <f>IF(ISNUMBER(J60), $B64 * K60, "")</f>
        <v>1490.0662251655663</v>
      </c>
      <c r="M60" s="31">
        <v>30.2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46"/>
      <c r="R60" s="146"/>
      <c r="S60" s="146"/>
    </row>
    <row r="61" spans="1:19" ht="17.25" customHeight="1" thickBot="1">
      <c r="A61" s="109" t="s">
        <v>126</v>
      </c>
      <c r="B61" s="110">
        <v>35.299999999999997</v>
      </c>
      <c r="C61" s="70">
        <v>5.6980056999999997E-3</v>
      </c>
      <c r="D61" s="15">
        <v>37.700000000000003</v>
      </c>
      <c r="E61" s="32">
        <f t="shared" si="26"/>
        <v>6.7988668555240966E-2</v>
      </c>
      <c r="F61" s="18">
        <f>IF(ISNUMBER(D61), $B64 * E61, "")</f>
        <v>10198.300283286146</v>
      </c>
      <c r="G61" s="31">
        <v>37.1</v>
      </c>
      <c r="H61" s="32">
        <f t="shared" si="27"/>
        <v>5.0991501416430718E-2</v>
      </c>
      <c r="I61" s="91">
        <f>IF(ISNUMBER(G61), $B64 * H61, "")</f>
        <v>7648.7252124646075</v>
      </c>
      <c r="J61" s="15">
        <v>36.9</v>
      </c>
      <c r="K61" s="32">
        <f t="shared" si="28"/>
        <v>4.5325779036827239E-2</v>
      </c>
      <c r="L61" s="18">
        <f>IF(ISNUMBER(J61), $B64 * K61, "")</f>
        <v>6798.8668555240856</v>
      </c>
      <c r="M61" s="31">
        <v>36.700000000000003</v>
      </c>
      <c r="N61" s="32">
        <f t="shared" si="29"/>
        <v>3.9660056657223962E-2</v>
      </c>
      <c r="O61" s="18">
        <f>IF(ISNUMBER(M61), $B64 * N61, "")</f>
        <v>5949.0084985835947</v>
      </c>
      <c r="Q61" s="146"/>
      <c r="R61" s="146"/>
      <c r="S61" s="146"/>
    </row>
    <row r="62" spans="1:19" ht="17.25" customHeight="1">
      <c r="A62" s="109" t="s">
        <v>203</v>
      </c>
      <c r="B62" s="110">
        <v>4.04</v>
      </c>
      <c r="C62" s="70">
        <v>4.9751244000000002E-3</v>
      </c>
      <c r="D62" s="15">
        <v>4.0999999999999996</v>
      </c>
      <c r="E62" s="32">
        <f t="shared" si="26"/>
        <v>1.4851485148514755E-2</v>
      </c>
      <c r="F62" s="18">
        <f>IF(ISNUMBER(D62), $B64 * E62, "")</f>
        <v>2227.7227722772132</v>
      </c>
      <c r="G62" s="31">
        <v>4.08</v>
      </c>
      <c r="H62" s="32">
        <f t="shared" si="27"/>
        <v>9.9009900990099098E-3</v>
      </c>
      <c r="I62" s="91">
        <f>IF(ISNUMBER(G62), $B64 * H62, "")</f>
        <v>1485.1485148514864</v>
      </c>
      <c r="J62" s="15">
        <v>4.07</v>
      </c>
      <c r="K62" s="32">
        <f t="shared" si="28"/>
        <v>7.425742574257487E-3</v>
      </c>
      <c r="L62" s="18">
        <f>IF(ISNUMBER(J62), $B64 * K62, "")</f>
        <v>1113.8613861386229</v>
      </c>
      <c r="M62" s="31">
        <v>4.01</v>
      </c>
      <c r="N62" s="32">
        <f t="shared" si="29"/>
        <v>-7.425742574257487E-3</v>
      </c>
      <c r="O62" s="18">
        <f>IF(ISNUMBER(M62), $B64 * N62, "")</f>
        <v>-1113.8613861386229</v>
      </c>
      <c r="Q62" s="135"/>
      <c r="R62" s="136"/>
      <c r="S62" s="137"/>
    </row>
    <row r="63" spans="1:19" ht="17.25" customHeight="1" thickBot="1">
      <c r="A63" s="114" t="s">
        <v>350</v>
      </c>
      <c r="B63" s="115">
        <v>7.88</v>
      </c>
      <c r="C63" s="72">
        <v>3.8216561000000001E-3</v>
      </c>
      <c r="D63" s="24">
        <v>8.1999999999999993</v>
      </c>
      <c r="E63" s="25">
        <f t="shared" si="26"/>
        <v>4.0609137055837484E-2</v>
      </c>
      <c r="F63" s="94">
        <f>IF(ISNUMBER(D63), $B64 * E63, "")</f>
        <v>6091.3705583756227</v>
      </c>
      <c r="G63" s="92">
        <v>8.23</v>
      </c>
      <c r="H63" s="25">
        <f t="shared" si="27"/>
        <v>4.4416243654822406E-2</v>
      </c>
      <c r="I63" s="93">
        <f>IF(ISNUMBER(G63), $B64 * H63, "")</f>
        <v>6662.4365482233607</v>
      </c>
      <c r="J63" s="24">
        <v>8.2200000000000006</v>
      </c>
      <c r="K63" s="25">
        <f t="shared" si="28"/>
        <v>4.3147208121827506E-2</v>
      </c>
      <c r="L63" s="94">
        <f>IF(ISNUMBER(J63), $B64 * K63, "")</f>
        <v>6472.0812182741256</v>
      </c>
      <c r="M63" s="92">
        <v>7.99</v>
      </c>
      <c r="N63" s="25">
        <f t="shared" si="29"/>
        <v>1.3959390862944203E-2</v>
      </c>
      <c r="O63" s="94">
        <f>IF(ISNUMBER(M63), $B64 * N63, "")</f>
        <v>2093.9086294416302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2.1118990768500899E-2</v>
      </c>
      <c r="F64" s="28">
        <f>SUM(F44:F63)</f>
        <v>63356.972305502706</v>
      </c>
      <c r="G64" s="26" t="s">
        <v>258</v>
      </c>
      <c r="H64" s="27">
        <f>IF(COUNT(H44:H63), SUM(H44:H63) / COUNT(H44:H63), 0)</f>
        <v>1.2558184316394671E-2</v>
      </c>
      <c r="I64" s="28">
        <f>SUM(I44:I63)</f>
        <v>37674.552949184021</v>
      </c>
      <c r="J64" s="26" t="s">
        <v>258</v>
      </c>
      <c r="K64" s="27">
        <f>IF(COUNT(K44:K63), SUM(K44:K63) / COUNT(K44:K63), 0)</f>
        <v>9.8058564456609716E-3</v>
      </c>
      <c r="L64" s="28">
        <f>SUM(L44:L63)</f>
        <v>29417.56933698291</v>
      </c>
      <c r="M64" s="26" t="s">
        <v>258</v>
      </c>
      <c r="N64" s="27">
        <f>IF(COUNT(N44:N63), SUM(N44:N63) / COUNT(N44:N63), 0)</f>
        <v>-3.5993695938528426E-3</v>
      </c>
      <c r="O64" s="28">
        <f>SUM(O44:O63)</f>
        <v>-10798.108781558531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2023-01-28(토) 오전 00:00</v>
      </c>
      <c r="C69" s="198"/>
      <c r="D69" s="170" t="str">
        <f>TEXT($G$1, "[$-ko-KR]yyyy-mm-dd(ddd) ") &amp; "오후 14:00"</f>
        <v>2023-01-28(토) 오후 14:00</v>
      </c>
      <c r="E69" s="171"/>
      <c r="F69" s="172"/>
      <c r="G69" s="170" t="str">
        <f>TEXT($G$1, "[$-ko-KR]yyyy-mm-dd(ddd) ") &amp; "오후 19:00"</f>
        <v>2023-01-28(토) 오후 19:00</v>
      </c>
      <c r="H69" s="171"/>
      <c r="I69" s="172"/>
      <c r="J69" s="170" t="str">
        <f>TEXT($G$1, "[$-ko-KR]yyyy-mm-dd(ddd) ") &amp; "오후 21:00"</f>
        <v>2023-01-28(토) 오후 21:00</v>
      </c>
      <c r="K69" s="171"/>
      <c r="L69" s="172"/>
      <c r="M69" s="170" t="str">
        <f>TEXT($G$1+1, "[$-ko-KR]yyyy-mm-dd(ddd) ") &amp; "오전 00:00"</f>
        <v>2023-01-29(일)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235</v>
      </c>
      <c r="B71" s="108">
        <v>776</v>
      </c>
      <c r="C71" s="69">
        <v>0.1054131054</v>
      </c>
      <c r="D71" s="13">
        <v>746</v>
      </c>
      <c r="E71" s="14">
        <f>IF(ISNUMBER(D71), (D71 - $B71) / $B71, "")</f>
        <v>-3.8659793814432991E-2</v>
      </c>
      <c r="F71" s="16">
        <f>IF(ISNUMBER(D71), $B91 * E71, "")</f>
        <v>-5798.9690721649486</v>
      </c>
      <c r="G71" s="29">
        <v>740</v>
      </c>
      <c r="H71" s="14">
        <f>IF(ISNUMBER(G71), (G71 - $B71) / $B71, "")</f>
        <v>-4.6391752577319589E-2</v>
      </c>
      <c r="I71" s="90">
        <f>IF(ISNUMBER(G71), $B91 * H71, "")</f>
        <v>-6958.7628865979386</v>
      </c>
      <c r="J71" s="13">
        <v>736</v>
      </c>
      <c r="K71" s="14">
        <f>IF(ISNUMBER(J71), (J71 - $B71) / $B71, "")</f>
        <v>-5.1546391752577317E-2</v>
      </c>
      <c r="L71" s="16">
        <f>IF(ISNUMBER(J71), $B91 * K71, "")</f>
        <v>-7731.9587628865975</v>
      </c>
      <c r="M71" s="29">
        <v>729</v>
      </c>
      <c r="N71" s="14">
        <f>IF(ISNUMBER(M71), (M71 - $B71) / $B71, "")</f>
        <v>-6.056701030927835E-2</v>
      </c>
      <c r="O71" s="16">
        <f>IF(ISNUMBER(M71), $B91 * N71, "")</f>
        <v>-9085.0515463917527</v>
      </c>
      <c r="Q71" s="156"/>
      <c r="R71" s="156"/>
      <c r="S71" s="156"/>
    </row>
    <row r="72" spans="1:19" ht="17.25" thickBot="1">
      <c r="A72" s="109" t="s">
        <v>153</v>
      </c>
      <c r="B72" s="110">
        <v>490</v>
      </c>
      <c r="C72" s="70">
        <v>6.0606060599999997E-2</v>
      </c>
      <c r="D72" s="15">
        <v>501</v>
      </c>
      <c r="E72" s="32">
        <f t="shared" ref="E72:E75" si="30">IF(ISNUMBER(D72), (D72 - $B72) / $B72, "")</f>
        <v>2.2448979591836733E-2</v>
      </c>
      <c r="F72" s="18">
        <f>IF(ISNUMBER(D72), $B91 * E72, "")</f>
        <v>3367.3469387755099</v>
      </c>
      <c r="G72" s="31">
        <v>497</v>
      </c>
      <c r="H72" s="32">
        <f t="shared" ref="H72:H75" si="31">IF(ISNUMBER(G72), (G72 - $B72) / $B72, "")</f>
        <v>1.4285714285714285E-2</v>
      </c>
      <c r="I72" s="91">
        <f>IF(ISNUMBER(G72), $B91 * H72, "")</f>
        <v>2142.8571428571427</v>
      </c>
      <c r="J72" s="15">
        <v>496</v>
      </c>
      <c r="K72" s="32">
        <f t="shared" ref="K72:K75" si="32">IF(ISNUMBER(J72), (J72 - $B72) / $B72, "")</f>
        <v>1.2244897959183673E-2</v>
      </c>
      <c r="L72" s="18">
        <f>IF(ISNUMBER(J72), $B91 * K72, "")</f>
        <v>1836.7346938775509</v>
      </c>
      <c r="M72" s="31">
        <v>490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56"/>
      <c r="R72" s="156"/>
      <c r="S72" s="156"/>
    </row>
    <row r="73" spans="1:19" ht="17.25" thickBot="1">
      <c r="A73" s="109" t="s">
        <v>183</v>
      </c>
      <c r="B73" s="110">
        <v>168</v>
      </c>
      <c r="C73" s="70">
        <v>0.05</v>
      </c>
      <c r="D73" s="15">
        <v>174</v>
      </c>
      <c r="E73" s="32">
        <f t="shared" si="30"/>
        <v>3.5714285714285712E-2</v>
      </c>
      <c r="F73" s="18">
        <f>IF(ISNUMBER(D73), $B91 * E73, "")</f>
        <v>5357.1428571428569</v>
      </c>
      <c r="G73" s="31">
        <v>173</v>
      </c>
      <c r="H73" s="32">
        <f t="shared" si="31"/>
        <v>2.976190476190476E-2</v>
      </c>
      <c r="I73" s="91">
        <f>IF(ISNUMBER(G73), $B91 * H73, "")</f>
        <v>4464.2857142857138</v>
      </c>
      <c r="J73" s="15">
        <v>173</v>
      </c>
      <c r="K73" s="32">
        <f t="shared" si="32"/>
        <v>2.976190476190476E-2</v>
      </c>
      <c r="L73" s="18">
        <f>IF(ISNUMBER(J73), $B91 * K73, "")</f>
        <v>4464.2857142857138</v>
      </c>
      <c r="M73" s="31">
        <v>170</v>
      </c>
      <c r="N73" s="32">
        <f t="shared" si="33"/>
        <v>1.1904761904761904E-2</v>
      </c>
      <c r="O73" s="18">
        <f>IF(ISNUMBER(M73), $B91 * N73, "")</f>
        <v>1785.7142857142856</v>
      </c>
      <c r="Q73" s="146"/>
      <c r="R73" s="146"/>
      <c r="S73" s="146"/>
    </row>
    <row r="74" spans="1:19" ht="17.25" thickBot="1">
      <c r="A74" s="109" t="s">
        <v>219</v>
      </c>
      <c r="B74" s="110">
        <v>517</v>
      </c>
      <c r="C74" s="70">
        <v>4.8681541600000003E-2</v>
      </c>
      <c r="D74" s="15">
        <v>522</v>
      </c>
      <c r="E74" s="32">
        <f t="shared" si="30"/>
        <v>9.6711798839458421E-3</v>
      </c>
      <c r="F74" s="18">
        <f>IF(ISNUMBER(D74), $B91 * E74, "")</f>
        <v>1450.6769825918764</v>
      </c>
      <c r="G74" s="31">
        <v>516</v>
      </c>
      <c r="H74" s="32">
        <f t="shared" si="31"/>
        <v>-1.9342359767891683E-3</v>
      </c>
      <c r="I74" s="91">
        <f>IF(ISNUMBER(G74), $B91 * H74, "")</f>
        <v>-290.13539651837522</v>
      </c>
      <c r="J74" s="15">
        <v>517</v>
      </c>
      <c r="K74" s="32">
        <f t="shared" si="32"/>
        <v>0</v>
      </c>
      <c r="L74" s="18">
        <f>IF(ISNUMBER(J74), $B91 * K74, "")</f>
        <v>0</v>
      </c>
      <c r="M74" s="31">
        <v>510</v>
      </c>
      <c r="N74" s="32">
        <f t="shared" si="33"/>
        <v>-1.3539651837524178E-2</v>
      </c>
      <c r="O74" s="18">
        <f>IF(ISNUMBER(M74), $B91 * N74, "")</f>
        <v>-2030.9477756286267</v>
      </c>
      <c r="Q74" s="146"/>
      <c r="R74" s="146"/>
      <c r="S74" s="146"/>
    </row>
    <row r="75" spans="1:19" ht="17.25" thickBot="1">
      <c r="A75" s="111" t="s">
        <v>103</v>
      </c>
      <c r="B75" s="112">
        <v>298</v>
      </c>
      <c r="C75" s="71">
        <v>4.5614035099999999E-2</v>
      </c>
      <c r="D75" s="20">
        <v>298</v>
      </c>
      <c r="E75" s="21">
        <f t="shared" si="30"/>
        <v>0</v>
      </c>
      <c r="F75" s="22">
        <f>IF(ISNUMBER(D75), $B91 * E75, "")</f>
        <v>0</v>
      </c>
      <c r="G75" s="30">
        <v>296</v>
      </c>
      <c r="H75" s="21">
        <f t="shared" si="31"/>
        <v>-6.7114093959731542E-3</v>
      </c>
      <c r="I75" s="95">
        <f>IF(ISNUMBER(G75), $B91 * H75, "")</f>
        <v>-1006.7114093959731</v>
      </c>
      <c r="J75" s="20">
        <v>293</v>
      </c>
      <c r="K75" s="21">
        <f t="shared" si="32"/>
        <v>-1.6778523489932886E-2</v>
      </c>
      <c r="L75" s="22">
        <f>IF(ISNUMBER(J75), $B91 * K75, "")</f>
        <v>-2516.7785234899329</v>
      </c>
      <c r="M75" s="30">
        <v>289</v>
      </c>
      <c r="N75" s="21">
        <f t="shared" si="33"/>
        <v>-3.0201342281879196E-2</v>
      </c>
      <c r="O75" s="22">
        <f>IF(ISNUMBER(M75), $B91 * N75, "")</f>
        <v>-4530.2013422818791</v>
      </c>
      <c r="Q75" s="146"/>
      <c r="R75" s="146"/>
      <c r="S75" s="146"/>
    </row>
    <row r="76" spans="1:19" ht="17.25" thickBot="1">
      <c r="A76" s="109" t="s">
        <v>169</v>
      </c>
      <c r="B76" s="113">
        <v>303</v>
      </c>
      <c r="C76" s="73">
        <v>3.7671232899999997E-2</v>
      </c>
      <c r="D76" s="96">
        <v>304</v>
      </c>
      <c r="E76" s="97">
        <f>IF(ISNUMBER(D76), (D76 - $B76) / $B76, "")</f>
        <v>3.3003300330033004E-3</v>
      </c>
      <c r="F76" s="98">
        <f>IF(ISNUMBER(D76), $B91 * E76, "")</f>
        <v>495.04950495049508</v>
      </c>
      <c r="G76" s="99">
        <v>300</v>
      </c>
      <c r="H76" s="97">
        <f>IF(ISNUMBER(G76), (G76 - $B76) / $B76, "")</f>
        <v>-9.9009900990099011E-3</v>
      </c>
      <c r="I76" s="100">
        <f>IF(ISNUMBER(G76), $B91 * H76, "")</f>
        <v>-1485.1485148514851</v>
      </c>
      <c r="J76" s="96">
        <v>300</v>
      </c>
      <c r="K76" s="97">
        <f>IF(ISNUMBER(J76), (J76 - $B76) / $B76, "")</f>
        <v>-9.9009900990099011E-3</v>
      </c>
      <c r="L76" s="98">
        <f>IF(ISNUMBER(J76), $B91 * K76, "")</f>
        <v>-1485.1485148514851</v>
      </c>
      <c r="M76" s="99">
        <v>295</v>
      </c>
      <c r="N76" s="97">
        <f>IF(ISNUMBER(M76), (M76 - $B76) / $B76, "")</f>
        <v>-2.6402640264026403E-2</v>
      </c>
      <c r="O76" s="98">
        <f>IF(ISNUMBER(M76), $B91 * N76, "")</f>
        <v>-3960.3960396039606</v>
      </c>
      <c r="Q76" s="146"/>
      <c r="R76" s="146"/>
      <c r="S76" s="146"/>
    </row>
    <row r="77" spans="1:19" ht="17.25" thickBot="1">
      <c r="A77" s="109" t="s">
        <v>239</v>
      </c>
      <c r="B77" s="110">
        <v>529</v>
      </c>
      <c r="C77" s="70">
        <v>3.7254901999999999E-2</v>
      </c>
      <c r="D77" s="15">
        <v>519</v>
      </c>
      <c r="E77" s="32">
        <f t="shared" ref="E77:E80" si="34">IF(ISNUMBER(D77), (D77 - $B77) / $B77, "")</f>
        <v>-1.890359168241966E-2</v>
      </c>
      <c r="F77" s="18">
        <f>IF(ISNUMBER(D77), $B91 * E77, "")</f>
        <v>-2835.5387523629488</v>
      </c>
      <c r="G77" s="31">
        <v>513</v>
      </c>
      <c r="H77" s="32">
        <f t="shared" ref="H77:H80" si="35">IF(ISNUMBER(G77), (G77 - $B77) / $B77, "")</f>
        <v>-3.0245746691871456E-2</v>
      </c>
      <c r="I77" s="91">
        <f>IF(ISNUMBER(G77), $B91 * H77, "")</f>
        <v>-4536.8620037807186</v>
      </c>
      <c r="J77" s="15">
        <v>516</v>
      </c>
      <c r="K77" s="32">
        <f t="shared" ref="K77:K80" si="36">IF(ISNUMBER(J77), (J77 - $B77) / $B77, "")</f>
        <v>-2.4574669187145556E-2</v>
      </c>
      <c r="L77" s="18">
        <f>IF(ISNUMBER(J77), $B91 * K77, "")</f>
        <v>-3686.2003780718333</v>
      </c>
      <c r="M77" s="31">
        <v>510</v>
      </c>
      <c r="N77" s="32">
        <f t="shared" ref="N77:N80" si="37">IF(ISNUMBER(M77), (M77 - $B77) / $B77, "")</f>
        <v>-3.5916824196597356E-2</v>
      </c>
      <c r="O77" s="18">
        <f>IF(ISNUMBER(M77), $B91 * N77, "")</f>
        <v>-5387.5236294896031</v>
      </c>
      <c r="Q77" s="146"/>
      <c r="R77" s="146"/>
      <c r="S77" s="146"/>
    </row>
    <row r="78" spans="1:19" ht="17.25" thickBot="1">
      <c r="A78" s="109" t="s">
        <v>241</v>
      </c>
      <c r="B78" s="110">
        <v>115</v>
      </c>
      <c r="C78" s="70">
        <v>3.6036036E-2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91">
        <f>IF(ISNUMBER(G78), $B91 * H78, "")</f>
        <v>0</v>
      </c>
      <c r="J78" s="15">
        <v>113</v>
      </c>
      <c r="K78" s="32">
        <f t="shared" si="36"/>
        <v>-1.7391304347826087E-2</v>
      </c>
      <c r="L78" s="18">
        <f>IF(ISNUMBER(J78), $B91 * K78, "")</f>
        <v>-2608.695652173913</v>
      </c>
      <c r="M78" s="31">
        <v>112</v>
      </c>
      <c r="N78" s="32">
        <f t="shared" si="37"/>
        <v>-2.6086956521739129E-2</v>
      </c>
      <c r="O78" s="18">
        <f>IF(ISNUMBER(M78), $B91 * N78, "")</f>
        <v>-3913.0434782608695</v>
      </c>
      <c r="Q78" s="146"/>
      <c r="R78" s="146"/>
      <c r="S78" s="146"/>
    </row>
    <row r="79" spans="1:19" ht="17.25" thickBot="1">
      <c r="A79" s="109" t="s">
        <v>167</v>
      </c>
      <c r="B79" s="110">
        <v>232</v>
      </c>
      <c r="C79" s="70">
        <v>3.5714285700000001E-2</v>
      </c>
      <c r="D79" s="15">
        <v>239</v>
      </c>
      <c r="E79" s="32">
        <f t="shared" si="34"/>
        <v>3.017241379310345E-2</v>
      </c>
      <c r="F79" s="18">
        <f>IF(ISNUMBER(D79), $B91 * E79, "")</f>
        <v>4525.8620689655172</v>
      </c>
      <c r="G79" s="31">
        <v>236</v>
      </c>
      <c r="H79" s="32">
        <f t="shared" si="35"/>
        <v>1.7241379310344827E-2</v>
      </c>
      <c r="I79" s="91">
        <f>IF(ISNUMBER(G79), $B91 * H79, "")</f>
        <v>2586.2068965517242</v>
      </c>
      <c r="J79" s="15">
        <v>234</v>
      </c>
      <c r="K79" s="32">
        <f t="shared" si="36"/>
        <v>8.6206896551724137E-3</v>
      </c>
      <c r="L79" s="18">
        <f>IF(ISNUMBER(J79), $B91 * K79, "")</f>
        <v>1293.1034482758621</v>
      </c>
      <c r="M79" s="31">
        <v>231</v>
      </c>
      <c r="N79" s="32">
        <f t="shared" si="37"/>
        <v>-4.3103448275862068E-3</v>
      </c>
      <c r="O79" s="18">
        <f>IF(ISNUMBER(M79), $B91 * N79, "")</f>
        <v>-646.55172413793105</v>
      </c>
      <c r="Q79" s="33"/>
      <c r="R79" s="33"/>
    </row>
    <row r="80" spans="1:19" ht="17.25" thickBot="1">
      <c r="A80" s="114" t="s">
        <v>215</v>
      </c>
      <c r="B80" s="115">
        <v>416</v>
      </c>
      <c r="C80" s="72">
        <v>3.4825870600000003E-2</v>
      </c>
      <c r="D80" s="24">
        <v>417</v>
      </c>
      <c r="E80" s="25">
        <f t="shared" si="34"/>
        <v>2.403846153846154E-3</v>
      </c>
      <c r="F80" s="94">
        <f>IF(ISNUMBER(D80), $B91 * E80, "")</f>
        <v>360.57692307692309</v>
      </c>
      <c r="G80" s="92">
        <v>415</v>
      </c>
      <c r="H80" s="25">
        <f t="shared" si="35"/>
        <v>-2.403846153846154E-3</v>
      </c>
      <c r="I80" s="93">
        <f>IF(ISNUMBER(G80), $B91 * H80, "")</f>
        <v>-360.57692307692309</v>
      </c>
      <c r="J80" s="24">
        <v>414</v>
      </c>
      <c r="K80" s="25">
        <f t="shared" si="36"/>
        <v>-4.807692307692308E-3</v>
      </c>
      <c r="L80" s="94">
        <f>IF(ISNUMBER(J80), $B91 * K80, "")</f>
        <v>-721.15384615384619</v>
      </c>
      <c r="M80" s="92">
        <v>411</v>
      </c>
      <c r="N80" s="25">
        <f t="shared" si="37"/>
        <v>-1.201923076923077E-2</v>
      </c>
      <c r="O80" s="94">
        <f>IF(ISNUMBER(M80), $B91 * N80, "")</f>
        <v>-1802.8846153846155</v>
      </c>
      <c r="Q80" s="147"/>
      <c r="R80" s="148"/>
      <c r="S80" s="149"/>
    </row>
    <row r="81" spans="1:19">
      <c r="A81" s="107" t="s">
        <v>231</v>
      </c>
      <c r="B81" s="108">
        <v>420</v>
      </c>
      <c r="C81" s="69">
        <v>3.4482758600000003E-2</v>
      </c>
      <c r="D81" s="13">
        <v>427</v>
      </c>
      <c r="E81" s="14">
        <f>IF(ISNUMBER(D81), (D81 - $B81) / $B81, "")</f>
        <v>1.6666666666666666E-2</v>
      </c>
      <c r="F81" s="16">
        <f>IF(ISNUMBER(D81), $B91 * E81, "")</f>
        <v>2500</v>
      </c>
      <c r="G81" s="29">
        <v>422</v>
      </c>
      <c r="H81" s="14">
        <f>IF(ISNUMBER(G81), (G81 - $B81) / $B81, "")</f>
        <v>4.7619047619047623E-3</v>
      </c>
      <c r="I81" s="90">
        <f>IF(ISNUMBER(G81), $B91 * H81, "")</f>
        <v>714.28571428571433</v>
      </c>
      <c r="J81" s="13">
        <v>420</v>
      </c>
      <c r="K81" s="14">
        <f>IF(ISNUMBER(J81), (J81 - $B81) / $B81, "")</f>
        <v>0</v>
      </c>
      <c r="L81" s="16">
        <f>IF(ISNUMBER(J81), $B91 * K81, "")</f>
        <v>0</v>
      </c>
      <c r="M81" s="29">
        <v>417</v>
      </c>
      <c r="N81" s="14">
        <f>IF(ISNUMBER(M81), (M81 - $B81) / $B81, "")</f>
        <v>-7.1428571428571426E-3</v>
      </c>
      <c r="O81" s="16">
        <f>IF(ISNUMBER(M81), $B91 * N81, "")</f>
        <v>-1071.4285714285713</v>
      </c>
      <c r="Q81" s="150"/>
      <c r="R81" s="151"/>
      <c r="S81" s="152"/>
    </row>
    <row r="82" spans="1:19" ht="17.25" thickBot="1">
      <c r="A82" s="109" t="s">
        <v>120</v>
      </c>
      <c r="B82" s="110">
        <v>140</v>
      </c>
      <c r="C82" s="70">
        <v>2.1897810199999999E-2</v>
      </c>
      <c r="D82" s="15">
        <v>143</v>
      </c>
      <c r="E82" s="32">
        <f t="shared" ref="E82:E85" si="38">IF(ISNUMBER(D82), (D82 - $B82) / $B82, "")</f>
        <v>2.1428571428571429E-2</v>
      </c>
      <c r="F82" s="18">
        <f>IF(ISNUMBER(D82), $B91 * E82, "")</f>
        <v>3214.2857142857142</v>
      </c>
      <c r="G82" s="31">
        <v>142</v>
      </c>
      <c r="H82" s="32">
        <f t="shared" ref="H82:H85" si="39">IF(ISNUMBER(G82), (G82 - $B82) / $B82, "")</f>
        <v>1.4285714285714285E-2</v>
      </c>
      <c r="I82" s="91">
        <f>IF(ISNUMBER(G82), $B91 * H82, "")</f>
        <v>2142.8571428571427</v>
      </c>
      <c r="J82" s="15">
        <v>143</v>
      </c>
      <c r="K82" s="32">
        <f t="shared" ref="K82:K85" si="40">IF(ISNUMBER(J82), (J82 - $B82) / $B82, "")</f>
        <v>2.1428571428571429E-2</v>
      </c>
      <c r="L82" s="18">
        <f>IF(ISNUMBER(J82), $B91 * K82, "")</f>
        <v>3214.2857142857142</v>
      </c>
      <c r="M82" s="31">
        <v>140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153"/>
      <c r="R82" s="154"/>
      <c r="S82" s="155"/>
    </row>
    <row r="83" spans="1:19" ht="17.25" thickBot="1">
      <c r="A83" s="109" t="s">
        <v>229</v>
      </c>
      <c r="B83" s="110">
        <v>305</v>
      </c>
      <c r="C83" s="70">
        <v>2.0066889599999999E-2</v>
      </c>
      <c r="D83" s="15">
        <v>312</v>
      </c>
      <c r="E83" s="32">
        <f t="shared" si="38"/>
        <v>2.2950819672131147E-2</v>
      </c>
      <c r="F83" s="18">
        <f>IF(ISNUMBER(D83), $B91 * E83, "")</f>
        <v>3442.622950819672</v>
      </c>
      <c r="G83" s="31">
        <v>310</v>
      </c>
      <c r="H83" s="32">
        <f t="shared" si="39"/>
        <v>1.6393442622950821E-2</v>
      </c>
      <c r="I83" s="91">
        <f>IF(ISNUMBER(G83), $B91 * H83, "")</f>
        <v>2459.0163934426232</v>
      </c>
      <c r="J83" s="15">
        <v>309</v>
      </c>
      <c r="K83" s="32">
        <f t="shared" si="40"/>
        <v>1.3114754098360656E-2</v>
      </c>
      <c r="L83" s="18">
        <f>IF(ISNUMBER(J83), $B91 * K83, "")</f>
        <v>1967.2131147540983</v>
      </c>
      <c r="M83" s="31">
        <v>304</v>
      </c>
      <c r="N83" s="32">
        <f t="shared" si="41"/>
        <v>-3.2786885245901639E-3</v>
      </c>
      <c r="O83" s="18">
        <f>IF(ISNUMBER(M83), $B91 * N83, "")</f>
        <v>-491.80327868852459</v>
      </c>
      <c r="Q83" s="146"/>
      <c r="R83" s="146"/>
      <c r="S83" s="146"/>
    </row>
    <row r="84" spans="1:19" ht="17.25" thickBot="1">
      <c r="A84" s="109" t="s">
        <v>213</v>
      </c>
      <c r="B84" s="110">
        <v>571</v>
      </c>
      <c r="C84" s="70">
        <v>1.9642857100000001E-2</v>
      </c>
      <c r="D84" s="15">
        <v>573</v>
      </c>
      <c r="E84" s="32">
        <f t="shared" si="38"/>
        <v>3.5026269702276708E-3</v>
      </c>
      <c r="F84" s="18">
        <f>IF(ISNUMBER(D84), $B91 * E84, "")</f>
        <v>525.39404553415056</v>
      </c>
      <c r="G84" s="31">
        <v>578</v>
      </c>
      <c r="H84" s="32">
        <f t="shared" si="39"/>
        <v>1.2259194395796848E-2</v>
      </c>
      <c r="I84" s="91">
        <f>IF(ISNUMBER(G84), $B91 * H84, "")</f>
        <v>1838.8791593695271</v>
      </c>
      <c r="J84" s="15">
        <v>572</v>
      </c>
      <c r="K84" s="32">
        <f t="shared" si="40"/>
        <v>1.7513134851138354E-3</v>
      </c>
      <c r="L84" s="18">
        <f>IF(ISNUMBER(J84), $B91 * K84, "")</f>
        <v>262.69702276707528</v>
      </c>
      <c r="M84" s="31">
        <v>564</v>
      </c>
      <c r="N84" s="32">
        <f t="shared" si="41"/>
        <v>-1.2259194395796848E-2</v>
      </c>
      <c r="O84" s="18">
        <f>IF(ISNUMBER(M84), $B91 * N84, "")</f>
        <v>-1838.8791593695271</v>
      </c>
      <c r="Q84" s="156"/>
      <c r="R84" s="156"/>
      <c r="S84" s="156"/>
    </row>
    <row r="85" spans="1:19" ht="17.25" thickBot="1">
      <c r="A85" s="111" t="s">
        <v>176</v>
      </c>
      <c r="B85" s="112">
        <v>382</v>
      </c>
      <c r="C85" s="71">
        <v>1.8666666700000001E-2</v>
      </c>
      <c r="D85" s="20">
        <v>386</v>
      </c>
      <c r="E85" s="21">
        <f t="shared" si="38"/>
        <v>1.0471204188481676E-2</v>
      </c>
      <c r="F85" s="22">
        <f>IF(ISNUMBER(D85), $B91 * E85, "")</f>
        <v>1570.6806282722514</v>
      </c>
      <c r="G85" s="30">
        <v>384</v>
      </c>
      <c r="H85" s="21">
        <f t="shared" si="39"/>
        <v>5.235602094240838E-3</v>
      </c>
      <c r="I85" s="95">
        <f>IF(ISNUMBER(G85), $B91 * H85, "")</f>
        <v>785.3403141361257</v>
      </c>
      <c r="J85" s="20">
        <v>384</v>
      </c>
      <c r="K85" s="21">
        <f t="shared" si="40"/>
        <v>5.235602094240838E-3</v>
      </c>
      <c r="L85" s="22">
        <f>IF(ISNUMBER(J85), $B91 * K85, "")</f>
        <v>785.3403141361257</v>
      </c>
      <c r="M85" s="30">
        <v>380</v>
      </c>
      <c r="N85" s="21">
        <f t="shared" si="41"/>
        <v>-5.235602094240838E-3</v>
      </c>
      <c r="O85" s="22">
        <f>IF(ISNUMBER(M85), $B91 * N85, "")</f>
        <v>-785.3403141361257</v>
      </c>
      <c r="Q85" s="156"/>
      <c r="R85" s="156"/>
      <c r="S85" s="156"/>
    </row>
    <row r="86" spans="1:19" ht="17.25" thickBot="1">
      <c r="A86" s="109" t="s">
        <v>321</v>
      </c>
      <c r="B86" s="113">
        <v>246</v>
      </c>
      <c r="C86" s="73">
        <v>1.6528925600000001E-2</v>
      </c>
      <c r="D86" s="96">
        <v>255</v>
      </c>
      <c r="E86" s="97">
        <f>IF(ISNUMBER(D86), (D86 - $B86) / $B86, "")</f>
        <v>3.6585365853658534E-2</v>
      </c>
      <c r="F86" s="98">
        <f>IF(ISNUMBER(D86), $B91 * E86, "")</f>
        <v>5487.8048780487798</v>
      </c>
      <c r="G86" s="99">
        <v>250</v>
      </c>
      <c r="H86" s="97">
        <f>IF(ISNUMBER(G86), (G86 - $B86) / $B86, "")</f>
        <v>1.6260162601626018E-2</v>
      </c>
      <c r="I86" s="100">
        <f>IF(ISNUMBER(G86), $B91 * H86, "")</f>
        <v>2439.0243902439029</v>
      </c>
      <c r="J86" s="96">
        <v>248</v>
      </c>
      <c r="K86" s="97">
        <f>IF(ISNUMBER(J86), (J86 - $B86) / $B86, "")</f>
        <v>8.130081300813009E-3</v>
      </c>
      <c r="L86" s="98">
        <f>IF(ISNUMBER(J86), $B91 * K86, "")</f>
        <v>1219.5121951219514</v>
      </c>
      <c r="M86" s="99">
        <v>245</v>
      </c>
      <c r="N86" s="97">
        <f>IF(ISNUMBER(M86), (M86 - $B86) / $B86, "")</f>
        <v>-4.0650406504065045E-3</v>
      </c>
      <c r="O86" s="98">
        <f>IF(ISNUMBER(M86), $B91 * N86, "")</f>
        <v>-609.75609756097572</v>
      </c>
      <c r="Q86" s="146"/>
      <c r="R86" s="146"/>
      <c r="S86" s="146"/>
    </row>
    <row r="87" spans="1:19" ht="17.25" thickBot="1">
      <c r="A87" s="109" t="s">
        <v>326</v>
      </c>
      <c r="B87" s="110">
        <v>312</v>
      </c>
      <c r="C87" s="70">
        <v>9.7087379000000001E-3</v>
      </c>
      <c r="D87" s="15">
        <v>332</v>
      </c>
      <c r="E87" s="32">
        <f t="shared" ref="E87:E90" si="42">IF(ISNUMBER(D87), (D87 - $B87) / $B87, "")</f>
        <v>6.4102564102564097E-2</v>
      </c>
      <c r="F87" s="18">
        <f>IF(ISNUMBER(D87), $B91 * E87, "")</f>
        <v>9615.3846153846152</v>
      </c>
      <c r="G87" s="31">
        <v>325</v>
      </c>
      <c r="H87" s="32">
        <f t="shared" ref="H87:H90" si="43">IF(ISNUMBER(G87), (G87 - $B87) / $B87, "")</f>
        <v>4.1666666666666664E-2</v>
      </c>
      <c r="I87" s="91">
        <f>IF(ISNUMBER(G87), $B91 * H87, "")</f>
        <v>6250</v>
      </c>
      <c r="J87" s="15">
        <v>322</v>
      </c>
      <c r="K87" s="32">
        <f t="shared" ref="K87:K90" si="44">IF(ISNUMBER(J87), (J87 - $B87) / $B87, "")</f>
        <v>3.2051282051282048E-2</v>
      </c>
      <c r="L87" s="18">
        <f>IF(ISNUMBER(J87), $B91 * K87, "")</f>
        <v>4807.6923076923076</v>
      </c>
      <c r="M87" s="31">
        <v>317</v>
      </c>
      <c r="N87" s="32">
        <f t="shared" ref="N87:N90" si="45">IF(ISNUMBER(M87), (M87 - $B87) / $B87, "")</f>
        <v>1.6025641025641024E-2</v>
      </c>
      <c r="O87" s="18">
        <f>IF(ISNUMBER(M87), $B91 * N87, "")</f>
        <v>2403.8461538461538</v>
      </c>
      <c r="Q87" s="146"/>
      <c r="R87" s="146"/>
      <c r="S87" s="146"/>
    </row>
    <row r="88" spans="1:19" ht="17.25" thickBot="1">
      <c r="A88" s="109" t="s">
        <v>330</v>
      </c>
      <c r="B88" s="110">
        <v>370</v>
      </c>
      <c r="C88" s="70">
        <v>8.1743869000000004E-3</v>
      </c>
      <c r="D88" s="15">
        <v>376</v>
      </c>
      <c r="E88" s="32">
        <f t="shared" si="42"/>
        <v>1.6216216216216217E-2</v>
      </c>
      <c r="F88" s="18">
        <f>IF(ISNUMBER(D88), $B91 * E88, "")</f>
        <v>2432.4324324324325</v>
      </c>
      <c r="G88" s="31">
        <v>374</v>
      </c>
      <c r="H88" s="32">
        <f t="shared" si="43"/>
        <v>1.0810810810810811E-2</v>
      </c>
      <c r="I88" s="91">
        <f>IF(ISNUMBER(G88), $B91 * H88, "")</f>
        <v>1621.6216216216217</v>
      </c>
      <c r="J88" s="15">
        <v>375</v>
      </c>
      <c r="K88" s="32">
        <f t="shared" si="44"/>
        <v>1.3513513513513514E-2</v>
      </c>
      <c r="L88" s="18">
        <f>IF(ISNUMBER(J88), $B91 * K88, "")</f>
        <v>2027.0270270270271</v>
      </c>
      <c r="M88" s="31">
        <v>365</v>
      </c>
      <c r="N88" s="32">
        <f t="shared" si="45"/>
        <v>-1.3513513513513514E-2</v>
      </c>
      <c r="O88" s="18">
        <f>IF(ISNUMBER(M88), $B91 * N88, "")</f>
        <v>-2027.0270270270271</v>
      </c>
      <c r="Q88" s="146"/>
      <c r="R88" s="146"/>
      <c r="S88" s="146"/>
    </row>
    <row r="89" spans="1:19">
      <c r="A89" s="109" t="s">
        <v>223</v>
      </c>
      <c r="B89" s="110">
        <v>253</v>
      </c>
      <c r="C89" s="70">
        <v>7.9681274999999999E-3</v>
      </c>
      <c r="D89" s="15">
        <v>256</v>
      </c>
      <c r="E89" s="32">
        <f t="shared" si="42"/>
        <v>1.1857707509881422E-2</v>
      </c>
      <c r="F89" s="18">
        <f>IF(ISNUMBER(D89), $B91 * E89, "")</f>
        <v>1778.6561264822133</v>
      </c>
      <c r="G89" s="31">
        <v>255</v>
      </c>
      <c r="H89" s="32">
        <f t="shared" si="43"/>
        <v>7.9051383399209481E-3</v>
      </c>
      <c r="I89" s="91">
        <f>IF(ISNUMBER(G89), $B91 * H89, "")</f>
        <v>1185.7707509881423</v>
      </c>
      <c r="J89" s="15">
        <v>253</v>
      </c>
      <c r="K89" s="32">
        <f t="shared" si="44"/>
        <v>0</v>
      </c>
      <c r="L89" s="18">
        <f>IF(ISNUMBER(J89), $B91 * K89, "")</f>
        <v>0</v>
      </c>
      <c r="M89" s="31">
        <v>251</v>
      </c>
      <c r="N89" s="32">
        <f t="shared" si="45"/>
        <v>-7.9051383399209481E-3</v>
      </c>
      <c r="O89" s="18">
        <f>IF(ISNUMBER(M89), $B91 * N89, "")</f>
        <v>-1185.7707509881423</v>
      </c>
      <c r="Q89" s="135"/>
      <c r="R89" s="136"/>
      <c r="S89" s="137"/>
    </row>
    <row r="90" spans="1:19" ht="17.25" thickBot="1">
      <c r="A90" s="114" t="s">
        <v>317</v>
      </c>
      <c r="B90" s="115">
        <v>641</v>
      </c>
      <c r="C90" s="72">
        <v>6.2794349000000003E-3</v>
      </c>
      <c r="D90" s="24">
        <v>651</v>
      </c>
      <c r="E90" s="25">
        <f t="shared" si="42"/>
        <v>1.5600624024960999E-2</v>
      </c>
      <c r="F90" s="94">
        <f>IF(ISNUMBER(D90), $B91 * E90, "")</f>
        <v>2340.0936037441497</v>
      </c>
      <c r="G90" s="92">
        <v>643</v>
      </c>
      <c r="H90" s="25">
        <f t="shared" si="43"/>
        <v>3.1201248049921998E-3</v>
      </c>
      <c r="I90" s="93">
        <f>IF(ISNUMBER(G90), $B91 * H90, "")</f>
        <v>468.01872074882999</v>
      </c>
      <c r="J90" s="24">
        <v>643</v>
      </c>
      <c r="K90" s="25">
        <f t="shared" si="44"/>
        <v>3.1201248049921998E-3</v>
      </c>
      <c r="L90" s="94">
        <f>IF(ISNUMBER(J90), $B91 * K90, "")</f>
        <v>468.01872074882999</v>
      </c>
      <c r="M90" s="92">
        <v>639</v>
      </c>
      <c r="N90" s="25">
        <f t="shared" si="45"/>
        <v>-3.1201248049921998E-3</v>
      </c>
      <c r="O90" s="94">
        <f>IF(ISNUMBER(M90), $B91 * N90, "")</f>
        <v>-468.01872074882999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1.3276500815326419E-2</v>
      </c>
      <c r="F91" s="28">
        <f>SUM(F71:F90)</f>
        <v>39829.502445979262</v>
      </c>
      <c r="G91" s="26" t="s">
        <v>258</v>
      </c>
      <c r="H91" s="27">
        <f>IF(COUNT(H71:H90), SUM(H71:H90) / COUNT(H71:H90), 0)</f>
        <v>4.8199889423889324E-3</v>
      </c>
      <c r="I91" s="28">
        <f>SUM(I71:I90)</f>
        <v>14459.966827166798</v>
      </c>
      <c r="J91" s="26" t="s">
        <v>258</v>
      </c>
      <c r="K91" s="27">
        <f>IF(COUNT(K71:K90), SUM(K71:K90) / COUNT(K71:K90), 0)</f>
        <v>1.1986581984482166E-3</v>
      </c>
      <c r="L91" s="28">
        <f>SUM(L71:L90)</f>
        <v>3595.9745953446491</v>
      </c>
      <c r="M91" s="26" t="s">
        <v>258</v>
      </c>
      <c r="N91" s="27">
        <f>IF(COUNT(N71:N90), SUM(N71:N90) / COUNT(N71:N90), 0)</f>
        <v>-1.1881687877188841E-2</v>
      </c>
      <c r="O91" s="28">
        <f>SUM(O71:O90)</f>
        <v>-35645.063631566525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2023-01-28(토) 오전 00:00</v>
      </c>
      <c r="C96" s="198"/>
      <c r="D96" s="170" t="str">
        <f>TEXT($G$1, "[$-ko-KR]yyyy-mm-dd(ddd) ") &amp; "오후 14:00"</f>
        <v>2023-01-28(토) 오후 14:00</v>
      </c>
      <c r="E96" s="171"/>
      <c r="F96" s="172"/>
      <c r="G96" s="170" t="str">
        <f>TEXT($G$1, "[$-ko-KR]yyyy-mm-dd(ddd) ") &amp; "오후 19:00"</f>
        <v>2023-01-28(토) 오후 19:00</v>
      </c>
      <c r="H96" s="171"/>
      <c r="I96" s="172"/>
      <c r="J96" s="170" t="str">
        <f>TEXT($G$1, "[$-ko-KR]yyyy-mm-dd(ddd) ") &amp; "오후 21:00"</f>
        <v>2023-01-28(토) 오후 21:00</v>
      </c>
      <c r="K96" s="171"/>
      <c r="L96" s="172"/>
      <c r="M96" s="170" t="str">
        <f>TEXT($G$1+1, "[$-ko-KR]yyyy-mm-dd(ddd) ") &amp; "오전 00:00"</f>
        <v>2023-01-29(일)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132</v>
      </c>
      <c r="B98" s="108">
        <v>72.2</v>
      </c>
      <c r="C98" s="69">
        <v>0.14785373609999999</v>
      </c>
      <c r="D98" s="13">
        <v>73.900000000000006</v>
      </c>
      <c r="E98" s="14">
        <f>IF(ISNUMBER(D98), (D98 - $B98) / $B98, "")</f>
        <v>2.3545706371191175E-2</v>
      </c>
      <c r="F98" s="16">
        <f>IF(ISNUMBER(D98), $B118 * E98, "")</f>
        <v>3531.8559556786763</v>
      </c>
      <c r="G98" s="29">
        <v>73.400000000000006</v>
      </c>
      <c r="H98" s="14">
        <f>IF(ISNUMBER(G98), (G98 - $B98) / $B98, "")</f>
        <v>1.6620498614958488E-2</v>
      </c>
      <c r="I98" s="90">
        <f>IF(ISNUMBER(G98), $B118 * H98, "")</f>
        <v>2493.0747922437731</v>
      </c>
      <c r="J98" s="13">
        <v>72.7</v>
      </c>
      <c r="K98" s="14">
        <f>IF(ISNUMBER(J98), (J98 - $B98) / $B98, "")</f>
        <v>6.9252077562326868E-3</v>
      </c>
      <c r="L98" s="16">
        <f>IF(ISNUMBER(J98), $B118 * K98, "")</f>
        <v>1038.781163434903</v>
      </c>
      <c r="M98" s="29">
        <v>72.400000000000006</v>
      </c>
      <c r="N98" s="14">
        <f>IF(ISNUMBER(M98), (M98 - $B98) / $B98, "")</f>
        <v>2.7700831024931143E-3</v>
      </c>
      <c r="O98" s="16">
        <f>IF(ISNUMBER(M98), $B118 * N98, "")</f>
        <v>415.51246537396713</v>
      </c>
      <c r="Q98" s="156"/>
      <c r="R98" s="156"/>
      <c r="S98" s="156"/>
    </row>
    <row r="99" spans="1:19" ht="17.25" thickBot="1">
      <c r="A99" s="109" t="s">
        <v>151</v>
      </c>
      <c r="B99" s="110">
        <v>3475</v>
      </c>
      <c r="C99" s="70">
        <v>0.13376835240000001</v>
      </c>
      <c r="D99" s="15">
        <v>3810</v>
      </c>
      <c r="E99" s="32">
        <f t="shared" ref="E99:E102" si="46">IF(ISNUMBER(D99), (D99 - $B99) / $B99, "")</f>
        <v>9.6402877697841727E-2</v>
      </c>
      <c r="F99" s="18">
        <f>IF(ISNUMBER(D99), $B118 * E99, "")</f>
        <v>14460.431654676258</v>
      </c>
      <c r="G99" s="31">
        <v>3720</v>
      </c>
      <c r="H99" s="32">
        <f t="shared" ref="H99:H102" si="47">IF(ISNUMBER(G99), (G99 - $B99) / $B99, "")</f>
        <v>7.0503597122302156E-2</v>
      </c>
      <c r="I99" s="91">
        <f>IF(ISNUMBER(G99), $B118 * H99, "")</f>
        <v>10575.539568345323</v>
      </c>
      <c r="J99" s="15">
        <v>3680</v>
      </c>
      <c r="K99" s="32">
        <f t="shared" ref="K99:K102" si="48">IF(ISNUMBER(J99), (J99 - $B99) / $B99, "")</f>
        <v>5.8992805755395686E-2</v>
      </c>
      <c r="L99" s="18">
        <f>IF(ISNUMBER(J99), $B118 * K99, "")</f>
        <v>8848.9208633093531</v>
      </c>
      <c r="M99" s="31">
        <v>3635</v>
      </c>
      <c r="N99" s="32">
        <f t="shared" ref="N99:N102" si="49">IF(ISNUMBER(M99), (M99 - $B99) / $B99, "")</f>
        <v>4.60431654676259E-2</v>
      </c>
      <c r="O99" s="18">
        <f>IF(ISNUMBER(M99), $B118 * N99, "")</f>
        <v>6906.4748201438852</v>
      </c>
      <c r="Q99" s="156"/>
      <c r="R99" s="156"/>
      <c r="S99" s="156"/>
    </row>
    <row r="100" spans="1:19" ht="17.25" thickBot="1">
      <c r="A100" s="109" t="s">
        <v>235</v>
      </c>
      <c r="B100" s="110">
        <v>776</v>
      </c>
      <c r="C100" s="70">
        <v>0.1054131054</v>
      </c>
      <c r="D100" s="15">
        <v>746</v>
      </c>
      <c r="E100" s="32">
        <f t="shared" si="46"/>
        <v>-3.8659793814432991E-2</v>
      </c>
      <c r="F100" s="18">
        <f>IF(ISNUMBER(D100), $B118 * E100, "")</f>
        <v>-5798.9690721649486</v>
      </c>
      <c r="G100" s="31">
        <v>740</v>
      </c>
      <c r="H100" s="32">
        <f t="shared" si="47"/>
        <v>-4.6391752577319589E-2</v>
      </c>
      <c r="I100" s="91">
        <f>IF(ISNUMBER(G100), $B118 * H100, "")</f>
        <v>-6958.7628865979386</v>
      </c>
      <c r="J100" s="15">
        <v>736</v>
      </c>
      <c r="K100" s="32">
        <f t="shared" si="48"/>
        <v>-5.1546391752577317E-2</v>
      </c>
      <c r="L100" s="18">
        <f>IF(ISNUMBER(J100), $B118 * K100, "")</f>
        <v>-7731.9587628865975</v>
      </c>
      <c r="M100" s="31">
        <v>729</v>
      </c>
      <c r="N100" s="32">
        <f t="shared" si="49"/>
        <v>-6.056701030927835E-2</v>
      </c>
      <c r="O100" s="18">
        <f>IF(ISNUMBER(M100), $B118 * N100, "")</f>
        <v>-9085.0515463917527</v>
      </c>
      <c r="Q100" s="146"/>
      <c r="R100" s="146"/>
      <c r="S100" s="146"/>
    </row>
    <row r="101" spans="1:19" ht="17.25" thickBot="1">
      <c r="A101" s="109" t="s">
        <v>237</v>
      </c>
      <c r="B101" s="110">
        <v>34.6</v>
      </c>
      <c r="C101" s="70">
        <v>8.8050314500000004E-2</v>
      </c>
      <c r="D101" s="15">
        <v>35</v>
      </c>
      <c r="E101" s="32">
        <f t="shared" si="46"/>
        <v>1.1560693641618455E-2</v>
      </c>
      <c r="F101" s="18">
        <f>IF(ISNUMBER(D101), $B118 * E101, "")</f>
        <v>1734.1040462427682</v>
      </c>
      <c r="G101" s="31">
        <v>34.9</v>
      </c>
      <c r="H101" s="32">
        <f t="shared" si="47"/>
        <v>8.6705202312137904E-3</v>
      </c>
      <c r="I101" s="91">
        <f>IF(ISNUMBER(G101), $B118 * H101, "")</f>
        <v>1300.5780346820686</v>
      </c>
      <c r="J101" s="15">
        <v>34.6</v>
      </c>
      <c r="K101" s="32">
        <f t="shared" si="48"/>
        <v>0</v>
      </c>
      <c r="L101" s="18">
        <f>IF(ISNUMBER(J101), $B118 * K101, "")</f>
        <v>0</v>
      </c>
      <c r="M101" s="31">
        <v>34.299999999999997</v>
      </c>
      <c r="N101" s="32">
        <f t="shared" si="49"/>
        <v>-8.6705202312139951E-3</v>
      </c>
      <c r="O101" s="18">
        <f>IF(ISNUMBER(M101), $B118 * N101, "")</f>
        <v>-1300.5780346820993</v>
      </c>
      <c r="Q101" s="146"/>
      <c r="R101" s="146"/>
      <c r="S101" s="146"/>
    </row>
    <row r="102" spans="1:19" ht="17.25" thickBot="1">
      <c r="A102" s="111" t="s">
        <v>153</v>
      </c>
      <c r="B102" s="112">
        <v>490</v>
      </c>
      <c r="C102" s="71">
        <v>6.0606060599999997E-2</v>
      </c>
      <c r="D102" s="20">
        <v>501</v>
      </c>
      <c r="E102" s="21">
        <f t="shared" si="46"/>
        <v>2.2448979591836733E-2</v>
      </c>
      <c r="F102" s="22">
        <f>IF(ISNUMBER(D102), $B118 * E102, "")</f>
        <v>3367.3469387755099</v>
      </c>
      <c r="G102" s="30">
        <v>497</v>
      </c>
      <c r="H102" s="21">
        <f t="shared" si="47"/>
        <v>1.4285714285714285E-2</v>
      </c>
      <c r="I102" s="95">
        <f>IF(ISNUMBER(G102), $B118 * H102, "")</f>
        <v>2142.8571428571427</v>
      </c>
      <c r="J102" s="20">
        <v>496</v>
      </c>
      <c r="K102" s="21">
        <f t="shared" si="48"/>
        <v>1.2244897959183673E-2</v>
      </c>
      <c r="L102" s="22">
        <f>IF(ISNUMBER(J102), $B118 * K102, "")</f>
        <v>1836.7346938775509</v>
      </c>
      <c r="M102" s="30">
        <v>490</v>
      </c>
      <c r="N102" s="21">
        <f t="shared" si="49"/>
        <v>0</v>
      </c>
      <c r="O102" s="22">
        <f>IF(ISNUMBER(M102), $B118 * N102, "")</f>
        <v>0</v>
      </c>
      <c r="Q102" s="146"/>
      <c r="R102" s="146"/>
      <c r="S102" s="146"/>
    </row>
    <row r="103" spans="1:19" ht="17.25" thickBot="1">
      <c r="A103" s="109" t="s">
        <v>183</v>
      </c>
      <c r="B103" s="113">
        <v>168</v>
      </c>
      <c r="C103" s="73">
        <v>0.05</v>
      </c>
      <c r="D103" s="96">
        <v>174</v>
      </c>
      <c r="E103" s="97">
        <f>IF(ISNUMBER(D103), (D103 - $B103) / $B103, "")</f>
        <v>3.5714285714285712E-2</v>
      </c>
      <c r="F103" s="98">
        <f>IF(ISNUMBER(D103), $B118 * E103, "")</f>
        <v>5357.1428571428569</v>
      </c>
      <c r="G103" s="99">
        <v>173</v>
      </c>
      <c r="H103" s="97">
        <f>IF(ISNUMBER(G103), (G103 - $B103) / $B103, "")</f>
        <v>2.976190476190476E-2</v>
      </c>
      <c r="I103" s="100">
        <f>IF(ISNUMBER(G103), $B118 * H103, "")</f>
        <v>4464.2857142857138</v>
      </c>
      <c r="J103" s="96">
        <v>173</v>
      </c>
      <c r="K103" s="97">
        <f>IF(ISNUMBER(J103), (J103 - $B103) / $B103, "")</f>
        <v>2.976190476190476E-2</v>
      </c>
      <c r="L103" s="98">
        <f>IF(ISNUMBER(J103), $B118 * K103, "")</f>
        <v>4464.2857142857138</v>
      </c>
      <c r="M103" s="99">
        <v>170</v>
      </c>
      <c r="N103" s="97">
        <f>IF(ISNUMBER(M103), (M103 - $B103) / $B103, "")</f>
        <v>1.1904761904761904E-2</v>
      </c>
      <c r="O103" s="98">
        <f>IF(ISNUMBER(M103), $B118 * N103, "")</f>
        <v>1785.7142857142856</v>
      </c>
      <c r="Q103" s="146"/>
      <c r="R103" s="146"/>
      <c r="S103" s="146"/>
    </row>
    <row r="104" spans="1:19" ht="17.25" thickBot="1">
      <c r="A104" s="109" t="s">
        <v>219</v>
      </c>
      <c r="B104" s="110">
        <v>517</v>
      </c>
      <c r="C104" s="70">
        <v>4.8681541600000003E-2</v>
      </c>
      <c r="D104" s="15">
        <v>522</v>
      </c>
      <c r="E104" s="32">
        <f t="shared" ref="E104:E107" si="50">IF(ISNUMBER(D104), (D104 - $B104) / $B104, "")</f>
        <v>9.6711798839458421E-3</v>
      </c>
      <c r="F104" s="18">
        <f>IF(ISNUMBER(D104), $B118 * E104, "")</f>
        <v>1450.6769825918764</v>
      </c>
      <c r="G104" s="31">
        <v>516</v>
      </c>
      <c r="H104" s="32">
        <f t="shared" ref="H104:H107" si="51">IF(ISNUMBER(G104), (G104 - $B104) / $B104, "")</f>
        <v>-1.9342359767891683E-3</v>
      </c>
      <c r="I104" s="91">
        <f>IF(ISNUMBER(G104), $B118 * H104, "")</f>
        <v>-290.13539651837522</v>
      </c>
      <c r="J104" s="15">
        <v>517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510</v>
      </c>
      <c r="N104" s="32">
        <f t="shared" ref="N104:N107" si="53">IF(ISNUMBER(M104), (M104 - $B104) / $B104, "")</f>
        <v>-1.3539651837524178E-2</v>
      </c>
      <c r="O104" s="18">
        <f>IF(ISNUMBER(M104), $B118 * N104, "")</f>
        <v>-2030.9477756286267</v>
      </c>
      <c r="Q104" s="146"/>
      <c r="R104" s="146"/>
      <c r="S104" s="146"/>
    </row>
    <row r="105" spans="1:19" ht="17.25" thickBot="1">
      <c r="A105" s="109" t="s">
        <v>103</v>
      </c>
      <c r="B105" s="110">
        <v>298</v>
      </c>
      <c r="C105" s="70">
        <v>4.5614035099999999E-2</v>
      </c>
      <c r="D105" s="15">
        <v>298</v>
      </c>
      <c r="E105" s="32">
        <f t="shared" si="50"/>
        <v>0</v>
      </c>
      <c r="F105" s="18">
        <f>IF(ISNUMBER(D105), $B118 * E105, "")</f>
        <v>0</v>
      </c>
      <c r="G105" s="31">
        <v>296</v>
      </c>
      <c r="H105" s="32">
        <f t="shared" si="51"/>
        <v>-6.7114093959731542E-3</v>
      </c>
      <c r="I105" s="91">
        <f>IF(ISNUMBER(G105), $B118 * H105, "")</f>
        <v>-1006.7114093959731</v>
      </c>
      <c r="J105" s="15">
        <v>293</v>
      </c>
      <c r="K105" s="32">
        <f t="shared" si="52"/>
        <v>-1.6778523489932886E-2</v>
      </c>
      <c r="L105" s="18">
        <f>IF(ISNUMBER(J105), $B118 * K105, "")</f>
        <v>-2516.7785234899329</v>
      </c>
      <c r="M105" s="31">
        <v>289</v>
      </c>
      <c r="N105" s="32">
        <f t="shared" si="53"/>
        <v>-3.0201342281879196E-2</v>
      </c>
      <c r="O105" s="18">
        <f>IF(ISNUMBER(M105), $B118 * N105, "")</f>
        <v>-4530.2013422818791</v>
      </c>
      <c r="Q105" s="146"/>
      <c r="R105" s="146"/>
      <c r="S105" s="146"/>
    </row>
    <row r="106" spans="1:19" ht="17.25" thickBot="1">
      <c r="A106" s="109" t="s">
        <v>169</v>
      </c>
      <c r="B106" s="110">
        <v>303</v>
      </c>
      <c r="C106" s="70">
        <v>3.7671232899999997E-2</v>
      </c>
      <c r="D106" s="15">
        <v>304</v>
      </c>
      <c r="E106" s="32">
        <f t="shared" si="50"/>
        <v>3.3003300330033004E-3</v>
      </c>
      <c r="F106" s="18">
        <f>IF(ISNUMBER(D106), $B118 * E106, "")</f>
        <v>495.04950495049508</v>
      </c>
      <c r="G106" s="31">
        <v>300</v>
      </c>
      <c r="H106" s="32">
        <f t="shared" si="51"/>
        <v>-9.9009900990099011E-3</v>
      </c>
      <c r="I106" s="91">
        <f>IF(ISNUMBER(G106), $B118 * H106, "")</f>
        <v>-1485.1485148514851</v>
      </c>
      <c r="J106" s="15">
        <v>300</v>
      </c>
      <c r="K106" s="32">
        <f t="shared" si="52"/>
        <v>-9.9009900990099011E-3</v>
      </c>
      <c r="L106" s="18">
        <f>IF(ISNUMBER(J106), $B118 * K106, "")</f>
        <v>-1485.1485148514851</v>
      </c>
      <c r="M106" s="31">
        <v>295</v>
      </c>
      <c r="N106" s="32">
        <f t="shared" si="53"/>
        <v>-2.6402640264026403E-2</v>
      </c>
      <c r="O106" s="18">
        <f>IF(ISNUMBER(M106), $B118 * N106, "")</f>
        <v>-3960.3960396039606</v>
      </c>
      <c r="Q106" s="33"/>
      <c r="R106" s="33"/>
    </row>
    <row r="107" spans="1:19" ht="17.25" thickBot="1">
      <c r="A107" s="114" t="s">
        <v>165</v>
      </c>
      <c r="B107" s="115">
        <v>1250</v>
      </c>
      <c r="C107" s="72">
        <v>3.7344398299999998E-2</v>
      </c>
      <c r="D107" s="24">
        <v>1270</v>
      </c>
      <c r="E107" s="25">
        <f t="shared" si="50"/>
        <v>1.6E-2</v>
      </c>
      <c r="F107" s="94">
        <f>IF(ISNUMBER(D107), $B118 * E107, "")</f>
        <v>2400</v>
      </c>
      <c r="G107" s="92">
        <v>1250</v>
      </c>
      <c r="H107" s="25">
        <f t="shared" si="51"/>
        <v>0</v>
      </c>
      <c r="I107" s="93">
        <f>IF(ISNUMBER(G107), $B118 * H107, "")</f>
        <v>0</v>
      </c>
      <c r="J107" s="24">
        <v>1240</v>
      </c>
      <c r="K107" s="25">
        <f t="shared" si="52"/>
        <v>-8.0000000000000002E-3</v>
      </c>
      <c r="L107" s="94">
        <f>IF(ISNUMBER(J107), $B118 * K107, "")</f>
        <v>-1200</v>
      </c>
      <c r="M107" s="92">
        <v>1220</v>
      </c>
      <c r="N107" s="25">
        <f t="shared" si="53"/>
        <v>-2.4E-2</v>
      </c>
      <c r="O107" s="94">
        <f>IF(ISNUMBER(M107), $B118 * N107, "")</f>
        <v>-3600</v>
      </c>
      <c r="Q107" s="147"/>
      <c r="R107" s="148"/>
      <c r="S107" s="149"/>
    </row>
    <row r="108" spans="1:19">
      <c r="A108" s="107" t="s">
        <v>239</v>
      </c>
      <c r="B108" s="108">
        <v>529</v>
      </c>
      <c r="C108" s="69">
        <v>3.7254901999999999E-2</v>
      </c>
      <c r="D108" s="13">
        <v>519</v>
      </c>
      <c r="E108" s="14">
        <f>IF(ISNUMBER(D108), (D108 - $B108) / $B108, "")</f>
        <v>-1.890359168241966E-2</v>
      </c>
      <c r="F108" s="16">
        <f>IF(ISNUMBER(D108), $B118 * E108, "")</f>
        <v>-2835.5387523629488</v>
      </c>
      <c r="G108" s="29">
        <v>513</v>
      </c>
      <c r="H108" s="14">
        <f>IF(ISNUMBER(G108), (G108 - $B108) / $B108, "")</f>
        <v>-3.0245746691871456E-2</v>
      </c>
      <c r="I108" s="90">
        <f>IF(ISNUMBER(G108), $B118 * H108, "")</f>
        <v>-4536.8620037807186</v>
      </c>
      <c r="J108" s="13">
        <v>516</v>
      </c>
      <c r="K108" s="14">
        <f>IF(ISNUMBER(J108), (J108 - $B108) / $B108, "")</f>
        <v>-2.4574669187145556E-2</v>
      </c>
      <c r="L108" s="16">
        <f>IF(ISNUMBER(J108), $B118 * K108, "")</f>
        <v>-3686.2003780718333</v>
      </c>
      <c r="M108" s="29">
        <v>510</v>
      </c>
      <c r="N108" s="14">
        <f>IF(ISNUMBER(M108), (M108 - $B108) / $B108, "")</f>
        <v>-3.5916824196597356E-2</v>
      </c>
      <c r="O108" s="16">
        <f>IF(ISNUMBER(M108), $B118 * N108, "")</f>
        <v>-5387.5236294896031</v>
      </c>
      <c r="Q108" s="150"/>
      <c r="R108" s="151"/>
      <c r="S108" s="152"/>
    </row>
    <row r="109" spans="1:19" ht="17.25" thickBot="1">
      <c r="A109" s="109" t="s">
        <v>241</v>
      </c>
      <c r="B109" s="110">
        <v>115</v>
      </c>
      <c r="C109" s="70">
        <v>3.6036036E-2</v>
      </c>
      <c r="D109" s="15">
        <v>115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115</v>
      </c>
      <c r="H109" s="32">
        <f t="shared" ref="H109:H112" si="55">IF(ISNUMBER(G109), (G109 - $B109) / $B109, "")</f>
        <v>0</v>
      </c>
      <c r="I109" s="91">
        <f>IF(ISNUMBER(G109), $B118 * H109, "")</f>
        <v>0</v>
      </c>
      <c r="J109" s="15">
        <v>113</v>
      </c>
      <c r="K109" s="32">
        <f t="shared" ref="K109:K112" si="56">IF(ISNUMBER(J109), (J109 - $B109) / $B109, "")</f>
        <v>-1.7391304347826087E-2</v>
      </c>
      <c r="L109" s="18">
        <f>IF(ISNUMBER(J109), $B118 * K109, "")</f>
        <v>-2608.695652173913</v>
      </c>
      <c r="M109" s="31">
        <v>112</v>
      </c>
      <c r="N109" s="32">
        <f t="shared" ref="N109:N112" si="57">IF(ISNUMBER(M109), (M109 - $B109) / $B109, "")</f>
        <v>-2.6086956521739129E-2</v>
      </c>
      <c r="O109" s="18">
        <f>IF(ISNUMBER(M109), $B118 * N109, "")</f>
        <v>-3913.0434782608695</v>
      </c>
      <c r="Q109" s="153"/>
      <c r="R109" s="154"/>
      <c r="S109" s="155"/>
    </row>
    <row r="110" spans="1:19" ht="17.25" thickBot="1">
      <c r="A110" s="109" t="s">
        <v>167</v>
      </c>
      <c r="B110" s="110">
        <v>232</v>
      </c>
      <c r="C110" s="70">
        <v>3.5714285700000001E-2</v>
      </c>
      <c r="D110" s="15">
        <v>239</v>
      </c>
      <c r="E110" s="32">
        <f t="shared" si="54"/>
        <v>3.017241379310345E-2</v>
      </c>
      <c r="F110" s="18">
        <f>IF(ISNUMBER(D110), $B118 * E110, "")</f>
        <v>4525.8620689655172</v>
      </c>
      <c r="G110" s="31">
        <v>236</v>
      </c>
      <c r="H110" s="32">
        <f t="shared" si="55"/>
        <v>1.7241379310344827E-2</v>
      </c>
      <c r="I110" s="91">
        <f>IF(ISNUMBER(G110), $B118 * H110, "")</f>
        <v>2586.2068965517242</v>
      </c>
      <c r="J110" s="15">
        <v>234</v>
      </c>
      <c r="K110" s="32">
        <f t="shared" si="56"/>
        <v>8.6206896551724137E-3</v>
      </c>
      <c r="L110" s="18">
        <f>IF(ISNUMBER(J110), $B118 * K110, "")</f>
        <v>1293.1034482758621</v>
      </c>
      <c r="M110" s="31">
        <v>231</v>
      </c>
      <c r="N110" s="32">
        <f t="shared" si="57"/>
        <v>-4.3103448275862068E-3</v>
      </c>
      <c r="O110" s="18">
        <f>IF(ISNUMBER(M110), $B118 * N110, "")</f>
        <v>-646.55172413793105</v>
      </c>
      <c r="Q110" s="146"/>
      <c r="R110" s="146"/>
      <c r="S110" s="146"/>
    </row>
    <row r="111" spans="1:19" ht="17.25" thickBot="1">
      <c r="A111" s="109" t="s">
        <v>215</v>
      </c>
      <c r="B111" s="110">
        <v>416</v>
      </c>
      <c r="C111" s="70">
        <v>3.4825870600000003E-2</v>
      </c>
      <c r="D111" s="15">
        <v>417</v>
      </c>
      <c r="E111" s="32">
        <f t="shared" si="54"/>
        <v>2.403846153846154E-3</v>
      </c>
      <c r="F111" s="18">
        <f>IF(ISNUMBER(D111), $B118 * E111, "")</f>
        <v>360.57692307692309</v>
      </c>
      <c r="G111" s="31">
        <v>415</v>
      </c>
      <c r="H111" s="32">
        <f t="shared" si="55"/>
        <v>-2.403846153846154E-3</v>
      </c>
      <c r="I111" s="91">
        <f>IF(ISNUMBER(G111), $B118 * H111, "")</f>
        <v>-360.57692307692309</v>
      </c>
      <c r="J111" s="15">
        <v>414</v>
      </c>
      <c r="K111" s="32">
        <f t="shared" si="56"/>
        <v>-4.807692307692308E-3</v>
      </c>
      <c r="L111" s="18">
        <f>IF(ISNUMBER(J111), $B118 * K111, "")</f>
        <v>-721.15384615384619</v>
      </c>
      <c r="M111" s="31">
        <v>411</v>
      </c>
      <c r="N111" s="32">
        <f t="shared" si="57"/>
        <v>-1.201923076923077E-2</v>
      </c>
      <c r="O111" s="18">
        <f>IF(ISNUMBER(M111), $B118 * N111, "")</f>
        <v>-1802.8846153846155</v>
      </c>
      <c r="Q111" s="156"/>
      <c r="R111" s="156"/>
      <c r="S111" s="156"/>
    </row>
    <row r="112" spans="1:19" ht="17.25" thickBot="1">
      <c r="A112" s="111" t="s">
        <v>231</v>
      </c>
      <c r="B112" s="112">
        <v>420</v>
      </c>
      <c r="C112" s="71">
        <v>3.4482758600000003E-2</v>
      </c>
      <c r="D112" s="20">
        <v>427</v>
      </c>
      <c r="E112" s="21">
        <f t="shared" si="54"/>
        <v>1.6666666666666666E-2</v>
      </c>
      <c r="F112" s="22">
        <f>IF(ISNUMBER(D112), $B118 * E112, "")</f>
        <v>2500</v>
      </c>
      <c r="G112" s="30">
        <v>422</v>
      </c>
      <c r="H112" s="21">
        <f t="shared" si="55"/>
        <v>4.7619047619047623E-3</v>
      </c>
      <c r="I112" s="95">
        <f>IF(ISNUMBER(G112), $B118 * H112, "")</f>
        <v>714.28571428571433</v>
      </c>
      <c r="J112" s="20">
        <v>420</v>
      </c>
      <c r="K112" s="21">
        <f t="shared" si="56"/>
        <v>0</v>
      </c>
      <c r="L112" s="22">
        <f>IF(ISNUMBER(J112), $B118 * K112, "")</f>
        <v>0</v>
      </c>
      <c r="M112" s="30">
        <v>417</v>
      </c>
      <c r="N112" s="21">
        <f t="shared" si="57"/>
        <v>-7.1428571428571426E-3</v>
      </c>
      <c r="O112" s="22">
        <f>IF(ISNUMBER(M112), $B118 * N112, "")</f>
        <v>-1071.4285714285713</v>
      </c>
      <c r="Q112" s="156"/>
      <c r="R112" s="156"/>
      <c r="S112" s="156"/>
    </row>
    <row r="113" spans="1:19" ht="17.25" thickBot="1">
      <c r="A113" s="109" t="s">
        <v>118</v>
      </c>
      <c r="B113" s="113">
        <v>7.18</v>
      </c>
      <c r="C113" s="73">
        <v>3.1609195399999998E-2</v>
      </c>
      <c r="D113" s="96">
        <v>7.35</v>
      </c>
      <c r="E113" s="97">
        <f>IF(ISNUMBER(D113), (D113 - $B113) / $B113, "")</f>
        <v>2.3676880222841215E-2</v>
      </c>
      <c r="F113" s="98">
        <f>IF(ISNUMBER(D113), $B118 * E113, "")</f>
        <v>3551.5320334261824</v>
      </c>
      <c r="G113" s="99">
        <v>7.3</v>
      </c>
      <c r="H113" s="97">
        <f>IF(ISNUMBER(G113), (G113 - $B113) / $B113, "")</f>
        <v>1.6713091922005586E-2</v>
      </c>
      <c r="I113" s="100">
        <f>IF(ISNUMBER(G113), $B118 * H113, "")</f>
        <v>2506.9637883008377</v>
      </c>
      <c r="J113" s="96">
        <v>7.25</v>
      </c>
      <c r="K113" s="97">
        <f>IF(ISNUMBER(J113), (J113 - $B113) / $B113, "")</f>
        <v>9.7493036211699566E-3</v>
      </c>
      <c r="L113" s="98">
        <f>IF(ISNUMBER(J113), $B118 * K113, "")</f>
        <v>1462.3955431754935</v>
      </c>
      <c r="M113" s="99">
        <v>7.09</v>
      </c>
      <c r="N113" s="97">
        <f>IF(ISNUMBER(M113), (M113 - $B113) / $B113, "")</f>
        <v>-1.2534818941504159E-2</v>
      </c>
      <c r="O113" s="98">
        <f>IF(ISNUMBER(M113), $B118 * N113, "")</f>
        <v>-1880.2228412256238</v>
      </c>
      <c r="Q113" s="146"/>
      <c r="R113" s="146"/>
      <c r="S113" s="146"/>
    </row>
    <row r="114" spans="1:19" ht="17.25" thickBot="1">
      <c r="A114" s="109" t="s">
        <v>181</v>
      </c>
      <c r="B114" s="110">
        <v>5.15</v>
      </c>
      <c r="C114" s="70">
        <v>0.03</v>
      </c>
      <c r="D114" s="15">
        <v>5.21</v>
      </c>
      <c r="E114" s="32">
        <f t="shared" ref="E114:E117" si="58">IF(ISNUMBER(D114), (D114 - $B114) / $B114, "")</f>
        <v>1.1650485436893128E-2</v>
      </c>
      <c r="F114" s="18">
        <f>IF(ISNUMBER(D114), $B118 * E114, "")</f>
        <v>1747.5728155339691</v>
      </c>
      <c r="G114" s="31">
        <v>5.2</v>
      </c>
      <c r="H114" s="32">
        <f t="shared" ref="H114:H117" si="59">IF(ISNUMBER(G114), (G114 - $B114) / $B114, "")</f>
        <v>9.7087378640776344E-3</v>
      </c>
      <c r="I114" s="91">
        <f>IF(ISNUMBER(G114), $B118 * H114, "")</f>
        <v>1456.3106796116451</v>
      </c>
      <c r="J114" s="15">
        <v>5.16</v>
      </c>
      <c r="K114" s="32">
        <f t="shared" ref="K114:K117" si="60">IF(ISNUMBER(J114), (J114 - $B114) / $B114, "")</f>
        <v>1.9417475728154925E-3</v>
      </c>
      <c r="L114" s="18">
        <f>IF(ISNUMBER(J114), $B118 * K114, "")</f>
        <v>291.26213592232386</v>
      </c>
      <c r="M114" s="31">
        <v>5.1100000000000003</v>
      </c>
      <c r="N114" s="32">
        <f t="shared" ref="N114:N117" si="61">IF(ISNUMBER(M114), (M114 - $B114) / $B114, "")</f>
        <v>-7.7669902912621425E-3</v>
      </c>
      <c r="O114" s="18">
        <f>IF(ISNUMBER(M114), $B118 * N114, "")</f>
        <v>-1165.0485436893214</v>
      </c>
      <c r="Q114" s="146"/>
      <c r="R114" s="146"/>
      <c r="S114" s="146"/>
    </row>
    <row r="115" spans="1:19" ht="17.25" thickBot="1">
      <c r="A115" s="109" t="s">
        <v>109</v>
      </c>
      <c r="B115" s="110">
        <v>1375</v>
      </c>
      <c r="C115" s="70">
        <v>2.99625468E-2</v>
      </c>
      <c r="D115" s="15">
        <v>1405</v>
      </c>
      <c r="E115" s="32">
        <f t="shared" si="58"/>
        <v>2.181818181818182E-2</v>
      </c>
      <c r="F115" s="18">
        <f>IF(ISNUMBER(D115), $B118 * E115, "")</f>
        <v>3272.727272727273</v>
      </c>
      <c r="G115" s="31">
        <v>1380</v>
      </c>
      <c r="H115" s="32">
        <f t="shared" si="59"/>
        <v>3.6363636363636364E-3</v>
      </c>
      <c r="I115" s="91">
        <f>IF(ISNUMBER(G115), $B118 * H115, "")</f>
        <v>545.4545454545455</v>
      </c>
      <c r="J115" s="15">
        <v>1370</v>
      </c>
      <c r="K115" s="32">
        <f t="shared" si="60"/>
        <v>-3.6363636363636364E-3</v>
      </c>
      <c r="L115" s="18">
        <f>IF(ISNUMBER(J115), $B118 * K115, "")</f>
        <v>-545.4545454545455</v>
      </c>
      <c r="M115" s="31">
        <v>1355</v>
      </c>
      <c r="N115" s="32">
        <f t="shared" si="61"/>
        <v>-1.4545454545454545E-2</v>
      </c>
      <c r="O115" s="18">
        <f>IF(ISNUMBER(M115), $B118 * N115, "")</f>
        <v>-2181.818181818182</v>
      </c>
      <c r="Q115" s="146"/>
      <c r="R115" s="146"/>
      <c r="S115" s="146"/>
    </row>
    <row r="116" spans="1:19">
      <c r="A116" s="109" t="s">
        <v>193</v>
      </c>
      <c r="B116" s="110">
        <v>21.9</v>
      </c>
      <c r="C116" s="70">
        <v>2.3364486E-2</v>
      </c>
      <c r="D116" s="15">
        <v>22</v>
      </c>
      <c r="E116" s="32">
        <f t="shared" si="58"/>
        <v>4.5662100456621653E-3</v>
      </c>
      <c r="F116" s="18">
        <f>IF(ISNUMBER(D116), $B118 * E116, "")</f>
        <v>684.93150684932482</v>
      </c>
      <c r="G116" s="31">
        <v>21.9</v>
      </c>
      <c r="H116" s="32">
        <f t="shared" si="59"/>
        <v>0</v>
      </c>
      <c r="I116" s="91">
        <f>IF(ISNUMBER(G116), $B118 * H116, "")</f>
        <v>0</v>
      </c>
      <c r="J116" s="15">
        <v>21.8</v>
      </c>
      <c r="K116" s="32">
        <f t="shared" si="60"/>
        <v>-4.5662100456620031E-3</v>
      </c>
      <c r="L116" s="18">
        <f>IF(ISNUMBER(J116), $B118 * K116, "")</f>
        <v>-684.93150684930049</v>
      </c>
      <c r="M116" s="31">
        <v>21.6</v>
      </c>
      <c r="N116" s="32">
        <f t="shared" si="61"/>
        <v>-1.3698630136986172E-2</v>
      </c>
      <c r="O116" s="18">
        <f>IF(ISNUMBER(M116), $B118 * N116, "")</f>
        <v>-2054.7945205479259</v>
      </c>
      <c r="Q116" s="135"/>
      <c r="R116" s="136"/>
      <c r="S116" s="137"/>
    </row>
    <row r="117" spans="1:19" ht="17.25" thickBot="1">
      <c r="A117" s="114" t="s">
        <v>120</v>
      </c>
      <c r="B117" s="115">
        <v>140</v>
      </c>
      <c r="C117" s="72">
        <v>2.1897810199999999E-2</v>
      </c>
      <c r="D117" s="24">
        <v>143</v>
      </c>
      <c r="E117" s="25">
        <f t="shared" si="58"/>
        <v>2.1428571428571429E-2</v>
      </c>
      <c r="F117" s="94">
        <f>IF(ISNUMBER(D117), $B118 * E117, "")</f>
        <v>3214.2857142857142</v>
      </c>
      <c r="G117" s="92">
        <v>142</v>
      </c>
      <c r="H117" s="25">
        <f t="shared" si="59"/>
        <v>1.4285714285714285E-2</v>
      </c>
      <c r="I117" s="93">
        <f>IF(ISNUMBER(G117), $B118 * H117, "")</f>
        <v>2142.8571428571427</v>
      </c>
      <c r="J117" s="24">
        <v>143</v>
      </c>
      <c r="K117" s="25">
        <f t="shared" si="60"/>
        <v>2.1428571428571429E-2</v>
      </c>
      <c r="L117" s="94">
        <f>IF(ISNUMBER(J117), $B118 * K117, "")</f>
        <v>3214.2857142857142</v>
      </c>
      <c r="M117" s="92">
        <v>140</v>
      </c>
      <c r="N117" s="25">
        <f t="shared" si="61"/>
        <v>0</v>
      </c>
      <c r="O117" s="94">
        <f>IF(ISNUMBER(M117), $B118 * N117, "")</f>
        <v>0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1.4673196150131814E-2</v>
      </c>
      <c r="F118" s="28">
        <f>SUM(F98:F117)</f>
        <v>44019.588450395437</v>
      </c>
      <c r="G118" s="26" t="s">
        <v>258</v>
      </c>
      <c r="H118" s="27">
        <f>IF(COUNT(H98:H117), SUM(H98:H117) / COUNT(H98:H117), 0)</f>
        <v>5.430072295084739E-3</v>
      </c>
      <c r="I118" s="28">
        <f>SUM(I98:I117)</f>
        <v>16290.216885254215</v>
      </c>
      <c r="J118" s="26" t="s">
        <v>258</v>
      </c>
      <c r="K118" s="27">
        <f>IF(COUNT(K98:K117), SUM(K98:K117) / COUNT(K98:K117), 0)</f>
        <v>4.2314918221182012E-4</v>
      </c>
      <c r="L118" s="28">
        <f>SUM(L98:L117)</f>
        <v>1269.4475466354602</v>
      </c>
      <c r="M118" s="26" t="s">
        <v>258</v>
      </c>
      <c r="N118" s="27">
        <f>IF(COUNT(N98:N117), SUM(N98:N117) / COUNT(N98:N117), 0)</f>
        <v>-1.1834263091112943E-2</v>
      </c>
      <c r="O118" s="28">
        <f>SUM(O98:O117)</f>
        <v>-35502.789273338822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2023-01-28(토) 오전 00:00</v>
      </c>
      <c r="C123" s="198"/>
      <c r="D123" s="170" t="str">
        <f>TEXT($G$1, "[$-ko-KR]yyyy-mm-dd(ddd) ") &amp; "오후 14:00"</f>
        <v>2023-01-28(토) 오후 14:00</v>
      </c>
      <c r="E123" s="171"/>
      <c r="F123" s="172"/>
      <c r="G123" s="170" t="str">
        <f>TEXT($G$1, "[$-ko-KR]yyyy-mm-dd(ddd) ") &amp; "오후 19:00"</f>
        <v>2023-01-28(토) 오후 19:00</v>
      </c>
      <c r="H123" s="171"/>
      <c r="I123" s="172"/>
      <c r="J123" s="170" t="str">
        <f>TEXT($G$1, "[$-ko-KR]yyyy-mm-dd(ddd) ") &amp; "오후 21:00"</f>
        <v>2023-01-28(토) 오후 21:00</v>
      </c>
      <c r="K123" s="171"/>
      <c r="L123" s="172"/>
      <c r="M123" s="170" t="str">
        <f>TEXT($G$1+1, "[$-ko-KR]yyyy-mm-dd(ddd) ") &amp; "오전 00:00"</f>
        <v>2023-01-29(일)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143</v>
      </c>
      <c r="B125" s="108">
        <v>4.57</v>
      </c>
      <c r="C125" s="69">
        <v>8.8300220999999995E-3</v>
      </c>
      <c r="D125" s="13">
        <v>4.63</v>
      </c>
      <c r="E125" s="14">
        <f>IF(ISNUMBER(D125), (D125 - $B125) / $B125, "")</f>
        <v>1.3129102844638864E-2</v>
      </c>
      <c r="F125" s="16">
        <f>IF(ISNUMBER(D125), $B145 * E125, "")</f>
        <v>1969.3654266958297</v>
      </c>
      <c r="G125" s="29">
        <v>4.57</v>
      </c>
      <c r="H125" s="14">
        <f>IF(ISNUMBER(G125), (G125 - $B125) / $B125, "")</f>
        <v>0</v>
      </c>
      <c r="I125" s="90">
        <f>IF(ISNUMBER(G125), $B145 * H125, "")</f>
        <v>0</v>
      </c>
      <c r="J125" s="13">
        <v>4.62</v>
      </c>
      <c r="K125" s="14">
        <f>IF(ISNUMBER(J125), (J125 - $B125) / $B125, "")</f>
        <v>1.0940919037199084E-2</v>
      </c>
      <c r="L125" s="16">
        <f>IF(ISNUMBER(J125), $B145 * K125, "")</f>
        <v>1641.1378555798626</v>
      </c>
      <c r="M125" s="29">
        <v>4.47</v>
      </c>
      <c r="N125" s="14">
        <f>IF(ISNUMBER(M125), (M125 - $B125) / $B125, "")</f>
        <v>-2.1881838074398363E-2</v>
      </c>
      <c r="O125" s="16">
        <f>IF(ISNUMBER(M125), $B145 * N125, "")</f>
        <v>-3282.2757111597543</v>
      </c>
      <c r="Q125" s="156"/>
      <c r="R125" s="156"/>
      <c r="S125" s="156"/>
    </row>
    <row r="126" spans="1:19" ht="17.25" thickBot="1">
      <c r="A126" s="109" t="s">
        <v>122</v>
      </c>
      <c r="B126" s="110">
        <v>30.2</v>
      </c>
      <c r="C126" s="70">
        <v>6.6666666999999997E-3</v>
      </c>
      <c r="D126" s="15">
        <v>31.1</v>
      </c>
      <c r="E126" s="32">
        <f t="shared" ref="E126:E129" si="62">IF(ISNUMBER(D126), (D126 - $B126) / $B126, "")</f>
        <v>2.9801324503311331E-2</v>
      </c>
      <c r="F126" s="18">
        <f>IF(ISNUMBER(D126), $B145 * E126, "")</f>
        <v>4470.1986754966993</v>
      </c>
      <c r="G126" s="31">
        <v>30.7</v>
      </c>
      <c r="H126" s="32">
        <f t="shared" ref="H126:H129" si="63">IF(ISNUMBER(G126), (G126 - $B126) / $B126, "")</f>
        <v>1.6556291390728478E-2</v>
      </c>
      <c r="I126" s="91">
        <f>IF(ISNUMBER(G126), $B145 * H126, "")</f>
        <v>2483.4437086092717</v>
      </c>
      <c r="J126" s="15">
        <v>30.5</v>
      </c>
      <c r="K126" s="32">
        <f t="shared" ref="K126:K129" si="64">IF(ISNUMBER(J126), (J126 - $B126) / $B126, "")</f>
        <v>9.9337748344371091E-3</v>
      </c>
      <c r="L126" s="18">
        <f>IF(ISNUMBER(J126), $B145 * K126, "")</f>
        <v>1490.0662251655663</v>
      </c>
      <c r="M126" s="31">
        <v>30.2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156"/>
      <c r="R126" s="156"/>
      <c r="S126" s="156"/>
    </row>
    <row r="127" spans="1:19" ht="17.25" thickBot="1">
      <c r="A127" s="109" t="s">
        <v>126</v>
      </c>
      <c r="B127" s="110">
        <v>35.299999999999997</v>
      </c>
      <c r="C127" s="70">
        <v>5.6980056999999997E-3</v>
      </c>
      <c r="D127" s="15">
        <v>37.700000000000003</v>
      </c>
      <c r="E127" s="32">
        <f t="shared" si="62"/>
        <v>6.7988668555240966E-2</v>
      </c>
      <c r="F127" s="18">
        <f>IF(ISNUMBER(D127), $B145 * E127, "")</f>
        <v>10198.300283286146</v>
      </c>
      <c r="G127" s="31">
        <v>37.1</v>
      </c>
      <c r="H127" s="32">
        <f t="shared" si="63"/>
        <v>5.0991501416430718E-2</v>
      </c>
      <c r="I127" s="91">
        <f>IF(ISNUMBER(G127), $B145 * H127, "")</f>
        <v>7648.7252124646075</v>
      </c>
      <c r="J127" s="15">
        <v>36.9</v>
      </c>
      <c r="K127" s="32">
        <f t="shared" si="64"/>
        <v>4.5325779036827239E-2</v>
      </c>
      <c r="L127" s="18">
        <f>IF(ISNUMBER(J127), $B145 * K127, "")</f>
        <v>6798.8668555240856</v>
      </c>
      <c r="M127" s="31">
        <v>36.700000000000003</v>
      </c>
      <c r="N127" s="32">
        <f t="shared" si="65"/>
        <v>3.9660056657223962E-2</v>
      </c>
      <c r="O127" s="18">
        <f>IF(ISNUMBER(M127), $B145 * N127, "")</f>
        <v>5949.0084985835947</v>
      </c>
      <c r="Q127" s="146"/>
      <c r="R127" s="146"/>
      <c r="S127" s="146"/>
    </row>
    <row r="128" spans="1:19" ht="17.25" thickBot="1">
      <c r="A128" s="109" t="s">
        <v>203</v>
      </c>
      <c r="B128" s="110">
        <v>4.04</v>
      </c>
      <c r="C128" s="70">
        <v>4.9751244000000002E-3</v>
      </c>
      <c r="D128" s="15">
        <v>4.0999999999999996</v>
      </c>
      <c r="E128" s="32">
        <f t="shared" si="62"/>
        <v>1.4851485148514755E-2</v>
      </c>
      <c r="F128" s="18">
        <f>IF(ISNUMBER(D128), $B145 * E128, "")</f>
        <v>2227.7227722772132</v>
      </c>
      <c r="G128" s="31">
        <v>4.08</v>
      </c>
      <c r="H128" s="32">
        <f t="shared" si="63"/>
        <v>9.9009900990099098E-3</v>
      </c>
      <c r="I128" s="91">
        <f>IF(ISNUMBER(G128), $B145 * H128, "")</f>
        <v>1485.1485148514864</v>
      </c>
      <c r="J128" s="15">
        <v>4.07</v>
      </c>
      <c r="K128" s="32">
        <f t="shared" si="64"/>
        <v>7.425742574257487E-3</v>
      </c>
      <c r="L128" s="18">
        <f>IF(ISNUMBER(J128), $B145 * K128, "")</f>
        <v>1113.8613861386229</v>
      </c>
      <c r="M128" s="31">
        <v>4.01</v>
      </c>
      <c r="N128" s="32">
        <f t="shared" si="65"/>
        <v>-7.425742574257487E-3</v>
      </c>
      <c r="O128" s="18">
        <f>IF(ISNUMBER(M128), $B145 * N128, "")</f>
        <v>-1113.8613861386229</v>
      </c>
      <c r="Q128" s="146"/>
      <c r="R128" s="146"/>
      <c r="S128" s="146"/>
    </row>
    <row r="129" spans="1:19" ht="17.25" thickBot="1">
      <c r="A129" s="111" t="s">
        <v>350</v>
      </c>
      <c r="B129" s="112">
        <v>7.88</v>
      </c>
      <c r="C129" s="71">
        <v>3.8216561000000001E-3</v>
      </c>
      <c r="D129" s="20">
        <v>8.1999999999999993</v>
      </c>
      <c r="E129" s="21">
        <f t="shared" si="62"/>
        <v>4.0609137055837484E-2</v>
      </c>
      <c r="F129" s="22">
        <f>IF(ISNUMBER(D129), $B145 * E129, "")</f>
        <v>6091.3705583756227</v>
      </c>
      <c r="G129" s="30">
        <v>8.23</v>
      </c>
      <c r="H129" s="21">
        <f t="shared" si="63"/>
        <v>4.4416243654822406E-2</v>
      </c>
      <c r="I129" s="95">
        <f>IF(ISNUMBER(G129), $B145 * H129, "")</f>
        <v>6662.4365482233607</v>
      </c>
      <c r="J129" s="20">
        <v>8.2200000000000006</v>
      </c>
      <c r="K129" s="21">
        <f t="shared" si="64"/>
        <v>4.3147208121827506E-2</v>
      </c>
      <c r="L129" s="22">
        <f>IF(ISNUMBER(J129), $B145 * K129, "")</f>
        <v>6472.0812182741256</v>
      </c>
      <c r="M129" s="30">
        <v>7.99</v>
      </c>
      <c r="N129" s="21">
        <f t="shared" si="65"/>
        <v>1.3959390862944203E-2</v>
      </c>
      <c r="O129" s="22">
        <f>IF(ISNUMBER(M129), $B145 * N129, "")</f>
        <v>2093.9086294416302</v>
      </c>
      <c r="Q129" s="146"/>
      <c r="R129" s="146"/>
      <c r="S129" s="146"/>
    </row>
    <row r="130" spans="1:19" ht="17.25" thickBot="1">
      <c r="A130" s="109" t="s">
        <v>141</v>
      </c>
      <c r="B130" s="113">
        <v>4.05</v>
      </c>
      <c r="C130" s="73">
        <v>2.4752475E-3</v>
      </c>
      <c r="D130" s="96">
        <v>4.1100000000000003</v>
      </c>
      <c r="E130" s="97">
        <f>IF(ISNUMBER(D130), (D130 - $B130) / $B130, "")</f>
        <v>1.4814814814814939E-2</v>
      </c>
      <c r="F130" s="98">
        <f>IF(ISNUMBER(D130), $B145 * E130, "")</f>
        <v>2222.2222222222408</v>
      </c>
      <c r="G130" s="99">
        <v>4.08</v>
      </c>
      <c r="H130" s="97">
        <f>IF(ISNUMBER(G130), (G130 - $B130) / $B130, "")</f>
        <v>7.4074074074074693E-3</v>
      </c>
      <c r="I130" s="100">
        <f>IF(ISNUMBER(G130), $B145 * H130, "")</f>
        <v>1111.1111111111204</v>
      </c>
      <c r="J130" s="96">
        <v>4.07</v>
      </c>
      <c r="K130" s="97">
        <f>IF(ISNUMBER(J130), (J130 - $B130) / $B130, "")</f>
        <v>4.938271604938386E-3</v>
      </c>
      <c r="L130" s="98">
        <f>IF(ISNUMBER(J130), $B145 * K130, "")</f>
        <v>740.74074074075793</v>
      </c>
      <c r="M130" s="99">
        <v>4.03</v>
      </c>
      <c r="N130" s="97">
        <f>IF(ISNUMBER(M130), (M130 - $B130) / $B130, "")</f>
        <v>-4.9382716049381666E-3</v>
      </c>
      <c r="O130" s="98">
        <f>IF(ISNUMBER(M130), $B145 * N130, "")</f>
        <v>-740.74074074072496</v>
      </c>
      <c r="Q130" s="146"/>
      <c r="R130" s="146"/>
      <c r="S130" s="146"/>
    </row>
    <row r="131" spans="1:19" ht="17.25" thickBot="1">
      <c r="A131" s="109" t="s">
        <v>227</v>
      </c>
      <c r="B131" s="110">
        <v>52.2</v>
      </c>
      <c r="C131" s="70">
        <v>1.9193858000000001E-3</v>
      </c>
      <c r="D131" s="15">
        <v>52.3</v>
      </c>
      <c r="E131" s="32">
        <f t="shared" ref="E131:E134" si="66">IF(ISNUMBER(D131), (D131 - $B131) / $B131, "")</f>
        <v>1.9157088122604274E-3</v>
      </c>
      <c r="F131" s="18">
        <f>IF(ISNUMBER(D131), $B145 * E131, "")</f>
        <v>287.35632183906409</v>
      </c>
      <c r="G131" s="31">
        <v>52</v>
      </c>
      <c r="H131" s="32">
        <f t="shared" ref="H131:H134" si="67">IF(ISNUMBER(G131), (G131 - $B131) / $B131, "")</f>
        <v>-3.8314176245211272E-3</v>
      </c>
      <c r="I131" s="91">
        <f>IF(ISNUMBER(G131), $B145 * H131, "")</f>
        <v>-574.71264367816912</v>
      </c>
      <c r="J131" s="15">
        <v>51.7</v>
      </c>
      <c r="K131" s="32">
        <f t="shared" ref="K131:K134" si="68">IF(ISNUMBER(J131), (J131 - $B131) / $B131, "")</f>
        <v>-9.5785440613026813E-3</v>
      </c>
      <c r="L131" s="18">
        <f>IF(ISNUMBER(J131), $B145 * K131, "")</f>
        <v>-1436.7816091954021</v>
      </c>
      <c r="M131" s="31">
        <v>51.3</v>
      </c>
      <c r="N131" s="32">
        <f t="shared" ref="N131:N134" si="69">IF(ISNUMBER(M131), (M131 - $B131) / $B131, "")</f>
        <v>-1.7241379310344935E-2</v>
      </c>
      <c r="O131" s="18">
        <f>IF(ISNUMBER(M131), $B145 * N131, "")</f>
        <v>-2586.2068965517401</v>
      </c>
      <c r="Q131" s="146"/>
      <c r="R131" s="146"/>
      <c r="S131" s="146"/>
    </row>
    <row r="132" spans="1:19" ht="17.25" thickBot="1">
      <c r="A132" s="109" t="s">
        <v>107</v>
      </c>
      <c r="B132" s="110">
        <v>47</v>
      </c>
      <c r="C132" s="70">
        <v>0</v>
      </c>
      <c r="D132" s="15">
        <v>47.6</v>
      </c>
      <c r="E132" s="32">
        <f t="shared" si="66"/>
        <v>1.2765957446808541E-2</v>
      </c>
      <c r="F132" s="18">
        <f>IF(ISNUMBER(D132), $B145 * E132, "")</f>
        <v>1914.8936170212812</v>
      </c>
      <c r="G132" s="31">
        <v>47.1</v>
      </c>
      <c r="H132" s="32">
        <f t="shared" si="67"/>
        <v>2.1276595744681155E-3</v>
      </c>
      <c r="I132" s="91">
        <f>IF(ISNUMBER(G132), $B145 * H132, "")</f>
        <v>319.14893617021733</v>
      </c>
      <c r="J132" s="15">
        <v>47.1</v>
      </c>
      <c r="K132" s="32">
        <f t="shared" si="68"/>
        <v>2.1276595744681155E-3</v>
      </c>
      <c r="L132" s="18">
        <f>IF(ISNUMBER(J132), $B145 * K132, "")</f>
        <v>319.14893617021733</v>
      </c>
      <c r="M132" s="31">
        <v>46.4</v>
      </c>
      <c r="N132" s="32">
        <f t="shared" si="69"/>
        <v>-1.2765957446808541E-2</v>
      </c>
      <c r="O132" s="18">
        <f>IF(ISNUMBER(M132), $B145 * N132, "")</f>
        <v>-1914.8936170212812</v>
      </c>
      <c r="Q132" s="146"/>
      <c r="R132" s="146"/>
      <c r="S132" s="146"/>
    </row>
    <row r="133" spans="1:19" ht="17.25" thickBot="1">
      <c r="A133" s="109" t="s">
        <v>221</v>
      </c>
      <c r="B133" s="110">
        <v>23.9</v>
      </c>
      <c r="C133" s="70">
        <v>-4.1666667000000001E-3</v>
      </c>
      <c r="D133" s="15">
        <v>24.2</v>
      </c>
      <c r="E133" s="32">
        <f t="shared" si="66"/>
        <v>1.2552301255230157E-2</v>
      </c>
      <c r="F133" s="18">
        <f>IF(ISNUMBER(D133), $B145 * E133, "")</f>
        <v>1882.8451882845234</v>
      </c>
      <c r="G133" s="31">
        <v>24.2</v>
      </c>
      <c r="H133" s="32">
        <f t="shared" si="67"/>
        <v>1.2552301255230157E-2</v>
      </c>
      <c r="I133" s="91">
        <f>IF(ISNUMBER(G133), $B145 * H133, "")</f>
        <v>1882.8451882845234</v>
      </c>
      <c r="J133" s="15">
        <v>24.2</v>
      </c>
      <c r="K133" s="32">
        <f t="shared" si="68"/>
        <v>1.2552301255230157E-2</v>
      </c>
      <c r="L133" s="18">
        <f>IF(ISNUMBER(J133), $B145 * K133, "")</f>
        <v>1882.8451882845234</v>
      </c>
      <c r="M133" s="31">
        <v>23.8</v>
      </c>
      <c r="N133" s="32">
        <f t="shared" si="69"/>
        <v>-4.184100418409953E-3</v>
      </c>
      <c r="O133" s="18">
        <f>IF(ISNUMBER(M133), $B145 * N133, "")</f>
        <v>-627.61506276149294</v>
      </c>
      <c r="Q133" s="33"/>
      <c r="R133" s="33"/>
    </row>
    <row r="134" spans="1:19" ht="17.25" thickBot="1">
      <c r="A134" s="114" t="s">
        <v>225</v>
      </c>
      <c r="B134" s="115">
        <v>66.400000000000006</v>
      </c>
      <c r="C134" s="72">
        <v>-5.9880239999999998E-3</v>
      </c>
      <c r="D134" s="24">
        <v>67.7</v>
      </c>
      <c r="E134" s="25">
        <f t="shared" si="66"/>
        <v>1.9578313253012004E-2</v>
      </c>
      <c r="F134" s="94">
        <f>IF(ISNUMBER(D134), $B145 * E134, "")</f>
        <v>2936.7469879518007</v>
      </c>
      <c r="G134" s="92">
        <v>67</v>
      </c>
      <c r="H134" s="25">
        <f t="shared" si="67"/>
        <v>9.0361445783131659E-3</v>
      </c>
      <c r="I134" s="93">
        <f>IF(ISNUMBER(G134), $B145 * H134, "")</f>
        <v>1355.421686746975</v>
      </c>
      <c r="J134" s="24">
        <v>67.5</v>
      </c>
      <c r="K134" s="25">
        <f t="shared" si="68"/>
        <v>1.6566265060240878E-2</v>
      </c>
      <c r="L134" s="94">
        <f>IF(ISNUMBER(J134), $B145 * K134, "")</f>
        <v>2484.9397590361318</v>
      </c>
      <c r="M134" s="92">
        <v>66.2</v>
      </c>
      <c r="N134" s="25">
        <f t="shared" si="69"/>
        <v>-3.012048192771127E-3</v>
      </c>
      <c r="O134" s="94">
        <f>IF(ISNUMBER(M134), $B145 * N134, "")</f>
        <v>-451.80722891566904</v>
      </c>
      <c r="Q134" s="147"/>
      <c r="R134" s="148"/>
      <c r="S134" s="149"/>
    </row>
    <row r="135" spans="1:19">
      <c r="A135" s="107" t="s">
        <v>352</v>
      </c>
      <c r="B135" s="108">
        <v>1.4500000000000001E-2</v>
      </c>
      <c r="C135" s="69">
        <v>-6.8493151000000004E-3</v>
      </c>
      <c r="D135" s="13">
        <v>1.5100000000000001E-2</v>
      </c>
      <c r="E135" s="14">
        <f>IF(ISNUMBER(D135), (D135 - $B135) / $B135, "")</f>
        <v>4.1379310344827572E-2</v>
      </c>
      <c r="F135" s="16">
        <f>IF(ISNUMBER(D135), $B145 * E135, "")</f>
        <v>6206.8965517241359</v>
      </c>
      <c r="G135" s="29">
        <v>1.5100000000000001E-2</v>
      </c>
      <c r="H135" s="14">
        <f>IF(ISNUMBER(G135), (G135 - $B135) / $B135, "")</f>
        <v>4.1379310344827572E-2</v>
      </c>
      <c r="I135" s="90">
        <f>IF(ISNUMBER(G135), $B145 * H135, "")</f>
        <v>6206.8965517241359</v>
      </c>
      <c r="J135" s="13">
        <v>1.4999999999999999E-2</v>
      </c>
      <c r="K135" s="14">
        <f>IF(ISNUMBER(J135), (J135 - $B135) / $B135, "")</f>
        <v>3.4482758620689564E-2</v>
      </c>
      <c r="L135" s="16">
        <f>IF(ISNUMBER(J135), $B145 * K135, "")</f>
        <v>5172.4137931034347</v>
      </c>
      <c r="M135" s="29">
        <v>1.49E-2</v>
      </c>
      <c r="N135" s="14">
        <f>IF(ISNUMBER(M135), (M135 - $B135) / $B135, "")</f>
        <v>2.7586206896551675E-2</v>
      </c>
      <c r="O135" s="16">
        <f>IF(ISNUMBER(M135), $B145 * N135, "")</f>
        <v>4137.9310344827509</v>
      </c>
      <c r="Q135" s="150"/>
      <c r="R135" s="151"/>
      <c r="S135" s="152"/>
    </row>
    <row r="136" spans="1:19" ht="17.25" thickBot="1">
      <c r="A136" s="109" t="s">
        <v>197</v>
      </c>
      <c r="B136" s="110">
        <v>8.1199999999999992</v>
      </c>
      <c r="C136" s="70">
        <v>-8.5470084999999998E-3</v>
      </c>
      <c r="D136" s="15">
        <v>8.2799999999999994</v>
      </c>
      <c r="E136" s="32">
        <f t="shared" ref="E136:E139" si="70">IF(ISNUMBER(D136), (D136 - $B136) / $B136, "")</f>
        <v>1.9704433497536967E-2</v>
      </c>
      <c r="F136" s="18">
        <f>IF(ISNUMBER(D136), $B145 * E136, "")</f>
        <v>2955.6650246305448</v>
      </c>
      <c r="G136" s="31">
        <v>8.3000000000000007</v>
      </c>
      <c r="H136" s="32">
        <f t="shared" ref="H136:H139" si="71">IF(ISNUMBER(G136), (G136 - $B136) / $B136, "")</f>
        <v>2.2167487684729249E-2</v>
      </c>
      <c r="I136" s="91">
        <f>IF(ISNUMBER(G136), $B145 * H136, "")</f>
        <v>3325.1231527093873</v>
      </c>
      <c r="J136" s="15">
        <v>8.3699999999999992</v>
      </c>
      <c r="K136" s="32">
        <f t="shared" ref="K136:K139" si="72">IF(ISNUMBER(J136), (J136 - $B136) / $B136, "")</f>
        <v>3.0788177339901482E-2</v>
      </c>
      <c r="L136" s="18">
        <f>IF(ISNUMBER(J136), $B145 * K136, "")</f>
        <v>4618.2266009852219</v>
      </c>
      <c r="M136" s="31">
        <v>8.1300000000000008</v>
      </c>
      <c r="N136" s="32">
        <f t="shared" ref="N136:N139" si="73">IF(ISNUMBER(M136), (M136 - $B136) / $B136, "")</f>
        <v>1.2315270935962517E-3</v>
      </c>
      <c r="O136" s="18">
        <f>IF(ISNUMBER(M136), $B145 * N136, "")</f>
        <v>184.72906403943776</v>
      </c>
      <c r="Q136" s="153"/>
      <c r="R136" s="154"/>
      <c r="S136" s="155"/>
    </row>
    <row r="137" spans="1:19" ht="17.25" thickBot="1">
      <c r="A137" s="109" t="s">
        <v>185</v>
      </c>
      <c r="B137" s="110">
        <v>38.5</v>
      </c>
      <c r="C137" s="70">
        <v>-1.7857142900000001E-2</v>
      </c>
      <c r="D137" s="15">
        <v>39.1</v>
      </c>
      <c r="E137" s="32">
        <f t="shared" si="70"/>
        <v>1.5584415584415621E-2</v>
      </c>
      <c r="F137" s="18">
        <f>IF(ISNUMBER(D137), $B145 * E137, "")</f>
        <v>2337.6623376623429</v>
      </c>
      <c r="G137" s="31">
        <v>39.1</v>
      </c>
      <c r="H137" s="32">
        <f t="shared" si="71"/>
        <v>1.5584415584415621E-2</v>
      </c>
      <c r="I137" s="91">
        <f>IF(ISNUMBER(G137), $B145 * H137, "")</f>
        <v>2337.6623376623429</v>
      </c>
      <c r="J137" s="15">
        <v>39.1</v>
      </c>
      <c r="K137" s="32">
        <f t="shared" si="72"/>
        <v>1.5584415584415621E-2</v>
      </c>
      <c r="L137" s="18">
        <f>IF(ISNUMBER(J137), $B145 * K137, "")</f>
        <v>2337.6623376623429</v>
      </c>
      <c r="M137" s="31">
        <v>38.6</v>
      </c>
      <c r="N137" s="32">
        <f t="shared" si="73"/>
        <v>2.5974025974026343E-3</v>
      </c>
      <c r="O137" s="18">
        <f>IF(ISNUMBER(M137), $B145 * N137, "")</f>
        <v>389.61038961039515</v>
      </c>
      <c r="Q137" s="146"/>
      <c r="R137" s="146"/>
      <c r="S137" s="146"/>
    </row>
    <row r="138" spans="1:19" ht="17.25" thickBot="1">
      <c r="A138" s="109" t="s">
        <v>217</v>
      </c>
      <c r="B138" s="110">
        <v>87.1</v>
      </c>
      <c r="C138" s="70">
        <v>-1.91441441E-2</v>
      </c>
      <c r="D138" s="15">
        <v>91.8</v>
      </c>
      <c r="E138" s="32">
        <f t="shared" si="70"/>
        <v>5.3960964408725637E-2</v>
      </c>
      <c r="F138" s="18">
        <f>IF(ISNUMBER(D138), $B145 * E138, "")</f>
        <v>8094.1446613088456</v>
      </c>
      <c r="G138" s="31">
        <v>90.8</v>
      </c>
      <c r="H138" s="32">
        <f t="shared" si="71"/>
        <v>4.2479908151549978E-2</v>
      </c>
      <c r="I138" s="91">
        <f>IF(ISNUMBER(G138), $B145 * H138, "")</f>
        <v>6371.9862227324966</v>
      </c>
      <c r="J138" s="15">
        <v>89.7</v>
      </c>
      <c r="K138" s="32">
        <f t="shared" si="72"/>
        <v>2.9850746268656816E-2</v>
      </c>
      <c r="L138" s="18">
        <f>IF(ISNUMBER(J138), $B145 * K138, "")</f>
        <v>4477.6119402985223</v>
      </c>
      <c r="M138" s="31">
        <v>90.1</v>
      </c>
      <c r="N138" s="32">
        <f t="shared" si="73"/>
        <v>3.4443168771526984E-2</v>
      </c>
      <c r="O138" s="18">
        <f>IF(ISNUMBER(M138), $B145 * N138, "")</f>
        <v>5166.4753157290479</v>
      </c>
      <c r="Q138" s="156"/>
      <c r="R138" s="156"/>
      <c r="S138" s="156"/>
    </row>
    <row r="139" spans="1:19" ht="17.25" thickBot="1">
      <c r="A139" s="111" t="s">
        <v>207</v>
      </c>
      <c r="B139" s="112">
        <v>77.599999999999994</v>
      </c>
      <c r="C139" s="71">
        <v>-2.2670025199999999E-2</v>
      </c>
      <c r="D139" s="20">
        <v>78.7</v>
      </c>
      <c r="E139" s="21">
        <f t="shared" si="70"/>
        <v>1.4175257731958874E-2</v>
      </c>
      <c r="F139" s="22">
        <f>IF(ISNUMBER(D139), $B145 * E139, "")</f>
        <v>2126.2886597938309</v>
      </c>
      <c r="G139" s="30">
        <v>77.900000000000006</v>
      </c>
      <c r="H139" s="21">
        <f t="shared" si="71"/>
        <v>3.8659793814434457E-3</v>
      </c>
      <c r="I139" s="95">
        <f>IF(ISNUMBER(G139), $B145 * H139, "")</f>
        <v>579.89690721651687</v>
      </c>
      <c r="J139" s="20">
        <v>77.900000000000006</v>
      </c>
      <c r="K139" s="21">
        <f t="shared" si="72"/>
        <v>3.8659793814434457E-3</v>
      </c>
      <c r="L139" s="22">
        <f>IF(ISNUMBER(J139), $B145 * K139, "")</f>
        <v>579.89690721651687</v>
      </c>
      <c r="M139" s="30">
        <v>77.2</v>
      </c>
      <c r="N139" s="21">
        <f t="shared" si="73"/>
        <v>-5.1546391752576226E-3</v>
      </c>
      <c r="O139" s="22">
        <f>IF(ISNUMBER(M139), $B145 * N139, "")</f>
        <v>-773.19587628864338</v>
      </c>
      <c r="Q139" s="156"/>
      <c r="R139" s="156"/>
      <c r="S139" s="156"/>
    </row>
    <row r="140" spans="1:19" ht="17.25" thickBot="1">
      <c r="A140" s="109" t="s">
        <v>138</v>
      </c>
      <c r="B140" s="113">
        <v>34.200000000000003</v>
      </c>
      <c r="C140" s="73">
        <v>-2.2857142899999999E-2</v>
      </c>
      <c r="D140" s="96">
        <v>35.299999999999997</v>
      </c>
      <c r="E140" s="97">
        <f>IF(ISNUMBER(D140), (D140 - $B140) / $B140, "")</f>
        <v>3.2163742690058311E-2</v>
      </c>
      <c r="F140" s="98">
        <f>IF(ISNUMBER(D140), $B145 * E140, "")</f>
        <v>4824.5614035087465</v>
      </c>
      <c r="G140" s="99">
        <v>35.1</v>
      </c>
      <c r="H140" s="97">
        <f>IF(ISNUMBER(G140), (G140 - $B140) / $B140, "")</f>
        <v>2.6315789473684167E-2</v>
      </c>
      <c r="I140" s="100">
        <f>IF(ISNUMBER(G140), $B145 * H140, "")</f>
        <v>3947.3684210526253</v>
      </c>
      <c r="J140" s="96">
        <v>34.9</v>
      </c>
      <c r="K140" s="97">
        <f>IF(ISNUMBER(J140), (J140 - $B140) / $B140, "")</f>
        <v>2.0467836257309815E-2</v>
      </c>
      <c r="L140" s="98">
        <f>IF(ISNUMBER(J140), $B145 * K140, "")</f>
        <v>3070.1754385964723</v>
      </c>
      <c r="M140" s="99">
        <v>34.200000000000003</v>
      </c>
      <c r="N140" s="97">
        <f>IF(ISNUMBER(M140), (M140 - $B140) / $B140, "")</f>
        <v>0</v>
      </c>
      <c r="O140" s="98">
        <f>IF(ISNUMBER(M140), $B145 * N140, "")</f>
        <v>0</v>
      </c>
      <c r="Q140" s="146"/>
      <c r="R140" s="146"/>
      <c r="S140" s="146"/>
    </row>
    <row r="141" spans="1:19" ht="17.25" thickBot="1">
      <c r="A141" s="109" t="s">
        <v>191</v>
      </c>
      <c r="B141" s="110">
        <v>72.3</v>
      </c>
      <c r="C141" s="70">
        <v>-4.2384105999999998E-2</v>
      </c>
      <c r="D141" s="15">
        <v>73.400000000000006</v>
      </c>
      <c r="E141" s="32">
        <f t="shared" ref="E141:E144" si="74">IF(ISNUMBER(D141), (D141 - $B141) / $B141, "")</f>
        <v>1.5214384508990436E-2</v>
      </c>
      <c r="F141" s="18">
        <f>IF(ISNUMBER(D141), $B145 * E141, "")</f>
        <v>2282.1576763485655</v>
      </c>
      <c r="G141" s="31">
        <v>73.3</v>
      </c>
      <c r="H141" s="32">
        <f t="shared" ref="H141:H144" si="75">IF(ISNUMBER(G141), (G141 - $B141) / $B141, "")</f>
        <v>1.3831258644536654E-2</v>
      </c>
      <c r="I141" s="91">
        <f>IF(ISNUMBER(G141), $B145 * H141, "")</f>
        <v>2074.6887966804979</v>
      </c>
      <c r="J141" s="15">
        <v>72.900000000000006</v>
      </c>
      <c r="K141" s="32">
        <f t="shared" ref="K141:K144" si="76">IF(ISNUMBER(J141), (J141 - $B141) / $B141, "")</f>
        <v>8.2987551867221097E-3</v>
      </c>
      <c r="L141" s="18">
        <f>IF(ISNUMBER(J141), $B145 * K141, "")</f>
        <v>1244.8132780083165</v>
      </c>
      <c r="M141" s="31">
        <v>72</v>
      </c>
      <c r="N141" s="32">
        <f t="shared" ref="N141:N144" si="77">IF(ISNUMBER(M141), (M141 - $B141) / $B141, "")</f>
        <v>-4.1493775933609568E-3</v>
      </c>
      <c r="O141" s="18">
        <f>IF(ISNUMBER(M141), $B145 * N141, "")</f>
        <v>-622.40663900414347</v>
      </c>
      <c r="Q141" s="146"/>
      <c r="R141" s="146"/>
      <c r="S141" s="146"/>
    </row>
    <row r="142" spans="1:19" ht="17.25" thickBot="1">
      <c r="A142" s="109" t="s">
        <v>323</v>
      </c>
      <c r="B142" s="110">
        <v>4.9200000000000001E-2</v>
      </c>
      <c r="C142" s="70">
        <v>-7.1698113199999997E-2</v>
      </c>
      <c r="D142" s="15">
        <v>4.8099999999999997E-2</v>
      </c>
      <c r="E142" s="32">
        <f t="shared" si="74"/>
        <v>-2.2357723577235849E-2</v>
      </c>
      <c r="F142" s="18">
        <f>IF(ISNUMBER(D142), $B145 * E142, "")</f>
        <v>-3353.6585365853775</v>
      </c>
      <c r="G142" s="31">
        <v>4.7699999999999999E-2</v>
      </c>
      <c r="H142" s="32">
        <f t="shared" si="75"/>
        <v>-3.0487804878048808E-2</v>
      </c>
      <c r="I142" s="91">
        <f>IF(ISNUMBER(G142), $B145 * H142, "")</f>
        <v>-4573.1707317073215</v>
      </c>
      <c r="J142" s="15">
        <v>4.7800000000000002E-2</v>
      </c>
      <c r="K142" s="32">
        <f t="shared" si="76"/>
        <v>-2.8455284552845496E-2</v>
      </c>
      <c r="L142" s="18">
        <f>IF(ISNUMBER(J142), $B145 * K142, "")</f>
        <v>-4268.2926829268245</v>
      </c>
      <c r="M142" s="31">
        <v>4.6600000000000003E-2</v>
      </c>
      <c r="N142" s="32">
        <f t="shared" si="77"/>
        <v>-5.2845528455284514E-2</v>
      </c>
      <c r="O142" s="18">
        <f>IF(ISNUMBER(M142), $B145 * N142, "")</f>
        <v>-7926.8292682926767</v>
      </c>
      <c r="Q142" s="146"/>
      <c r="R142" s="146"/>
      <c r="S142" s="146"/>
    </row>
    <row r="143" spans="1:19">
      <c r="A143" s="109" t="s">
        <v>97</v>
      </c>
      <c r="B143" s="110">
        <v>8.9999999999999998E-4</v>
      </c>
      <c r="C143" s="70">
        <v>-0.1</v>
      </c>
      <c r="D143" s="15">
        <v>1E-3</v>
      </c>
      <c r="E143" s="32">
        <f t="shared" si="74"/>
        <v>0.11111111111111116</v>
      </c>
      <c r="F143" s="18">
        <f>IF(ISNUMBER(D143), $B145 * E143, "")</f>
        <v>16666.666666666675</v>
      </c>
      <c r="G143" s="31">
        <v>8.9999999999999998E-4</v>
      </c>
      <c r="H143" s="32">
        <f t="shared" si="75"/>
        <v>0</v>
      </c>
      <c r="I143" s="91">
        <f>IF(ISNUMBER(G143), $B145 * H143, "")</f>
        <v>0</v>
      </c>
      <c r="J143" s="15">
        <v>8.9999999999999998E-4</v>
      </c>
      <c r="K143" s="32">
        <f t="shared" si="76"/>
        <v>0</v>
      </c>
      <c r="L143" s="18">
        <f>IF(ISNUMBER(J143), $B145 * K143, "")</f>
        <v>0</v>
      </c>
      <c r="M143" s="31">
        <v>1E-3</v>
      </c>
      <c r="N143" s="32">
        <f t="shared" si="77"/>
        <v>0.11111111111111116</v>
      </c>
      <c r="O143" s="18">
        <f>IF(ISNUMBER(M143), $B145 * N143, "")</f>
        <v>16666.666666666675</v>
      </c>
      <c r="Q143" s="135"/>
      <c r="R143" s="136"/>
      <c r="S143" s="137"/>
    </row>
    <row r="144" spans="1:19" ht="17.25" thickBot="1">
      <c r="A144" s="114" t="s">
        <v>349</v>
      </c>
      <c r="B144" s="115">
        <v>60.8</v>
      </c>
      <c r="C144" s="72">
        <v>-0.1058823529</v>
      </c>
      <c r="D144" s="24">
        <v>60.2</v>
      </c>
      <c r="E144" s="25">
        <f t="shared" si="74"/>
        <v>-9.8684210526314865E-3</v>
      </c>
      <c r="F144" s="94">
        <f>IF(ISNUMBER(D144), $B145 * E144, "")</f>
        <v>-1480.263157894723</v>
      </c>
      <c r="G144" s="92">
        <v>59.7</v>
      </c>
      <c r="H144" s="25">
        <f t="shared" si="75"/>
        <v>-1.8092105263157802E-2</v>
      </c>
      <c r="I144" s="93">
        <f>IF(ISNUMBER(G144), $B145 * H144, "")</f>
        <v>-2713.8157894736701</v>
      </c>
      <c r="J144" s="24">
        <v>59.5</v>
      </c>
      <c r="K144" s="25">
        <f t="shared" si="76"/>
        <v>-2.1381578947368376E-2</v>
      </c>
      <c r="L144" s="94">
        <f>IF(ISNUMBER(J144), $B145 * K144, "")</f>
        <v>-3207.2368421052565</v>
      </c>
      <c r="M144" s="92">
        <v>57.9</v>
      </c>
      <c r="N144" s="25">
        <f t="shared" si="77"/>
        <v>-4.7697368421052613E-2</v>
      </c>
      <c r="O144" s="94">
        <f>IF(ISNUMBER(M144), $B145 * N144, "")</f>
        <v>-7154.6052631578923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2.495371444687134E-2</v>
      </c>
      <c r="F145" s="28">
        <f>SUM(F125:F144)</f>
        <v>74861.143340614028</v>
      </c>
      <c r="G145" s="26" t="s">
        <v>258</v>
      </c>
      <c r="H145" s="27">
        <f>IF(COUNT(H125:H144), SUM(H125:H144) / COUNT(H125:H144), 0)</f>
        <v>1.3310068043793472E-2</v>
      </c>
      <c r="I145" s="28">
        <f>SUM(I125:I144)</f>
        <v>39930.204131380407</v>
      </c>
      <c r="J145" s="26" t="s">
        <v>258</v>
      </c>
      <c r="K145" s="27">
        <f>IF(COUNT(K125:K144), SUM(K125:K144) / COUNT(K125:K144), 0)</f>
        <v>1.1844059108852412E-2</v>
      </c>
      <c r="L145" s="28">
        <f>SUM(L125:L144)</f>
        <v>35532.177326557241</v>
      </c>
      <c r="M145" s="26" t="s">
        <v>258</v>
      </c>
      <c r="N145" s="27">
        <f>IF(COUNT(N125:N144), SUM(N125:N144) / COUNT(N125:N144), 0)</f>
        <v>2.4646306361736292E-3</v>
      </c>
      <c r="O145" s="28">
        <f>SUM(O125:O144)</f>
        <v>7393.89190852089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2023-01-28(토) 오전 00:00</v>
      </c>
      <c r="C150" s="198"/>
      <c r="D150" s="170" t="str">
        <f>TEXT($G$1, "[$-ko-KR]yyyy-mm-dd(ddd) ") &amp; "오후 14:00"</f>
        <v>2023-01-28(토) 오후 14:00</v>
      </c>
      <c r="E150" s="171"/>
      <c r="F150" s="172"/>
      <c r="G150" s="170" t="str">
        <f>TEXT($G$1, "[$-ko-KR]yyyy-mm-dd(ddd) ") &amp; "오후 19:00"</f>
        <v>2023-01-28(토) 오후 19:00</v>
      </c>
      <c r="H150" s="171"/>
      <c r="I150" s="172"/>
      <c r="J150" s="170" t="str">
        <f>TEXT($G$1, "[$-ko-KR]yyyy-mm-dd(ddd) ") &amp; "오후 21:00"</f>
        <v>2023-01-28(토) 오후 21:00</v>
      </c>
      <c r="K150" s="171"/>
      <c r="L150" s="172"/>
      <c r="M150" s="170" t="str">
        <f>TEXT($G$1+1, "[$-ko-KR]yyyy-mm-dd(ddd) ") &amp; "오전 00:00"</f>
        <v>2023-01-29(일)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79</v>
      </c>
      <c r="B152" s="108">
        <v>327</v>
      </c>
      <c r="C152" s="69">
        <v>-3.0487804999999998E-3</v>
      </c>
      <c r="D152" s="13">
        <v>337</v>
      </c>
      <c r="E152" s="14">
        <f>IF(ISNUMBER(D152), (D152 - $B152) / $B152, "")</f>
        <v>3.0581039755351681E-2</v>
      </c>
      <c r="F152" s="16">
        <f>IF(ISNUMBER(D152), $B172 * E152, "")</f>
        <v>4587.1559633027518</v>
      </c>
      <c r="G152" s="29">
        <v>334</v>
      </c>
      <c r="H152" s="14">
        <f>IF(ISNUMBER(G152), (G152 - $B152) / $B152, "")</f>
        <v>2.1406727828746176E-2</v>
      </c>
      <c r="I152" s="90">
        <f>IF(ISNUMBER(G152), $B172 * H152, "")</f>
        <v>3211.0091743119265</v>
      </c>
      <c r="J152" s="13">
        <v>330</v>
      </c>
      <c r="K152" s="14">
        <f>IF(ISNUMBER(J152), (J152 - $B152) / $B152, "")</f>
        <v>9.1743119266055051E-3</v>
      </c>
      <c r="L152" s="16">
        <f>IF(ISNUMBER(J152), $B172 * K152, "")</f>
        <v>1376.1467889908258</v>
      </c>
      <c r="M152" s="29">
        <v>324</v>
      </c>
      <c r="N152" s="14">
        <f>IF(ISNUMBER(M152), (M152 - $B152) / $B152, "")</f>
        <v>-9.1743119266055051E-3</v>
      </c>
      <c r="O152" s="16">
        <f>IF(ISNUMBER(M152), $B172 * N152, "")</f>
        <v>-1376.1467889908258</v>
      </c>
      <c r="Q152" s="156"/>
      <c r="R152" s="156"/>
      <c r="S152" s="156"/>
    </row>
    <row r="153" spans="1:19" ht="17.25" thickBot="1">
      <c r="A153" s="109" t="s">
        <v>101</v>
      </c>
      <c r="B153" s="110">
        <v>272</v>
      </c>
      <c r="C153" s="70">
        <v>-3.6630037E-3</v>
      </c>
      <c r="D153" s="15">
        <v>276</v>
      </c>
      <c r="E153" s="32">
        <f t="shared" ref="E153:E156" si="78">IF(ISNUMBER(D153), (D153 - $B153) / $B153, "")</f>
        <v>1.4705882352941176E-2</v>
      </c>
      <c r="F153" s="18">
        <f>IF(ISNUMBER(D153), $B172 * E153, "")</f>
        <v>2205.8823529411766</v>
      </c>
      <c r="G153" s="31">
        <v>274</v>
      </c>
      <c r="H153" s="32">
        <f t="shared" ref="H153:H156" si="79">IF(ISNUMBER(G153), (G153 - $B153) / $B153, "")</f>
        <v>7.3529411764705881E-3</v>
      </c>
      <c r="I153" s="91">
        <f>IF(ISNUMBER(G153), $B172 * H153, "")</f>
        <v>1102.9411764705883</v>
      </c>
      <c r="J153" s="15">
        <v>273</v>
      </c>
      <c r="K153" s="32">
        <f t="shared" ref="K153:K156" si="80">IF(ISNUMBER(J153), (J153 - $B153) / $B153, "")</f>
        <v>3.6764705882352941E-3</v>
      </c>
      <c r="L153" s="18">
        <f>IF(ISNUMBER(J153), $B172 * K153, "")</f>
        <v>551.47058823529414</v>
      </c>
      <c r="M153" s="31">
        <v>268</v>
      </c>
      <c r="N153" s="32">
        <f t="shared" ref="N153:N156" si="81">IF(ISNUMBER(M153), (M153 - $B153) / $B153, "")</f>
        <v>-1.4705882352941176E-2</v>
      </c>
      <c r="O153" s="18">
        <f>IF(ISNUMBER(M153), $B172 * N153, "")</f>
        <v>-2205.8823529411766</v>
      </c>
      <c r="Q153" s="156"/>
      <c r="R153" s="156"/>
      <c r="S153" s="156"/>
    </row>
    <row r="154" spans="1:19" ht="17.25" thickBot="1">
      <c r="A154" s="109" t="s">
        <v>341</v>
      </c>
      <c r="B154" s="110">
        <v>995</v>
      </c>
      <c r="C154" s="70">
        <v>-5.0000000000000001E-3</v>
      </c>
      <c r="D154" s="15">
        <v>997</v>
      </c>
      <c r="E154" s="32">
        <f t="shared" si="78"/>
        <v>2.0100502512562816E-3</v>
      </c>
      <c r="F154" s="18">
        <f>IF(ISNUMBER(D154), $B172 * E154, "")</f>
        <v>301.50753768844226</v>
      </c>
      <c r="G154" s="31">
        <v>979</v>
      </c>
      <c r="H154" s="32">
        <f t="shared" si="79"/>
        <v>-1.6080402010050253E-2</v>
      </c>
      <c r="I154" s="91">
        <f>IF(ISNUMBER(G154), $B172 * H154, "")</f>
        <v>-2412.060301507538</v>
      </c>
      <c r="J154" s="15">
        <v>979</v>
      </c>
      <c r="K154" s="32">
        <f t="shared" si="80"/>
        <v>-1.6080402010050253E-2</v>
      </c>
      <c r="L154" s="18">
        <f>IF(ISNUMBER(J154), $B172 * K154, "")</f>
        <v>-2412.060301507538</v>
      </c>
      <c r="M154" s="31">
        <v>960</v>
      </c>
      <c r="N154" s="32">
        <f t="shared" si="81"/>
        <v>-3.5175879396984924E-2</v>
      </c>
      <c r="O154" s="18">
        <f>IF(ISNUMBER(M154), $B172 * N154, "")</f>
        <v>-5276.3819095477384</v>
      </c>
      <c r="Q154" s="146"/>
      <c r="R154" s="146"/>
      <c r="S154" s="146"/>
    </row>
    <row r="155" spans="1:19" ht="17.25" thickBot="1">
      <c r="A155" s="109" t="s">
        <v>187</v>
      </c>
      <c r="B155" s="110">
        <v>912</v>
      </c>
      <c r="C155" s="70">
        <v>-5.4525627E-3</v>
      </c>
      <c r="D155" s="15">
        <v>930</v>
      </c>
      <c r="E155" s="32">
        <f t="shared" si="78"/>
        <v>1.9736842105263157E-2</v>
      </c>
      <c r="F155" s="18">
        <f>IF(ISNUMBER(D155), $B172 * E155, "")</f>
        <v>2960.5263157894733</v>
      </c>
      <c r="G155" s="31">
        <v>924</v>
      </c>
      <c r="H155" s="32">
        <f t="shared" si="79"/>
        <v>1.3157894736842105E-2</v>
      </c>
      <c r="I155" s="91">
        <f>IF(ISNUMBER(G155), $B172 * H155, "")</f>
        <v>1973.6842105263156</v>
      </c>
      <c r="J155" s="15">
        <v>921</v>
      </c>
      <c r="K155" s="32">
        <f t="shared" si="80"/>
        <v>9.8684210526315784E-3</v>
      </c>
      <c r="L155" s="18">
        <f>IF(ISNUMBER(J155), $B172 * K155, "")</f>
        <v>1480.2631578947367</v>
      </c>
      <c r="M155" s="31">
        <v>907</v>
      </c>
      <c r="N155" s="32">
        <f t="shared" si="81"/>
        <v>-5.4824561403508769E-3</v>
      </c>
      <c r="O155" s="18">
        <f>IF(ISNUMBER(M155), $B172 * N155, "")</f>
        <v>-822.36842105263156</v>
      </c>
      <c r="Q155" s="146"/>
      <c r="R155" s="146"/>
      <c r="S155" s="146"/>
    </row>
    <row r="156" spans="1:19" ht="17.25" thickBot="1">
      <c r="A156" s="111" t="s">
        <v>89</v>
      </c>
      <c r="B156" s="112">
        <v>511</v>
      </c>
      <c r="C156" s="71">
        <v>-7.7669903000000002E-3</v>
      </c>
      <c r="D156" s="20">
        <v>518</v>
      </c>
      <c r="E156" s="21">
        <f t="shared" si="78"/>
        <v>1.3698630136986301E-2</v>
      </c>
      <c r="F156" s="22">
        <f>IF(ISNUMBER(D156), $B172 * E156, "")</f>
        <v>2054.794520547945</v>
      </c>
      <c r="G156" s="30">
        <v>517</v>
      </c>
      <c r="H156" s="21">
        <f t="shared" si="79"/>
        <v>1.1741682974559686E-2</v>
      </c>
      <c r="I156" s="95">
        <f>IF(ISNUMBER(G156), $B172 * H156, "")</f>
        <v>1761.252446183953</v>
      </c>
      <c r="J156" s="20">
        <v>517</v>
      </c>
      <c r="K156" s="21">
        <f t="shared" si="80"/>
        <v>1.1741682974559686E-2</v>
      </c>
      <c r="L156" s="22">
        <f>IF(ISNUMBER(J156), $B172 * K156, "")</f>
        <v>1761.252446183953</v>
      </c>
      <c r="M156" s="30">
        <v>514</v>
      </c>
      <c r="N156" s="21">
        <f t="shared" si="81"/>
        <v>5.8708414872798431E-3</v>
      </c>
      <c r="O156" s="22">
        <f>IF(ISNUMBER(M156), $B172 * N156, "")</f>
        <v>880.6262230919765</v>
      </c>
      <c r="Q156" s="146"/>
      <c r="R156" s="146"/>
      <c r="S156" s="146"/>
    </row>
    <row r="157" spans="1:19" ht="17.25" thickBot="1">
      <c r="A157" s="109" t="s">
        <v>253</v>
      </c>
      <c r="B157" s="113">
        <v>107</v>
      </c>
      <c r="C157" s="73">
        <v>-9.2592592999999994E-3</v>
      </c>
      <c r="D157" s="96">
        <v>115</v>
      </c>
      <c r="E157" s="97">
        <f>IF(ISNUMBER(D157), (D157 - $B157) / $B157, "")</f>
        <v>7.476635514018691E-2</v>
      </c>
      <c r="F157" s="98">
        <f>IF(ISNUMBER(D157), $B172 * E157, "")</f>
        <v>11214.953271028036</v>
      </c>
      <c r="G157" s="99">
        <v>114</v>
      </c>
      <c r="H157" s="97">
        <f>IF(ISNUMBER(G157), (G157 - $B157) / $B157, "")</f>
        <v>6.5420560747663545E-2</v>
      </c>
      <c r="I157" s="100">
        <f>IF(ISNUMBER(G157), $B172 * H157, "")</f>
        <v>9813.0841121495323</v>
      </c>
      <c r="J157" s="96">
        <v>112</v>
      </c>
      <c r="K157" s="97">
        <f>IF(ISNUMBER(J157), (J157 - $B157) / $B157, "")</f>
        <v>4.6728971962616821E-2</v>
      </c>
      <c r="L157" s="98">
        <f>IF(ISNUMBER(J157), $B172 * K157, "")</f>
        <v>7009.3457943925232</v>
      </c>
      <c r="M157" s="99">
        <v>111</v>
      </c>
      <c r="N157" s="97">
        <f>IF(ISNUMBER(M157), (M157 - $B157) / $B157, "")</f>
        <v>3.7383177570093455E-2</v>
      </c>
      <c r="O157" s="98">
        <f>IF(ISNUMBER(M157), $B172 * N157, "")</f>
        <v>5607.4766355140182</v>
      </c>
      <c r="Q157" s="146"/>
      <c r="R157" s="146"/>
      <c r="S157" s="146"/>
    </row>
    <row r="158" spans="1:19" ht="17.25" thickBot="1">
      <c r="A158" s="109" t="s">
        <v>199</v>
      </c>
      <c r="B158" s="110">
        <v>365</v>
      </c>
      <c r="C158" s="70">
        <v>-1.3513513499999999E-2</v>
      </c>
      <c r="D158" s="15">
        <v>370</v>
      </c>
      <c r="E158" s="32">
        <f t="shared" ref="E158:E161" si="82">IF(ISNUMBER(D158), (D158 - $B158) / $B158, "")</f>
        <v>1.3698630136986301E-2</v>
      </c>
      <c r="F158" s="18">
        <f>IF(ISNUMBER(D158), $B172 * E158, "")</f>
        <v>2054.794520547945</v>
      </c>
      <c r="G158" s="31">
        <v>369</v>
      </c>
      <c r="H158" s="32">
        <f t="shared" ref="H158:H161" si="83">IF(ISNUMBER(G158), (G158 - $B158) / $B158, "")</f>
        <v>1.0958904109589041E-2</v>
      </c>
      <c r="I158" s="91">
        <f>IF(ISNUMBER(G158), $B172 * H158, "")</f>
        <v>1643.8356164383563</v>
      </c>
      <c r="J158" s="15">
        <v>368</v>
      </c>
      <c r="K158" s="32">
        <f t="shared" ref="K158:K161" si="84">IF(ISNUMBER(J158), (J158 - $B158) / $B158, "")</f>
        <v>8.21917808219178E-3</v>
      </c>
      <c r="L158" s="18">
        <f>IF(ISNUMBER(J158), $B172 * K158, "")</f>
        <v>1232.8767123287671</v>
      </c>
      <c r="M158" s="31">
        <v>364</v>
      </c>
      <c r="N158" s="32">
        <f t="shared" ref="N158:N161" si="85">IF(ISNUMBER(M158), (M158 - $B158) / $B158, "")</f>
        <v>-2.7397260273972603E-3</v>
      </c>
      <c r="O158" s="18">
        <f>IF(ISNUMBER(M158), $B172 * N158, "")</f>
        <v>-410.95890410958907</v>
      </c>
      <c r="Q158" s="146"/>
      <c r="R158" s="146"/>
      <c r="S158" s="146"/>
    </row>
    <row r="159" spans="1:19" ht="17.25" thickBot="1">
      <c r="A159" s="109" t="s">
        <v>201</v>
      </c>
      <c r="B159" s="110">
        <v>286</v>
      </c>
      <c r="C159" s="70">
        <v>-1.7182130600000001E-2</v>
      </c>
      <c r="D159" s="15">
        <v>302</v>
      </c>
      <c r="E159" s="32">
        <f t="shared" si="82"/>
        <v>5.5944055944055944E-2</v>
      </c>
      <c r="F159" s="18">
        <f>IF(ISNUMBER(D159), $B172 * E159, "")</f>
        <v>8391.6083916083917</v>
      </c>
      <c r="G159" s="31">
        <v>298</v>
      </c>
      <c r="H159" s="32">
        <f t="shared" si="83"/>
        <v>4.195804195804196E-2</v>
      </c>
      <c r="I159" s="91">
        <f>IF(ISNUMBER(G159), $B172 * H159, "")</f>
        <v>6293.7062937062938</v>
      </c>
      <c r="J159" s="15">
        <v>296</v>
      </c>
      <c r="K159" s="32">
        <f t="shared" si="84"/>
        <v>3.4965034965034968E-2</v>
      </c>
      <c r="L159" s="18">
        <f>IF(ISNUMBER(J159), $B172 * K159, "")</f>
        <v>5244.7552447552453</v>
      </c>
      <c r="M159" s="31">
        <v>293</v>
      </c>
      <c r="N159" s="32">
        <f t="shared" si="85"/>
        <v>2.4475524475524476E-2</v>
      </c>
      <c r="O159" s="18">
        <f>IF(ISNUMBER(M159), $B172 * N159, "")</f>
        <v>3671.3286713286716</v>
      </c>
      <c r="Q159" s="146"/>
      <c r="R159" s="146"/>
      <c r="S159" s="146"/>
    </row>
    <row r="160" spans="1:19" ht="17.25" thickBot="1">
      <c r="A160" s="109" t="s">
        <v>51</v>
      </c>
      <c r="B160" s="110">
        <v>114</v>
      </c>
      <c r="C160" s="70">
        <v>-1.7241379300000002E-2</v>
      </c>
      <c r="D160" s="15">
        <v>118</v>
      </c>
      <c r="E160" s="32">
        <f t="shared" si="82"/>
        <v>3.5087719298245612E-2</v>
      </c>
      <c r="F160" s="18">
        <f>IF(ISNUMBER(D160), $B172 * E160, "")</f>
        <v>5263.1578947368416</v>
      </c>
      <c r="G160" s="31">
        <v>118</v>
      </c>
      <c r="H160" s="32">
        <f t="shared" si="83"/>
        <v>3.5087719298245612E-2</v>
      </c>
      <c r="I160" s="91">
        <f>IF(ISNUMBER(G160), $B172 * H160, "")</f>
        <v>5263.1578947368416</v>
      </c>
      <c r="J160" s="15">
        <v>118</v>
      </c>
      <c r="K160" s="32">
        <f t="shared" si="84"/>
        <v>3.5087719298245612E-2</v>
      </c>
      <c r="L160" s="18">
        <f>IF(ISNUMBER(J160), $B172 * K160, "")</f>
        <v>5263.1578947368416</v>
      </c>
      <c r="M160" s="31">
        <v>116</v>
      </c>
      <c r="N160" s="32">
        <f t="shared" si="85"/>
        <v>1.7543859649122806E-2</v>
      </c>
      <c r="O160" s="18">
        <f>IF(ISNUMBER(M160), $B172 * N160, "")</f>
        <v>2631.5789473684208</v>
      </c>
      <c r="Q160" s="33"/>
      <c r="R160" s="33"/>
    </row>
    <row r="161" spans="1:19" ht="17.25" thickBot="1">
      <c r="A161" s="114" t="s">
        <v>105</v>
      </c>
      <c r="B161" s="115">
        <v>273</v>
      </c>
      <c r="C161" s="72">
        <v>-1.7985611499999998E-2</v>
      </c>
      <c r="D161" s="24">
        <v>281</v>
      </c>
      <c r="E161" s="25">
        <f t="shared" si="82"/>
        <v>2.9304029304029304E-2</v>
      </c>
      <c r="F161" s="94">
        <f>IF(ISNUMBER(D161), $B172 * E161, "")</f>
        <v>4395.6043956043959</v>
      </c>
      <c r="G161" s="92">
        <v>278</v>
      </c>
      <c r="H161" s="25">
        <f t="shared" si="83"/>
        <v>1.8315018315018316E-2</v>
      </c>
      <c r="I161" s="93">
        <f>IF(ISNUMBER(G161), $B172 * H161, "")</f>
        <v>2747.2527472527472</v>
      </c>
      <c r="J161" s="24">
        <v>277</v>
      </c>
      <c r="K161" s="25">
        <f t="shared" si="84"/>
        <v>1.4652014652014652E-2</v>
      </c>
      <c r="L161" s="94">
        <f>IF(ISNUMBER(J161), $B172 * K161, "")</f>
        <v>2197.802197802198</v>
      </c>
      <c r="M161" s="92">
        <v>272</v>
      </c>
      <c r="N161" s="25">
        <f t="shared" si="85"/>
        <v>-3.663003663003663E-3</v>
      </c>
      <c r="O161" s="94">
        <f>IF(ISNUMBER(M161), $B172 * N161, "")</f>
        <v>-549.45054945054949</v>
      </c>
      <c r="Q161" s="147"/>
      <c r="R161" s="148"/>
      <c r="S161" s="149"/>
    </row>
    <row r="162" spans="1:19">
      <c r="A162" s="107" t="s">
        <v>332</v>
      </c>
      <c r="B162" s="108">
        <v>654</v>
      </c>
      <c r="C162" s="69">
        <v>-1.8018018E-2</v>
      </c>
      <c r="D162" s="13">
        <v>686</v>
      </c>
      <c r="E162" s="14">
        <f>IF(ISNUMBER(D162), (D162 - $B162) / $B162, "")</f>
        <v>4.8929663608562692E-2</v>
      </c>
      <c r="F162" s="16">
        <f>IF(ISNUMBER(D162), $B172 * E162, "")</f>
        <v>7339.4495412844035</v>
      </c>
      <c r="G162" s="29">
        <v>672</v>
      </c>
      <c r="H162" s="14">
        <f>IF(ISNUMBER(G162), (G162 - $B162) / $B162, "")</f>
        <v>2.7522935779816515E-2</v>
      </c>
      <c r="I162" s="90">
        <f>IF(ISNUMBER(G162), $B172 * H162, "")</f>
        <v>4128.440366972477</v>
      </c>
      <c r="J162" s="13">
        <v>668</v>
      </c>
      <c r="K162" s="14">
        <f>IF(ISNUMBER(J162), (J162 - $B162) / $B162, "")</f>
        <v>2.1406727828746176E-2</v>
      </c>
      <c r="L162" s="16">
        <f>IF(ISNUMBER(J162), $B172 * K162, "")</f>
        <v>3211.0091743119265</v>
      </c>
      <c r="M162" s="29">
        <v>655</v>
      </c>
      <c r="N162" s="14">
        <f>IF(ISNUMBER(M162), (M162 - $B162) / $B162, "")</f>
        <v>1.5290519877675841E-3</v>
      </c>
      <c r="O162" s="16">
        <f>IF(ISNUMBER(M162), $B172 * N162, "")</f>
        <v>229.35779816513761</v>
      </c>
      <c r="Q162" s="150"/>
      <c r="R162" s="151"/>
      <c r="S162" s="152"/>
    </row>
    <row r="163" spans="1:19" ht="17.25" thickBot="1">
      <c r="A163" s="109" t="s">
        <v>149</v>
      </c>
      <c r="B163" s="110">
        <v>515</v>
      </c>
      <c r="C163" s="70">
        <v>-1.9047618999999998E-2</v>
      </c>
      <c r="D163" s="15">
        <v>582</v>
      </c>
      <c r="E163" s="32">
        <f t="shared" ref="E163:E166" si="86">IF(ISNUMBER(D163), (D163 - $B163) / $B163, "")</f>
        <v>0.13009708737864079</v>
      </c>
      <c r="F163" s="18">
        <f>IF(ISNUMBER(D163), $B172 * E163, "")</f>
        <v>19514.563106796119</v>
      </c>
      <c r="G163" s="31">
        <v>570</v>
      </c>
      <c r="H163" s="32">
        <f t="shared" ref="H163:H166" si="87">IF(ISNUMBER(G163), (G163 - $B163) / $B163, "")</f>
        <v>0.10679611650485436</v>
      </c>
      <c r="I163" s="91">
        <f>IF(ISNUMBER(G163), $B172 * H163, "")</f>
        <v>16019.417475728154</v>
      </c>
      <c r="J163" s="15">
        <v>574</v>
      </c>
      <c r="K163" s="32">
        <f t="shared" ref="K163:K166" si="88">IF(ISNUMBER(J163), (J163 - $B163) / $B163, "")</f>
        <v>0.1145631067961165</v>
      </c>
      <c r="L163" s="18">
        <f>IF(ISNUMBER(J163), $B172 * K163, "")</f>
        <v>17184.466019417476</v>
      </c>
      <c r="M163" s="31">
        <v>565</v>
      </c>
      <c r="N163" s="32">
        <f t="shared" ref="N163:N166" si="89">IF(ISNUMBER(M163), (M163 - $B163) / $B163, "")</f>
        <v>9.7087378640776698E-2</v>
      </c>
      <c r="O163" s="18">
        <f>IF(ISNUMBER(M163), $B172 * N163, "")</f>
        <v>14563.106796116504</v>
      </c>
      <c r="Q163" s="153"/>
      <c r="R163" s="154"/>
      <c r="S163" s="155"/>
    </row>
    <row r="164" spans="1:19" ht="17.25" thickBot="1">
      <c r="A164" s="109" t="s">
        <v>205</v>
      </c>
      <c r="B164" s="110">
        <v>127</v>
      </c>
      <c r="C164" s="70">
        <v>-2.3076923100000001E-2</v>
      </c>
      <c r="D164" s="15">
        <v>132</v>
      </c>
      <c r="E164" s="32">
        <f t="shared" si="86"/>
        <v>3.937007874015748E-2</v>
      </c>
      <c r="F164" s="18">
        <f>IF(ISNUMBER(D164), $B172 * E164, "")</f>
        <v>5905.5118110236217</v>
      </c>
      <c r="G164" s="31">
        <v>130</v>
      </c>
      <c r="H164" s="32">
        <f t="shared" si="87"/>
        <v>2.3622047244094488E-2</v>
      </c>
      <c r="I164" s="91">
        <f>IF(ISNUMBER(G164), $B172 * H164, "")</f>
        <v>3543.3070866141734</v>
      </c>
      <c r="J164" s="15">
        <v>129</v>
      </c>
      <c r="K164" s="32">
        <f t="shared" si="88"/>
        <v>1.5748031496062992E-2</v>
      </c>
      <c r="L164" s="18">
        <f>IF(ISNUMBER(J164), $B172 * K164, "")</f>
        <v>2362.2047244094488</v>
      </c>
      <c r="M164" s="31">
        <v>128</v>
      </c>
      <c r="N164" s="32">
        <f t="shared" si="89"/>
        <v>7.874015748031496E-3</v>
      </c>
      <c r="O164" s="18">
        <f>IF(ISNUMBER(M164), $B172 * N164, "")</f>
        <v>1181.1023622047244</v>
      </c>
      <c r="Q164" s="146"/>
      <c r="R164" s="146"/>
      <c r="S164" s="146"/>
    </row>
    <row r="165" spans="1:19" ht="17.25" thickBot="1">
      <c r="A165" s="109" t="s">
        <v>85</v>
      </c>
      <c r="B165" s="110">
        <v>169</v>
      </c>
      <c r="C165" s="70">
        <v>-2.3121387300000001E-2</v>
      </c>
      <c r="D165" s="15">
        <v>176</v>
      </c>
      <c r="E165" s="32">
        <f t="shared" si="86"/>
        <v>4.142011834319527E-2</v>
      </c>
      <c r="F165" s="18">
        <f>IF(ISNUMBER(D165), $B172 * E165, "")</f>
        <v>6213.0177514792904</v>
      </c>
      <c r="G165" s="31">
        <v>177</v>
      </c>
      <c r="H165" s="32">
        <f t="shared" si="87"/>
        <v>4.7337278106508875E-2</v>
      </c>
      <c r="I165" s="91">
        <f>IF(ISNUMBER(G165), $B172 * H165, "")</f>
        <v>7100.5917159763312</v>
      </c>
      <c r="J165" s="15">
        <v>175</v>
      </c>
      <c r="K165" s="32">
        <f t="shared" si="88"/>
        <v>3.5502958579881658E-2</v>
      </c>
      <c r="L165" s="18">
        <f>IF(ISNUMBER(J165), $B172 * K165, "")</f>
        <v>5325.4437869822486</v>
      </c>
      <c r="M165" s="31">
        <v>173</v>
      </c>
      <c r="N165" s="32">
        <f t="shared" si="89"/>
        <v>2.3668639053254437E-2</v>
      </c>
      <c r="O165" s="18">
        <f>IF(ISNUMBER(M165), $B172 * N165, "")</f>
        <v>3550.2958579881656</v>
      </c>
      <c r="Q165" s="156"/>
      <c r="R165" s="156"/>
      <c r="S165" s="156"/>
    </row>
    <row r="166" spans="1:19" ht="17.25" thickBot="1">
      <c r="A166" s="111" t="s">
        <v>111</v>
      </c>
      <c r="B166" s="112">
        <v>908</v>
      </c>
      <c r="C166" s="71">
        <v>-2.5751072999999999E-2</v>
      </c>
      <c r="D166" s="20">
        <v>967</v>
      </c>
      <c r="E166" s="21">
        <f t="shared" si="86"/>
        <v>6.4977973568281944E-2</v>
      </c>
      <c r="F166" s="22">
        <f>IF(ISNUMBER(D166), $B172 * E166, "")</f>
        <v>9746.6960352422921</v>
      </c>
      <c r="G166" s="30">
        <v>948</v>
      </c>
      <c r="H166" s="21">
        <f t="shared" si="87"/>
        <v>4.405286343612335E-2</v>
      </c>
      <c r="I166" s="95">
        <f>IF(ISNUMBER(G166), $B172 * H166, "")</f>
        <v>6607.9295154185029</v>
      </c>
      <c r="J166" s="20">
        <v>938</v>
      </c>
      <c r="K166" s="21">
        <f t="shared" si="88"/>
        <v>3.3039647577092511E-2</v>
      </c>
      <c r="L166" s="22">
        <f>IF(ISNUMBER(J166), $B172 * K166, "")</f>
        <v>4955.9471365638765</v>
      </c>
      <c r="M166" s="30">
        <v>921</v>
      </c>
      <c r="N166" s="21">
        <f t="shared" si="89"/>
        <v>1.4317180616740088E-2</v>
      </c>
      <c r="O166" s="22">
        <f>IF(ISNUMBER(M166), $B172 * N166, "")</f>
        <v>2147.5770925110132</v>
      </c>
      <c r="Q166" s="156"/>
      <c r="R166" s="156"/>
      <c r="S166" s="156"/>
    </row>
    <row r="167" spans="1:19" ht="17.25" thickBot="1">
      <c r="A167" s="109" t="s">
        <v>60</v>
      </c>
      <c r="B167" s="113">
        <v>829</v>
      </c>
      <c r="C167" s="73">
        <v>-2.69953052E-2</v>
      </c>
      <c r="D167" s="96">
        <v>903</v>
      </c>
      <c r="E167" s="97">
        <f>IF(ISNUMBER(D167), (D167 - $B167) / $B167, "")</f>
        <v>8.9264173703256941E-2</v>
      </c>
      <c r="F167" s="98">
        <f>IF(ISNUMBER(D167), $B172 * E167, "")</f>
        <v>13389.626055488541</v>
      </c>
      <c r="G167" s="99">
        <v>884</v>
      </c>
      <c r="H167" s="97">
        <f>IF(ISNUMBER(G167), (G167 - $B167) / $B167, "")</f>
        <v>6.6344993968636912E-2</v>
      </c>
      <c r="I167" s="100">
        <f>IF(ISNUMBER(G167), $B172 * H167, "")</f>
        <v>9951.7490952955359</v>
      </c>
      <c r="J167" s="96">
        <v>879</v>
      </c>
      <c r="K167" s="97">
        <f>IF(ISNUMBER(J167), (J167 - $B167) / $B167, "")</f>
        <v>6.0313630880579013E-2</v>
      </c>
      <c r="L167" s="98">
        <f>IF(ISNUMBER(J167), $B172 * K167, "")</f>
        <v>9047.0446320868523</v>
      </c>
      <c r="M167" s="99">
        <v>873</v>
      </c>
      <c r="N167" s="97">
        <f>IF(ISNUMBER(M167), (M167 - $B167) / $B167, "")</f>
        <v>5.3075995174909532E-2</v>
      </c>
      <c r="O167" s="98">
        <f>IF(ISNUMBER(M167), $B172 * N167, "")</f>
        <v>7961.3992762364296</v>
      </c>
      <c r="Q167" s="146"/>
      <c r="R167" s="146"/>
      <c r="S167" s="146"/>
    </row>
    <row r="168" spans="1:19" ht="17.25" thickBot="1">
      <c r="A168" s="109" t="s">
        <v>159</v>
      </c>
      <c r="B168" s="110">
        <v>237</v>
      </c>
      <c r="C168" s="70">
        <v>-3.26530612E-2</v>
      </c>
      <c r="D168" s="15">
        <v>249</v>
      </c>
      <c r="E168" s="32">
        <f t="shared" ref="E168:E171" si="90">IF(ISNUMBER(D168), (D168 - $B168) / $B168, "")</f>
        <v>5.0632911392405063E-2</v>
      </c>
      <c r="F168" s="18">
        <f>IF(ISNUMBER(D168), $B172 * E168, "")</f>
        <v>7594.9367088607596</v>
      </c>
      <c r="G168" s="31">
        <v>247</v>
      </c>
      <c r="H168" s="32">
        <f t="shared" ref="H168:H171" si="91">IF(ISNUMBER(G168), (G168 - $B168) / $B168, "")</f>
        <v>4.2194092827004218E-2</v>
      </c>
      <c r="I168" s="91">
        <f>IF(ISNUMBER(G168), $B172 * H168, "")</f>
        <v>6329.1139240506327</v>
      </c>
      <c r="J168" s="15">
        <v>247</v>
      </c>
      <c r="K168" s="32">
        <f t="shared" ref="K168:K171" si="92">IF(ISNUMBER(J168), (J168 - $B168) / $B168, "")</f>
        <v>4.2194092827004218E-2</v>
      </c>
      <c r="L168" s="18">
        <f>IF(ISNUMBER(J168), $B172 * K168, "")</f>
        <v>6329.1139240506327</v>
      </c>
      <c r="M168" s="31">
        <v>245</v>
      </c>
      <c r="N168" s="32">
        <f t="shared" ref="N168:N171" si="93">IF(ISNUMBER(M168), (M168 - $B168) / $B168, "")</f>
        <v>3.3755274261603373E-2</v>
      </c>
      <c r="O168" s="18">
        <f>IF(ISNUMBER(M168), $B172 * N168, "")</f>
        <v>5063.2911392405058</v>
      </c>
      <c r="Q168" s="146"/>
      <c r="R168" s="146"/>
      <c r="S168" s="146"/>
    </row>
    <row r="169" spans="1:19" ht="17.25" thickBot="1">
      <c r="A169" s="109" t="s">
        <v>319</v>
      </c>
      <c r="B169" s="110">
        <v>742</v>
      </c>
      <c r="C169" s="70">
        <v>-3.8860103600000001E-2</v>
      </c>
      <c r="D169" s="15">
        <v>780</v>
      </c>
      <c r="E169" s="32">
        <f t="shared" si="90"/>
        <v>5.1212938005390833E-2</v>
      </c>
      <c r="F169" s="18">
        <f>IF(ISNUMBER(D169), $B172 * E169, "")</f>
        <v>7681.9407008086246</v>
      </c>
      <c r="G169" s="31">
        <v>771</v>
      </c>
      <c r="H169" s="32">
        <f t="shared" si="91"/>
        <v>3.9083557951482481E-2</v>
      </c>
      <c r="I169" s="91">
        <f>IF(ISNUMBER(G169), $B172 * H169, "")</f>
        <v>5862.5336927223725</v>
      </c>
      <c r="J169" s="15">
        <v>766</v>
      </c>
      <c r="K169" s="32">
        <f t="shared" si="92"/>
        <v>3.2345013477088951E-2</v>
      </c>
      <c r="L169" s="18">
        <f>IF(ISNUMBER(J169), $B172 * K169, "")</f>
        <v>4851.7520215633422</v>
      </c>
      <c r="M169" s="31">
        <v>739</v>
      </c>
      <c r="N169" s="32">
        <f t="shared" si="93"/>
        <v>-4.0431266846361188E-3</v>
      </c>
      <c r="O169" s="18">
        <f>IF(ISNUMBER(M169), $B172 * N169, "")</f>
        <v>-606.46900269541777</v>
      </c>
      <c r="Q169" s="146"/>
      <c r="R169" s="146"/>
      <c r="S169" s="146"/>
    </row>
    <row r="170" spans="1:19">
      <c r="A170" s="109" t="s">
        <v>345</v>
      </c>
      <c r="B170" s="110">
        <v>221</v>
      </c>
      <c r="C170" s="70">
        <v>-3.9130434800000002E-2</v>
      </c>
      <c r="D170" s="15">
        <v>223</v>
      </c>
      <c r="E170" s="32">
        <f t="shared" si="90"/>
        <v>9.0497737556561094E-3</v>
      </c>
      <c r="F170" s="18">
        <f>IF(ISNUMBER(D170), $B172 * E170, "")</f>
        <v>1357.4660633484164</v>
      </c>
      <c r="G170" s="31">
        <v>220</v>
      </c>
      <c r="H170" s="32">
        <f t="shared" si="91"/>
        <v>-4.5248868778280547E-3</v>
      </c>
      <c r="I170" s="91">
        <f>IF(ISNUMBER(G170), $B172 * H170, "")</f>
        <v>-678.73303167420818</v>
      </c>
      <c r="J170" s="15">
        <v>223</v>
      </c>
      <c r="K170" s="32">
        <f t="shared" si="92"/>
        <v>9.0497737556561094E-3</v>
      </c>
      <c r="L170" s="18">
        <f>IF(ISNUMBER(J170), $B172 * K170, "")</f>
        <v>1357.4660633484164</v>
      </c>
      <c r="M170" s="31">
        <v>222</v>
      </c>
      <c r="N170" s="32">
        <f t="shared" si="93"/>
        <v>4.5248868778280547E-3</v>
      </c>
      <c r="O170" s="18">
        <f>IF(ISNUMBER(M170), $B172 * N170, "")</f>
        <v>678.73303167420818</v>
      </c>
      <c r="Q170" s="135"/>
      <c r="R170" s="136"/>
      <c r="S170" s="137"/>
    </row>
    <row r="171" spans="1:19" ht="17.25" thickBot="1">
      <c r="A171" s="114" t="s">
        <v>68</v>
      </c>
      <c r="B171" s="115">
        <v>666</v>
      </c>
      <c r="C171" s="72">
        <v>-4.1726618700000002E-2</v>
      </c>
      <c r="D171" s="24">
        <v>673</v>
      </c>
      <c r="E171" s="25">
        <f t="shared" si="90"/>
        <v>1.0510510510510511E-2</v>
      </c>
      <c r="F171" s="94">
        <f>IF(ISNUMBER(D171), $B172 * E171, "")</f>
        <v>1576.5765765765766</v>
      </c>
      <c r="G171" s="92">
        <v>673</v>
      </c>
      <c r="H171" s="25">
        <f t="shared" si="91"/>
        <v>1.0510510510510511E-2</v>
      </c>
      <c r="I171" s="93">
        <f>IF(ISNUMBER(G171), $B172 * H171, "")</f>
        <v>1576.5765765765766</v>
      </c>
      <c r="J171" s="24">
        <v>673</v>
      </c>
      <c r="K171" s="25">
        <f t="shared" si="92"/>
        <v>1.0510510510510511E-2</v>
      </c>
      <c r="L171" s="94">
        <f>IF(ISNUMBER(J171), $B172 * K171, "")</f>
        <v>1576.5765765765766</v>
      </c>
      <c r="M171" s="92">
        <v>665</v>
      </c>
      <c r="N171" s="25">
        <f t="shared" si="93"/>
        <v>-1.5015015015015015E-3</v>
      </c>
      <c r="O171" s="94">
        <f>IF(ISNUMBER(M171), $B172 * N171, "")</f>
        <v>-225.22522522522522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4.1249923171568018E-2</v>
      </c>
      <c r="F172" s="28">
        <f>SUM(F152:F171)</f>
        <v>123749.76951470404</v>
      </c>
      <c r="G172" s="26" t="s">
        <v>258</v>
      </c>
      <c r="H172" s="27">
        <f>IF(COUNT(H152:H171), SUM(H152:H171) / COUNT(H152:H171), 0)</f>
        <v>3.0612929929316524E-2</v>
      </c>
      <c r="I172" s="28">
        <f>SUM(I152:I171)</f>
        <v>91838.789787949572</v>
      </c>
      <c r="J172" s="26" t="s">
        <v>258</v>
      </c>
      <c r="K172" s="27">
        <f>IF(COUNT(K152:K171), SUM(K152:K171) / COUNT(K152:K171), 0)</f>
        <v>2.6635344861041209E-2</v>
      </c>
      <c r="L172" s="28">
        <f>SUM(L152:L171)</f>
        <v>79906.034583123648</v>
      </c>
      <c r="M172" s="26" t="s">
        <v>258</v>
      </c>
      <c r="N172" s="27">
        <f>IF(COUNT(N152:N171), SUM(N152:N171) / COUNT(N152:N171), 0)</f>
        <v>1.2230996892475542E-2</v>
      </c>
      <c r="O172" s="28">
        <f>SUM(O152:O171)</f>
        <v>36692.99067742662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2023-01-28(토) 오전 00:00</v>
      </c>
      <c r="C177" s="198"/>
      <c r="D177" s="170" t="str">
        <f>TEXT($G$1, "[$-ko-KR]yyyy-mm-dd(ddd) ") &amp; "오후 14:00"</f>
        <v>2023-01-28(토) 오후 14:00</v>
      </c>
      <c r="E177" s="171"/>
      <c r="F177" s="172"/>
      <c r="G177" s="170" t="str">
        <f>TEXT($G$1, "[$-ko-KR]yyyy-mm-dd(ddd) ") &amp; "오후 19:00"</f>
        <v>2023-01-28(토) 오후 19:00</v>
      </c>
      <c r="H177" s="171"/>
      <c r="I177" s="172"/>
      <c r="J177" s="170" t="str">
        <f>TEXT($G$1, "[$-ko-KR]yyyy-mm-dd(ddd) ") &amp; "오후 21:00"</f>
        <v>2023-01-28(토) 오후 21:00</v>
      </c>
      <c r="K177" s="171"/>
      <c r="L177" s="172"/>
      <c r="M177" s="170" t="str">
        <f>TEXT($G$1+1, "[$-ko-KR]yyyy-mm-dd(ddd) ") &amp; "오전 00:00"</f>
        <v>2023-01-29(일)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343</v>
      </c>
      <c r="B179" s="108">
        <v>29970</v>
      </c>
      <c r="C179" s="69">
        <v>-2.02680615E-2</v>
      </c>
      <c r="D179" s="13">
        <v>30940</v>
      </c>
      <c r="E179" s="14">
        <f>IF(ISNUMBER(D179), (D179 - $B179) / $B179, "")</f>
        <v>3.2365699032365698E-2</v>
      </c>
      <c r="F179" s="16">
        <f>IF(ISNUMBER(D179), $B199 * E179, "")</f>
        <v>4854.8548548548551</v>
      </c>
      <c r="G179" s="29">
        <v>30710</v>
      </c>
      <c r="H179" s="14">
        <f>IF(ISNUMBER(G179), (G179 - $B179) / $B179, "")</f>
        <v>2.4691358024691357E-2</v>
      </c>
      <c r="I179" s="90">
        <f>IF(ISNUMBER(G179), $B199 * H179, "")</f>
        <v>3703.7037037037035</v>
      </c>
      <c r="J179" s="13">
        <v>30620</v>
      </c>
      <c r="K179" s="14">
        <f>IF(ISNUMBER(J179), (J179 - $B179) / $B179, "")</f>
        <v>2.1688355021688355E-2</v>
      </c>
      <c r="L179" s="16">
        <f>IF(ISNUMBER(J179), $B199 * K179, "")</f>
        <v>3253.2532532532532</v>
      </c>
      <c r="M179" s="29">
        <v>30110</v>
      </c>
      <c r="N179" s="14">
        <f>IF(ISNUMBER(M179), (M179 - $B179) / $B179, "")</f>
        <v>4.6713380046713377E-3</v>
      </c>
      <c r="O179" s="16">
        <f>IF(ISNUMBER(M179), $B199 * N179, "")</f>
        <v>700.70070070070062</v>
      </c>
      <c r="Q179" s="156"/>
      <c r="R179" s="156"/>
      <c r="S179" s="156"/>
    </row>
    <row r="180" spans="1:19" ht="17.25" thickBot="1">
      <c r="A180" s="109" t="s">
        <v>207</v>
      </c>
      <c r="B180" s="110">
        <v>77.599999999999994</v>
      </c>
      <c r="C180" s="70">
        <v>-2.2670025199999999E-2</v>
      </c>
      <c r="D180" s="15">
        <v>78.7</v>
      </c>
      <c r="E180" s="32">
        <f t="shared" ref="E180:E183" si="94">IF(ISNUMBER(D180), (D180 - $B180) / $B180, "")</f>
        <v>1.4175257731958874E-2</v>
      </c>
      <c r="F180" s="18">
        <f>IF(ISNUMBER(D180), $B199 * E180, "")</f>
        <v>2126.2886597938309</v>
      </c>
      <c r="G180" s="31">
        <v>77.900000000000006</v>
      </c>
      <c r="H180" s="32">
        <f t="shared" ref="H180:H183" si="95">IF(ISNUMBER(G180), (G180 - $B180) / $B180, "")</f>
        <v>3.8659793814434457E-3</v>
      </c>
      <c r="I180" s="91">
        <f>IF(ISNUMBER(G180), $B199 * H180, "")</f>
        <v>579.89690721651687</v>
      </c>
      <c r="J180" s="15">
        <v>77.900000000000006</v>
      </c>
      <c r="K180" s="32">
        <f t="shared" ref="K180:K183" si="96">IF(ISNUMBER(J180), (J180 - $B180) / $B180, "")</f>
        <v>3.8659793814434457E-3</v>
      </c>
      <c r="L180" s="18">
        <f>IF(ISNUMBER(J180), $B199 * K180, "")</f>
        <v>579.89690721651687</v>
      </c>
      <c r="M180" s="31">
        <v>77.2</v>
      </c>
      <c r="N180" s="32">
        <f t="shared" ref="N180:N183" si="97">IF(ISNUMBER(M180), (M180 - $B180) / $B180, "")</f>
        <v>-5.1546391752576226E-3</v>
      </c>
      <c r="O180" s="18">
        <f>IF(ISNUMBER(M180), $B199 * N180, "")</f>
        <v>-773.19587628864338</v>
      </c>
      <c r="Q180" s="156"/>
      <c r="R180" s="156"/>
      <c r="S180" s="156"/>
    </row>
    <row r="181" spans="1:19" ht="17.25" thickBot="1">
      <c r="A181" s="109" t="s">
        <v>138</v>
      </c>
      <c r="B181" s="110">
        <v>34.200000000000003</v>
      </c>
      <c r="C181" s="70">
        <v>-2.2857142899999999E-2</v>
      </c>
      <c r="D181" s="15">
        <v>35.299999999999997</v>
      </c>
      <c r="E181" s="32">
        <f t="shared" si="94"/>
        <v>3.2163742690058311E-2</v>
      </c>
      <c r="F181" s="18">
        <f>IF(ISNUMBER(D181), $B199 * E181, "")</f>
        <v>4824.5614035087465</v>
      </c>
      <c r="G181" s="31">
        <v>35.1</v>
      </c>
      <c r="H181" s="32">
        <f t="shared" si="95"/>
        <v>2.6315789473684167E-2</v>
      </c>
      <c r="I181" s="91">
        <f>IF(ISNUMBER(G181), $B199 * H181, "")</f>
        <v>3947.3684210526253</v>
      </c>
      <c r="J181" s="15">
        <v>34.9</v>
      </c>
      <c r="K181" s="32">
        <f t="shared" si="96"/>
        <v>2.0467836257309815E-2</v>
      </c>
      <c r="L181" s="18">
        <f>IF(ISNUMBER(J181), $B199 * K181, "")</f>
        <v>3070.1754385964723</v>
      </c>
      <c r="M181" s="31">
        <v>34.200000000000003</v>
      </c>
      <c r="N181" s="32">
        <f t="shared" si="97"/>
        <v>0</v>
      </c>
      <c r="O181" s="18">
        <f>IF(ISNUMBER(M181), $B199 * N181, "")</f>
        <v>0</v>
      </c>
      <c r="Q181" s="146"/>
      <c r="R181" s="146"/>
      <c r="S181" s="146"/>
    </row>
    <row r="182" spans="1:19" ht="17.25" thickBot="1">
      <c r="A182" s="109" t="s">
        <v>205</v>
      </c>
      <c r="B182" s="110">
        <v>127</v>
      </c>
      <c r="C182" s="70">
        <v>-2.3076923100000001E-2</v>
      </c>
      <c r="D182" s="15">
        <v>132</v>
      </c>
      <c r="E182" s="32">
        <f t="shared" si="94"/>
        <v>3.937007874015748E-2</v>
      </c>
      <c r="F182" s="18">
        <f>IF(ISNUMBER(D182), $B199 * E182, "")</f>
        <v>5905.5118110236217</v>
      </c>
      <c r="G182" s="31">
        <v>130</v>
      </c>
      <c r="H182" s="32">
        <f t="shared" si="95"/>
        <v>2.3622047244094488E-2</v>
      </c>
      <c r="I182" s="91">
        <f>IF(ISNUMBER(G182), $B199 * H182, "")</f>
        <v>3543.3070866141734</v>
      </c>
      <c r="J182" s="15">
        <v>129</v>
      </c>
      <c r="K182" s="32">
        <f t="shared" si="96"/>
        <v>1.5748031496062992E-2</v>
      </c>
      <c r="L182" s="18">
        <f>IF(ISNUMBER(J182), $B199 * K182, "")</f>
        <v>2362.2047244094488</v>
      </c>
      <c r="M182" s="31">
        <v>128</v>
      </c>
      <c r="N182" s="32">
        <f t="shared" si="97"/>
        <v>7.874015748031496E-3</v>
      </c>
      <c r="O182" s="18">
        <f>IF(ISNUMBER(M182), $B199 * N182, "")</f>
        <v>1181.1023622047244</v>
      </c>
      <c r="Q182" s="146"/>
      <c r="R182" s="146"/>
      <c r="S182" s="146"/>
    </row>
    <row r="183" spans="1:19" ht="17.25" thickBot="1">
      <c r="A183" s="111" t="s">
        <v>85</v>
      </c>
      <c r="B183" s="112">
        <v>169</v>
      </c>
      <c r="C183" s="71">
        <v>-2.3121387300000001E-2</v>
      </c>
      <c r="D183" s="20">
        <v>176</v>
      </c>
      <c r="E183" s="21">
        <f t="shared" si="94"/>
        <v>4.142011834319527E-2</v>
      </c>
      <c r="F183" s="22">
        <f>IF(ISNUMBER(D183), $B199 * E183, "")</f>
        <v>6213.0177514792904</v>
      </c>
      <c r="G183" s="30">
        <v>177</v>
      </c>
      <c r="H183" s="21">
        <f t="shared" si="95"/>
        <v>4.7337278106508875E-2</v>
      </c>
      <c r="I183" s="95">
        <f>IF(ISNUMBER(G183), $B199 * H183, "")</f>
        <v>7100.5917159763312</v>
      </c>
      <c r="J183" s="20">
        <v>175</v>
      </c>
      <c r="K183" s="21">
        <f t="shared" si="96"/>
        <v>3.5502958579881658E-2</v>
      </c>
      <c r="L183" s="22">
        <f>IF(ISNUMBER(J183), $B199 * K183, "")</f>
        <v>5325.4437869822486</v>
      </c>
      <c r="M183" s="30">
        <v>173</v>
      </c>
      <c r="N183" s="21">
        <f t="shared" si="97"/>
        <v>2.3668639053254437E-2</v>
      </c>
      <c r="O183" s="22">
        <f>IF(ISNUMBER(M183), $B199 * N183, "")</f>
        <v>3550.2958579881656</v>
      </c>
      <c r="Q183" s="146"/>
      <c r="R183" s="146"/>
      <c r="S183" s="146"/>
    </row>
    <row r="184" spans="1:19" ht="17.25" thickBot="1">
      <c r="A184" s="109" t="s">
        <v>328</v>
      </c>
      <c r="B184" s="113">
        <v>22280</v>
      </c>
      <c r="C184" s="73">
        <v>-2.3663453099999999E-2</v>
      </c>
      <c r="D184" s="96">
        <v>22380</v>
      </c>
      <c r="E184" s="97">
        <f>IF(ISNUMBER(D184), (D184 - $B184) / $B184, "")</f>
        <v>4.4883303411131061E-3</v>
      </c>
      <c r="F184" s="98">
        <f>IF(ISNUMBER(D184), $B199 * E184, "")</f>
        <v>673.24955116696594</v>
      </c>
      <c r="G184" s="99">
        <v>22230</v>
      </c>
      <c r="H184" s="97">
        <f>IF(ISNUMBER(G184), (G184 - $B184) / $B184, "")</f>
        <v>-2.244165170556553E-3</v>
      </c>
      <c r="I184" s="100">
        <f>IF(ISNUMBER(G184), $B199 * H184, "")</f>
        <v>-336.62477558348297</v>
      </c>
      <c r="J184" s="96">
        <v>22120</v>
      </c>
      <c r="K184" s="97">
        <f>IF(ISNUMBER(J184), (J184 - $B184) / $B184, "")</f>
        <v>-7.1813285457809697E-3</v>
      </c>
      <c r="L184" s="98">
        <f>IF(ISNUMBER(J184), $B199 * K184, "")</f>
        <v>-1077.1992818671454</v>
      </c>
      <c r="M184" s="99">
        <v>21360</v>
      </c>
      <c r="N184" s="97">
        <f>IF(ISNUMBER(M184), (M184 - $B184) / $B184, "")</f>
        <v>-4.1292639138240578E-2</v>
      </c>
      <c r="O184" s="98">
        <f>IF(ISNUMBER(M184), $B199 * N184, "")</f>
        <v>-6193.8958707360871</v>
      </c>
      <c r="Q184" s="146"/>
      <c r="R184" s="146"/>
      <c r="S184" s="146"/>
    </row>
    <row r="185" spans="1:19" ht="17.25" thickBot="1">
      <c r="A185" s="109" t="s">
        <v>111</v>
      </c>
      <c r="B185" s="110">
        <v>908</v>
      </c>
      <c r="C185" s="70">
        <v>-2.5751072999999999E-2</v>
      </c>
      <c r="D185" s="15">
        <v>967</v>
      </c>
      <c r="E185" s="32">
        <f t="shared" ref="E185:E188" si="98">IF(ISNUMBER(D185), (D185 - $B185) / $B185, "")</f>
        <v>6.4977973568281944E-2</v>
      </c>
      <c r="F185" s="18">
        <f>IF(ISNUMBER(D185), $B199 * E185, "")</f>
        <v>9746.6960352422921</v>
      </c>
      <c r="G185" s="31">
        <v>948</v>
      </c>
      <c r="H185" s="32">
        <f t="shared" ref="H185:H188" si="99">IF(ISNUMBER(G185), (G185 - $B185) / $B185, "")</f>
        <v>4.405286343612335E-2</v>
      </c>
      <c r="I185" s="91">
        <f>IF(ISNUMBER(G185), $B199 * H185, "")</f>
        <v>6607.9295154185029</v>
      </c>
      <c r="J185" s="15">
        <v>938</v>
      </c>
      <c r="K185" s="32">
        <f t="shared" ref="K185:K188" si="100">IF(ISNUMBER(J185), (J185 - $B185) / $B185, "")</f>
        <v>3.3039647577092511E-2</v>
      </c>
      <c r="L185" s="18">
        <f>IF(ISNUMBER(J185), $B199 * K185, "")</f>
        <v>4955.9471365638765</v>
      </c>
      <c r="M185" s="31">
        <v>921</v>
      </c>
      <c r="N185" s="32">
        <f t="shared" ref="N185:N188" si="101">IF(ISNUMBER(M185), (M185 - $B185) / $B185, "")</f>
        <v>1.4317180616740088E-2</v>
      </c>
      <c r="O185" s="18">
        <f>IF(ISNUMBER(M185), $B199 * N185, "")</f>
        <v>2147.5770925110132</v>
      </c>
      <c r="Q185" s="146"/>
      <c r="R185" s="146"/>
      <c r="S185" s="146"/>
    </row>
    <row r="186" spans="1:19" ht="17.25" thickBot="1">
      <c r="A186" s="109" t="s">
        <v>60</v>
      </c>
      <c r="B186" s="110">
        <v>829</v>
      </c>
      <c r="C186" s="70">
        <v>-2.69953052E-2</v>
      </c>
      <c r="D186" s="15">
        <v>903</v>
      </c>
      <c r="E186" s="32">
        <f t="shared" si="98"/>
        <v>8.9264173703256941E-2</v>
      </c>
      <c r="F186" s="18">
        <f>IF(ISNUMBER(D186), $B199 * E186, "")</f>
        <v>13389.626055488541</v>
      </c>
      <c r="G186" s="31">
        <v>884</v>
      </c>
      <c r="H186" s="32">
        <f t="shared" si="99"/>
        <v>6.6344993968636912E-2</v>
      </c>
      <c r="I186" s="91">
        <f>IF(ISNUMBER(G186), $B199 * H186, "")</f>
        <v>9951.7490952955359</v>
      </c>
      <c r="J186" s="15">
        <v>879</v>
      </c>
      <c r="K186" s="32">
        <f t="shared" si="100"/>
        <v>6.0313630880579013E-2</v>
      </c>
      <c r="L186" s="18">
        <f>IF(ISNUMBER(J186), $B199 * K186, "")</f>
        <v>9047.0446320868523</v>
      </c>
      <c r="M186" s="31">
        <v>873</v>
      </c>
      <c r="N186" s="32">
        <f t="shared" si="101"/>
        <v>5.3075995174909532E-2</v>
      </c>
      <c r="O186" s="18">
        <f>IF(ISNUMBER(M186), $B199 * N186, "")</f>
        <v>7961.3992762364296</v>
      </c>
      <c r="Q186" s="146"/>
      <c r="R186" s="146"/>
      <c r="S186" s="146"/>
    </row>
    <row r="187" spans="1:19" ht="17.25" thickBot="1">
      <c r="A187" s="109" t="s">
        <v>113</v>
      </c>
      <c r="B187" s="110">
        <v>2050</v>
      </c>
      <c r="C187" s="70">
        <v>-2.8436019E-2</v>
      </c>
      <c r="D187" s="15">
        <v>2110</v>
      </c>
      <c r="E187" s="32">
        <f t="shared" si="98"/>
        <v>2.9268292682926831E-2</v>
      </c>
      <c r="F187" s="18">
        <f>IF(ISNUMBER(D187), $B199 * E187, "")</f>
        <v>4390.2439024390251</v>
      </c>
      <c r="G187" s="31">
        <v>2080</v>
      </c>
      <c r="H187" s="32">
        <f t="shared" si="99"/>
        <v>1.4634146341463415E-2</v>
      </c>
      <c r="I187" s="91">
        <f>IF(ISNUMBER(G187), $B199 * H187, "")</f>
        <v>2195.1219512195125</v>
      </c>
      <c r="J187" s="15">
        <v>2220</v>
      </c>
      <c r="K187" s="32">
        <f t="shared" si="100"/>
        <v>8.2926829268292687E-2</v>
      </c>
      <c r="L187" s="18">
        <f>IF(ISNUMBER(J187), $B199 * K187, "")</f>
        <v>12439.024390243903</v>
      </c>
      <c r="M187" s="31">
        <v>2165</v>
      </c>
      <c r="N187" s="32">
        <f t="shared" si="101"/>
        <v>5.6097560975609757E-2</v>
      </c>
      <c r="O187" s="18">
        <f>IF(ISNUMBER(M187), $B199 * N187, "")</f>
        <v>8414.6341463414628</v>
      </c>
      <c r="Q187" s="33"/>
      <c r="R187" s="33"/>
    </row>
    <row r="188" spans="1:19" ht="17.25" thickBot="1">
      <c r="A188" s="114" t="s">
        <v>335</v>
      </c>
      <c r="B188" s="115">
        <v>3080</v>
      </c>
      <c r="C188" s="72">
        <v>-3.14465409E-2</v>
      </c>
      <c r="D188" s="24">
        <v>3295</v>
      </c>
      <c r="E188" s="25">
        <f t="shared" si="98"/>
        <v>6.9805194805194801E-2</v>
      </c>
      <c r="F188" s="94">
        <f>IF(ISNUMBER(D188), $B199 * E188, "")</f>
        <v>10470.779220779221</v>
      </c>
      <c r="G188" s="92">
        <v>3235</v>
      </c>
      <c r="H188" s="25">
        <f t="shared" si="99"/>
        <v>5.0324675324675328E-2</v>
      </c>
      <c r="I188" s="93">
        <f>IF(ISNUMBER(G188), $B199 * H188, "")</f>
        <v>7548.7012987012995</v>
      </c>
      <c r="J188" s="24">
        <v>3195</v>
      </c>
      <c r="K188" s="25">
        <f t="shared" si="100"/>
        <v>3.7337662337662336E-2</v>
      </c>
      <c r="L188" s="94">
        <f>IF(ISNUMBER(J188), $B199 * K188, "")</f>
        <v>5600.6493506493507</v>
      </c>
      <c r="M188" s="92">
        <v>3090</v>
      </c>
      <c r="N188" s="25">
        <f t="shared" si="101"/>
        <v>3.246753246753247E-3</v>
      </c>
      <c r="O188" s="94">
        <f>IF(ISNUMBER(M188), $B199 * N188, "")</f>
        <v>487.01298701298703</v>
      </c>
      <c r="Q188" s="147"/>
      <c r="R188" s="148"/>
      <c r="S188" s="149"/>
    </row>
    <row r="189" spans="1:19">
      <c r="A189" s="107" t="s">
        <v>159</v>
      </c>
      <c r="B189" s="108">
        <v>237</v>
      </c>
      <c r="C189" s="69">
        <v>-3.26530612E-2</v>
      </c>
      <c r="D189" s="13">
        <v>249</v>
      </c>
      <c r="E189" s="14">
        <f>IF(ISNUMBER(D189), (D189 - $B189) / $B189, "")</f>
        <v>5.0632911392405063E-2</v>
      </c>
      <c r="F189" s="16">
        <f>IF(ISNUMBER(D189), $B199 * E189, "")</f>
        <v>7594.9367088607596</v>
      </c>
      <c r="G189" s="29">
        <v>247</v>
      </c>
      <c r="H189" s="14">
        <f>IF(ISNUMBER(G189), (G189 - $B189) / $B189, "")</f>
        <v>4.2194092827004218E-2</v>
      </c>
      <c r="I189" s="90">
        <f>IF(ISNUMBER(G189), $B199 * H189, "")</f>
        <v>6329.1139240506327</v>
      </c>
      <c r="J189" s="13">
        <v>247</v>
      </c>
      <c r="K189" s="14">
        <f>IF(ISNUMBER(J189), (J189 - $B189) / $B189, "")</f>
        <v>4.2194092827004218E-2</v>
      </c>
      <c r="L189" s="16">
        <f>IF(ISNUMBER(J189), $B199 * K189, "")</f>
        <v>6329.1139240506327</v>
      </c>
      <c r="M189" s="29">
        <v>245</v>
      </c>
      <c r="N189" s="14">
        <f>IF(ISNUMBER(M189), (M189 - $B189) / $B189, "")</f>
        <v>3.3755274261603373E-2</v>
      </c>
      <c r="O189" s="16">
        <f>IF(ISNUMBER(M189), $B199 * N189, "")</f>
        <v>5063.2911392405058</v>
      </c>
      <c r="Q189" s="150"/>
      <c r="R189" s="151"/>
      <c r="S189" s="152"/>
    </row>
    <row r="190" spans="1:19" ht="17.25" thickBot="1">
      <c r="A190" s="109" t="s">
        <v>319</v>
      </c>
      <c r="B190" s="110">
        <v>742</v>
      </c>
      <c r="C190" s="70">
        <v>-3.8860103600000001E-2</v>
      </c>
      <c r="D190" s="15">
        <v>780</v>
      </c>
      <c r="E190" s="32">
        <f t="shared" ref="E190:E193" si="102">IF(ISNUMBER(D190), (D190 - $B190) / $B190, "")</f>
        <v>5.1212938005390833E-2</v>
      </c>
      <c r="F190" s="18">
        <f>IF(ISNUMBER(D190), $B199 * E190, "")</f>
        <v>7681.9407008086246</v>
      </c>
      <c r="G190" s="31">
        <v>771</v>
      </c>
      <c r="H190" s="32">
        <f t="shared" ref="H190:H193" si="103">IF(ISNUMBER(G190), (G190 - $B190) / $B190, "")</f>
        <v>3.9083557951482481E-2</v>
      </c>
      <c r="I190" s="91">
        <f>IF(ISNUMBER(G190), $B199 * H190, "")</f>
        <v>5862.5336927223725</v>
      </c>
      <c r="J190" s="15">
        <v>766</v>
      </c>
      <c r="K190" s="32">
        <f t="shared" ref="K190:K193" si="104">IF(ISNUMBER(J190), (J190 - $B190) / $B190, "")</f>
        <v>3.2345013477088951E-2</v>
      </c>
      <c r="L190" s="18">
        <f>IF(ISNUMBER(J190), $B199 * K190, "")</f>
        <v>4851.7520215633422</v>
      </c>
      <c r="M190" s="31">
        <v>739</v>
      </c>
      <c r="N190" s="32">
        <f t="shared" ref="N190:N193" si="105">IF(ISNUMBER(M190), (M190 - $B190) / $B190, "")</f>
        <v>-4.0431266846361188E-3</v>
      </c>
      <c r="O190" s="18">
        <f>IF(ISNUMBER(M190), $B199 * N190, "")</f>
        <v>-606.46900269541777</v>
      </c>
      <c r="Q190" s="153"/>
      <c r="R190" s="154"/>
      <c r="S190" s="155"/>
    </row>
    <row r="191" spans="1:19" ht="17.25" thickBot="1">
      <c r="A191" s="109" t="s">
        <v>345</v>
      </c>
      <c r="B191" s="110">
        <v>221</v>
      </c>
      <c r="C191" s="70">
        <v>-3.9130434800000002E-2</v>
      </c>
      <c r="D191" s="15">
        <v>223</v>
      </c>
      <c r="E191" s="32">
        <f t="shared" si="102"/>
        <v>9.0497737556561094E-3</v>
      </c>
      <c r="F191" s="18">
        <f>IF(ISNUMBER(D191), $B199 * E191, "")</f>
        <v>1357.4660633484164</v>
      </c>
      <c r="G191" s="31">
        <v>220</v>
      </c>
      <c r="H191" s="32">
        <f t="shared" si="103"/>
        <v>-4.5248868778280547E-3</v>
      </c>
      <c r="I191" s="91">
        <f>IF(ISNUMBER(G191), $B199 * H191, "")</f>
        <v>-678.73303167420818</v>
      </c>
      <c r="J191" s="15">
        <v>223</v>
      </c>
      <c r="K191" s="32">
        <f t="shared" si="104"/>
        <v>9.0497737556561094E-3</v>
      </c>
      <c r="L191" s="18">
        <f>IF(ISNUMBER(J191), $B199 * K191, "")</f>
        <v>1357.4660633484164</v>
      </c>
      <c r="M191" s="31">
        <v>222</v>
      </c>
      <c r="N191" s="32">
        <f t="shared" si="105"/>
        <v>4.5248868778280547E-3</v>
      </c>
      <c r="O191" s="18">
        <f>IF(ISNUMBER(M191), $B199 * N191, "")</f>
        <v>678.73303167420818</v>
      </c>
      <c r="Q191" s="146"/>
      <c r="R191" s="146"/>
      <c r="S191" s="146"/>
    </row>
    <row r="192" spans="1:19" ht="17.25" thickBot="1">
      <c r="A192" s="109" t="s">
        <v>91</v>
      </c>
      <c r="B192" s="110">
        <v>21490</v>
      </c>
      <c r="C192" s="70">
        <v>-4.0196516299999999E-2</v>
      </c>
      <c r="D192" s="15">
        <v>21820</v>
      </c>
      <c r="E192" s="32">
        <f t="shared" si="102"/>
        <v>1.5355979525360632E-2</v>
      </c>
      <c r="F192" s="18">
        <f>IF(ISNUMBER(D192), $B199 * E192, "")</f>
        <v>2303.3969288040948</v>
      </c>
      <c r="G192" s="31">
        <v>21710</v>
      </c>
      <c r="H192" s="32">
        <f t="shared" si="103"/>
        <v>1.0237319683573755E-2</v>
      </c>
      <c r="I192" s="91">
        <f>IF(ISNUMBER(G192), $B199 * H192, "")</f>
        <v>1535.5979525360633</v>
      </c>
      <c r="J192" s="15">
        <v>21630</v>
      </c>
      <c r="K192" s="32">
        <f t="shared" si="104"/>
        <v>6.5146579804560263E-3</v>
      </c>
      <c r="L192" s="18">
        <f>IF(ISNUMBER(J192), $B199 * K192, "")</f>
        <v>977.19869706840393</v>
      </c>
      <c r="M192" s="31">
        <v>21400</v>
      </c>
      <c r="N192" s="32">
        <f t="shared" si="105"/>
        <v>-4.1879944160074451E-3</v>
      </c>
      <c r="O192" s="18">
        <f>IF(ISNUMBER(M192), $B199 * N192, "")</f>
        <v>-628.19916240111672</v>
      </c>
      <c r="Q192" s="156"/>
      <c r="R192" s="156"/>
      <c r="S192" s="156"/>
    </row>
    <row r="193" spans="1:19" ht="17.25" thickBot="1">
      <c r="A193" s="111" t="s">
        <v>68</v>
      </c>
      <c r="B193" s="112">
        <v>666</v>
      </c>
      <c r="C193" s="71">
        <v>-4.1726618700000002E-2</v>
      </c>
      <c r="D193" s="20">
        <v>673</v>
      </c>
      <c r="E193" s="21">
        <f t="shared" si="102"/>
        <v>1.0510510510510511E-2</v>
      </c>
      <c r="F193" s="22">
        <f>IF(ISNUMBER(D193), $B199 * E193, "")</f>
        <v>1576.5765765765766</v>
      </c>
      <c r="G193" s="30">
        <v>673</v>
      </c>
      <c r="H193" s="21">
        <f t="shared" si="103"/>
        <v>1.0510510510510511E-2</v>
      </c>
      <c r="I193" s="95">
        <f>IF(ISNUMBER(G193), $B199 * H193, "")</f>
        <v>1576.5765765765766</v>
      </c>
      <c r="J193" s="20">
        <v>673</v>
      </c>
      <c r="K193" s="21">
        <f t="shared" si="104"/>
        <v>1.0510510510510511E-2</v>
      </c>
      <c r="L193" s="22">
        <f>IF(ISNUMBER(J193), $B199 * K193, "")</f>
        <v>1576.5765765765766</v>
      </c>
      <c r="M193" s="30">
        <v>665</v>
      </c>
      <c r="N193" s="21">
        <f t="shared" si="105"/>
        <v>-1.5015015015015015E-3</v>
      </c>
      <c r="O193" s="22">
        <f>IF(ISNUMBER(M193), $B199 * N193, "")</f>
        <v>-225.22522522522522</v>
      </c>
      <c r="Q193" s="156"/>
      <c r="R193" s="156"/>
      <c r="S193" s="156"/>
    </row>
    <row r="194" spans="1:19" ht="17.25" thickBot="1">
      <c r="A194" s="109" t="s">
        <v>191</v>
      </c>
      <c r="B194" s="113">
        <v>72.3</v>
      </c>
      <c r="C194" s="73">
        <v>-4.2384105999999998E-2</v>
      </c>
      <c r="D194" s="96">
        <v>73.400000000000006</v>
      </c>
      <c r="E194" s="97">
        <f>IF(ISNUMBER(D194), (D194 - $B194) / $B194, "")</f>
        <v>1.5214384508990436E-2</v>
      </c>
      <c r="F194" s="98">
        <f>IF(ISNUMBER(D194), $B199 * E194, "")</f>
        <v>2282.1576763485655</v>
      </c>
      <c r="G194" s="99">
        <v>73.3</v>
      </c>
      <c r="H194" s="97">
        <f>IF(ISNUMBER(G194), (G194 - $B194) / $B194, "")</f>
        <v>1.3831258644536654E-2</v>
      </c>
      <c r="I194" s="100">
        <f>IF(ISNUMBER(G194), $B199 * H194, "")</f>
        <v>2074.6887966804979</v>
      </c>
      <c r="J194" s="96">
        <v>72.900000000000006</v>
      </c>
      <c r="K194" s="97">
        <f>IF(ISNUMBER(J194), (J194 - $B194) / $B194, "")</f>
        <v>8.2987551867221097E-3</v>
      </c>
      <c r="L194" s="98">
        <f>IF(ISNUMBER(J194), $B199 * K194, "")</f>
        <v>1244.8132780083165</v>
      </c>
      <c r="M194" s="99">
        <v>72</v>
      </c>
      <c r="N194" s="97">
        <f>IF(ISNUMBER(M194), (M194 - $B194) / $B194, "")</f>
        <v>-4.1493775933609568E-3</v>
      </c>
      <c r="O194" s="98">
        <f>IF(ISNUMBER(M194), $B199 * N194, "")</f>
        <v>-622.40663900414347</v>
      </c>
      <c r="Q194" s="146"/>
      <c r="R194" s="146"/>
      <c r="S194" s="146"/>
    </row>
    <row r="195" spans="1:19" ht="17.25" thickBot="1">
      <c r="A195" s="109" t="s">
        <v>147</v>
      </c>
      <c r="B195" s="110">
        <v>14130</v>
      </c>
      <c r="C195" s="70">
        <v>-4.9764626800000003E-2</v>
      </c>
      <c r="D195" s="15">
        <v>14960</v>
      </c>
      <c r="E195" s="32">
        <f t="shared" ref="E195:E198" si="106">IF(ISNUMBER(D195), (D195 - $B195) / $B195, "")</f>
        <v>5.8740268931351737E-2</v>
      </c>
      <c r="F195" s="18">
        <f>IF(ISNUMBER(D195), $B199 * E195, "")</f>
        <v>8811.0403397027603</v>
      </c>
      <c r="G195" s="31">
        <v>14800</v>
      </c>
      <c r="H195" s="32">
        <f t="shared" ref="H195:H198" si="107">IF(ISNUMBER(G195), (G195 - $B195) / $B195, "")</f>
        <v>4.7416843595187545E-2</v>
      </c>
      <c r="I195" s="91">
        <f>IF(ISNUMBER(G195), $B199 * H195, "")</f>
        <v>7112.5265392781321</v>
      </c>
      <c r="J195" s="15">
        <v>14770</v>
      </c>
      <c r="K195" s="32">
        <f t="shared" ref="K195:K198" si="108">IF(ISNUMBER(J195), (J195 - $B195) / $B195, "")</f>
        <v>4.529370134465676E-2</v>
      </c>
      <c r="L195" s="18">
        <f>IF(ISNUMBER(J195), $B199 * K195, "")</f>
        <v>6794.0552016985139</v>
      </c>
      <c r="M195" s="31">
        <v>14300</v>
      </c>
      <c r="N195" s="32">
        <f t="shared" ref="N195:N198" si="109">IF(ISNUMBER(M195), (M195 - $B195) / $B195, "")</f>
        <v>1.2031139419674451E-2</v>
      </c>
      <c r="O195" s="18">
        <f>IF(ISNUMBER(M195), $B199 * N195, "")</f>
        <v>1804.6709129511676</v>
      </c>
      <c r="Q195" s="146"/>
      <c r="R195" s="146"/>
      <c r="S195" s="146"/>
    </row>
    <row r="196" spans="1:19" ht="17.25" thickBot="1">
      <c r="A196" s="109" t="s">
        <v>323</v>
      </c>
      <c r="B196" s="110">
        <v>4.9200000000000001E-2</v>
      </c>
      <c r="C196" s="70">
        <v>-7.1698113199999997E-2</v>
      </c>
      <c r="D196" s="15">
        <v>4.8099999999999997E-2</v>
      </c>
      <c r="E196" s="32">
        <f t="shared" si="106"/>
        <v>-2.2357723577235849E-2</v>
      </c>
      <c r="F196" s="18">
        <f>IF(ISNUMBER(D196), $B199 * E196, "")</f>
        <v>-3353.6585365853775</v>
      </c>
      <c r="G196" s="31">
        <v>4.7699999999999999E-2</v>
      </c>
      <c r="H196" s="32">
        <f t="shared" si="107"/>
        <v>-3.0487804878048808E-2</v>
      </c>
      <c r="I196" s="91">
        <f>IF(ISNUMBER(G196), $B199 * H196, "")</f>
        <v>-4573.1707317073215</v>
      </c>
      <c r="J196" s="15">
        <v>4.7800000000000002E-2</v>
      </c>
      <c r="K196" s="32">
        <f t="shared" si="108"/>
        <v>-2.8455284552845496E-2</v>
      </c>
      <c r="L196" s="18">
        <f>IF(ISNUMBER(J196), $B199 * K196, "")</f>
        <v>-4268.2926829268245</v>
      </c>
      <c r="M196" s="31">
        <v>4.6600000000000003E-2</v>
      </c>
      <c r="N196" s="32">
        <f t="shared" si="109"/>
        <v>-5.2845528455284514E-2</v>
      </c>
      <c r="O196" s="18">
        <f>IF(ISNUMBER(M196), $B199 * N196, "")</f>
        <v>-7926.8292682926767</v>
      </c>
      <c r="Q196" s="146"/>
      <c r="R196" s="146"/>
      <c r="S196" s="146"/>
    </row>
    <row r="197" spans="1:19">
      <c r="A197" s="109" t="s">
        <v>97</v>
      </c>
      <c r="B197" s="110">
        <v>8.9999999999999998E-4</v>
      </c>
      <c r="C197" s="70">
        <v>-0.1</v>
      </c>
      <c r="D197" s="15">
        <v>1E-3</v>
      </c>
      <c r="E197" s="32">
        <f t="shared" si="106"/>
        <v>0.11111111111111116</v>
      </c>
      <c r="F197" s="18">
        <f>IF(ISNUMBER(D197), $B199 * E197, "")</f>
        <v>16666.666666666675</v>
      </c>
      <c r="G197" s="31">
        <v>8.9999999999999998E-4</v>
      </c>
      <c r="H197" s="32">
        <f t="shared" si="107"/>
        <v>0</v>
      </c>
      <c r="I197" s="91">
        <f>IF(ISNUMBER(G197), $B199 * H197, "")</f>
        <v>0</v>
      </c>
      <c r="J197" s="15">
        <v>8.9999999999999998E-4</v>
      </c>
      <c r="K197" s="32">
        <f t="shared" si="108"/>
        <v>0</v>
      </c>
      <c r="L197" s="18">
        <f>IF(ISNUMBER(J197), $B199 * K197, "")</f>
        <v>0</v>
      </c>
      <c r="M197" s="31">
        <v>1E-3</v>
      </c>
      <c r="N197" s="32">
        <f t="shared" si="109"/>
        <v>0.11111111111111116</v>
      </c>
      <c r="O197" s="18">
        <f>IF(ISNUMBER(M197), $B199 * N197, "")</f>
        <v>16666.666666666675</v>
      </c>
      <c r="Q197" s="135"/>
      <c r="R197" s="136"/>
      <c r="S197" s="137"/>
    </row>
    <row r="198" spans="1:19" ht="17.25" thickBot="1">
      <c r="A198" s="114" t="s">
        <v>349</v>
      </c>
      <c r="B198" s="115">
        <v>60.8</v>
      </c>
      <c r="C198" s="72">
        <v>-0.1058823529</v>
      </c>
      <c r="D198" s="24">
        <v>60.2</v>
      </c>
      <c r="E198" s="25">
        <f t="shared" si="106"/>
        <v>-9.8684210526314865E-3</v>
      </c>
      <c r="F198" s="94">
        <f>IF(ISNUMBER(D198), $B199 * E198, "")</f>
        <v>-1480.263157894723</v>
      </c>
      <c r="G198" s="92">
        <v>59.7</v>
      </c>
      <c r="H198" s="25">
        <f t="shared" si="107"/>
        <v>-1.8092105263157802E-2</v>
      </c>
      <c r="I198" s="93">
        <f>IF(ISNUMBER(G198), $B199 * H198, "")</f>
        <v>-2713.8157894736701</v>
      </c>
      <c r="J198" s="24">
        <v>59.5</v>
      </c>
      <c r="K198" s="25">
        <f t="shared" si="108"/>
        <v>-2.1381578947368376E-2</v>
      </c>
      <c r="L198" s="94">
        <f>IF(ISNUMBER(J198), $B199 * K198, "")</f>
        <v>-3207.2368421052565</v>
      </c>
      <c r="M198" s="92">
        <v>57.9</v>
      </c>
      <c r="N198" s="25">
        <f t="shared" si="109"/>
        <v>-4.7697368421052613E-2</v>
      </c>
      <c r="O198" s="94">
        <f>IF(ISNUMBER(M198), $B199 * N198, "")</f>
        <v>-7154.6052631578923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3.5345029737470918E-2</v>
      </c>
      <c r="F199" s="28">
        <f>SUM(F179:F198)</f>
        <v>106035.08921241277</v>
      </c>
      <c r="G199" s="26" t="s">
        <v>258</v>
      </c>
      <c r="H199" s="27">
        <f>IF(COUNT(H179:H198), SUM(H179:H198) / COUNT(H179:H198), 0)</f>
        <v>2.0455687616201267E-2</v>
      </c>
      <c r="I199" s="28">
        <f>SUM(I179:I198)</f>
        <v>61367.062848603789</v>
      </c>
      <c r="J199" s="26" t="s">
        <v>258</v>
      </c>
      <c r="K199" s="27">
        <f>IF(COUNT(K179:K198), SUM(K179:K198) / COUNT(K179:K198), 0)</f>
        <v>2.0403962191805632E-2</v>
      </c>
      <c r="L199" s="28">
        <f>SUM(L179:L198)</f>
        <v>61211.886575416887</v>
      </c>
      <c r="M199" s="26" t="s">
        <v>258</v>
      </c>
      <c r="N199" s="27">
        <f>IF(COUNT(N179:N198), SUM(N179:N198) / COUNT(N179:N198), 0)</f>
        <v>8.1750859552422814E-3</v>
      </c>
      <c r="O199" s="28">
        <f>SUM(O179:O198)</f>
        <v>24525.257865726835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185D4-B104-4DDE-A496-22B46A4A4C70}">
  <sheetPr codeName="Sheet31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44955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6,078 KRW (0.20%)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-10,081 KRW (-0.34%)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42,779 KRW (1.43%)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43,055 KRW (1.44%)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2023-01-29(일) 오전 00:00</v>
      </c>
      <c r="C15" s="196"/>
      <c r="D15" s="170" t="str">
        <f>TEXT($G$1, "[$-ko-KR]yyyy-mm-dd(ddd) ") &amp; "오후 14:00"</f>
        <v>2023-01-29(일) 오후 14:00</v>
      </c>
      <c r="E15" s="171"/>
      <c r="F15" s="172"/>
      <c r="G15" s="170" t="str">
        <f>TEXT($G$1, "[$-ko-KR]yyyy-mm-dd(ddd) ") &amp; "오후 19:00"</f>
        <v>2023-01-29(일) 오후 19:00</v>
      </c>
      <c r="H15" s="171"/>
      <c r="I15" s="172"/>
      <c r="J15" s="170" t="str">
        <f>TEXT($G$1, "[$-ko-KR]yyyy-mm-dd(ddd) ") &amp; "오후 21:00"</f>
        <v>2023-01-29(일) 오후 21:00</v>
      </c>
      <c r="K15" s="171"/>
      <c r="L15" s="172"/>
      <c r="M15" s="170" t="str">
        <f>TEXT($G$1+1, "[$-ko-KR]yyyy-mm-dd(ddd) ") &amp; "오전 00:00"</f>
        <v>2023-01-30(월)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2023-01-29(일) 오전 00:00</v>
      </c>
      <c r="C42" s="198"/>
      <c r="D42" s="170" t="str">
        <f>TEXT($G$1, "[$-ko-KR]yyyy-mm-dd(ddd) ") &amp; "오후 14:00"</f>
        <v>2023-01-29(일) 오후 14:00</v>
      </c>
      <c r="E42" s="171"/>
      <c r="F42" s="172"/>
      <c r="G42" s="170" t="str">
        <f>TEXT($G$1, "[$-ko-KR]yyyy-mm-dd(ddd) ") &amp; "오후 19:00"</f>
        <v>2023-01-29(일) 오후 19:00</v>
      </c>
      <c r="H42" s="171"/>
      <c r="I42" s="172"/>
      <c r="J42" s="170" t="str">
        <f>TEXT($G$1, "[$-ko-KR]yyyy-mm-dd(ddd) ") &amp; "오후 21:00"</f>
        <v>2023-01-29(일) 오후 21:00</v>
      </c>
      <c r="K42" s="171"/>
      <c r="L42" s="172"/>
      <c r="M42" s="170" t="str">
        <f>TEXT($G$1+1, "[$-ko-KR]yyyy-mm-dd(ddd) ") &amp; "오전 00:00"</f>
        <v>2023-01-30(월)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132</v>
      </c>
      <c r="B44" s="108">
        <v>72.400000000000006</v>
      </c>
      <c r="C44" s="69">
        <v>1.9718309900000001E-2</v>
      </c>
      <c r="D44" s="13">
        <v>70.7</v>
      </c>
      <c r="E44" s="14">
        <f>IF(ISNUMBER(D44), (D44 - $B44) / $B44, "")</f>
        <v>-2.3480662983425452E-2</v>
      </c>
      <c r="F44" s="16">
        <f>IF(ISNUMBER(D44), $B64 * E44, "")</f>
        <v>-3522.0994475138177</v>
      </c>
      <c r="G44" s="29">
        <v>70.599999999999994</v>
      </c>
      <c r="H44" s="14">
        <f>IF(ISNUMBER(G44), (G44 - $B44) / $B44, "")</f>
        <v>-2.4861878453038829E-2</v>
      </c>
      <c r="I44" s="90">
        <f>IF(ISNUMBER(G44), $B64 * H44, "")</f>
        <v>-3729.2817679558243</v>
      </c>
      <c r="J44" s="13">
        <v>70.599999999999994</v>
      </c>
      <c r="K44" s="14">
        <f>IF(ISNUMBER(J44), (J44 - $B44) / $B44, "")</f>
        <v>-2.4861878453038829E-2</v>
      </c>
      <c r="L44" s="16">
        <f>IF(ISNUMBER(J44), $B64 * K44, "")</f>
        <v>-3729.2817679558243</v>
      </c>
      <c r="M44" s="29">
        <v>70.599999999999994</v>
      </c>
      <c r="N44" s="14">
        <f>IF(ISNUMBER(M44), (M44 - $B44) / $B44, "")</f>
        <v>-2.4861878453038829E-2</v>
      </c>
      <c r="O44" s="16">
        <f>IF(ISNUMBER(M44), $B64 * N44, "")</f>
        <v>-3729.2817679558243</v>
      </c>
      <c r="Q44" s="156"/>
      <c r="R44" s="156"/>
      <c r="S44" s="156"/>
    </row>
    <row r="45" spans="1:19" ht="17.25" customHeight="1" thickBot="1">
      <c r="A45" s="109" t="s">
        <v>352</v>
      </c>
      <c r="B45" s="110">
        <v>1.49E-2</v>
      </c>
      <c r="C45" s="70">
        <v>1.36054422E-2</v>
      </c>
      <c r="D45" s="15">
        <v>1.4999999999999999E-2</v>
      </c>
      <c r="E45" s="32">
        <f t="shared" ref="E45:E48" si="14">IF(ISNUMBER(D45), (D45 - $B45) / $B45, "")</f>
        <v>6.7114093959731135E-3</v>
      </c>
      <c r="F45" s="18">
        <f>IF(ISNUMBER(D45), $B64 * E45, "")</f>
        <v>1006.7114093959671</v>
      </c>
      <c r="G45" s="31">
        <v>1.4999999999999999E-2</v>
      </c>
      <c r="H45" s="32">
        <f t="shared" ref="H45:H48" si="15">IF(ISNUMBER(G45), (G45 - $B45) / $B45, "")</f>
        <v>6.7114093959731135E-3</v>
      </c>
      <c r="I45" s="91">
        <f>IF(ISNUMBER(G45), $B64 * H45, "")</f>
        <v>1006.7114093959671</v>
      </c>
      <c r="J45" s="15">
        <v>1.4999999999999999E-2</v>
      </c>
      <c r="K45" s="32">
        <f t="shared" ref="K45:K48" si="16">IF(ISNUMBER(J45), (J45 - $B45) / $B45, "")</f>
        <v>6.7114093959731135E-3</v>
      </c>
      <c r="L45" s="18">
        <f>IF(ISNUMBER(J45), $B64 * K45, "")</f>
        <v>1006.7114093959671</v>
      </c>
      <c r="M45" s="31">
        <v>1.4999999999999999E-2</v>
      </c>
      <c r="N45" s="32">
        <f t="shared" ref="N45:N48" si="17">IF(ISNUMBER(M45), (M45 - $B45) / $B45, "")</f>
        <v>6.7114093959731135E-3</v>
      </c>
      <c r="O45" s="18">
        <f>IF(ISNUMBER(M45), $B64 * N45, "")</f>
        <v>1006.7114093959671</v>
      </c>
      <c r="Q45" s="156"/>
      <c r="R45" s="156"/>
      <c r="S45" s="156"/>
    </row>
    <row r="46" spans="1:19" ht="17.25" customHeight="1" thickBot="1">
      <c r="A46" s="109" t="s">
        <v>217</v>
      </c>
      <c r="B46" s="110">
        <v>90.1</v>
      </c>
      <c r="C46" s="70">
        <v>5.5803570999999998E-3</v>
      </c>
      <c r="D46" s="15">
        <v>89.6</v>
      </c>
      <c r="E46" s="32">
        <f t="shared" si="14"/>
        <v>-5.5493895671476145E-3</v>
      </c>
      <c r="F46" s="18">
        <f>IF(ISNUMBER(D46), $B64 * E46, "")</f>
        <v>-832.4084350721422</v>
      </c>
      <c r="G46" s="31">
        <v>89.4</v>
      </c>
      <c r="H46" s="32">
        <f t="shared" si="15"/>
        <v>-7.7691453940065339E-3</v>
      </c>
      <c r="I46" s="91">
        <f>IF(ISNUMBER(G46), $B64 * H46, "")</f>
        <v>-1165.37180910098</v>
      </c>
      <c r="J46" s="15">
        <v>89.4</v>
      </c>
      <c r="K46" s="32">
        <f t="shared" si="16"/>
        <v>-7.7691453940065339E-3</v>
      </c>
      <c r="L46" s="18">
        <f>IF(ISNUMBER(J46), $B64 * K46, "")</f>
        <v>-1165.37180910098</v>
      </c>
      <c r="M46" s="31">
        <v>89.4</v>
      </c>
      <c r="N46" s="32">
        <f t="shared" si="17"/>
        <v>-7.7691453940065339E-3</v>
      </c>
      <c r="O46" s="18">
        <f>IF(ISNUMBER(M46), $B64 * N46, "")</f>
        <v>-1165.37180910098</v>
      </c>
      <c r="Q46" s="146"/>
      <c r="R46" s="146"/>
      <c r="S46" s="146"/>
    </row>
    <row r="47" spans="1:19" ht="17.25" customHeight="1" thickBot="1">
      <c r="A47" s="109" t="s">
        <v>97</v>
      </c>
      <c r="B47" s="110">
        <v>1E-3</v>
      </c>
      <c r="C47" s="70">
        <v>0</v>
      </c>
      <c r="D47" s="15">
        <v>1E-3</v>
      </c>
      <c r="E47" s="32">
        <f t="shared" si="14"/>
        <v>0</v>
      </c>
      <c r="F47" s="18">
        <f>IF(ISNUMBER(D47), $B64 * E47, "")</f>
        <v>0</v>
      </c>
      <c r="G47" s="31">
        <v>8.9999999999999998E-4</v>
      </c>
      <c r="H47" s="32">
        <f t="shared" si="15"/>
        <v>-0.10000000000000005</v>
      </c>
      <c r="I47" s="91">
        <f>IF(ISNUMBER(G47), $B64 * H47, "")</f>
        <v>-15000.000000000007</v>
      </c>
      <c r="J47" s="15">
        <v>8.9999999999999998E-4</v>
      </c>
      <c r="K47" s="32">
        <f t="shared" si="16"/>
        <v>-0.10000000000000005</v>
      </c>
      <c r="L47" s="18">
        <f>IF(ISNUMBER(J47), $B64 * K47, "")</f>
        <v>-15000.000000000007</v>
      </c>
      <c r="M47" s="31">
        <v>8.9999999999999998E-4</v>
      </c>
      <c r="N47" s="32">
        <f t="shared" si="17"/>
        <v>-0.10000000000000005</v>
      </c>
      <c r="O47" s="18">
        <f>IF(ISNUMBER(M47), $B64 * N47, "")</f>
        <v>-15000.000000000007</v>
      </c>
      <c r="Q47" s="146"/>
      <c r="R47" s="146"/>
      <c r="S47" s="146"/>
    </row>
    <row r="48" spans="1:19" ht="17.25" customHeight="1" thickBot="1">
      <c r="A48" s="111" t="s">
        <v>126</v>
      </c>
      <c r="B48" s="112">
        <v>36.700000000000003</v>
      </c>
      <c r="C48" s="71">
        <v>0</v>
      </c>
      <c r="D48" s="20">
        <v>37</v>
      </c>
      <c r="E48" s="21">
        <f t="shared" si="14"/>
        <v>8.1743869209808476E-3</v>
      </c>
      <c r="F48" s="22">
        <f>IF(ISNUMBER(D48), $B64 * E48, "")</f>
        <v>1226.1580381471272</v>
      </c>
      <c r="G48" s="30">
        <v>36.5</v>
      </c>
      <c r="H48" s="21">
        <f t="shared" si="15"/>
        <v>-5.449591280654028E-3</v>
      </c>
      <c r="I48" s="95">
        <f>IF(ISNUMBER(G48), $B64 * H48, "")</f>
        <v>-817.43869209810418</v>
      </c>
      <c r="J48" s="20">
        <v>36.5</v>
      </c>
      <c r="K48" s="21">
        <f t="shared" si="16"/>
        <v>-5.449591280654028E-3</v>
      </c>
      <c r="L48" s="22">
        <f>IF(ISNUMBER(J48), $B64 * K48, "")</f>
        <v>-817.43869209810418</v>
      </c>
      <c r="M48" s="30">
        <v>36.5</v>
      </c>
      <c r="N48" s="21">
        <f t="shared" si="17"/>
        <v>-5.449591280654028E-3</v>
      </c>
      <c r="O48" s="22">
        <f>IF(ISNUMBER(M48), $B64 * N48, "")</f>
        <v>-817.43869209810418</v>
      </c>
      <c r="Q48" s="146"/>
      <c r="R48" s="146"/>
      <c r="S48" s="146"/>
    </row>
    <row r="49" spans="1:19" ht="17.25" customHeight="1" thickBot="1">
      <c r="A49" s="109" t="s">
        <v>197</v>
      </c>
      <c r="B49" s="113">
        <v>8.1300000000000008</v>
      </c>
      <c r="C49" s="73">
        <v>-1.3349514599999999E-2</v>
      </c>
      <c r="D49" s="96">
        <v>8.2100000000000009</v>
      </c>
      <c r="E49" s="97">
        <f>IF(ISNUMBER(D49), (D49 - $B49) / $B49, "")</f>
        <v>9.8400984009840171E-3</v>
      </c>
      <c r="F49" s="98">
        <f>IF(ISNUMBER(D49), $B64 * E49, "")</f>
        <v>1476.0147601476026</v>
      </c>
      <c r="G49" s="99">
        <v>8.16</v>
      </c>
      <c r="H49" s="97">
        <f>IF(ISNUMBER(G49), (G49 - $B49) / $B49, "")</f>
        <v>3.6900369003689247E-3</v>
      </c>
      <c r="I49" s="100">
        <f>IF(ISNUMBER(G49), $B64 * H49, "")</f>
        <v>553.50553505533867</v>
      </c>
      <c r="J49" s="96">
        <v>8.16</v>
      </c>
      <c r="K49" s="97">
        <f>IF(ISNUMBER(J49), (J49 - $B49) / $B49, "")</f>
        <v>3.6900369003689247E-3</v>
      </c>
      <c r="L49" s="98">
        <f>IF(ISNUMBER(J49), $B64 * K49, "")</f>
        <v>553.50553505533867</v>
      </c>
      <c r="M49" s="99">
        <v>8.16</v>
      </c>
      <c r="N49" s="97">
        <f>IF(ISNUMBER(M49), (M49 - $B49) / $B49, "")</f>
        <v>3.6900369003689247E-3</v>
      </c>
      <c r="O49" s="98">
        <f>IF(ISNUMBER(M49), $B64 * N49, "")</f>
        <v>553.50553505533867</v>
      </c>
      <c r="Q49" s="146"/>
      <c r="R49" s="146"/>
      <c r="S49" s="146"/>
    </row>
    <row r="50" spans="1:19" ht="17.25" customHeight="1" thickBot="1">
      <c r="A50" s="109" t="s">
        <v>237</v>
      </c>
      <c r="B50" s="110">
        <v>34.299999999999997</v>
      </c>
      <c r="C50" s="70">
        <v>-1.7191977099999999E-2</v>
      </c>
      <c r="D50" s="15">
        <v>33.799999999999997</v>
      </c>
      <c r="E50" s="32">
        <f t="shared" ref="E50:E53" si="18">IF(ISNUMBER(D50), (D50 - $B50) / $B50, "")</f>
        <v>-1.457725947521866E-2</v>
      </c>
      <c r="F50" s="18">
        <f>IF(ISNUMBER(D50), $B64 * E50, "")</f>
        <v>-2186.5889212827992</v>
      </c>
      <c r="G50" s="31">
        <v>33.799999999999997</v>
      </c>
      <c r="H50" s="32">
        <f t="shared" ref="H50:H53" si="19">IF(ISNUMBER(G50), (G50 - $B50) / $B50, "")</f>
        <v>-1.457725947521866E-2</v>
      </c>
      <c r="I50" s="91">
        <f>IF(ISNUMBER(G50), $B64 * H50, "")</f>
        <v>-2186.5889212827992</v>
      </c>
      <c r="J50" s="15">
        <v>33.799999999999997</v>
      </c>
      <c r="K50" s="32">
        <f t="shared" ref="K50:K53" si="20">IF(ISNUMBER(J50), (J50 - $B50) / $B50, "")</f>
        <v>-1.457725947521866E-2</v>
      </c>
      <c r="L50" s="18">
        <f>IF(ISNUMBER(J50), $B64 * K50, "")</f>
        <v>-2186.5889212827992</v>
      </c>
      <c r="M50" s="31">
        <v>33.799999999999997</v>
      </c>
      <c r="N50" s="32">
        <f t="shared" ref="N50:N53" si="21">IF(ISNUMBER(M50), (M50 - $B50) / $B50, "")</f>
        <v>-1.457725947521866E-2</v>
      </c>
      <c r="O50" s="18">
        <f>IF(ISNUMBER(M50), $B64 * N50, "")</f>
        <v>-2186.5889212827992</v>
      </c>
      <c r="Q50" s="146"/>
      <c r="R50" s="146"/>
      <c r="S50" s="146"/>
    </row>
    <row r="51" spans="1:19" ht="17.25" customHeight="1" thickBot="1">
      <c r="A51" s="109" t="s">
        <v>329</v>
      </c>
      <c r="B51" s="110">
        <v>85.7</v>
      </c>
      <c r="C51" s="70">
        <v>-1.7201834900000001E-2</v>
      </c>
      <c r="D51" s="15">
        <v>84.7</v>
      </c>
      <c r="E51" s="32">
        <f t="shared" si="18"/>
        <v>-1.1668611435239206E-2</v>
      </c>
      <c r="F51" s="18">
        <f>IF(ISNUMBER(D51), $B64 * E51, "")</f>
        <v>-1750.2917152858809</v>
      </c>
      <c r="G51" s="31">
        <v>85.9</v>
      </c>
      <c r="H51" s="32">
        <f t="shared" si="19"/>
        <v>2.3337222870478745E-3</v>
      </c>
      <c r="I51" s="91">
        <f>IF(ISNUMBER(G51), $B64 * H51, "")</f>
        <v>350.05834305718116</v>
      </c>
      <c r="J51" s="15">
        <v>85.9</v>
      </c>
      <c r="K51" s="32">
        <f t="shared" si="20"/>
        <v>2.3337222870478745E-3</v>
      </c>
      <c r="L51" s="18">
        <f>IF(ISNUMBER(J51), $B64 * K51, "")</f>
        <v>350.05834305718116</v>
      </c>
      <c r="M51" s="31">
        <v>85.9</v>
      </c>
      <c r="N51" s="32">
        <f t="shared" si="21"/>
        <v>2.3337222870478745E-3</v>
      </c>
      <c r="O51" s="18">
        <f>IF(ISNUMBER(M51), $B64 * N51, "")</f>
        <v>350.05834305718116</v>
      </c>
      <c r="Q51" s="146"/>
      <c r="R51" s="146"/>
      <c r="S51" s="146"/>
    </row>
    <row r="52" spans="1:19" ht="17.25" customHeight="1" thickBot="1">
      <c r="A52" s="109" t="s">
        <v>145</v>
      </c>
      <c r="B52" s="110">
        <v>78.400000000000006</v>
      </c>
      <c r="C52" s="70">
        <v>-1.8773466799999999E-2</v>
      </c>
      <c r="D52" s="15">
        <v>79.599999999999994</v>
      </c>
      <c r="E52" s="32">
        <f t="shared" si="18"/>
        <v>1.5306122448979446E-2</v>
      </c>
      <c r="F52" s="18">
        <f>IF(ISNUMBER(D52), $B64 * E52, "")</f>
        <v>2295.918367346917</v>
      </c>
      <c r="G52" s="31">
        <v>79.7</v>
      </c>
      <c r="H52" s="32">
        <f t="shared" si="19"/>
        <v>1.6581632653061187E-2</v>
      </c>
      <c r="I52" s="91">
        <f>IF(ISNUMBER(G52), $B64 * H52, "")</f>
        <v>2487.2448979591782</v>
      </c>
      <c r="J52" s="15">
        <v>79.7</v>
      </c>
      <c r="K52" s="32">
        <f t="shared" si="20"/>
        <v>1.6581632653061187E-2</v>
      </c>
      <c r="L52" s="18">
        <f>IF(ISNUMBER(J52), $B64 * K52, "")</f>
        <v>2487.2448979591782</v>
      </c>
      <c r="M52" s="31">
        <v>79.7</v>
      </c>
      <c r="N52" s="32">
        <f t="shared" si="21"/>
        <v>1.6581632653061187E-2</v>
      </c>
      <c r="O52" s="18">
        <f>IF(ISNUMBER(M52), $B64 * N52, "")</f>
        <v>2487.2448979591782</v>
      </c>
      <c r="Q52" s="33"/>
      <c r="R52" s="33"/>
    </row>
    <row r="53" spans="1:19" ht="17.25" customHeight="1" thickBot="1">
      <c r="A53" s="114" t="s">
        <v>181</v>
      </c>
      <c r="B53" s="115">
        <v>5.1100000000000003</v>
      </c>
      <c r="C53" s="72">
        <v>-1.9193858000000001E-2</v>
      </c>
      <c r="D53" s="24">
        <v>5.0999999999999996</v>
      </c>
      <c r="E53" s="25">
        <f t="shared" si="18"/>
        <v>-1.9569471624267466E-3</v>
      </c>
      <c r="F53" s="94">
        <f>IF(ISNUMBER(D53), $B64 * E53, "")</f>
        <v>-293.54207436401202</v>
      </c>
      <c r="G53" s="92">
        <v>5.12</v>
      </c>
      <c r="H53" s="25">
        <f t="shared" si="19"/>
        <v>1.9569471624265727E-3</v>
      </c>
      <c r="I53" s="93">
        <f>IF(ISNUMBER(G53), $B64 * H53, "")</f>
        <v>293.54207436398593</v>
      </c>
      <c r="J53" s="24">
        <v>5.12</v>
      </c>
      <c r="K53" s="25">
        <f t="shared" si="20"/>
        <v>1.9569471624265727E-3</v>
      </c>
      <c r="L53" s="94">
        <f>IF(ISNUMBER(J53), $B64 * K53, "")</f>
        <v>293.54207436398593</v>
      </c>
      <c r="M53" s="92">
        <v>5.12</v>
      </c>
      <c r="N53" s="25">
        <f t="shared" si="21"/>
        <v>1.9569471624265727E-3</v>
      </c>
      <c r="O53" s="94">
        <f>IF(ISNUMBER(M53), $B64 * N53, "")</f>
        <v>293.54207436398593</v>
      </c>
      <c r="Q53" s="147"/>
      <c r="R53" s="148"/>
      <c r="S53" s="149"/>
    </row>
    <row r="54" spans="1:19" ht="17.25" customHeight="1">
      <c r="A54" s="107" t="s">
        <v>195</v>
      </c>
      <c r="B54" s="108">
        <v>7.25</v>
      </c>
      <c r="C54" s="69">
        <v>-2.02702703E-2</v>
      </c>
      <c r="D54" s="13">
        <v>7.24</v>
      </c>
      <c r="E54" s="14">
        <f>IF(ISNUMBER(D54), (D54 - $B54) / $B54, "")</f>
        <v>-1.3793103448275568E-3</v>
      </c>
      <c r="F54" s="16">
        <f>IF(ISNUMBER(D54), $B64 * E54, "")</f>
        <v>-206.89655172413353</v>
      </c>
      <c r="G54" s="29">
        <v>7.23</v>
      </c>
      <c r="H54" s="14">
        <f>IF(ISNUMBER(G54), (G54 - $B54) / $B54, "")</f>
        <v>-2.7586206896551137E-3</v>
      </c>
      <c r="I54" s="90">
        <f>IF(ISNUMBER(G54), $B64 * H54, "")</f>
        <v>-413.79310344826706</v>
      </c>
      <c r="J54" s="13">
        <v>7.23</v>
      </c>
      <c r="K54" s="14">
        <f>IF(ISNUMBER(J54), (J54 - $B54) / $B54, "")</f>
        <v>-2.7586206896551137E-3</v>
      </c>
      <c r="L54" s="16">
        <f>IF(ISNUMBER(J54), $B64 * K54, "")</f>
        <v>-413.79310344826706</v>
      </c>
      <c r="M54" s="29">
        <v>7.23</v>
      </c>
      <c r="N54" s="14">
        <f>IF(ISNUMBER(M54), (M54 - $B54) / $B54, "")</f>
        <v>-2.7586206896551137E-3</v>
      </c>
      <c r="O54" s="16">
        <f>IF(ISNUMBER(M54), $B64 * N54, "")</f>
        <v>-413.79310344826706</v>
      </c>
      <c r="Q54" s="150"/>
      <c r="R54" s="151"/>
      <c r="S54" s="152"/>
    </row>
    <row r="55" spans="1:19" ht="17.25" customHeight="1" thickBot="1">
      <c r="A55" s="109" t="s">
        <v>191</v>
      </c>
      <c r="B55" s="110">
        <v>72</v>
      </c>
      <c r="C55" s="70">
        <v>-2.0408163300000001E-2</v>
      </c>
      <c r="D55" s="15">
        <v>72.599999999999994</v>
      </c>
      <c r="E55" s="32">
        <f t="shared" ref="E55:E58" si="22">IF(ISNUMBER(D55), (D55 - $B55) / $B55, "")</f>
        <v>8.3333333333332552E-3</v>
      </c>
      <c r="F55" s="18">
        <f>IF(ISNUMBER(D55), $B64 * E55, "")</f>
        <v>1249.9999999999882</v>
      </c>
      <c r="G55" s="31">
        <v>71.8</v>
      </c>
      <c r="H55" s="32">
        <f t="shared" ref="H55:H58" si="23">IF(ISNUMBER(G55), (G55 - $B55) / $B55, "")</f>
        <v>-2.7777777777778173E-3</v>
      </c>
      <c r="I55" s="91">
        <f>IF(ISNUMBER(G55), $B64 * H55, "")</f>
        <v>-416.6666666666726</v>
      </c>
      <c r="J55" s="15">
        <v>71.8</v>
      </c>
      <c r="K55" s="32">
        <f t="shared" ref="K55:K58" si="24">IF(ISNUMBER(J55), (J55 - $B55) / $B55, "")</f>
        <v>-2.7777777777778173E-3</v>
      </c>
      <c r="L55" s="18">
        <f>IF(ISNUMBER(J55), $B64 * K55, "")</f>
        <v>-416.6666666666726</v>
      </c>
      <c r="M55" s="31">
        <v>71.8</v>
      </c>
      <c r="N55" s="32">
        <f t="shared" ref="N55:N58" si="25">IF(ISNUMBER(M55), (M55 - $B55) / $B55, "")</f>
        <v>-2.7777777777778173E-3</v>
      </c>
      <c r="O55" s="18">
        <f>IF(ISNUMBER(M55), $B64 * N55, "")</f>
        <v>-416.6666666666726</v>
      </c>
      <c r="Q55" s="153"/>
      <c r="R55" s="154"/>
      <c r="S55" s="155"/>
    </row>
    <row r="56" spans="1:19" ht="17.25" customHeight="1" thickBot="1">
      <c r="A56" s="109" t="s">
        <v>225</v>
      </c>
      <c r="B56" s="110">
        <v>66.2</v>
      </c>
      <c r="C56" s="70">
        <v>-2.0710059199999999E-2</v>
      </c>
      <c r="D56" s="15">
        <v>66.7</v>
      </c>
      <c r="E56" s="32">
        <f t="shared" si="22"/>
        <v>7.5528700906344406E-3</v>
      </c>
      <c r="F56" s="18">
        <f>IF(ISNUMBER(D56), $B64 * E56, "")</f>
        <v>1132.9305135951661</v>
      </c>
      <c r="G56" s="31">
        <v>66.5</v>
      </c>
      <c r="H56" s="32">
        <f t="shared" si="23"/>
        <v>4.5317220543806217E-3</v>
      </c>
      <c r="I56" s="91">
        <f>IF(ISNUMBER(G56), $B64 * H56, "")</f>
        <v>679.75830815709321</v>
      </c>
      <c r="J56" s="15">
        <v>66.5</v>
      </c>
      <c r="K56" s="32">
        <f t="shared" si="24"/>
        <v>4.5317220543806217E-3</v>
      </c>
      <c r="L56" s="18">
        <f>IF(ISNUMBER(J56), $B64 * K56, "")</f>
        <v>679.75830815709321</v>
      </c>
      <c r="M56" s="31">
        <v>66.5</v>
      </c>
      <c r="N56" s="32">
        <f t="shared" si="25"/>
        <v>4.5317220543806217E-3</v>
      </c>
      <c r="O56" s="18">
        <f>IF(ISNUMBER(M56), $B64 * N56, "")</f>
        <v>679.75830815709321</v>
      </c>
      <c r="Q56" s="146"/>
      <c r="R56" s="146"/>
      <c r="S56" s="146"/>
    </row>
    <row r="57" spans="1:19" ht="17.25" customHeight="1" thickBot="1">
      <c r="A57" s="109" t="s">
        <v>209</v>
      </c>
      <c r="B57" s="110">
        <v>97.2</v>
      </c>
      <c r="C57" s="70">
        <v>-2.21327968E-2</v>
      </c>
      <c r="D57" s="15">
        <v>97.1</v>
      </c>
      <c r="E57" s="32">
        <f t="shared" si="22"/>
        <v>-1.0288065843622276E-3</v>
      </c>
      <c r="F57" s="18">
        <f>IF(ISNUMBER(D57), $B64 * E57, "")</f>
        <v>-154.32098765433415</v>
      </c>
      <c r="G57" s="31">
        <v>97.2</v>
      </c>
      <c r="H57" s="32">
        <f t="shared" si="23"/>
        <v>0</v>
      </c>
      <c r="I57" s="91">
        <f>IF(ISNUMBER(G57), $B64 * H57, "")</f>
        <v>0</v>
      </c>
      <c r="J57" s="15">
        <v>97.2</v>
      </c>
      <c r="K57" s="32">
        <f t="shared" si="24"/>
        <v>0</v>
      </c>
      <c r="L57" s="18">
        <f>IF(ISNUMBER(J57), $B64 * K57, "")</f>
        <v>0</v>
      </c>
      <c r="M57" s="31">
        <v>97.2</v>
      </c>
      <c r="N57" s="32">
        <f t="shared" si="25"/>
        <v>0</v>
      </c>
      <c r="O57" s="18">
        <f>IF(ISNUMBER(M57), $B64 * N57, "")</f>
        <v>0</v>
      </c>
      <c r="Q57" s="156"/>
      <c r="R57" s="156"/>
      <c r="S57" s="156"/>
    </row>
    <row r="58" spans="1:19" ht="17.25" customHeight="1" thickBot="1">
      <c r="A58" s="111" t="s">
        <v>193</v>
      </c>
      <c r="B58" s="112">
        <v>21.6</v>
      </c>
      <c r="C58" s="71">
        <v>-2.2624434400000001E-2</v>
      </c>
      <c r="D58" s="20">
        <v>22.8</v>
      </c>
      <c r="E58" s="21">
        <f t="shared" si="22"/>
        <v>5.5555555555555518E-2</v>
      </c>
      <c r="F58" s="22">
        <f>IF(ISNUMBER(D58), $B64 * E58, "")</f>
        <v>8333.3333333333285</v>
      </c>
      <c r="G58" s="30">
        <v>22.3</v>
      </c>
      <c r="H58" s="21">
        <f t="shared" si="23"/>
        <v>3.2407407407407371E-2</v>
      </c>
      <c r="I58" s="95">
        <f>IF(ISNUMBER(G58), $B64 * H58, "")</f>
        <v>4861.1111111111059</v>
      </c>
      <c r="J58" s="20">
        <v>22.3</v>
      </c>
      <c r="K58" s="21">
        <f t="shared" si="24"/>
        <v>3.2407407407407371E-2</v>
      </c>
      <c r="L58" s="22">
        <f>IF(ISNUMBER(J58), $B64 * K58, "")</f>
        <v>4861.1111111111059</v>
      </c>
      <c r="M58" s="30">
        <v>22.3</v>
      </c>
      <c r="N58" s="21">
        <f t="shared" si="25"/>
        <v>3.2407407407407371E-2</v>
      </c>
      <c r="O58" s="22">
        <f>IF(ISNUMBER(M58), $B64 * N58, "")</f>
        <v>4861.1111111111059</v>
      </c>
      <c r="Q58" s="156"/>
      <c r="R58" s="156"/>
      <c r="S58" s="156"/>
    </row>
    <row r="59" spans="1:19" ht="17.25" customHeight="1" thickBot="1">
      <c r="A59" s="109" t="s">
        <v>124</v>
      </c>
      <c r="B59" s="113">
        <v>37.700000000000003</v>
      </c>
      <c r="C59" s="73">
        <v>-2.3316062200000001E-2</v>
      </c>
      <c r="D59" s="96">
        <v>37.799999999999997</v>
      </c>
      <c r="E59" s="97">
        <f>IF(ISNUMBER(D59), (D59 - $B59) / $B59, "")</f>
        <v>2.6525198938990532E-3</v>
      </c>
      <c r="F59" s="98">
        <f>IF(ISNUMBER(D59), $B64 * E59, "")</f>
        <v>397.87798408485799</v>
      </c>
      <c r="G59" s="99">
        <v>37.799999999999997</v>
      </c>
      <c r="H59" s="97">
        <f>IF(ISNUMBER(G59), (G59 - $B59) / $B59, "")</f>
        <v>2.6525198938990532E-3</v>
      </c>
      <c r="I59" s="100">
        <f>IF(ISNUMBER(G59), $B64 * H59, "")</f>
        <v>397.87798408485799</v>
      </c>
      <c r="J59" s="96">
        <v>37.799999999999997</v>
      </c>
      <c r="K59" s="97">
        <f>IF(ISNUMBER(J59), (J59 - $B59) / $B59, "")</f>
        <v>2.6525198938990532E-3</v>
      </c>
      <c r="L59" s="98">
        <f>IF(ISNUMBER(J59), $B64 * K59, "")</f>
        <v>397.87798408485799</v>
      </c>
      <c r="M59" s="99">
        <v>37.799999999999997</v>
      </c>
      <c r="N59" s="97">
        <f>IF(ISNUMBER(M59), (M59 - $B59) / $B59, "")</f>
        <v>2.6525198938990532E-3</v>
      </c>
      <c r="O59" s="98">
        <f>IF(ISNUMBER(M59), $B64 * N59, "")</f>
        <v>397.87798408485799</v>
      </c>
      <c r="Q59" s="146"/>
      <c r="R59" s="146"/>
      <c r="S59" s="146"/>
    </row>
    <row r="60" spans="1:19" ht="17.25" customHeight="1" thickBot="1">
      <c r="A60" s="109" t="s">
        <v>155</v>
      </c>
      <c r="B60" s="110">
        <v>33.5</v>
      </c>
      <c r="C60" s="70">
        <v>-2.3323615200000002E-2</v>
      </c>
      <c r="D60" s="15">
        <v>33.799999999999997</v>
      </c>
      <c r="E60" s="32">
        <f t="shared" ref="E60:E63" si="26">IF(ISNUMBER(D60), (D60 - $B60) / $B60, "")</f>
        <v>8.9552238805969304E-3</v>
      </c>
      <c r="F60" s="18">
        <f>IF(ISNUMBER(D60), $B64 * E60, "")</f>
        <v>1343.2835820895395</v>
      </c>
      <c r="G60" s="31">
        <v>33.700000000000003</v>
      </c>
      <c r="H60" s="32">
        <f t="shared" ref="H60:H63" si="27">IF(ISNUMBER(G60), (G60 - $B60) / $B60, "")</f>
        <v>5.9701492537314283E-3</v>
      </c>
      <c r="I60" s="91">
        <f>IF(ISNUMBER(G60), $B64 * H60, "")</f>
        <v>895.52238805971422</v>
      </c>
      <c r="J60" s="15">
        <v>33.700000000000003</v>
      </c>
      <c r="K60" s="32">
        <f t="shared" ref="K60:K63" si="28">IF(ISNUMBER(J60), (J60 - $B60) / $B60, "")</f>
        <v>5.9701492537314283E-3</v>
      </c>
      <c r="L60" s="18">
        <f>IF(ISNUMBER(J60), $B64 * K60, "")</f>
        <v>895.52238805971422</v>
      </c>
      <c r="M60" s="31">
        <v>33.700000000000003</v>
      </c>
      <c r="N60" s="32">
        <f t="shared" ref="N60:N63" si="29">IF(ISNUMBER(M60), (M60 - $B60) / $B60, "")</f>
        <v>5.9701492537314283E-3</v>
      </c>
      <c r="O60" s="18">
        <f>IF(ISNUMBER(M60), $B64 * N60, "")</f>
        <v>895.52238805971422</v>
      </c>
      <c r="Q60" s="146"/>
      <c r="R60" s="146"/>
      <c r="S60" s="146"/>
    </row>
    <row r="61" spans="1:19" ht="17.25" customHeight="1" thickBot="1">
      <c r="A61" s="109" t="s">
        <v>207</v>
      </c>
      <c r="B61" s="110">
        <v>77.2</v>
      </c>
      <c r="C61" s="70">
        <v>-2.4020227599999999E-2</v>
      </c>
      <c r="D61" s="15">
        <v>77.3</v>
      </c>
      <c r="E61" s="32">
        <f t="shared" si="26"/>
        <v>1.2953367875646932E-3</v>
      </c>
      <c r="F61" s="18">
        <f>IF(ISNUMBER(D61), $B64 * E61, "")</f>
        <v>194.30051813470396</v>
      </c>
      <c r="G61" s="31">
        <v>77.5</v>
      </c>
      <c r="H61" s="32">
        <f t="shared" si="27"/>
        <v>3.8860103626942636E-3</v>
      </c>
      <c r="I61" s="91">
        <f>IF(ISNUMBER(G61), $B64 * H61, "")</f>
        <v>582.90155440413957</v>
      </c>
      <c r="J61" s="15">
        <v>77.5</v>
      </c>
      <c r="K61" s="32">
        <f t="shared" si="28"/>
        <v>3.8860103626942636E-3</v>
      </c>
      <c r="L61" s="18">
        <f>IF(ISNUMBER(J61), $B64 * K61, "")</f>
        <v>582.90155440413957</v>
      </c>
      <c r="M61" s="31">
        <v>77.5</v>
      </c>
      <c r="N61" s="32">
        <f t="shared" si="29"/>
        <v>3.8860103626942636E-3</v>
      </c>
      <c r="O61" s="18">
        <f>IF(ISNUMBER(M61), $B64 * N61, "")</f>
        <v>582.90155440413957</v>
      </c>
      <c r="Q61" s="146"/>
      <c r="R61" s="146"/>
      <c r="S61" s="146"/>
    </row>
    <row r="62" spans="1:19" ht="17.25" customHeight="1">
      <c r="A62" s="109" t="s">
        <v>203</v>
      </c>
      <c r="B62" s="110">
        <v>4.01</v>
      </c>
      <c r="C62" s="70">
        <v>-2.4330900200000002E-2</v>
      </c>
      <c r="D62" s="15">
        <v>4.03</v>
      </c>
      <c r="E62" s="32">
        <f t="shared" si="26"/>
        <v>4.9875311720699407E-3</v>
      </c>
      <c r="F62" s="18">
        <f>IF(ISNUMBER(D62), $B64 * E62, "")</f>
        <v>748.12967581049111</v>
      </c>
      <c r="G62" s="31">
        <v>4.0199999999999996</v>
      </c>
      <c r="H62" s="32">
        <f t="shared" si="27"/>
        <v>2.4937655860348597E-3</v>
      </c>
      <c r="I62" s="91">
        <f>IF(ISNUMBER(G62), $B64 * H62, "")</f>
        <v>374.06483790522896</v>
      </c>
      <c r="J62" s="15">
        <v>4.0199999999999996</v>
      </c>
      <c r="K62" s="32">
        <f t="shared" si="28"/>
        <v>2.4937655860348597E-3</v>
      </c>
      <c r="L62" s="18">
        <f>IF(ISNUMBER(J62), $B64 * K62, "")</f>
        <v>374.06483790522896</v>
      </c>
      <c r="M62" s="31">
        <v>4.0199999999999996</v>
      </c>
      <c r="N62" s="32">
        <f t="shared" si="29"/>
        <v>2.4937655860348597E-3</v>
      </c>
      <c r="O62" s="18">
        <f>IF(ISNUMBER(M62), $B64 * N62, "")</f>
        <v>374.06483790522896</v>
      </c>
      <c r="Q62" s="135"/>
      <c r="R62" s="136"/>
      <c r="S62" s="137"/>
    </row>
    <row r="63" spans="1:19" ht="17.25" customHeight="1" thickBot="1">
      <c r="A63" s="114" t="s">
        <v>185</v>
      </c>
      <c r="B63" s="115">
        <v>38.6</v>
      </c>
      <c r="C63" s="72">
        <v>-2.5252525299999998E-2</v>
      </c>
      <c r="D63" s="24">
        <v>38.9</v>
      </c>
      <c r="E63" s="25">
        <f t="shared" si="26"/>
        <v>7.7720207253885272E-3</v>
      </c>
      <c r="F63" s="94">
        <f>IF(ISNUMBER(D63), $B64 * E63, "")</f>
        <v>1165.8031088082791</v>
      </c>
      <c r="G63" s="92">
        <v>38.9</v>
      </c>
      <c r="H63" s="25">
        <f t="shared" si="27"/>
        <v>7.7720207253885272E-3</v>
      </c>
      <c r="I63" s="93">
        <f>IF(ISNUMBER(G63), $B64 * H63, "")</f>
        <v>1165.8031088082791</v>
      </c>
      <c r="J63" s="24">
        <v>38.9</v>
      </c>
      <c r="K63" s="25">
        <f t="shared" si="28"/>
        <v>7.7720207253885272E-3</v>
      </c>
      <c r="L63" s="94">
        <f>IF(ISNUMBER(J63), $B64 * K63, "")</f>
        <v>1165.8031088082791</v>
      </c>
      <c r="M63" s="92">
        <v>38.9</v>
      </c>
      <c r="N63" s="25">
        <f t="shared" si="29"/>
        <v>7.7720207253885272E-3</v>
      </c>
      <c r="O63" s="94">
        <f>IF(ISNUMBER(M63), $B64 * N63, "")</f>
        <v>1165.8031088082791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3.8747710526656162E-3</v>
      </c>
      <c r="F64" s="28">
        <f>SUM(F44:F63)</f>
        <v>11624.313157996849</v>
      </c>
      <c r="G64" s="26" t="s">
        <v>258</v>
      </c>
      <c r="H64" s="27">
        <f>IF(COUNT(H44:H63), SUM(H44:H63) / COUNT(H44:H63), 0)</f>
        <v>-3.360346469396861E-3</v>
      </c>
      <c r="I64" s="28">
        <f>SUM(I44:I63)</f>
        <v>-10081.039408190587</v>
      </c>
      <c r="J64" s="26" t="s">
        <v>258</v>
      </c>
      <c r="K64" s="27">
        <f>IF(COUNT(K44:K63), SUM(K44:K63) / COUNT(K44:K63), 0)</f>
        <v>-3.360346469396861E-3</v>
      </c>
      <c r="L64" s="28">
        <f>SUM(L44:L63)</f>
        <v>-10081.039408190587</v>
      </c>
      <c r="M64" s="26" t="s">
        <v>258</v>
      </c>
      <c r="N64" s="27">
        <f>IF(COUNT(N44:N63), SUM(N44:N63) / COUNT(N44:N63), 0)</f>
        <v>-3.360346469396861E-3</v>
      </c>
      <c r="O64" s="28">
        <f>SUM(O44:O63)</f>
        <v>-10081.039408190587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2023-01-29(일) 오전 00:00</v>
      </c>
      <c r="C69" s="198"/>
      <c r="D69" s="170" t="str">
        <f>TEXT($G$1, "[$-ko-KR]yyyy-mm-dd(ddd) ") &amp; "오후 14:00"</f>
        <v>2023-01-29(일) 오후 14:00</v>
      </c>
      <c r="E69" s="171"/>
      <c r="F69" s="172"/>
      <c r="G69" s="170" t="str">
        <f>TEXT($G$1, "[$-ko-KR]yyyy-mm-dd(ddd) ") &amp; "오후 19:00"</f>
        <v>2023-01-29(일) 오후 19:00</v>
      </c>
      <c r="H69" s="171"/>
      <c r="I69" s="172"/>
      <c r="J69" s="170" t="str">
        <f>TEXT($G$1, "[$-ko-KR]yyyy-mm-dd(ddd) ") &amp; "오후 21:00"</f>
        <v>2023-01-29(일) 오후 21:00</v>
      </c>
      <c r="K69" s="171"/>
      <c r="L69" s="172"/>
      <c r="M69" s="170" t="str">
        <f>TEXT($G$1+1, "[$-ko-KR]yyyy-mm-dd(ddd) ") &amp; "오전 00:00"</f>
        <v>2023-01-30(월)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149</v>
      </c>
      <c r="B71" s="108">
        <v>565</v>
      </c>
      <c r="C71" s="69">
        <v>6.0037523500000002E-2</v>
      </c>
      <c r="D71" s="13">
        <v>575</v>
      </c>
      <c r="E71" s="14">
        <f>IF(ISNUMBER(D71), (D71 - $B71) / $B71, "")</f>
        <v>1.7699115044247787E-2</v>
      </c>
      <c r="F71" s="16">
        <f>IF(ISNUMBER(D71), $B91 * E71, "")</f>
        <v>2654.8672566371679</v>
      </c>
      <c r="G71" s="29">
        <v>572</v>
      </c>
      <c r="H71" s="14">
        <f>IF(ISNUMBER(G71), (G71 - $B71) / $B71, "")</f>
        <v>1.2389380530973451E-2</v>
      </c>
      <c r="I71" s="90">
        <f>IF(ISNUMBER(G71), $B91 * H71, "")</f>
        <v>1858.4070796460176</v>
      </c>
      <c r="J71" s="13">
        <v>572</v>
      </c>
      <c r="K71" s="14">
        <f>IF(ISNUMBER(J71), (J71 - $B71) / $B71, "")</f>
        <v>1.2389380530973451E-2</v>
      </c>
      <c r="L71" s="16">
        <f>IF(ISNUMBER(J71), $B91 * K71, "")</f>
        <v>1858.4070796460176</v>
      </c>
      <c r="M71" s="29">
        <v>572</v>
      </c>
      <c r="N71" s="14">
        <f>IF(ISNUMBER(M71), (M71 - $B71) / $B71, "")</f>
        <v>1.2389380530973451E-2</v>
      </c>
      <c r="O71" s="16">
        <f>IF(ISNUMBER(M71), $B91 * N71, "")</f>
        <v>1858.4070796460176</v>
      </c>
      <c r="Q71" s="156"/>
      <c r="R71" s="156"/>
      <c r="S71" s="156"/>
    </row>
    <row r="72" spans="1:19" ht="17.25" thickBot="1">
      <c r="A72" s="109" t="s">
        <v>157</v>
      </c>
      <c r="B72" s="110">
        <v>242</v>
      </c>
      <c r="C72" s="70">
        <v>3.8626609399999998E-2</v>
      </c>
      <c r="D72" s="15">
        <v>236</v>
      </c>
      <c r="E72" s="32">
        <f t="shared" ref="E72:E75" si="30">IF(ISNUMBER(D72), (D72 - $B72) / $B72, "")</f>
        <v>-2.4793388429752067E-2</v>
      </c>
      <c r="F72" s="18">
        <f>IF(ISNUMBER(D72), $B91 * E72, "")</f>
        <v>-3719.0082644628101</v>
      </c>
      <c r="G72" s="31">
        <v>234</v>
      </c>
      <c r="H72" s="32">
        <f t="shared" ref="H72:H75" si="31">IF(ISNUMBER(G72), (G72 - $B72) / $B72, "")</f>
        <v>-3.3057851239669422E-2</v>
      </c>
      <c r="I72" s="91">
        <f>IF(ISNUMBER(G72), $B91 * H72, "")</f>
        <v>-4958.6776859504134</v>
      </c>
      <c r="J72" s="15">
        <v>234</v>
      </c>
      <c r="K72" s="32">
        <f t="shared" ref="K72:K75" si="32">IF(ISNUMBER(J72), (J72 - $B72) / $B72, "")</f>
        <v>-3.3057851239669422E-2</v>
      </c>
      <c r="L72" s="18">
        <f>IF(ISNUMBER(J72), $B91 * K72, "")</f>
        <v>-4958.6776859504134</v>
      </c>
      <c r="M72" s="31">
        <v>234</v>
      </c>
      <c r="N72" s="32">
        <f t="shared" ref="N72:N75" si="33">IF(ISNUMBER(M72), (M72 - $B72) / $B72, "")</f>
        <v>-3.3057851239669422E-2</v>
      </c>
      <c r="O72" s="18">
        <f>IF(ISNUMBER(M72), $B91 * N72, "")</f>
        <v>-4958.6776859504134</v>
      </c>
      <c r="Q72" s="156"/>
      <c r="R72" s="156"/>
      <c r="S72" s="156"/>
    </row>
    <row r="73" spans="1:19" ht="17.25" thickBot="1">
      <c r="A73" s="109" t="s">
        <v>60</v>
      </c>
      <c r="B73" s="110">
        <v>873</v>
      </c>
      <c r="C73" s="70">
        <v>2.2248243599999998E-2</v>
      </c>
      <c r="D73" s="15">
        <v>890</v>
      </c>
      <c r="E73" s="32">
        <f t="shared" si="30"/>
        <v>1.9473081328751432E-2</v>
      </c>
      <c r="F73" s="18">
        <f>IF(ISNUMBER(D73), $B91 * E73, "")</f>
        <v>2920.9621993127148</v>
      </c>
      <c r="G73" s="31">
        <v>920</v>
      </c>
      <c r="H73" s="32">
        <f t="shared" si="31"/>
        <v>5.3837342497136315E-2</v>
      </c>
      <c r="I73" s="91">
        <f>IF(ISNUMBER(G73), $B91 * H73, "")</f>
        <v>8075.6013745704468</v>
      </c>
      <c r="J73" s="15">
        <v>920</v>
      </c>
      <c r="K73" s="32">
        <f t="shared" si="32"/>
        <v>5.3837342497136315E-2</v>
      </c>
      <c r="L73" s="18">
        <f>IF(ISNUMBER(J73), $B91 * K73, "")</f>
        <v>8075.6013745704468</v>
      </c>
      <c r="M73" s="31">
        <v>920</v>
      </c>
      <c r="N73" s="32">
        <f t="shared" si="33"/>
        <v>5.3837342497136315E-2</v>
      </c>
      <c r="O73" s="18">
        <f>IF(ISNUMBER(M73), $B91 * N73, "")</f>
        <v>8075.6013745704468</v>
      </c>
      <c r="Q73" s="146"/>
      <c r="R73" s="146"/>
      <c r="S73" s="146"/>
    </row>
    <row r="74" spans="1:19" ht="17.25" thickBot="1">
      <c r="A74" s="109" t="s">
        <v>253</v>
      </c>
      <c r="B74" s="110">
        <v>111</v>
      </c>
      <c r="C74" s="70">
        <v>1.83486239E-2</v>
      </c>
      <c r="D74" s="15">
        <v>112</v>
      </c>
      <c r="E74" s="32">
        <f t="shared" si="30"/>
        <v>9.0090090090090089E-3</v>
      </c>
      <c r="F74" s="18">
        <f>IF(ISNUMBER(D74), $B91 * E74, "")</f>
        <v>1351.3513513513512</v>
      </c>
      <c r="G74" s="31">
        <v>111</v>
      </c>
      <c r="H74" s="32">
        <f t="shared" si="31"/>
        <v>0</v>
      </c>
      <c r="I74" s="91">
        <f>IF(ISNUMBER(G74), $B91 * H74, "")</f>
        <v>0</v>
      </c>
      <c r="J74" s="15">
        <v>111</v>
      </c>
      <c r="K74" s="32">
        <f t="shared" si="32"/>
        <v>0</v>
      </c>
      <c r="L74" s="18">
        <f>IF(ISNUMBER(J74), $B91 * K74, "")</f>
        <v>0</v>
      </c>
      <c r="M74" s="31">
        <v>111</v>
      </c>
      <c r="N74" s="32">
        <f t="shared" si="33"/>
        <v>0</v>
      </c>
      <c r="O74" s="18">
        <f>IF(ISNUMBER(M74), $B91 * N74, "")</f>
        <v>0</v>
      </c>
      <c r="Q74" s="146"/>
      <c r="R74" s="146"/>
      <c r="S74" s="146"/>
    </row>
    <row r="75" spans="1:19" ht="17.25" thickBot="1">
      <c r="A75" s="111" t="s">
        <v>159</v>
      </c>
      <c r="B75" s="112">
        <v>245</v>
      </c>
      <c r="C75" s="71">
        <v>0</v>
      </c>
      <c r="D75" s="20">
        <v>249</v>
      </c>
      <c r="E75" s="21">
        <f t="shared" si="30"/>
        <v>1.6326530612244899E-2</v>
      </c>
      <c r="F75" s="22">
        <f>IF(ISNUMBER(D75), $B91 * E75, "")</f>
        <v>2448.9795918367349</v>
      </c>
      <c r="G75" s="30">
        <v>247</v>
      </c>
      <c r="H75" s="21">
        <f t="shared" si="31"/>
        <v>8.1632653061224497E-3</v>
      </c>
      <c r="I75" s="95">
        <f>IF(ISNUMBER(G75), $B91 * H75, "")</f>
        <v>1224.4897959183675</v>
      </c>
      <c r="J75" s="20">
        <v>247</v>
      </c>
      <c r="K75" s="21">
        <f t="shared" si="32"/>
        <v>8.1632653061224497E-3</v>
      </c>
      <c r="L75" s="22">
        <f>IF(ISNUMBER(J75), $B91 * K75, "")</f>
        <v>1224.4897959183675</v>
      </c>
      <c r="M75" s="30">
        <v>247</v>
      </c>
      <c r="N75" s="21">
        <f t="shared" si="33"/>
        <v>8.1632653061224497E-3</v>
      </c>
      <c r="O75" s="22">
        <f>IF(ISNUMBER(M75), $B91 * N75, "")</f>
        <v>1224.4897959183675</v>
      </c>
      <c r="Q75" s="146"/>
      <c r="R75" s="146"/>
      <c r="S75" s="146"/>
    </row>
    <row r="76" spans="1:19" ht="17.25" thickBot="1">
      <c r="A76" s="109" t="s">
        <v>89</v>
      </c>
      <c r="B76" s="113">
        <v>514</v>
      </c>
      <c r="C76" s="73">
        <v>-5.8027078999999997E-3</v>
      </c>
      <c r="D76" s="96">
        <v>516</v>
      </c>
      <c r="E76" s="97">
        <f>IF(ISNUMBER(D76), (D76 - $B76) / $B76, "")</f>
        <v>3.8910505836575876E-3</v>
      </c>
      <c r="F76" s="98">
        <f>IF(ISNUMBER(D76), $B91 * E76, "")</f>
        <v>583.65758754863816</v>
      </c>
      <c r="G76" s="99">
        <v>517</v>
      </c>
      <c r="H76" s="97">
        <f>IF(ISNUMBER(G76), (G76 - $B76) / $B76, "")</f>
        <v>5.8365758754863814E-3</v>
      </c>
      <c r="I76" s="100">
        <f>IF(ISNUMBER(G76), $B91 * H76, "")</f>
        <v>875.48638132295719</v>
      </c>
      <c r="J76" s="96">
        <v>517</v>
      </c>
      <c r="K76" s="97">
        <f>IF(ISNUMBER(J76), (J76 - $B76) / $B76, "")</f>
        <v>5.8365758754863814E-3</v>
      </c>
      <c r="L76" s="98">
        <f>IF(ISNUMBER(J76), $B91 * K76, "")</f>
        <v>875.48638132295719</v>
      </c>
      <c r="M76" s="99">
        <v>517</v>
      </c>
      <c r="N76" s="97">
        <f>IF(ISNUMBER(M76), (M76 - $B76) / $B76, "")</f>
        <v>5.8365758754863814E-3</v>
      </c>
      <c r="O76" s="98">
        <f>IF(ISNUMBER(M76), $B91 * N76, "")</f>
        <v>875.48638132295719</v>
      </c>
      <c r="Q76" s="146"/>
      <c r="R76" s="146"/>
      <c r="S76" s="146"/>
    </row>
    <row r="77" spans="1:19" ht="17.25" thickBot="1">
      <c r="A77" s="109" t="s">
        <v>201</v>
      </c>
      <c r="B77" s="110">
        <v>293</v>
      </c>
      <c r="C77" s="70">
        <v>-6.7796610000000002E-3</v>
      </c>
      <c r="D77" s="15">
        <v>300</v>
      </c>
      <c r="E77" s="32">
        <f t="shared" ref="E77:E80" si="34">IF(ISNUMBER(D77), (D77 - $B77) / $B77, "")</f>
        <v>2.3890784982935155E-2</v>
      </c>
      <c r="F77" s="18">
        <f>IF(ISNUMBER(D77), $B91 * E77, "")</f>
        <v>3583.6177474402734</v>
      </c>
      <c r="G77" s="31">
        <v>300</v>
      </c>
      <c r="H77" s="32">
        <f t="shared" ref="H77:H80" si="35">IF(ISNUMBER(G77), (G77 - $B77) / $B77, "")</f>
        <v>2.3890784982935155E-2</v>
      </c>
      <c r="I77" s="91">
        <f>IF(ISNUMBER(G77), $B91 * H77, "")</f>
        <v>3583.6177474402734</v>
      </c>
      <c r="J77" s="15">
        <v>300</v>
      </c>
      <c r="K77" s="32">
        <f t="shared" ref="K77:K80" si="36">IF(ISNUMBER(J77), (J77 - $B77) / $B77, "")</f>
        <v>2.3890784982935155E-2</v>
      </c>
      <c r="L77" s="18">
        <f>IF(ISNUMBER(J77), $B91 * K77, "")</f>
        <v>3583.6177474402734</v>
      </c>
      <c r="M77" s="31">
        <v>300</v>
      </c>
      <c r="N77" s="32">
        <f t="shared" ref="N77:N80" si="37">IF(ISNUMBER(M77), (M77 - $B77) / $B77, "")</f>
        <v>2.3890784982935155E-2</v>
      </c>
      <c r="O77" s="18">
        <f>IF(ISNUMBER(M77), $B91 * N77, "")</f>
        <v>3583.6177474402734</v>
      </c>
      <c r="Q77" s="146"/>
      <c r="R77" s="146"/>
      <c r="S77" s="146"/>
    </row>
    <row r="78" spans="1:19" ht="17.25" thickBot="1">
      <c r="A78" s="109" t="s">
        <v>51</v>
      </c>
      <c r="B78" s="110">
        <v>116</v>
      </c>
      <c r="C78" s="70">
        <v>-8.5470084999999998E-3</v>
      </c>
      <c r="D78" s="15">
        <v>117</v>
      </c>
      <c r="E78" s="32">
        <f t="shared" si="34"/>
        <v>8.6206896551724137E-3</v>
      </c>
      <c r="F78" s="18">
        <f>IF(ISNUMBER(D78), $B91 * E78, "")</f>
        <v>1293.1034482758621</v>
      </c>
      <c r="G78" s="31">
        <v>118</v>
      </c>
      <c r="H78" s="32">
        <f t="shared" si="35"/>
        <v>1.7241379310344827E-2</v>
      </c>
      <c r="I78" s="91">
        <f>IF(ISNUMBER(G78), $B91 * H78, "")</f>
        <v>2586.2068965517242</v>
      </c>
      <c r="J78" s="15">
        <v>118</v>
      </c>
      <c r="K78" s="32">
        <f t="shared" si="36"/>
        <v>1.7241379310344827E-2</v>
      </c>
      <c r="L78" s="18">
        <f>IF(ISNUMBER(J78), $B91 * K78, "")</f>
        <v>2586.2068965517242</v>
      </c>
      <c r="M78" s="31">
        <v>118</v>
      </c>
      <c r="N78" s="32">
        <f t="shared" si="37"/>
        <v>1.7241379310344827E-2</v>
      </c>
      <c r="O78" s="18">
        <f>IF(ISNUMBER(M78), $B91 * N78, "")</f>
        <v>2586.2068965517242</v>
      </c>
      <c r="Q78" s="146"/>
      <c r="R78" s="146"/>
      <c r="S78" s="146"/>
    </row>
    <row r="79" spans="1:19" ht="17.25" thickBot="1">
      <c r="A79" s="109" t="s">
        <v>326</v>
      </c>
      <c r="B79" s="110">
        <v>317</v>
      </c>
      <c r="C79" s="70">
        <v>-9.3749999999999997E-3</v>
      </c>
      <c r="D79" s="15">
        <v>323</v>
      </c>
      <c r="E79" s="32">
        <f t="shared" si="34"/>
        <v>1.8927444794952682E-2</v>
      </c>
      <c r="F79" s="18">
        <f>IF(ISNUMBER(D79), $B91 * E79, "")</f>
        <v>2839.116719242902</v>
      </c>
      <c r="G79" s="31">
        <v>325</v>
      </c>
      <c r="H79" s="32">
        <f t="shared" si="35"/>
        <v>2.5236593059936908E-2</v>
      </c>
      <c r="I79" s="91">
        <f>IF(ISNUMBER(G79), $B91 * H79, "")</f>
        <v>3785.488958990536</v>
      </c>
      <c r="J79" s="15">
        <v>325</v>
      </c>
      <c r="K79" s="32">
        <f t="shared" si="36"/>
        <v>2.5236593059936908E-2</v>
      </c>
      <c r="L79" s="18">
        <f>IF(ISNUMBER(J79), $B91 * K79, "")</f>
        <v>3785.488958990536</v>
      </c>
      <c r="M79" s="31">
        <v>325</v>
      </c>
      <c r="N79" s="32">
        <f t="shared" si="37"/>
        <v>2.5236593059936908E-2</v>
      </c>
      <c r="O79" s="18">
        <f>IF(ISNUMBER(M79), $B91 * N79, "")</f>
        <v>3785.488958990536</v>
      </c>
      <c r="Q79" s="33"/>
      <c r="R79" s="33"/>
    </row>
    <row r="80" spans="1:19" ht="17.25" thickBot="1">
      <c r="A80" s="114" t="s">
        <v>111</v>
      </c>
      <c r="B80" s="115">
        <v>921</v>
      </c>
      <c r="C80" s="72">
        <v>-1.1802575100000001E-2</v>
      </c>
      <c r="D80" s="24">
        <v>932</v>
      </c>
      <c r="E80" s="25">
        <f t="shared" si="34"/>
        <v>1.1943539630836048E-2</v>
      </c>
      <c r="F80" s="94">
        <f>IF(ISNUMBER(D80), $B91 * E80, "")</f>
        <v>1791.5309446254071</v>
      </c>
      <c r="G80" s="92">
        <v>947</v>
      </c>
      <c r="H80" s="25">
        <f t="shared" si="35"/>
        <v>2.8230184581976112E-2</v>
      </c>
      <c r="I80" s="93">
        <f>IF(ISNUMBER(G80), $B91 * H80, "")</f>
        <v>4234.5276872964168</v>
      </c>
      <c r="J80" s="24">
        <v>947</v>
      </c>
      <c r="K80" s="25">
        <f t="shared" si="36"/>
        <v>2.8230184581976112E-2</v>
      </c>
      <c r="L80" s="94">
        <f>IF(ISNUMBER(J80), $B91 * K80, "")</f>
        <v>4234.5276872964168</v>
      </c>
      <c r="M80" s="92">
        <v>947</v>
      </c>
      <c r="N80" s="25">
        <f t="shared" si="37"/>
        <v>2.8230184581976112E-2</v>
      </c>
      <c r="O80" s="94">
        <f>IF(ISNUMBER(M80), $B91 * N80, "")</f>
        <v>4234.5276872964168</v>
      </c>
      <c r="Q80" s="147"/>
      <c r="R80" s="148"/>
      <c r="S80" s="149"/>
    </row>
    <row r="81" spans="1:19">
      <c r="A81" s="107" t="s">
        <v>345</v>
      </c>
      <c r="B81" s="108">
        <v>222</v>
      </c>
      <c r="C81" s="69">
        <v>-1.33333333E-2</v>
      </c>
      <c r="D81" s="13">
        <v>221</v>
      </c>
      <c r="E81" s="14">
        <f>IF(ISNUMBER(D81), (D81 - $B81) / $B81, "")</f>
        <v>-4.5045045045045045E-3</v>
      </c>
      <c r="F81" s="16">
        <f>IF(ISNUMBER(D81), $B91 * E81, "")</f>
        <v>-675.67567567567562</v>
      </c>
      <c r="G81" s="29">
        <v>220</v>
      </c>
      <c r="H81" s="14">
        <f>IF(ISNUMBER(G81), (G81 - $B81) / $B81, "")</f>
        <v>-9.0090090090090089E-3</v>
      </c>
      <c r="I81" s="90">
        <f>IF(ISNUMBER(G81), $B91 * H81, "")</f>
        <v>-1351.3513513513512</v>
      </c>
      <c r="J81" s="13">
        <v>220</v>
      </c>
      <c r="K81" s="14">
        <f>IF(ISNUMBER(J81), (J81 - $B81) / $B81, "")</f>
        <v>-9.0090090090090089E-3</v>
      </c>
      <c r="L81" s="16">
        <f>IF(ISNUMBER(J81), $B91 * K81, "")</f>
        <v>-1351.3513513513512</v>
      </c>
      <c r="M81" s="29">
        <v>220</v>
      </c>
      <c r="N81" s="14">
        <f>IF(ISNUMBER(M81), (M81 - $B81) / $B81, "")</f>
        <v>-9.0090090090090089E-3</v>
      </c>
      <c r="O81" s="16">
        <f>IF(ISNUMBER(M81), $B91 * N81, "")</f>
        <v>-1351.3513513513512</v>
      </c>
      <c r="Q81" s="150"/>
      <c r="R81" s="151"/>
      <c r="S81" s="152"/>
    </row>
    <row r="82" spans="1:19" ht="17.25" thickBot="1">
      <c r="A82" s="109" t="s">
        <v>85</v>
      </c>
      <c r="B82" s="110">
        <v>173</v>
      </c>
      <c r="C82" s="70">
        <v>-1.7045454500000001E-2</v>
      </c>
      <c r="D82" s="15">
        <v>174</v>
      </c>
      <c r="E82" s="32">
        <f t="shared" ref="E82:E85" si="38">IF(ISNUMBER(D82), (D82 - $B82) / $B82, "")</f>
        <v>5.7803468208092483E-3</v>
      </c>
      <c r="F82" s="18">
        <f>IF(ISNUMBER(D82), $B91 * E82, "")</f>
        <v>867.05202312138726</v>
      </c>
      <c r="G82" s="31">
        <v>173</v>
      </c>
      <c r="H82" s="32">
        <f t="shared" ref="H82:H85" si="39">IF(ISNUMBER(G82), (G82 - $B82) / $B82, "")</f>
        <v>0</v>
      </c>
      <c r="I82" s="91">
        <f>IF(ISNUMBER(G82), $B91 * H82, "")</f>
        <v>0</v>
      </c>
      <c r="J82" s="15">
        <v>173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173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153"/>
      <c r="R82" s="154"/>
      <c r="S82" s="155"/>
    </row>
    <row r="83" spans="1:19" ht="17.25" thickBot="1">
      <c r="A83" s="109" t="s">
        <v>81</v>
      </c>
      <c r="B83" s="110">
        <v>480</v>
      </c>
      <c r="C83" s="70">
        <v>-1.8404908000000001E-2</v>
      </c>
      <c r="D83" s="15">
        <v>485</v>
      </c>
      <c r="E83" s="32">
        <f t="shared" si="38"/>
        <v>1.0416666666666666E-2</v>
      </c>
      <c r="F83" s="18">
        <f>IF(ISNUMBER(D83), $B91 * E83, "")</f>
        <v>1562.5</v>
      </c>
      <c r="G83" s="31">
        <v>488</v>
      </c>
      <c r="H83" s="32">
        <f t="shared" si="39"/>
        <v>1.6666666666666666E-2</v>
      </c>
      <c r="I83" s="91">
        <f>IF(ISNUMBER(G83), $B91 * H83, "")</f>
        <v>2500</v>
      </c>
      <c r="J83" s="15">
        <v>488</v>
      </c>
      <c r="K83" s="32">
        <f t="shared" si="40"/>
        <v>1.6666666666666666E-2</v>
      </c>
      <c r="L83" s="18">
        <f>IF(ISNUMBER(J83), $B91 * K83, "")</f>
        <v>2500</v>
      </c>
      <c r="M83" s="31">
        <v>488</v>
      </c>
      <c r="N83" s="32">
        <f t="shared" si="41"/>
        <v>1.6666666666666666E-2</v>
      </c>
      <c r="O83" s="18">
        <f>IF(ISNUMBER(M83), $B91 * N83, "")</f>
        <v>2500</v>
      </c>
      <c r="Q83" s="146"/>
      <c r="R83" s="146"/>
      <c r="S83" s="146"/>
    </row>
    <row r="84" spans="1:19" ht="17.25" thickBot="1">
      <c r="A84" s="109" t="s">
        <v>317</v>
      </c>
      <c r="B84" s="110">
        <v>639</v>
      </c>
      <c r="C84" s="70">
        <v>-1.84331797E-2</v>
      </c>
      <c r="D84" s="15">
        <v>639</v>
      </c>
      <c r="E84" s="32">
        <f t="shared" si="38"/>
        <v>0</v>
      </c>
      <c r="F84" s="18">
        <f>IF(ISNUMBER(D84), $B91 * E84, "")</f>
        <v>0</v>
      </c>
      <c r="G84" s="31">
        <v>641</v>
      </c>
      <c r="H84" s="32">
        <f t="shared" si="39"/>
        <v>3.1298904538341159E-3</v>
      </c>
      <c r="I84" s="91">
        <f>IF(ISNUMBER(G84), $B91 * H84, "")</f>
        <v>469.48356807511738</v>
      </c>
      <c r="J84" s="15">
        <v>641</v>
      </c>
      <c r="K84" s="32">
        <f t="shared" si="40"/>
        <v>3.1298904538341159E-3</v>
      </c>
      <c r="L84" s="18">
        <f>IF(ISNUMBER(J84), $B91 * K84, "")</f>
        <v>469.48356807511738</v>
      </c>
      <c r="M84" s="31">
        <v>641</v>
      </c>
      <c r="N84" s="32">
        <f t="shared" si="41"/>
        <v>3.1298904538341159E-3</v>
      </c>
      <c r="O84" s="18">
        <f>IF(ISNUMBER(M84), $B91 * N84, "")</f>
        <v>469.48356807511738</v>
      </c>
      <c r="Q84" s="156"/>
      <c r="R84" s="156"/>
      <c r="S84" s="156"/>
    </row>
    <row r="85" spans="1:19" ht="17.25" thickBot="1">
      <c r="A85" s="111" t="s">
        <v>324</v>
      </c>
      <c r="B85" s="112">
        <v>101</v>
      </c>
      <c r="C85" s="71">
        <v>-1.9417475699999999E-2</v>
      </c>
      <c r="D85" s="20">
        <v>102</v>
      </c>
      <c r="E85" s="21">
        <f t="shared" si="38"/>
        <v>9.9009900990099011E-3</v>
      </c>
      <c r="F85" s="22">
        <f>IF(ISNUMBER(D85), $B91 * E85, "")</f>
        <v>1485.1485148514851</v>
      </c>
      <c r="G85" s="30">
        <v>102</v>
      </c>
      <c r="H85" s="21">
        <f t="shared" si="39"/>
        <v>9.9009900990099011E-3</v>
      </c>
      <c r="I85" s="95">
        <f>IF(ISNUMBER(G85), $B91 * H85, "")</f>
        <v>1485.1485148514851</v>
      </c>
      <c r="J85" s="20">
        <v>102</v>
      </c>
      <c r="K85" s="21">
        <f t="shared" si="40"/>
        <v>9.9009900990099011E-3</v>
      </c>
      <c r="L85" s="22">
        <f>IF(ISNUMBER(J85), $B91 * K85, "")</f>
        <v>1485.1485148514851</v>
      </c>
      <c r="M85" s="30">
        <v>102</v>
      </c>
      <c r="N85" s="21">
        <f t="shared" si="41"/>
        <v>9.9009900990099011E-3</v>
      </c>
      <c r="O85" s="22">
        <f>IF(ISNUMBER(M85), $B91 * N85, "")</f>
        <v>1485.1485148514851</v>
      </c>
      <c r="Q85" s="156"/>
      <c r="R85" s="156"/>
      <c r="S85" s="156"/>
    </row>
    <row r="86" spans="1:19" ht="17.25" thickBot="1">
      <c r="A86" s="109" t="s">
        <v>68</v>
      </c>
      <c r="B86" s="113">
        <v>665</v>
      </c>
      <c r="C86" s="73">
        <v>-2.2058823500000001E-2</v>
      </c>
      <c r="D86" s="96">
        <v>670</v>
      </c>
      <c r="E86" s="97">
        <f>IF(ISNUMBER(D86), (D86 - $B86) / $B86, "")</f>
        <v>7.5187969924812026E-3</v>
      </c>
      <c r="F86" s="98">
        <f>IF(ISNUMBER(D86), $B91 * E86, "")</f>
        <v>1127.8195488721803</v>
      </c>
      <c r="G86" s="99">
        <v>675</v>
      </c>
      <c r="H86" s="97">
        <f>IF(ISNUMBER(G86), (G86 - $B86) / $B86, "")</f>
        <v>1.5037593984962405E-2</v>
      </c>
      <c r="I86" s="100">
        <f>IF(ISNUMBER(G86), $B91 * H86, "")</f>
        <v>2255.6390977443607</v>
      </c>
      <c r="J86" s="96">
        <v>675</v>
      </c>
      <c r="K86" s="97">
        <f>IF(ISNUMBER(J86), (J86 - $B86) / $B86, "")</f>
        <v>1.5037593984962405E-2</v>
      </c>
      <c r="L86" s="98">
        <f>IF(ISNUMBER(J86), $B91 * K86, "")</f>
        <v>2255.6390977443607</v>
      </c>
      <c r="M86" s="99">
        <v>675</v>
      </c>
      <c r="N86" s="97">
        <f>IF(ISNUMBER(M86), (M86 - $B86) / $B86, "")</f>
        <v>1.5037593984962405E-2</v>
      </c>
      <c r="O86" s="98">
        <f>IF(ISNUMBER(M86), $B91 * N86, "")</f>
        <v>2255.6390977443607</v>
      </c>
      <c r="Q86" s="146"/>
      <c r="R86" s="146"/>
      <c r="S86" s="146"/>
    </row>
    <row r="87" spans="1:19" ht="17.25" thickBot="1">
      <c r="A87" s="109" t="s">
        <v>229</v>
      </c>
      <c r="B87" s="110">
        <v>304</v>
      </c>
      <c r="C87" s="70">
        <v>-2.2508038599999999E-2</v>
      </c>
      <c r="D87" s="15">
        <v>309</v>
      </c>
      <c r="E87" s="32">
        <f t="shared" ref="E87:E90" si="42">IF(ISNUMBER(D87), (D87 - $B87) / $B87, "")</f>
        <v>1.6447368421052631E-2</v>
      </c>
      <c r="F87" s="18">
        <f>IF(ISNUMBER(D87), $B91 * E87, "")</f>
        <v>2467.1052631578946</v>
      </c>
      <c r="G87" s="31">
        <v>308</v>
      </c>
      <c r="H87" s="32">
        <f t="shared" ref="H87:H90" si="43">IF(ISNUMBER(G87), (G87 - $B87) / $B87, "")</f>
        <v>1.3157894736842105E-2</v>
      </c>
      <c r="I87" s="91">
        <f>IF(ISNUMBER(G87), $B91 * H87, "")</f>
        <v>1973.6842105263156</v>
      </c>
      <c r="J87" s="15">
        <v>308</v>
      </c>
      <c r="K87" s="32">
        <f t="shared" ref="K87:K90" si="44">IF(ISNUMBER(J87), (J87 - $B87) / $B87, "")</f>
        <v>1.3157894736842105E-2</v>
      </c>
      <c r="L87" s="18">
        <f>IF(ISNUMBER(J87), $B91 * K87, "")</f>
        <v>1973.6842105263156</v>
      </c>
      <c r="M87" s="31">
        <v>308</v>
      </c>
      <c r="N87" s="32">
        <f t="shared" ref="N87:N90" si="45">IF(ISNUMBER(M87), (M87 - $B87) / $B87, "")</f>
        <v>1.3157894736842105E-2</v>
      </c>
      <c r="O87" s="18">
        <f>IF(ISNUMBER(M87), $B91 * N87, "")</f>
        <v>1973.6842105263156</v>
      </c>
      <c r="Q87" s="146"/>
      <c r="R87" s="146"/>
      <c r="S87" s="146"/>
    </row>
    <row r="88" spans="1:19" ht="17.25" thickBot="1">
      <c r="A88" s="109" t="s">
        <v>199</v>
      </c>
      <c r="B88" s="110">
        <v>364</v>
      </c>
      <c r="C88" s="70">
        <v>-2.67379679E-2</v>
      </c>
      <c r="D88" s="15">
        <v>372</v>
      </c>
      <c r="E88" s="32">
        <f t="shared" si="42"/>
        <v>2.197802197802198E-2</v>
      </c>
      <c r="F88" s="18">
        <f>IF(ISNUMBER(D88), $B91 * E88, "")</f>
        <v>3296.7032967032969</v>
      </c>
      <c r="G88" s="31">
        <v>368</v>
      </c>
      <c r="H88" s="32">
        <f t="shared" si="43"/>
        <v>1.098901098901099E-2</v>
      </c>
      <c r="I88" s="91">
        <f>IF(ISNUMBER(G88), $B91 * H88, "")</f>
        <v>1648.3516483516485</v>
      </c>
      <c r="J88" s="15">
        <v>368</v>
      </c>
      <c r="K88" s="32">
        <f t="shared" si="44"/>
        <v>1.098901098901099E-2</v>
      </c>
      <c r="L88" s="18">
        <f>IF(ISNUMBER(J88), $B91 * K88, "")</f>
        <v>1648.3516483516485</v>
      </c>
      <c r="M88" s="31">
        <v>368</v>
      </c>
      <c r="N88" s="32">
        <f t="shared" si="45"/>
        <v>1.098901098901099E-2</v>
      </c>
      <c r="O88" s="18">
        <f>IF(ISNUMBER(M88), $B91 * N88, "")</f>
        <v>1648.3516483516485</v>
      </c>
      <c r="Q88" s="146"/>
      <c r="R88" s="146"/>
      <c r="S88" s="146"/>
    </row>
    <row r="89" spans="1:19">
      <c r="A89" s="109" t="s">
        <v>161</v>
      </c>
      <c r="B89" s="110">
        <v>361</v>
      </c>
      <c r="C89" s="70">
        <v>-2.6954177900000001E-2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363</v>
      </c>
      <c r="H89" s="32">
        <f t="shared" si="43"/>
        <v>5.5401662049861496E-3</v>
      </c>
      <c r="I89" s="91">
        <f>IF(ISNUMBER(G89), $B91 * H89, "")</f>
        <v>831.02493074792244</v>
      </c>
      <c r="J89" s="15">
        <v>363</v>
      </c>
      <c r="K89" s="32">
        <f t="shared" si="44"/>
        <v>5.5401662049861496E-3</v>
      </c>
      <c r="L89" s="18">
        <f>IF(ISNUMBER(J89), $B91 * K89, "")</f>
        <v>831.02493074792244</v>
      </c>
      <c r="M89" s="31">
        <v>363</v>
      </c>
      <c r="N89" s="32">
        <f t="shared" si="45"/>
        <v>5.5401662049861496E-3</v>
      </c>
      <c r="O89" s="18">
        <f>IF(ISNUMBER(M89), $B91 * N89, "")</f>
        <v>831.02493074792244</v>
      </c>
      <c r="Q89" s="135"/>
      <c r="R89" s="136"/>
      <c r="S89" s="137"/>
    </row>
    <row r="90" spans="1:19" ht="17.25" thickBot="1">
      <c r="A90" s="114" t="s">
        <v>213</v>
      </c>
      <c r="B90" s="115">
        <v>564</v>
      </c>
      <c r="C90" s="72">
        <v>-2.75862069E-2</v>
      </c>
      <c r="D90" s="24">
        <v>600</v>
      </c>
      <c r="E90" s="25">
        <f t="shared" si="42"/>
        <v>6.3829787234042548E-2</v>
      </c>
      <c r="F90" s="94">
        <f>IF(ISNUMBER(D90), $B91 * E90, "")</f>
        <v>9574.4680851063822</v>
      </c>
      <c r="G90" s="92">
        <v>608</v>
      </c>
      <c r="H90" s="25">
        <f t="shared" si="43"/>
        <v>7.8014184397163122E-2</v>
      </c>
      <c r="I90" s="93">
        <f>IF(ISNUMBER(G90), $B91 * H90, "")</f>
        <v>11702.127659574468</v>
      </c>
      <c r="J90" s="24">
        <v>608</v>
      </c>
      <c r="K90" s="25">
        <f t="shared" si="44"/>
        <v>7.8014184397163122E-2</v>
      </c>
      <c r="L90" s="94">
        <f>IF(ISNUMBER(J90), $B91 * K90, "")</f>
        <v>11702.127659574468</v>
      </c>
      <c r="M90" s="92">
        <v>608</v>
      </c>
      <c r="N90" s="25">
        <f t="shared" si="45"/>
        <v>7.8014184397163122E-2</v>
      </c>
      <c r="O90" s="94">
        <f>IF(ISNUMBER(M90), $B91 * N90, "")</f>
        <v>11702.127659574468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1.2094774856231038E-2</v>
      </c>
      <c r="F91" s="28">
        <f>SUM(F71:F90)</f>
        <v>36284.324568693104</v>
      </c>
      <c r="G91" s="26" t="s">
        <v>258</v>
      </c>
      <c r="H91" s="27">
        <f>IF(COUNT(H71:H90), SUM(H71:H90) / COUNT(H71:H90), 0)</f>
        <v>1.4259752171435431E-2</v>
      </c>
      <c r="I91" s="28">
        <f>SUM(I71:I90)</f>
        <v>42779.256514306289</v>
      </c>
      <c r="J91" s="26" t="s">
        <v>258</v>
      </c>
      <c r="K91" s="27">
        <f>IF(COUNT(K71:K90), SUM(K71:K90) / COUNT(K71:K90), 0)</f>
        <v>1.4259752171435431E-2</v>
      </c>
      <c r="L91" s="28">
        <f>SUM(L71:L90)</f>
        <v>42779.256514306289</v>
      </c>
      <c r="M91" s="26" t="s">
        <v>258</v>
      </c>
      <c r="N91" s="27">
        <f>IF(COUNT(N71:N90), SUM(N71:N90) / COUNT(N71:N90), 0)</f>
        <v>1.4259752171435431E-2</v>
      </c>
      <c r="O91" s="28">
        <f>SUM(O71:O90)</f>
        <v>42779.256514306289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2023-01-29(일) 오전 00:00</v>
      </c>
      <c r="C96" s="198"/>
      <c r="D96" s="170" t="str">
        <f>TEXT($G$1, "[$-ko-KR]yyyy-mm-dd(ddd) ") &amp; "오후 14:00"</f>
        <v>2023-01-29(일) 오후 14:00</v>
      </c>
      <c r="E96" s="171"/>
      <c r="F96" s="172"/>
      <c r="G96" s="170" t="str">
        <f>TEXT($G$1, "[$-ko-KR]yyyy-mm-dd(ddd) ") &amp; "오후 19:00"</f>
        <v>2023-01-29(일) 오후 19:00</v>
      </c>
      <c r="H96" s="171"/>
      <c r="I96" s="172"/>
      <c r="J96" s="170" t="str">
        <f>TEXT($G$1, "[$-ko-KR]yyyy-mm-dd(ddd) ") &amp; "오후 21:00"</f>
        <v>2023-01-29(일) 오후 21:00</v>
      </c>
      <c r="K96" s="171"/>
      <c r="L96" s="172"/>
      <c r="M96" s="170" t="str">
        <f>TEXT($G$1+1, "[$-ko-KR]yyyy-mm-dd(ddd) ") &amp; "오전 00:00"</f>
        <v>2023-01-30(월)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151</v>
      </c>
      <c r="B98" s="108">
        <v>3635</v>
      </c>
      <c r="C98" s="69">
        <v>7.7037037000000003E-2</v>
      </c>
      <c r="D98" s="13">
        <v>3540</v>
      </c>
      <c r="E98" s="14">
        <f>IF(ISNUMBER(D98), (D98 - $B98) / $B98, "")</f>
        <v>-2.6134800550206328E-2</v>
      </c>
      <c r="F98" s="16">
        <f>IF(ISNUMBER(D98), $B118 * E98, "")</f>
        <v>-3920.2200825309492</v>
      </c>
      <c r="G98" s="29">
        <v>3520</v>
      </c>
      <c r="H98" s="14">
        <f>IF(ISNUMBER(G98), (G98 - $B98) / $B98, "")</f>
        <v>-3.1636863823933978E-2</v>
      </c>
      <c r="I98" s="90">
        <f>IF(ISNUMBER(G98), $B118 * H98, "")</f>
        <v>-4745.5295735900963</v>
      </c>
      <c r="J98" s="13">
        <v>3520</v>
      </c>
      <c r="K98" s="14">
        <f>IF(ISNUMBER(J98), (J98 - $B98) / $B98, "")</f>
        <v>-3.1636863823933978E-2</v>
      </c>
      <c r="L98" s="16">
        <f>IF(ISNUMBER(J98), $B118 * K98, "")</f>
        <v>-4745.5295735900963</v>
      </c>
      <c r="M98" s="29">
        <v>3520</v>
      </c>
      <c r="N98" s="14">
        <f>IF(ISNUMBER(M98), (M98 - $B98) / $B98, "")</f>
        <v>-3.1636863823933978E-2</v>
      </c>
      <c r="O98" s="16">
        <f>IF(ISNUMBER(M98), $B118 * N98, "")</f>
        <v>-4745.5295735900963</v>
      </c>
      <c r="Q98" s="156"/>
      <c r="R98" s="156"/>
      <c r="S98" s="156"/>
    </row>
    <row r="99" spans="1:19" ht="17.25" thickBot="1">
      <c r="A99" s="109" t="s">
        <v>149</v>
      </c>
      <c r="B99" s="110">
        <v>565</v>
      </c>
      <c r="C99" s="70">
        <v>6.0037523500000002E-2</v>
      </c>
      <c r="D99" s="15">
        <v>575</v>
      </c>
      <c r="E99" s="32">
        <f t="shared" ref="E99:E102" si="46">IF(ISNUMBER(D99), (D99 - $B99) / $B99, "")</f>
        <v>1.7699115044247787E-2</v>
      </c>
      <c r="F99" s="18">
        <f>IF(ISNUMBER(D99), $B118 * E99, "")</f>
        <v>2654.8672566371679</v>
      </c>
      <c r="G99" s="31">
        <v>572</v>
      </c>
      <c r="H99" s="32">
        <f t="shared" ref="H99:H102" si="47">IF(ISNUMBER(G99), (G99 - $B99) / $B99, "")</f>
        <v>1.2389380530973451E-2</v>
      </c>
      <c r="I99" s="91">
        <f>IF(ISNUMBER(G99), $B118 * H99, "")</f>
        <v>1858.4070796460176</v>
      </c>
      <c r="J99" s="15">
        <v>572</v>
      </c>
      <c r="K99" s="32">
        <f t="shared" ref="K99:K102" si="48">IF(ISNUMBER(J99), (J99 - $B99) / $B99, "")</f>
        <v>1.2389380530973451E-2</v>
      </c>
      <c r="L99" s="18">
        <f>IF(ISNUMBER(J99), $B118 * K99, "")</f>
        <v>1858.4070796460176</v>
      </c>
      <c r="M99" s="31">
        <v>572</v>
      </c>
      <c r="N99" s="32">
        <f t="shared" ref="N99:N102" si="49">IF(ISNUMBER(M99), (M99 - $B99) / $B99, "")</f>
        <v>1.2389380530973451E-2</v>
      </c>
      <c r="O99" s="18">
        <f>IF(ISNUMBER(M99), $B118 * N99, "")</f>
        <v>1858.4070796460176</v>
      </c>
      <c r="Q99" s="156"/>
      <c r="R99" s="156"/>
      <c r="S99" s="156"/>
    </row>
    <row r="100" spans="1:19" ht="17.25" thickBot="1">
      <c r="A100" s="109" t="s">
        <v>157</v>
      </c>
      <c r="B100" s="110">
        <v>242</v>
      </c>
      <c r="C100" s="70">
        <v>3.8626609399999998E-2</v>
      </c>
      <c r="D100" s="15">
        <v>236</v>
      </c>
      <c r="E100" s="32">
        <f t="shared" si="46"/>
        <v>-2.4793388429752067E-2</v>
      </c>
      <c r="F100" s="18">
        <f>IF(ISNUMBER(D100), $B118 * E100, "")</f>
        <v>-3719.0082644628101</v>
      </c>
      <c r="G100" s="31">
        <v>234</v>
      </c>
      <c r="H100" s="32">
        <f t="shared" si="47"/>
        <v>-3.3057851239669422E-2</v>
      </c>
      <c r="I100" s="91">
        <f>IF(ISNUMBER(G100), $B118 * H100, "")</f>
        <v>-4958.6776859504134</v>
      </c>
      <c r="J100" s="15">
        <v>234</v>
      </c>
      <c r="K100" s="32">
        <f t="shared" si="48"/>
        <v>-3.3057851239669422E-2</v>
      </c>
      <c r="L100" s="18">
        <f>IF(ISNUMBER(J100), $B118 * K100, "")</f>
        <v>-4958.6776859504134</v>
      </c>
      <c r="M100" s="31">
        <v>234</v>
      </c>
      <c r="N100" s="32">
        <f t="shared" si="49"/>
        <v>-3.3057851239669422E-2</v>
      </c>
      <c r="O100" s="18">
        <f>IF(ISNUMBER(M100), $B118 * N100, "")</f>
        <v>-4958.6776859504134</v>
      </c>
      <c r="Q100" s="146"/>
      <c r="R100" s="146"/>
      <c r="S100" s="146"/>
    </row>
    <row r="101" spans="1:19" ht="17.25" thickBot="1">
      <c r="A101" s="109" t="s">
        <v>113</v>
      </c>
      <c r="B101" s="110">
        <v>2165</v>
      </c>
      <c r="C101" s="70">
        <v>3.5885167500000002E-2</v>
      </c>
      <c r="D101" s="15">
        <v>2230</v>
      </c>
      <c r="E101" s="32">
        <f t="shared" si="46"/>
        <v>3.0023094688221709E-2</v>
      </c>
      <c r="F101" s="18">
        <f>IF(ISNUMBER(D101), $B118 * E101, "")</f>
        <v>4503.4642032332567</v>
      </c>
      <c r="G101" s="31">
        <v>2210</v>
      </c>
      <c r="H101" s="32">
        <f t="shared" si="47"/>
        <v>2.0785219399538105E-2</v>
      </c>
      <c r="I101" s="91">
        <f>IF(ISNUMBER(G101), $B118 * H101, "")</f>
        <v>3117.7829099307155</v>
      </c>
      <c r="J101" s="15">
        <v>2210</v>
      </c>
      <c r="K101" s="32">
        <f t="shared" si="48"/>
        <v>2.0785219399538105E-2</v>
      </c>
      <c r="L101" s="18">
        <f>IF(ISNUMBER(J101), $B118 * K101, "")</f>
        <v>3117.7829099307155</v>
      </c>
      <c r="M101" s="31">
        <v>2210</v>
      </c>
      <c r="N101" s="32">
        <f t="shared" si="49"/>
        <v>2.0785219399538105E-2</v>
      </c>
      <c r="O101" s="18">
        <f>IF(ISNUMBER(M101), $B118 * N101, "")</f>
        <v>3117.7829099307155</v>
      </c>
      <c r="Q101" s="146"/>
      <c r="R101" s="146"/>
      <c r="S101" s="146"/>
    </row>
    <row r="102" spans="1:19" ht="17.25" thickBot="1">
      <c r="A102" s="111" t="s">
        <v>60</v>
      </c>
      <c r="B102" s="112">
        <v>873</v>
      </c>
      <c r="C102" s="71">
        <v>2.2248243599999998E-2</v>
      </c>
      <c r="D102" s="20">
        <v>890</v>
      </c>
      <c r="E102" s="21">
        <f t="shared" si="46"/>
        <v>1.9473081328751432E-2</v>
      </c>
      <c r="F102" s="22">
        <f>IF(ISNUMBER(D102), $B118 * E102, "")</f>
        <v>2920.9621993127148</v>
      </c>
      <c r="G102" s="30">
        <v>920</v>
      </c>
      <c r="H102" s="21">
        <f t="shared" si="47"/>
        <v>5.3837342497136315E-2</v>
      </c>
      <c r="I102" s="95">
        <f>IF(ISNUMBER(G102), $B118 * H102, "")</f>
        <v>8075.6013745704468</v>
      </c>
      <c r="J102" s="20">
        <v>920</v>
      </c>
      <c r="K102" s="21">
        <f t="shared" si="48"/>
        <v>5.3837342497136315E-2</v>
      </c>
      <c r="L102" s="22">
        <f>IF(ISNUMBER(J102), $B118 * K102, "")</f>
        <v>8075.6013745704468</v>
      </c>
      <c r="M102" s="30">
        <v>920</v>
      </c>
      <c r="N102" s="21">
        <f t="shared" si="49"/>
        <v>5.3837342497136315E-2</v>
      </c>
      <c r="O102" s="22">
        <f>IF(ISNUMBER(M102), $B118 * N102, "")</f>
        <v>8075.6013745704468</v>
      </c>
      <c r="Q102" s="146"/>
      <c r="R102" s="146"/>
      <c r="S102" s="146"/>
    </row>
    <row r="103" spans="1:19" ht="17.25" thickBot="1">
      <c r="A103" s="109" t="s">
        <v>132</v>
      </c>
      <c r="B103" s="113">
        <v>72.400000000000006</v>
      </c>
      <c r="C103" s="73">
        <v>1.9718309900000001E-2</v>
      </c>
      <c r="D103" s="96">
        <v>70.7</v>
      </c>
      <c r="E103" s="97">
        <f>IF(ISNUMBER(D103), (D103 - $B103) / $B103, "")</f>
        <v>-2.3480662983425452E-2</v>
      </c>
      <c r="F103" s="98">
        <f>IF(ISNUMBER(D103), $B118 * E103, "")</f>
        <v>-3522.0994475138177</v>
      </c>
      <c r="G103" s="99">
        <v>70.599999999999994</v>
      </c>
      <c r="H103" s="97">
        <f>IF(ISNUMBER(G103), (G103 - $B103) / $B103, "")</f>
        <v>-2.4861878453038829E-2</v>
      </c>
      <c r="I103" s="100">
        <f>IF(ISNUMBER(G103), $B118 * H103, "")</f>
        <v>-3729.2817679558243</v>
      </c>
      <c r="J103" s="96">
        <v>70.599999999999994</v>
      </c>
      <c r="K103" s="97">
        <f>IF(ISNUMBER(J103), (J103 - $B103) / $B103, "")</f>
        <v>-2.4861878453038829E-2</v>
      </c>
      <c r="L103" s="98">
        <f>IF(ISNUMBER(J103), $B118 * K103, "")</f>
        <v>-3729.2817679558243</v>
      </c>
      <c r="M103" s="99">
        <v>70.599999999999994</v>
      </c>
      <c r="N103" s="97">
        <f>IF(ISNUMBER(M103), (M103 - $B103) / $B103, "")</f>
        <v>-2.4861878453038829E-2</v>
      </c>
      <c r="O103" s="98">
        <f>IF(ISNUMBER(M103), $B118 * N103, "")</f>
        <v>-3729.2817679558243</v>
      </c>
      <c r="Q103" s="146"/>
      <c r="R103" s="146"/>
      <c r="S103" s="146"/>
    </row>
    <row r="104" spans="1:19" ht="17.25" thickBot="1">
      <c r="A104" s="109" t="s">
        <v>253</v>
      </c>
      <c r="B104" s="110">
        <v>111</v>
      </c>
      <c r="C104" s="70">
        <v>1.83486239E-2</v>
      </c>
      <c r="D104" s="15">
        <v>112</v>
      </c>
      <c r="E104" s="32">
        <f t="shared" ref="E104:E107" si="50">IF(ISNUMBER(D104), (D104 - $B104) / $B104, "")</f>
        <v>9.0090090090090089E-3</v>
      </c>
      <c r="F104" s="18">
        <f>IF(ISNUMBER(D104), $B118 * E104, "")</f>
        <v>1351.3513513513512</v>
      </c>
      <c r="G104" s="31">
        <v>111</v>
      </c>
      <c r="H104" s="32">
        <f t="shared" ref="H104:H107" si="51">IF(ISNUMBER(G104), (G104 - $B104) / $B104, "")</f>
        <v>0</v>
      </c>
      <c r="I104" s="91">
        <f>IF(ISNUMBER(G104), $B118 * H104, "")</f>
        <v>0</v>
      </c>
      <c r="J104" s="15">
        <v>111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46"/>
      <c r="R104" s="146"/>
      <c r="S104" s="146"/>
    </row>
    <row r="105" spans="1:19" ht="17.25" thickBot="1">
      <c r="A105" s="109" t="s">
        <v>352</v>
      </c>
      <c r="B105" s="110">
        <v>1.49E-2</v>
      </c>
      <c r="C105" s="70">
        <v>1.36054422E-2</v>
      </c>
      <c r="D105" s="15">
        <v>1.4999999999999999E-2</v>
      </c>
      <c r="E105" s="32">
        <f t="shared" si="50"/>
        <v>6.7114093959731135E-3</v>
      </c>
      <c r="F105" s="18">
        <f>IF(ISNUMBER(D105), $B118 * E105, "")</f>
        <v>1006.7114093959671</v>
      </c>
      <c r="G105" s="31">
        <v>1.4999999999999999E-2</v>
      </c>
      <c r="H105" s="32">
        <f t="shared" si="51"/>
        <v>6.7114093959731135E-3</v>
      </c>
      <c r="I105" s="91">
        <f>IF(ISNUMBER(G105), $B118 * H105, "")</f>
        <v>1006.7114093959671</v>
      </c>
      <c r="J105" s="15">
        <v>1.4999999999999999E-2</v>
      </c>
      <c r="K105" s="32">
        <f t="shared" si="52"/>
        <v>6.7114093959731135E-3</v>
      </c>
      <c r="L105" s="18">
        <f>IF(ISNUMBER(J105), $B118 * K105, "")</f>
        <v>1006.7114093959671</v>
      </c>
      <c r="M105" s="31">
        <v>1.4999999999999999E-2</v>
      </c>
      <c r="N105" s="32">
        <f t="shared" si="53"/>
        <v>6.7114093959731135E-3</v>
      </c>
      <c r="O105" s="18">
        <f>IF(ISNUMBER(M105), $B118 * N105, "")</f>
        <v>1006.7114093959671</v>
      </c>
      <c r="Q105" s="146"/>
      <c r="R105" s="146"/>
      <c r="S105" s="146"/>
    </row>
    <row r="106" spans="1:19" ht="17.25" thickBot="1">
      <c r="A106" s="109" t="s">
        <v>217</v>
      </c>
      <c r="B106" s="110">
        <v>90.1</v>
      </c>
      <c r="C106" s="70">
        <v>5.5803570999999998E-3</v>
      </c>
      <c r="D106" s="15">
        <v>89.6</v>
      </c>
      <c r="E106" s="32">
        <f t="shared" si="50"/>
        <v>-5.5493895671476145E-3</v>
      </c>
      <c r="F106" s="18">
        <f>IF(ISNUMBER(D106), $B118 * E106, "")</f>
        <v>-832.4084350721422</v>
      </c>
      <c r="G106" s="31">
        <v>89.4</v>
      </c>
      <c r="H106" s="32">
        <f t="shared" si="51"/>
        <v>-7.7691453940065339E-3</v>
      </c>
      <c r="I106" s="91">
        <f>IF(ISNUMBER(G106), $B118 * H106, "")</f>
        <v>-1165.37180910098</v>
      </c>
      <c r="J106" s="15">
        <v>89.4</v>
      </c>
      <c r="K106" s="32">
        <f t="shared" si="52"/>
        <v>-7.7691453940065339E-3</v>
      </c>
      <c r="L106" s="18">
        <f>IF(ISNUMBER(J106), $B118 * K106, "")</f>
        <v>-1165.37180910098</v>
      </c>
      <c r="M106" s="31">
        <v>89.4</v>
      </c>
      <c r="N106" s="32">
        <f t="shared" si="53"/>
        <v>-7.7691453940065339E-3</v>
      </c>
      <c r="O106" s="18">
        <f>IF(ISNUMBER(M106), $B118 * N106, "")</f>
        <v>-1165.37180910098</v>
      </c>
      <c r="Q106" s="33"/>
      <c r="R106" s="33"/>
    </row>
    <row r="107" spans="1:19" ht="17.25" thickBot="1">
      <c r="A107" s="114" t="s">
        <v>49</v>
      </c>
      <c r="B107" s="115">
        <v>28983000</v>
      </c>
      <c r="C107" s="72">
        <v>1.1398964E-3</v>
      </c>
      <c r="D107" s="24">
        <v>29220000</v>
      </c>
      <c r="E107" s="25">
        <f t="shared" si="50"/>
        <v>8.1772073284339091E-3</v>
      </c>
      <c r="F107" s="94">
        <f>IF(ISNUMBER(D107), $B118 * E107, "")</f>
        <v>1226.5810992650863</v>
      </c>
      <c r="G107" s="92">
        <v>29269000</v>
      </c>
      <c r="H107" s="25">
        <f t="shared" si="51"/>
        <v>9.8678535693337479E-3</v>
      </c>
      <c r="I107" s="93">
        <f>IF(ISNUMBER(G107), $B118 * H107, "")</f>
        <v>1480.1780354000621</v>
      </c>
      <c r="J107" s="24">
        <v>29269000</v>
      </c>
      <c r="K107" s="25">
        <f t="shared" si="52"/>
        <v>9.8678535693337479E-3</v>
      </c>
      <c r="L107" s="94">
        <f>IF(ISNUMBER(J107), $B118 * K107, "")</f>
        <v>1480.1780354000621</v>
      </c>
      <c r="M107" s="92">
        <v>29269000</v>
      </c>
      <c r="N107" s="25">
        <f t="shared" si="53"/>
        <v>9.8678535693337479E-3</v>
      </c>
      <c r="O107" s="94">
        <f>IF(ISNUMBER(M107), $B118 * N107, "")</f>
        <v>1480.1780354000621</v>
      </c>
      <c r="Q107" s="147"/>
      <c r="R107" s="148"/>
      <c r="S107" s="149"/>
    </row>
    <row r="108" spans="1:19">
      <c r="A108" s="107" t="s">
        <v>159</v>
      </c>
      <c r="B108" s="108">
        <v>245</v>
      </c>
      <c r="C108" s="69">
        <v>0</v>
      </c>
      <c r="D108" s="13">
        <v>249</v>
      </c>
      <c r="E108" s="14">
        <f>IF(ISNUMBER(D108), (D108 - $B108) / $B108, "")</f>
        <v>1.6326530612244899E-2</v>
      </c>
      <c r="F108" s="16">
        <f>IF(ISNUMBER(D108), $B118 * E108, "")</f>
        <v>2448.9795918367349</v>
      </c>
      <c r="G108" s="29">
        <v>247</v>
      </c>
      <c r="H108" s="14">
        <f>IF(ISNUMBER(G108), (G108 - $B108) / $B108, "")</f>
        <v>8.1632653061224497E-3</v>
      </c>
      <c r="I108" s="90">
        <f>IF(ISNUMBER(G108), $B118 * H108, "")</f>
        <v>1224.4897959183675</v>
      </c>
      <c r="J108" s="13">
        <v>247</v>
      </c>
      <c r="K108" s="14">
        <f>IF(ISNUMBER(J108), (J108 - $B108) / $B108, "")</f>
        <v>8.1632653061224497E-3</v>
      </c>
      <c r="L108" s="16">
        <f>IF(ISNUMBER(J108), $B118 * K108, "")</f>
        <v>1224.4897959183675</v>
      </c>
      <c r="M108" s="29">
        <v>247</v>
      </c>
      <c r="N108" s="14">
        <f>IF(ISNUMBER(M108), (M108 - $B108) / $B108, "")</f>
        <v>8.1632653061224497E-3</v>
      </c>
      <c r="O108" s="16">
        <f>IF(ISNUMBER(M108), $B118 * N108, "")</f>
        <v>1224.4897959183675</v>
      </c>
      <c r="Q108" s="150"/>
      <c r="R108" s="151"/>
      <c r="S108" s="152"/>
    </row>
    <row r="109" spans="1:19" ht="17.25" thickBot="1">
      <c r="A109" s="109" t="s">
        <v>97</v>
      </c>
      <c r="B109" s="110">
        <v>1E-3</v>
      </c>
      <c r="C109" s="70">
        <v>0</v>
      </c>
      <c r="D109" s="15">
        <v>1E-3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8.9999999999999998E-4</v>
      </c>
      <c r="H109" s="32">
        <f t="shared" ref="H109:H112" si="55">IF(ISNUMBER(G109), (G109 - $B109) / $B109, "")</f>
        <v>-0.10000000000000005</v>
      </c>
      <c r="I109" s="91">
        <f>IF(ISNUMBER(G109), $B118 * H109, "")</f>
        <v>-15000.000000000007</v>
      </c>
      <c r="J109" s="15">
        <v>8.9999999999999998E-4</v>
      </c>
      <c r="K109" s="32">
        <f t="shared" ref="K109:K112" si="56">IF(ISNUMBER(J109), (J109 - $B109) / $B109, "")</f>
        <v>-0.10000000000000005</v>
      </c>
      <c r="L109" s="18">
        <f>IF(ISNUMBER(J109), $B118 * K109, "")</f>
        <v>-15000.000000000007</v>
      </c>
      <c r="M109" s="31">
        <v>8.9999999999999998E-4</v>
      </c>
      <c r="N109" s="32">
        <f t="shared" ref="N109:N112" si="57">IF(ISNUMBER(M109), (M109 - $B109) / $B109, "")</f>
        <v>-0.10000000000000005</v>
      </c>
      <c r="O109" s="18">
        <f>IF(ISNUMBER(M109), $B118 * N109, "")</f>
        <v>-15000.000000000007</v>
      </c>
      <c r="Q109" s="153"/>
      <c r="R109" s="154"/>
      <c r="S109" s="155"/>
    </row>
    <row r="110" spans="1:19" ht="17.25" thickBot="1">
      <c r="A110" s="109" t="s">
        <v>126</v>
      </c>
      <c r="B110" s="110">
        <v>36.700000000000003</v>
      </c>
      <c r="C110" s="70">
        <v>0</v>
      </c>
      <c r="D110" s="15">
        <v>37</v>
      </c>
      <c r="E110" s="32">
        <f t="shared" si="54"/>
        <v>8.1743869209808476E-3</v>
      </c>
      <c r="F110" s="18">
        <f>IF(ISNUMBER(D110), $B118 * E110, "")</f>
        <v>1226.1580381471272</v>
      </c>
      <c r="G110" s="31">
        <v>36.5</v>
      </c>
      <c r="H110" s="32">
        <f t="shared" si="55"/>
        <v>-5.449591280654028E-3</v>
      </c>
      <c r="I110" s="91">
        <f>IF(ISNUMBER(G110), $B118 * H110, "")</f>
        <v>-817.43869209810418</v>
      </c>
      <c r="J110" s="15">
        <v>36.5</v>
      </c>
      <c r="K110" s="32">
        <f t="shared" si="56"/>
        <v>-5.449591280654028E-3</v>
      </c>
      <c r="L110" s="18">
        <f>IF(ISNUMBER(J110), $B118 * K110, "")</f>
        <v>-817.43869209810418</v>
      </c>
      <c r="M110" s="31">
        <v>36.5</v>
      </c>
      <c r="N110" s="32">
        <f t="shared" si="57"/>
        <v>-5.449591280654028E-3</v>
      </c>
      <c r="O110" s="18">
        <f>IF(ISNUMBER(M110), $B118 * N110, "")</f>
        <v>-817.43869209810418</v>
      </c>
      <c r="Q110" s="146"/>
      <c r="R110" s="146"/>
      <c r="S110" s="146"/>
    </row>
    <row r="111" spans="1:19" ht="17.25" thickBot="1">
      <c r="A111" s="109" t="s">
        <v>89</v>
      </c>
      <c r="B111" s="110">
        <v>514</v>
      </c>
      <c r="C111" s="70">
        <v>-5.8027078999999997E-3</v>
      </c>
      <c r="D111" s="15">
        <v>516</v>
      </c>
      <c r="E111" s="32">
        <f t="shared" si="54"/>
        <v>3.8910505836575876E-3</v>
      </c>
      <c r="F111" s="18">
        <f>IF(ISNUMBER(D111), $B118 * E111, "")</f>
        <v>583.65758754863816</v>
      </c>
      <c r="G111" s="31">
        <v>517</v>
      </c>
      <c r="H111" s="32">
        <f t="shared" si="55"/>
        <v>5.8365758754863814E-3</v>
      </c>
      <c r="I111" s="91">
        <f>IF(ISNUMBER(G111), $B118 * H111, "")</f>
        <v>875.48638132295719</v>
      </c>
      <c r="J111" s="15">
        <v>517</v>
      </c>
      <c r="K111" s="32">
        <f t="shared" si="56"/>
        <v>5.8365758754863814E-3</v>
      </c>
      <c r="L111" s="18">
        <f>IF(ISNUMBER(J111), $B118 * K111, "")</f>
        <v>875.48638132295719</v>
      </c>
      <c r="M111" s="31">
        <v>517</v>
      </c>
      <c r="N111" s="32">
        <f t="shared" si="57"/>
        <v>5.8365758754863814E-3</v>
      </c>
      <c r="O111" s="18">
        <f>IF(ISNUMBER(M111), $B118 * N111, "")</f>
        <v>875.48638132295719</v>
      </c>
      <c r="Q111" s="156"/>
      <c r="R111" s="156"/>
      <c r="S111" s="156"/>
    </row>
    <row r="112" spans="1:19" ht="17.25" thickBot="1">
      <c r="A112" s="111" t="s">
        <v>201</v>
      </c>
      <c r="B112" s="112">
        <v>293</v>
      </c>
      <c r="C112" s="71">
        <v>-6.7796610000000002E-3</v>
      </c>
      <c r="D112" s="20">
        <v>300</v>
      </c>
      <c r="E112" s="21">
        <f t="shared" si="54"/>
        <v>2.3890784982935155E-2</v>
      </c>
      <c r="F112" s="22">
        <f>IF(ISNUMBER(D112), $B118 * E112, "")</f>
        <v>3583.6177474402734</v>
      </c>
      <c r="G112" s="30">
        <v>300</v>
      </c>
      <c r="H112" s="21">
        <f t="shared" si="55"/>
        <v>2.3890784982935155E-2</v>
      </c>
      <c r="I112" s="95">
        <f>IF(ISNUMBER(G112), $B118 * H112, "")</f>
        <v>3583.6177474402734</v>
      </c>
      <c r="J112" s="20">
        <v>300</v>
      </c>
      <c r="K112" s="21">
        <f t="shared" si="56"/>
        <v>2.3890784982935155E-2</v>
      </c>
      <c r="L112" s="22">
        <f>IF(ISNUMBER(J112), $B118 * K112, "")</f>
        <v>3583.6177474402734</v>
      </c>
      <c r="M112" s="30">
        <v>300</v>
      </c>
      <c r="N112" s="21">
        <f t="shared" si="57"/>
        <v>2.3890784982935155E-2</v>
      </c>
      <c r="O112" s="22">
        <f>IF(ISNUMBER(M112), $B118 * N112, "")</f>
        <v>3583.6177474402734</v>
      </c>
      <c r="Q112" s="156"/>
      <c r="R112" s="156"/>
      <c r="S112" s="156"/>
    </row>
    <row r="113" spans="1:19" ht="17.25" thickBot="1">
      <c r="A113" s="109" t="s">
        <v>51</v>
      </c>
      <c r="B113" s="113">
        <v>116</v>
      </c>
      <c r="C113" s="73">
        <v>-8.5470084999999998E-3</v>
      </c>
      <c r="D113" s="96">
        <v>117</v>
      </c>
      <c r="E113" s="97">
        <f>IF(ISNUMBER(D113), (D113 - $B113) / $B113, "")</f>
        <v>8.6206896551724137E-3</v>
      </c>
      <c r="F113" s="98">
        <f>IF(ISNUMBER(D113), $B118 * E113, "")</f>
        <v>1293.1034482758621</v>
      </c>
      <c r="G113" s="99">
        <v>118</v>
      </c>
      <c r="H113" s="97">
        <f>IF(ISNUMBER(G113), (G113 - $B113) / $B113, "")</f>
        <v>1.7241379310344827E-2</v>
      </c>
      <c r="I113" s="100">
        <f>IF(ISNUMBER(G113), $B118 * H113, "")</f>
        <v>2586.2068965517242</v>
      </c>
      <c r="J113" s="96">
        <v>118</v>
      </c>
      <c r="K113" s="97">
        <f>IF(ISNUMBER(J113), (J113 - $B113) / $B113, "")</f>
        <v>1.7241379310344827E-2</v>
      </c>
      <c r="L113" s="98">
        <f>IF(ISNUMBER(J113), $B118 * K113, "")</f>
        <v>2586.2068965517242</v>
      </c>
      <c r="M113" s="99">
        <v>118</v>
      </c>
      <c r="N113" s="97">
        <f>IF(ISNUMBER(M113), (M113 - $B113) / $B113, "")</f>
        <v>1.7241379310344827E-2</v>
      </c>
      <c r="O113" s="98">
        <f>IF(ISNUMBER(M113), $B118 * N113, "")</f>
        <v>2586.2068965517242</v>
      </c>
      <c r="Q113" s="146"/>
      <c r="R113" s="146"/>
      <c r="S113" s="146"/>
    </row>
    <row r="114" spans="1:19" ht="17.25" thickBot="1">
      <c r="A114" s="109" t="s">
        <v>326</v>
      </c>
      <c r="B114" s="110">
        <v>317</v>
      </c>
      <c r="C114" s="70">
        <v>-9.3749999999999997E-3</v>
      </c>
      <c r="D114" s="15">
        <v>323</v>
      </c>
      <c r="E114" s="32">
        <f t="shared" ref="E114:E117" si="58">IF(ISNUMBER(D114), (D114 - $B114) / $B114, "")</f>
        <v>1.8927444794952682E-2</v>
      </c>
      <c r="F114" s="18">
        <f>IF(ISNUMBER(D114), $B118 * E114, "")</f>
        <v>2839.116719242902</v>
      </c>
      <c r="G114" s="31">
        <v>325</v>
      </c>
      <c r="H114" s="32">
        <f t="shared" ref="H114:H117" si="59">IF(ISNUMBER(G114), (G114 - $B114) / $B114, "")</f>
        <v>2.5236593059936908E-2</v>
      </c>
      <c r="I114" s="91">
        <f>IF(ISNUMBER(G114), $B118 * H114, "")</f>
        <v>3785.488958990536</v>
      </c>
      <c r="J114" s="15">
        <v>325</v>
      </c>
      <c r="K114" s="32">
        <f t="shared" ref="K114:K117" si="60">IF(ISNUMBER(J114), (J114 - $B114) / $B114, "")</f>
        <v>2.5236593059936908E-2</v>
      </c>
      <c r="L114" s="18">
        <f>IF(ISNUMBER(J114), $B118 * K114, "")</f>
        <v>3785.488958990536</v>
      </c>
      <c r="M114" s="31">
        <v>325</v>
      </c>
      <c r="N114" s="32">
        <f t="shared" ref="N114:N117" si="61">IF(ISNUMBER(M114), (M114 - $B114) / $B114, "")</f>
        <v>2.5236593059936908E-2</v>
      </c>
      <c r="O114" s="18">
        <f>IF(ISNUMBER(M114), $B118 * N114, "")</f>
        <v>3785.488958990536</v>
      </c>
      <c r="Q114" s="146"/>
      <c r="R114" s="146"/>
      <c r="S114" s="146"/>
    </row>
    <row r="115" spans="1:19" ht="17.25" thickBot="1">
      <c r="A115" s="109" t="s">
        <v>147</v>
      </c>
      <c r="B115" s="110">
        <v>14300</v>
      </c>
      <c r="C115" s="70">
        <v>-1.0380622799999999E-2</v>
      </c>
      <c r="D115" s="15">
        <v>14480</v>
      </c>
      <c r="E115" s="32">
        <f t="shared" si="58"/>
        <v>1.2587412587412588E-2</v>
      </c>
      <c r="F115" s="18">
        <f>IF(ISNUMBER(D115), $B118 * E115, "")</f>
        <v>1888.1118881118882</v>
      </c>
      <c r="G115" s="31">
        <v>14550</v>
      </c>
      <c r="H115" s="32">
        <f t="shared" si="59"/>
        <v>1.7482517482517484E-2</v>
      </c>
      <c r="I115" s="91">
        <f>IF(ISNUMBER(G115), $B118 * H115, "")</f>
        <v>2622.3776223776226</v>
      </c>
      <c r="J115" s="15">
        <v>14550</v>
      </c>
      <c r="K115" s="32">
        <f t="shared" si="60"/>
        <v>1.7482517482517484E-2</v>
      </c>
      <c r="L115" s="18">
        <f>IF(ISNUMBER(J115), $B118 * K115, "")</f>
        <v>2622.3776223776226</v>
      </c>
      <c r="M115" s="31">
        <v>14550</v>
      </c>
      <c r="N115" s="32">
        <f t="shared" si="61"/>
        <v>1.7482517482517484E-2</v>
      </c>
      <c r="O115" s="18">
        <f>IF(ISNUMBER(M115), $B118 * N115, "")</f>
        <v>2622.3776223776226</v>
      </c>
      <c r="Q115" s="146"/>
      <c r="R115" s="146"/>
      <c r="S115" s="146"/>
    </row>
    <row r="116" spans="1:19">
      <c r="A116" s="109" t="s">
        <v>93</v>
      </c>
      <c r="B116" s="110">
        <v>1982000</v>
      </c>
      <c r="C116" s="70">
        <v>-1.14713217E-2</v>
      </c>
      <c r="D116" s="15">
        <v>2010000</v>
      </c>
      <c r="E116" s="32">
        <f t="shared" si="58"/>
        <v>1.4127144298688193E-2</v>
      </c>
      <c r="F116" s="18">
        <f>IF(ISNUMBER(D116), $B118 * E116, "")</f>
        <v>2119.071644803229</v>
      </c>
      <c r="G116" s="31">
        <v>2009000</v>
      </c>
      <c r="H116" s="32">
        <f t="shared" si="59"/>
        <v>1.3622603430877902E-2</v>
      </c>
      <c r="I116" s="91">
        <f>IF(ISNUMBER(G116), $B118 * H116, "")</f>
        <v>2043.3905146316852</v>
      </c>
      <c r="J116" s="15">
        <v>2009000</v>
      </c>
      <c r="K116" s="32">
        <f t="shared" si="60"/>
        <v>1.3622603430877902E-2</v>
      </c>
      <c r="L116" s="18">
        <f>IF(ISNUMBER(J116), $B118 * K116, "")</f>
        <v>2043.3905146316852</v>
      </c>
      <c r="M116" s="31">
        <v>2009000</v>
      </c>
      <c r="N116" s="32">
        <f t="shared" si="61"/>
        <v>1.3622603430877902E-2</v>
      </c>
      <c r="O116" s="18">
        <f>IF(ISNUMBER(M116), $B118 * N116, "")</f>
        <v>2043.3905146316852</v>
      </c>
      <c r="Q116" s="135"/>
      <c r="R116" s="136"/>
      <c r="S116" s="137"/>
    </row>
    <row r="117" spans="1:19" ht="17.25" thickBot="1">
      <c r="A117" s="114" t="s">
        <v>111</v>
      </c>
      <c r="B117" s="115">
        <v>921</v>
      </c>
      <c r="C117" s="72">
        <v>-1.1802575100000001E-2</v>
      </c>
      <c r="D117" s="24">
        <v>932</v>
      </c>
      <c r="E117" s="25">
        <f t="shared" si="58"/>
        <v>1.1943539630836048E-2</v>
      </c>
      <c r="F117" s="94">
        <f>IF(ISNUMBER(D117), $B118 * E117, "")</f>
        <v>1791.5309446254071</v>
      </c>
      <c r="G117" s="92">
        <v>947</v>
      </c>
      <c r="H117" s="25">
        <f t="shared" si="59"/>
        <v>2.8230184581976112E-2</v>
      </c>
      <c r="I117" s="93">
        <f>IF(ISNUMBER(G117), $B118 * H117, "")</f>
        <v>4234.5276872964168</v>
      </c>
      <c r="J117" s="24">
        <v>947</v>
      </c>
      <c r="K117" s="25">
        <f t="shared" si="60"/>
        <v>2.8230184581976112E-2</v>
      </c>
      <c r="L117" s="94">
        <f>IF(ISNUMBER(J117), $B118 * K117, "")</f>
        <v>4234.5276872964168</v>
      </c>
      <c r="M117" s="92">
        <v>947</v>
      </c>
      <c r="N117" s="25">
        <f t="shared" si="61"/>
        <v>2.8230184581976112E-2</v>
      </c>
      <c r="O117" s="94">
        <f>IF(ISNUMBER(M117), $B118 * N117, "")</f>
        <v>4234.5276872964168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6.4811829665492966E-3</v>
      </c>
      <c r="F118" s="28">
        <f>SUM(F98:F117)</f>
        <v>19443.548899647885</v>
      </c>
      <c r="G118" s="26" t="s">
        <v>258</v>
      </c>
      <c r="H118" s="27">
        <f>IF(COUNT(H98:H117), SUM(H98:H117) / COUNT(H98:H117), 0)</f>
        <v>2.0259889615924557E-3</v>
      </c>
      <c r="I118" s="28">
        <f>SUM(I98:I117)</f>
        <v>6077.9668847773655</v>
      </c>
      <c r="J118" s="26" t="s">
        <v>258</v>
      </c>
      <c r="K118" s="27">
        <f>IF(COUNT(K98:K117), SUM(K98:K117) / COUNT(K98:K117), 0)</f>
        <v>2.0259889615924557E-3</v>
      </c>
      <c r="L118" s="28">
        <f>SUM(L98:L117)</f>
        <v>6077.9668847773655</v>
      </c>
      <c r="M118" s="26" t="s">
        <v>258</v>
      </c>
      <c r="N118" s="27">
        <f>IF(COUNT(N98:N117), SUM(N98:N117) / COUNT(N98:N117), 0)</f>
        <v>2.0259889615924557E-3</v>
      </c>
      <c r="O118" s="28">
        <f>SUM(O98:O117)</f>
        <v>6077.9668847773655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2023-01-29(일) 오전 00:00</v>
      </c>
      <c r="C123" s="198"/>
      <c r="D123" s="170" t="str">
        <f>TEXT($G$1, "[$-ko-KR]yyyy-mm-dd(ddd) ") &amp; "오후 14:00"</f>
        <v>2023-01-29(일) 오후 14:00</v>
      </c>
      <c r="E123" s="171"/>
      <c r="F123" s="172"/>
      <c r="G123" s="170" t="str">
        <f>TEXT($G$1, "[$-ko-KR]yyyy-mm-dd(ddd) ") &amp; "오후 19:00"</f>
        <v>2023-01-29(일) 오후 19:00</v>
      </c>
      <c r="H123" s="171"/>
      <c r="I123" s="172"/>
      <c r="J123" s="170" t="str">
        <f>TEXT($G$1, "[$-ko-KR]yyyy-mm-dd(ddd) ") &amp; "오후 21:00"</f>
        <v>2023-01-29(일) 오후 21:00</v>
      </c>
      <c r="K123" s="171"/>
      <c r="L123" s="172"/>
      <c r="M123" s="170" t="str">
        <f>TEXT($G$1+1, "[$-ko-KR]yyyy-mm-dd(ddd) ") &amp; "오전 00:00"</f>
        <v>2023-01-30(월)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124</v>
      </c>
      <c r="B125" s="108">
        <v>37.700000000000003</v>
      </c>
      <c r="C125" s="69">
        <v>-2.3316062200000001E-2</v>
      </c>
      <c r="D125" s="13">
        <v>37.799999999999997</v>
      </c>
      <c r="E125" s="14">
        <f>IF(ISNUMBER(D125), (D125 - $B125) / $B125, "")</f>
        <v>2.6525198938990532E-3</v>
      </c>
      <c r="F125" s="16">
        <f>IF(ISNUMBER(D125), $B145 * E125, "")</f>
        <v>397.87798408485799</v>
      </c>
      <c r="G125" s="29">
        <v>37.799999999999997</v>
      </c>
      <c r="H125" s="14">
        <f>IF(ISNUMBER(G125), (G125 - $B125) / $B125, "")</f>
        <v>2.6525198938990532E-3</v>
      </c>
      <c r="I125" s="90">
        <f>IF(ISNUMBER(G125), $B145 * H125, "")</f>
        <v>397.87798408485799</v>
      </c>
      <c r="J125" s="13">
        <v>37.799999999999997</v>
      </c>
      <c r="K125" s="14">
        <f>IF(ISNUMBER(J125), (J125 - $B125) / $B125, "")</f>
        <v>2.6525198938990532E-3</v>
      </c>
      <c r="L125" s="16">
        <f>IF(ISNUMBER(J125), $B145 * K125, "")</f>
        <v>397.87798408485799</v>
      </c>
      <c r="M125" s="29">
        <v>37.799999999999997</v>
      </c>
      <c r="N125" s="14">
        <f>IF(ISNUMBER(M125), (M125 - $B125) / $B125, "")</f>
        <v>2.6525198938990532E-3</v>
      </c>
      <c r="O125" s="16">
        <f>IF(ISNUMBER(M125), $B145 * N125, "")</f>
        <v>397.87798408485799</v>
      </c>
      <c r="Q125" s="156"/>
      <c r="R125" s="156"/>
      <c r="S125" s="156"/>
    </row>
    <row r="126" spans="1:19" ht="17.25" thickBot="1">
      <c r="A126" s="109" t="s">
        <v>155</v>
      </c>
      <c r="B126" s="110">
        <v>33.5</v>
      </c>
      <c r="C126" s="70">
        <v>-2.3323615200000002E-2</v>
      </c>
      <c r="D126" s="15">
        <v>33.799999999999997</v>
      </c>
      <c r="E126" s="32">
        <f t="shared" ref="E126:E129" si="62">IF(ISNUMBER(D126), (D126 - $B126) / $B126, "")</f>
        <v>8.9552238805969304E-3</v>
      </c>
      <c r="F126" s="18">
        <f>IF(ISNUMBER(D126), $B145 * E126, "")</f>
        <v>1343.2835820895395</v>
      </c>
      <c r="G126" s="31">
        <v>33.700000000000003</v>
      </c>
      <c r="H126" s="32">
        <f t="shared" ref="H126:H129" si="63">IF(ISNUMBER(G126), (G126 - $B126) / $B126, "")</f>
        <v>5.9701492537314283E-3</v>
      </c>
      <c r="I126" s="91">
        <f>IF(ISNUMBER(G126), $B145 * H126, "")</f>
        <v>895.52238805971422</v>
      </c>
      <c r="J126" s="15">
        <v>33.700000000000003</v>
      </c>
      <c r="K126" s="32">
        <f t="shared" ref="K126:K129" si="64">IF(ISNUMBER(J126), (J126 - $B126) / $B126, "")</f>
        <v>5.9701492537314283E-3</v>
      </c>
      <c r="L126" s="18">
        <f>IF(ISNUMBER(J126), $B145 * K126, "")</f>
        <v>895.52238805971422</v>
      </c>
      <c r="M126" s="31">
        <v>33.700000000000003</v>
      </c>
      <c r="N126" s="32">
        <f t="shared" ref="N126:N129" si="65">IF(ISNUMBER(M126), (M126 - $B126) / $B126, "")</f>
        <v>5.9701492537314283E-3</v>
      </c>
      <c r="O126" s="18">
        <f>IF(ISNUMBER(M126), $B145 * N126, "")</f>
        <v>895.52238805971422</v>
      </c>
      <c r="Q126" s="156"/>
      <c r="R126" s="156"/>
      <c r="S126" s="156"/>
    </row>
    <row r="127" spans="1:19" ht="17.25" thickBot="1">
      <c r="A127" s="109" t="s">
        <v>207</v>
      </c>
      <c r="B127" s="110">
        <v>77.2</v>
      </c>
      <c r="C127" s="70">
        <v>-2.4020227599999999E-2</v>
      </c>
      <c r="D127" s="15">
        <v>77.3</v>
      </c>
      <c r="E127" s="32">
        <f t="shared" si="62"/>
        <v>1.2953367875646932E-3</v>
      </c>
      <c r="F127" s="18">
        <f>IF(ISNUMBER(D127), $B145 * E127, "")</f>
        <v>194.30051813470396</v>
      </c>
      <c r="G127" s="31">
        <v>77.5</v>
      </c>
      <c r="H127" s="32">
        <f t="shared" si="63"/>
        <v>3.8860103626942636E-3</v>
      </c>
      <c r="I127" s="91">
        <f>IF(ISNUMBER(G127), $B145 * H127, "")</f>
        <v>582.90155440413957</v>
      </c>
      <c r="J127" s="15">
        <v>77.5</v>
      </c>
      <c r="K127" s="32">
        <f t="shared" si="64"/>
        <v>3.8860103626942636E-3</v>
      </c>
      <c r="L127" s="18">
        <f>IF(ISNUMBER(J127), $B145 * K127, "")</f>
        <v>582.90155440413957</v>
      </c>
      <c r="M127" s="31">
        <v>77.5</v>
      </c>
      <c r="N127" s="32">
        <f t="shared" si="65"/>
        <v>3.8860103626942636E-3</v>
      </c>
      <c r="O127" s="18">
        <f>IF(ISNUMBER(M127), $B145 * N127, "")</f>
        <v>582.90155440413957</v>
      </c>
      <c r="Q127" s="146"/>
      <c r="R127" s="146"/>
      <c r="S127" s="146"/>
    </row>
    <row r="128" spans="1:19" ht="17.25" thickBot="1">
      <c r="A128" s="109" t="s">
        <v>203</v>
      </c>
      <c r="B128" s="110">
        <v>4.01</v>
      </c>
      <c r="C128" s="70">
        <v>-2.4330900200000002E-2</v>
      </c>
      <c r="D128" s="15">
        <v>4.03</v>
      </c>
      <c r="E128" s="32">
        <f t="shared" si="62"/>
        <v>4.9875311720699407E-3</v>
      </c>
      <c r="F128" s="18">
        <f>IF(ISNUMBER(D128), $B145 * E128, "")</f>
        <v>748.12967581049111</v>
      </c>
      <c r="G128" s="31">
        <v>4.0199999999999996</v>
      </c>
      <c r="H128" s="32">
        <f t="shared" si="63"/>
        <v>2.4937655860348597E-3</v>
      </c>
      <c r="I128" s="91">
        <f>IF(ISNUMBER(G128), $B145 * H128, "")</f>
        <v>374.06483790522896</v>
      </c>
      <c r="J128" s="15">
        <v>4.0199999999999996</v>
      </c>
      <c r="K128" s="32">
        <f t="shared" si="64"/>
        <v>2.4937655860348597E-3</v>
      </c>
      <c r="L128" s="18">
        <f>IF(ISNUMBER(J128), $B145 * K128, "")</f>
        <v>374.06483790522896</v>
      </c>
      <c r="M128" s="31">
        <v>4.0199999999999996</v>
      </c>
      <c r="N128" s="32">
        <f t="shared" si="65"/>
        <v>2.4937655860348597E-3</v>
      </c>
      <c r="O128" s="18">
        <f>IF(ISNUMBER(M128), $B145 * N128, "")</f>
        <v>374.06483790522896</v>
      </c>
      <c r="Q128" s="146"/>
      <c r="R128" s="146"/>
      <c r="S128" s="146"/>
    </row>
    <row r="129" spans="1:19" ht="17.25" thickBot="1">
      <c r="A129" s="111" t="s">
        <v>185</v>
      </c>
      <c r="B129" s="112">
        <v>38.6</v>
      </c>
      <c r="C129" s="71">
        <v>-2.5252525299999998E-2</v>
      </c>
      <c r="D129" s="20">
        <v>38.9</v>
      </c>
      <c r="E129" s="21">
        <f t="shared" si="62"/>
        <v>7.7720207253885272E-3</v>
      </c>
      <c r="F129" s="22">
        <f>IF(ISNUMBER(D129), $B145 * E129, "")</f>
        <v>1165.8031088082791</v>
      </c>
      <c r="G129" s="30">
        <v>38.9</v>
      </c>
      <c r="H129" s="21">
        <f t="shared" si="63"/>
        <v>7.7720207253885272E-3</v>
      </c>
      <c r="I129" s="95">
        <f>IF(ISNUMBER(G129), $B145 * H129, "")</f>
        <v>1165.8031088082791</v>
      </c>
      <c r="J129" s="20">
        <v>38.9</v>
      </c>
      <c r="K129" s="21">
        <f t="shared" si="64"/>
        <v>7.7720207253885272E-3</v>
      </c>
      <c r="L129" s="22">
        <f>IF(ISNUMBER(J129), $B145 * K129, "")</f>
        <v>1165.8031088082791</v>
      </c>
      <c r="M129" s="30">
        <v>38.9</v>
      </c>
      <c r="N129" s="21">
        <f t="shared" si="65"/>
        <v>7.7720207253885272E-3</v>
      </c>
      <c r="O129" s="22">
        <f>IF(ISNUMBER(M129), $B145 * N129, "")</f>
        <v>1165.8031088082791</v>
      </c>
      <c r="Q129" s="146"/>
      <c r="R129" s="146"/>
      <c r="S129" s="146"/>
    </row>
    <row r="130" spans="1:19" ht="17.25" thickBot="1">
      <c r="A130" s="109" t="s">
        <v>333</v>
      </c>
      <c r="B130" s="113">
        <v>5.36</v>
      </c>
      <c r="C130" s="73">
        <v>-2.5454545499999998E-2</v>
      </c>
      <c r="D130" s="96">
        <v>5.44</v>
      </c>
      <c r="E130" s="97">
        <f>IF(ISNUMBER(D130), (D130 - $B130) / $B130, "")</f>
        <v>1.492537313432837E-2</v>
      </c>
      <c r="F130" s="98">
        <f>IF(ISNUMBER(D130), $B145 * E130, "")</f>
        <v>2238.8059701492557</v>
      </c>
      <c r="G130" s="99">
        <v>5.52</v>
      </c>
      <c r="H130" s="97">
        <f>IF(ISNUMBER(G130), (G130 - $B130) / $B130, "")</f>
        <v>2.9850746268656577E-2</v>
      </c>
      <c r="I130" s="100">
        <f>IF(ISNUMBER(G130), $B145 * H130, "")</f>
        <v>4477.6119402984868</v>
      </c>
      <c r="J130" s="96">
        <v>5.52</v>
      </c>
      <c r="K130" s="97">
        <f>IF(ISNUMBER(J130), (J130 - $B130) / $B130, "")</f>
        <v>2.9850746268656577E-2</v>
      </c>
      <c r="L130" s="98">
        <f>IF(ISNUMBER(J130), $B145 * K130, "")</f>
        <v>4477.6119402984868</v>
      </c>
      <c r="M130" s="99">
        <v>5.52</v>
      </c>
      <c r="N130" s="97">
        <f>IF(ISNUMBER(M130), (M130 - $B130) / $B130, "")</f>
        <v>2.9850746268656577E-2</v>
      </c>
      <c r="O130" s="98">
        <f>IF(ISNUMBER(M130), $B145 * N130, "")</f>
        <v>4477.6119402984868</v>
      </c>
      <c r="Q130" s="146"/>
      <c r="R130" s="146"/>
      <c r="S130" s="146"/>
    </row>
    <row r="131" spans="1:19" ht="17.25" thickBot="1">
      <c r="A131" s="109" t="s">
        <v>350</v>
      </c>
      <c r="B131" s="110">
        <v>7.99</v>
      </c>
      <c r="C131" s="70">
        <v>-2.5609756099999999E-2</v>
      </c>
      <c r="D131" s="15">
        <v>8</v>
      </c>
      <c r="E131" s="32">
        <f t="shared" ref="E131:E134" si="66">IF(ISNUMBER(D131), (D131 - $B131) / $B131, "")</f>
        <v>1.2515644555694352E-3</v>
      </c>
      <c r="F131" s="18">
        <f>IF(ISNUMBER(D131), $B145 * E131, "")</f>
        <v>187.73466833541528</v>
      </c>
      <c r="G131" s="31">
        <v>8.01</v>
      </c>
      <c r="H131" s="32">
        <f t="shared" ref="H131:H134" si="67">IF(ISNUMBER(G131), (G131 - $B131) / $B131, "")</f>
        <v>2.5031289111388704E-3</v>
      </c>
      <c r="I131" s="91">
        <f>IF(ISNUMBER(G131), $B145 * H131, "")</f>
        <v>375.46933667083056</v>
      </c>
      <c r="J131" s="15">
        <v>8.01</v>
      </c>
      <c r="K131" s="32">
        <f t="shared" ref="K131:K134" si="68">IF(ISNUMBER(J131), (J131 - $B131) / $B131, "")</f>
        <v>2.5031289111388704E-3</v>
      </c>
      <c r="L131" s="18">
        <f>IF(ISNUMBER(J131), $B145 * K131, "")</f>
        <v>375.46933667083056</v>
      </c>
      <c r="M131" s="31">
        <v>8.01</v>
      </c>
      <c r="N131" s="32">
        <f t="shared" ref="N131:N134" si="69">IF(ISNUMBER(M131), (M131 - $B131) / $B131, "")</f>
        <v>2.5031289111388704E-3</v>
      </c>
      <c r="O131" s="18">
        <f>IF(ISNUMBER(M131), $B145 * N131, "")</f>
        <v>375.46933667083056</v>
      </c>
      <c r="Q131" s="146"/>
      <c r="R131" s="146"/>
      <c r="S131" s="146"/>
    </row>
    <row r="132" spans="1:19" ht="17.25" thickBot="1">
      <c r="A132" s="109" t="s">
        <v>141</v>
      </c>
      <c r="B132" s="110">
        <v>4.03</v>
      </c>
      <c r="C132" s="70">
        <v>-2.6570048299999999E-2</v>
      </c>
      <c r="D132" s="15">
        <v>4.04</v>
      </c>
      <c r="E132" s="32">
        <f t="shared" si="66"/>
        <v>2.4813895781637188E-3</v>
      </c>
      <c r="F132" s="18">
        <f>IF(ISNUMBER(D132), $B145 * E132, "")</f>
        <v>372.20843672455783</v>
      </c>
      <c r="G132" s="31">
        <v>4.05</v>
      </c>
      <c r="H132" s="32">
        <f t="shared" si="67"/>
        <v>4.9627791563274376E-3</v>
      </c>
      <c r="I132" s="91">
        <f>IF(ISNUMBER(G132), $B145 * H132, "")</f>
        <v>744.41687344911566</v>
      </c>
      <c r="J132" s="15">
        <v>4.05</v>
      </c>
      <c r="K132" s="32">
        <f t="shared" si="68"/>
        <v>4.9627791563274376E-3</v>
      </c>
      <c r="L132" s="18">
        <f>IF(ISNUMBER(J132), $B145 * K132, "")</f>
        <v>744.41687344911566</v>
      </c>
      <c r="M132" s="31">
        <v>4.05</v>
      </c>
      <c r="N132" s="32">
        <f t="shared" si="69"/>
        <v>4.9627791563274376E-3</v>
      </c>
      <c r="O132" s="18">
        <f>IF(ISNUMBER(M132), $B145 * N132, "")</f>
        <v>744.41687344911566</v>
      </c>
      <c r="Q132" s="146"/>
      <c r="R132" s="146"/>
      <c r="S132" s="146"/>
    </row>
    <row r="133" spans="1:19" ht="17.25" thickBot="1">
      <c r="A133" s="109" t="s">
        <v>138</v>
      </c>
      <c r="B133" s="110">
        <v>34.200000000000003</v>
      </c>
      <c r="C133" s="70">
        <v>-2.84090909E-2</v>
      </c>
      <c r="D133" s="15">
        <v>34.200000000000003</v>
      </c>
      <c r="E133" s="32">
        <f t="shared" si="66"/>
        <v>0</v>
      </c>
      <c r="F133" s="18">
        <f>IF(ISNUMBER(D133), $B145 * E133, "")</f>
        <v>0</v>
      </c>
      <c r="G133" s="31">
        <v>34.299999999999997</v>
      </c>
      <c r="H133" s="32">
        <f t="shared" si="67"/>
        <v>2.9239766081869682E-3</v>
      </c>
      <c r="I133" s="91">
        <f>IF(ISNUMBER(G133), $B145 * H133, "")</f>
        <v>438.59649122804524</v>
      </c>
      <c r="J133" s="15">
        <v>34.299999999999997</v>
      </c>
      <c r="K133" s="32">
        <f t="shared" si="68"/>
        <v>2.9239766081869682E-3</v>
      </c>
      <c r="L133" s="18">
        <f>IF(ISNUMBER(J133), $B145 * K133, "")</f>
        <v>438.59649122804524</v>
      </c>
      <c r="M133" s="31">
        <v>34.299999999999997</v>
      </c>
      <c r="N133" s="32">
        <f t="shared" si="69"/>
        <v>2.9239766081869682E-3</v>
      </c>
      <c r="O133" s="18">
        <f>IF(ISNUMBER(M133), $B145 * N133, "")</f>
        <v>438.59649122804524</v>
      </c>
      <c r="Q133" s="33"/>
      <c r="R133" s="33"/>
    </row>
    <row r="134" spans="1:19" ht="17.25" thickBot="1">
      <c r="A134" s="114" t="s">
        <v>227</v>
      </c>
      <c r="B134" s="115">
        <v>51.3</v>
      </c>
      <c r="C134" s="72">
        <v>-2.84090909E-2</v>
      </c>
      <c r="D134" s="24">
        <v>51.5</v>
      </c>
      <c r="E134" s="25">
        <f t="shared" si="66"/>
        <v>3.8986354775829017E-3</v>
      </c>
      <c r="F134" s="94">
        <f>IF(ISNUMBER(D134), $B145 * E134, "")</f>
        <v>584.79532163743522</v>
      </c>
      <c r="G134" s="92">
        <v>51.4</v>
      </c>
      <c r="H134" s="25">
        <f t="shared" si="67"/>
        <v>1.9493177387914509E-3</v>
      </c>
      <c r="I134" s="93">
        <f>IF(ISNUMBER(G134), $B145 * H134, "")</f>
        <v>292.39766081871761</v>
      </c>
      <c r="J134" s="24">
        <v>51.4</v>
      </c>
      <c r="K134" s="25">
        <f t="shared" si="68"/>
        <v>1.9493177387914509E-3</v>
      </c>
      <c r="L134" s="94">
        <f>IF(ISNUMBER(J134), $B145 * K134, "")</f>
        <v>292.39766081871761</v>
      </c>
      <c r="M134" s="92">
        <v>51.4</v>
      </c>
      <c r="N134" s="25">
        <f t="shared" si="69"/>
        <v>1.9493177387914509E-3</v>
      </c>
      <c r="O134" s="94">
        <f>IF(ISNUMBER(M134), $B145 * N134, "")</f>
        <v>292.39766081871761</v>
      </c>
      <c r="Q134" s="147"/>
      <c r="R134" s="148"/>
      <c r="S134" s="149"/>
    </row>
    <row r="135" spans="1:19">
      <c r="A135" s="107" t="s">
        <v>143</v>
      </c>
      <c r="B135" s="108">
        <v>4.47</v>
      </c>
      <c r="C135" s="69">
        <v>-3.24675325E-2</v>
      </c>
      <c r="D135" s="13">
        <v>4.4800000000000004</v>
      </c>
      <c r="E135" s="14">
        <f>IF(ISNUMBER(D135), (D135 - $B135) / $B135, "")</f>
        <v>2.2371364653245361E-3</v>
      </c>
      <c r="F135" s="16">
        <f>IF(ISNUMBER(D135), $B145 * E135, "")</f>
        <v>335.57046979868039</v>
      </c>
      <c r="G135" s="29">
        <v>4.49</v>
      </c>
      <c r="H135" s="14">
        <f>IF(ISNUMBER(G135), (G135 - $B135) / $B135, "")</f>
        <v>4.4742729306488736E-3</v>
      </c>
      <c r="I135" s="90">
        <f>IF(ISNUMBER(G135), $B145 * H135, "")</f>
        <v>671.140939597331</v>
      </c>
      <c r="J135" s="13">
        <v>4.49</v>
      </c>
      <c r="K135" s="14">
        <f>IF(ISNUMBER(J135), (J135 - $B135) / $B135, "")</f>
        <v>4.4742729306488736E-3</v>
      </c>
      <c r="L135" s="16">
        <f>IF(ISNUMBER(J135), $B145 * K135, "")</f>
        <v>671.140939597331</v>
      </c>
      <c r="M135" s="29">
        <v>4.49</v>
      </c>
      <c r="N135" s="14">
        <f>IF(ISNUMBER(M135), (M135 - $B135) / $B135, "")</f>
        <v>4.4742729306488736E-3</v>
      </c>
      <c r="O135" s="16">
        <f>IF(ISNUMBER(M135), $B145 * N135, "")</f>
        <v>671.140939597331</v>
      </c>
      <c r="Q135" s="150"/>
      <c r="R135" s="151"/>
      <c r="S135" s="152"/>
    </row>
    <row r="136" spans="1:19" ht="17.25" thickBot="1">
      <c r="A136" s="109" t="s">
        <v>221</v>
      </c>
      <c r="B136" s="110">
        <v>23.8</v>
      </c>
      <c r="C136" s="70">
        <v>-3.2520325199999998E-2</v>
      </c>
      <c r="D136" s="15">
        <v>23.8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23.8</v>
      </c>
      <c r="H136" s="32">
        <f t="shared" ref="H136:H139" si="71">IF(ISNUMBER(G136), (G136 - $B136) / $B136, "")</f>
        <v>0</v>
      </c>
      <c r="I136" s="91">
        <f>IF(ISNUMBER(G136), $B145 * H136, "")</f>
        <v>0</v>
      </c>
      <c r="J136" s="15">
        <v>23.8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23.8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153"/>
      <c r="R136" s="154"/>
      <c r="S136" s="155"/>
    </row>
    <row r="137" spans="1:19" ht="17.25" thickBot="1">
      <c r="A137" s="109" t="s">
        <v>118</v>
      </c>
      <c r="B137" s="110">
        <v>7.09</v>
      </c>
      <c r="C137" s="70">
        <v>-3.2742155500000002E-2</v>
      </c>
      <c r="D137" s="15">
        <v>7.14</v>
      </c>
      <c r="E137" s="32">
        <f t="shared" si="70"/>
        <v>7.0521861777150668E-3</v>
      </c>
      <c r="F137" s="18">
        <f>IF(ISNUMBER(D137), $B145 * E137, "")</f>
        <v>1057.8279266572599</v>
      </c>
      <c r="G137" s="31">
        <v>7.14</v>
      </c>
      <c r="H137" s="32">
        <f t="shared" si="71"/>
        <v>7.0521861777150668E-3</v>
      </c>
      <c r="I137" s="91">
        <f>IF(ISNUMBER(G137), $B145 * H137, "")</f>
        <v>1057.8279266572599</v>
      </c>
      <c r="J137" s="15">
        <v>7.14</v>
      </c>
      <c r="K137" s="32">
        <f t="shared" si="72"/>
        <v>7.0521861777150668E-3</v>
      </c>
      <c r="L137" s="18">
        <f>IF(ISNUMBER(J137), $B145 * K137, "")</f>
        <v>1057.8279266572599</v>
      </c>
      <c r="M137" s="31">
        <v>7.14</v>
      </c>
      <c r="N137" s="32">
        <f t="shared" si="73"/>
        <v>7.0521861777150668E-3</v>
      </c>
      <c r="O137" s="18">
        <f>IF(ISNUMBER(M137), $B145 * N137, "")</f>
        <v>1057.8279266572599</v>
      </c>
      <c r="Q137" s="146"/>
      <c r="R137" s="146"/>
      <c r="S137" s="146"/>
    </row>
    <row r="138" spans="1:19" ht="17.25" thickBot="1">
      <c r="A138" s="109" t="s">
        <v>107</v>
      </c>
      <c r="B138" s="110">
        <v>46.4</v>
      </c>
      <c r="C138" s="70">
        <v>-3.3333333299999997E-2</v>
      </c>
      <c r="D138" s="15">
        <v>46.5</v>
      </c>
      <c r="E138" s="32">
        <f t="shared" si="70"/>
        <v>2.1551724137931342E-3</v>
      </c>
      <c r="F138" s="18">
        <f>IF(ISNUMBER(D138), $B145 * E138, "")</f>
        <v>323.27586206897013</v>
      </c>
      <c r="G138" s="31">
        <v>46.7</v>
      </c>
      <c r="H138" s="32">
        <f t="shared" si="71"/>
        <v>6.4655172413794022E-3</v>
      </c>
      <c r="I138" s="91">
        <f>IF(ISNUMBER(G138), $B145 * H138, "")</f>
        <v>969.82758620691038</v>
      </c>
      <c r="J138" s="15">
        <v>46.7</v>
      </c>
      <c r="K138" s="32">
        <f t="shared" si="72"/>
        <v>6.4655172413794022E-3</v>
      </c>
      <c r="L138" s="18">
        <f>IF(ISNUMBER(J138), $B145 * K138, "")</f>
        <v>969.82758620691038</v>
      </c>
      <c r="M138" s="31">
        <v>46.7</v>
      </c>
      <c r="N138" s="32">
        <f t="shared" si="73"/>
        <v>6.4655172413794022E-3</v>
      </c>
      <c r="O138" s="18">
        <f>IF(ISNUMBER(M138), $B145 * N138, "")</f>
        <v>969.82758620691038</v>
      </c>
      <c r="Q138" s="156"/>
      <c r="R138" s="156"/>
      <c r="S138" s="156"/>
    </row>
    <row r="139" spans="1:19" ht="17.25" thickBot="1">
      <c r="A139" s="111" t="s">
        <v>122</v>
      </c>
      <c r="B139" s="112">
        <v>30.2</v>
      </c>
      <c r="C139" s="71">
        <v>-3.5143769999999998E-2</v>
      </c>
      <c r="D139" s="20">
        <v>30.8</v>
      </c>
      <c r="E139" s="21">
        <f t="shared" si="70"/>
        <v>1.9867549668874218E-2</v>
      </c>
      <c r="F139" s="22">
        <f>IF(ISNUMBER(D139), $B145 * E139, "")</f>
        <v>2980.1324503311325</v>
      </c>
      <c r="G139" s="30">
        <v>30.9</v>
      </c>
      <c r="H139" s="21">
        <f t="shared" si="71"/>
        <v>2.3178807947019844E-2</v>
      </c>
      <c r="I139" s="95">
        <f>IF(ISNUMBER(G139), $B145 * H139, "")</f>
        <v>3476.8211920529766</v>
      </c>
      <c r="J139" s="20">
        <v>30.9</v>
      </c>
      <c r="K139" s="21">
        <f t="shared" si="72"/>
        <v>2.3178807947019844E-2</v>
      </c>
      <c r="L139" s="22">
        <f>IF(ISNUMBER(J139), $B145 * K139, "")</f>
        <v>3476.8211920529766</v>
      </c>
      <c r="M139" s="30">
        <v>30.9</v>
      </c>
      <c r="N139" s="21">
        <f t="shared" si="73"/>
        <v>2.3178807947019844E-2</v>
      </c>
      <c r="O139" s="22">
        <f>IF(ISNUMBER(M139), $B145 * N139, "")</f>
        <v>3476.8211920529766</v>
      </c>
      <c r="Q139" s="156"/>
      <c r="R139" s="156"/>
      <c r="S139" s="156"/>
    </row>
    <row r="140" spans="1:19" ht="17.25" thickBot="1">
      <c r="A140" s="109" t="s">
        <v>56</v>
      </c>
      <c r="B140" s="113">
        <v>48.1</v>
      </c>
      <c r="C140" s="73">
        <v>-3.7999999999999999E-2</v>
      </c>
      <c r="D140" s="96">
        <v>49.3</v>
      </c>
      <c r="E140" s="97">
        <f>IF(ISNUMBER(D140), (D140 - $B140) / $B140, "")</f>
        <v>2.4948024948024859E-2</v>
      </c>
      <c r="F140" s="98">
        <f>IF(ISNUMBER(D140), $B145 * E140, "")</f>
        <v>3742.2037422037288</v>
      </c>
      <c r="G140" s="99">
        <v>49.3</v>
      </c>
      <c r="H140" s="97">
        <f>IF(ISNUMBER(G140), (G140 - $B140) / $B140, "")</f>
        <v>2.4948024948024859E-2</v>
      </c>
      <c r="I140" s="100">
        <f>IF(ISNUMBER(G140), $B145 * H140, "")</f>
        <v>3742.2037422037288</v>
      </c>
      <c r="J140" s="96">
        <v>49.3</v>
      </c>
      <c r="K140" s="97">
        <f>IF(ISNUMBER(J140), (J140 - $B140) / $B140, "")</f>
        <v>2.4948024948024859E-2</v>
      </c>
      <c r="L140" s="98">
        <f>IF(ISNUMBER(J140), $B145 * K140, "")</f>
        <v>3742.2037422037288</v>
      </c>
      <c r="M140" s="99">
        <v>49.3</v>
      </c>
      <c r="N140" s="97">
        <f>IF(ISNUMBER(M140), (M140 - $B140) / $B140, "")</f>
        <v>2.4948024948024859E-2</v>
      </c>
      <c r="O140" s="98">
        <f>IF(ISNUMBER(M140), $B145 * N140, "")</f>
        <v>3742.2037422037288</v>
      </c>
      <c r="Q140" s="146"/>
      <c r="R140" s="146"/>
      <c r="S140" s="146"/>
    </row>
    <row r="141" spans="1:19" ht="17.25" thickBot="1">
      <c r="A141" s="109" t="s">
        <v>71</v>
      </c>
      <c r="B141" s="110">
        <v>13.1</v>
      </c>
      <c r="C141" s="70">
        <v>-4.3795620399999999E-2</v>
      </c>
      <c r="D141" s="15">
        <v>13.4</v>
      </c>
      <c r="E141" s="32">
        <f t="shared" ref="E141:E144" si="74">IF(ISNUMBER(D141), (D141 - $B141) / $B141, "")</f>
        <v>2.2900763358778681E-2</v>
      </c>
      <c r="F141" s="18">
        <f>IF(ISNUMBER(D141), $B145 * E141, "")</f>
        <v>3435.1145038168024</v>
      </c>
      <c r="G141" s="31">
        <v>13.2</v>
      </c>
      <c r="H141" s="32">
        <f t="shared" ref="H141:H144" si="75">IF(ISNUMBER(G141), (G141 - $B141) / $B141, "")</f>
        <v>7.6335877862595148E-3</v>
      </c>
      <c r="I141" s="91">
        <f>IF(ISNUMBER(G141), $B145 * H141, "")</f>
        <v>1145.0381679389272</v>
      </c>
      <c r="J141" s="15">
        <v>13.2</v>
      </c>
      <c r="K141" s="32">
        <f t="shared" ref="K141:K144" si="76">IF(ISNUMBER(J141), (J141 - $B141) / $B141, "")</f>
        <v>7.6335877862595148E-3</v>
      </c>
      <c r="L141" s="18">
        <f>IF(ISNUMBER(J141), $B145 * K141, "")</f>
        <v>1145.0381679389272</v>
      </c>
      <c r="M141" s="31">
        <v>13.2</v>
      </c>
      <c r="N141" s="32">
        <f t="shared" ref="N141:N144" si="77">IF(ISNUMBER(M141), (M141 - $B141) / $B141, "")</f>
        <v>7.6335877862595148E-3</v>
      </c>
      <c r="O141" s="18">
        <f>IF(ISNUMBER(M141), $B145 * N141, "")</f>
        <v>1145.0381679389272</v>
      </c>
      <c r="Q141" s="146"/>
      <c r="R141" s="146"/>
      <c r="S141" s="146"/>
    </row>
    <row r="142" spans="1:19" ht="17.25" thickBot="1">
      <c r="A142" s="109" t="s">
        <v>64</v>
      </c>
      <c r="B142" s="110">
        <v>12.7</v>
      </c>
      <c r="C142" s="70">
        <v>-4.5112781999999997E-2</v>
      </c>
      <c r="D142" s="15">
        <v>12.7</v>
      </c>
      <c r="E142" s="32">
        <f t="shared" si="74"/>
        <v>0</v>
      </c>
      <c r="F142" s="18">
        <f>IF(ISNUMBER(D142), $B145 * E142, "")</f>
        <v>0</v>
      </c>
      <c r="G142" s="31">
        <v>12.8</v>
      </c>
      <c r="H142" s="32">
        <f t="shared" si="75"/>
        <v>7.8740157480316087E-3</v>
      </c>
      <c r="I142" s="91">
        <f>IF(ISNUMBER(G142), $B145 * H142, "")</f>
        <v>1181.1023622047412</v>
      </c>
      <c r="J142" s="15">
        <v>12.8</v>
      </c>
      <c r="K142" s="32">
        <f t="shared" si="76"/>
        <v>7.8740157480316087E-3</v>
      </c>
      <c r="L142" s="18">
        <f>IF(ISNUMBER(J142), $B145 * K142, "")</f>
        <v>1181.1023622047412</v>
      </c>
      <c r="M142" s="31">
        <v>12.8</v>
      </c>
      <c r="N142" s="32">
        <f t="shared" si="77"/>
        <v>7.8740157480316087E-3</v>
      </c>
      <c r="O142" s="18">
        <f>IF(ISNUMBER(M142), $B145 * N142, "")</f>
        <v>1181.1023622047412</v>
      </c>
      <c r="Q142" s="146"/>
      <c r="R142" s="146"/>
      <c r="S142" s="146"/>
    </row>
    <row r="143" spans="1:19">
      <c r="A143" s="109" t="s">
        <v>323</v>
      </c>
      <c r="B143" s="110">
        <v>4.6600000000000003E-2</v>
      </c>
      <c r="C143" s="70">
        <v>-4.89795918E-2</v>
      </c>
      <c r="D143" s="15">
        <v>4.6699999999999998E-2</v>
      </c>
      <c r="E143" s="32">
        <f t="shared" si="74"/>
        <v>2.1459227467810283E-3</v>
      </c>
      <c r="F143" s="18">
        <f>IF(ISNUMBER(D143), $B145 * E143, "")</f>
        <v>321.88841201715422</v>
      </c>
      <c r="G143" s="31">
        <v>4.6600000000000003E-2</v>
      </c>
      <c r="H143" s="32">
        <f t="shared" si="75"/>
        <v>0</v>
      </c>
      <c r="I143" s="91">
        <f>IF(ISNUMBER(G143), $B145 * H143, "")</f>
        <v>0</v>
      </c>
      <c r="J143" s="15">
        <v>4.6600000000000003E-2</v>
      </c>
      <c r="K143" s="32">
        <f t="shared" si="76"/>
        <v>0</v>
      </c>
      <c r="L143" s="18">
        <f>IF(ISNUMBER(J143), $B145 * K143, "")</f>
        <v>0</v>
      </c>
      <c r="M143" s="31">
        <v>4.6600000000000003E-2</v>
      </c>
      <c r="N143" s="32">
        <f t="shared" si="77"/>
        <v>0</v>
      </c>
      <c r="O143" s="18">
        <f>IF(ISNUMBER(M143), $B145 * N143, "")</f>
        <v>0</v>
      </c>
      <c r="Q143" s="135"/>
      <c r="R143" s="136"/>
      <c r="S143" s="137"/>
    </row>
    <row r="144" spans="1:19" ht="17.25" thickBot="1">
      <c r="A144" s="114" t="s">
        <v>349</v>
      </c>
      <c r="B144" s="115">
        <v>57.9</v>
      </c>
      <c r="C144" s="72">
        <v>-6.1588330599999998E-2</v>
      </c>
      <c r="D144" s="24">
        <v>56.7</v>
      </c>
      <c r="E144" s="25">
        <f t="shared" si="74"/>
        <v>-2.0725388601036197E-2</v>
      </c>
      <c r="F144" s="94">
        <f>IF(ISNUMBER(D144), $B145 * E144, "")</f>
        <v>-3108.8082901554294</v>
      </c>
      <c r="G144" s="92">
        <v>57</v>
      </c>
      <c r="H144" s="25">
        <f t="shared" si="75"/>
        <v>-1.5544041450777177E-2</v>
      </c>
      <c r="I144" s="93">
        <f>IF(ISNUMBER(G144), $B145 * H144, "")</f>
        <v>-2331.6062176165765</v>
      </c>
      <c r="J144" s="24">
        <v>57</v>
      </c>
      <c r="K144" s="25">
        <f t="shared" si="76"/>
        <v>-1.5544041450777177E-2</v>
      </c>
      <c r="L144" s="94">
        <f>IF(ISNUMBER(J144), $B145 * K144, "")</f>
        <v>-2331.6062176165765</v>
      </c>
      <c r="M144" s="92">
        <v>57</v>
      </c>
      <c r="N144" s="25">
        <f t="shared" si="77"/>
        <v>-1.5544041450777177E-2</v>
      </c>
      <c r="O144" s="94">
        <f>IF(ISNUMBER(M144), $B145 * N144, "")</f>
        <v>-2331.6062176165765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5.4400481141709447E-3</v>
      </c>
      <c r="F145" s="28">
        <f>SUM(F125:F144)</f>
        <v>16320.144342512835</v>
      </c>
      <c r="G145" s="26" t="s">
        <v>258</v>
      </c>
      <c r="H145" s="27">
        <f>IF(COUNT(H125:H144), SUM(H125:H144) / COUNT(H125:H144), 0)</f>
        <v>6.552339291657573E-3</v>
      </c>
      <c r="I145" s="28">
        <f>SUM(I125:I144)</f>
        <v>19657.017874972713</v>
      </c>
      <c r="J145" s="26" t="s">
        <v>258</v>
      </c>
      <c r="K145" s="27">
        <f>IF(COUNT(K125:K144), SUM(K125:K144) / COUNT(K125:K144), 0)</f>
        <v>6.552339291657573E-3</v>
      </c>
      <c r="L145" s="28">
        <f>SUM(L125:L144)</f>
        <v>19657.017874972713</v>
      </c>
      <c r="M145" s="26" t="s">
        <v>258</v>
      </c>
      <c r="N145" s="27">
        <f>IF(COUNT(N125:N144), SUM(N125:N144) / COUNT(N125:N144), 0)</f>
        <v>6.552339291657573E-3</v>
      </c>
      <c r="O145" s="28">
        <f>SUM(O125:O144)</f>
        <v>19657.017874972713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2023-01-29(일) 오전 00:00</v>
      </c>
      <c r="C150" s="198"/>
      <c r="D150" s="170" t="str">
        <f>TEXT($G$1, "[$-ko-KR]yyyy-mm-dd(ddd) ") &amp; "오후 14:00"</f>
        <v>2023-01-29(일) 오후 14:00</v>
      </c>
      <c r="E150" s="171"/>
      <c r="F150" s="172"/>
      <c r="G150" s="170" t="str">
        <f>TEXT($G$1, "[$-ko-KR]yyyy-mm-dd(ddd) ") &amp; "오후 19:00"</f>
        <v>2023-01-29(일) 오후 19:00</v>
      </c>
      <c r="H150" s="171"/>
      <c r="I150" s="172"/>
      <c r="J150" s="170" t="str">
        <f>TEXT($G$1, "[$-ko-KR]yyyy-mm-dd(ddd) ") &amp; "오후 21:00"</f>
        <v>2023-01-29(일) 오후 21:00</v>
      </c>
      <c r="K150" s="171"/>
      <c r="L150" s="172"/>
      <c r="M150" s="170" t="str">
        <f>TEXT($G$1+1, "[$-ko-KR]yyyy-mm-dd(ddd) ") &amp; "오전 00:00"</f>
        <v>2023-01-30(월)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79</v>
      </c>
      <c r="B152" s="108">
        <v>324</v>
      </c>
      <c r="C152" s="69">
        <v>-3.28358209E-2</v>
      </c>
      <c r="D152" s="13">
        <v>331</v>
      </c>
      <c r="E152" s="14">
        <f>IF(ISNUMBER(D152), (D152 - $B152) / $B152, "")</f>
        <v>2.1604938271604937E-2</v>
      </c>
      <c r="F152" s="16">
        <f>IF(ISNUMBER(D152), $B172 * E152, "")</f>
        <v>3240.7407407407404</v>
      </c>
      <c r="G152" s="29">
        <v>344</v>
      </c>
      <c r="H152" s="14">
        <f>IF(ISNUMBER(G152), (G152 - $B152) / $B152, "")</f>
        <v>6.1728395061728392E-2</v>
      </c>
      <c r="I152" s="90">
        <f>IF(ISNUMBER(G152), $B172 * H152, "")</f>
        <v>9259.2592592592591</v>
      </c>
      <c r="J152" s="13">
        <v>344</v>
      </c>
      <c r="K152" s="14">
        <f>IF(ISNUMBER(J152), (J152 - $B152) / $B152, "")</f>
        <v>6.1728395061728392E-2</v>
      </c>
      <c r="L152" s="16">
        <f>IF(ISNUMBER(J152), $B172 * K152, "")</f>
        <v>9259.2592592592591</v>
      </c>
      <c r="M152" s="29">
        <v>344</v>
      </c>
      <c r="N152" s="14">
        <f>IF(ISNUMBER(M152), (M152 - $B152) / $B152, "")</f>
        <v>6.1728395061728392E-2</v>
      </c>
      <c r="O152" s="16">
        <f>IF(ISNUMBER(M152), $B172 * N152, "")</f>
        <v>9259.2592592592591</v>
      </c>
      <c r="Q152" s="156"/>
      <c r="R152" s="156"/>
      <c r="S152" s="156"/>
    </row>
    <row r="153" spans="1:19" ht="17.25" thickBot="1">
      <c r="A153" s="109" t="s">
        <v>167</v>
      </c>
      <c r="B153" s="110">
        <v>231</v>
      </c>
      <c r="C153" s="70">
        <v>-3.3472803299999999E-2</v>
      </c>
      <c r="D153" s="15">
        <v>233</v>
      </c>
      <c r="E153" s="32">
        <f t="shared" ref="E153:E156" si="78">IF(ISNUMBER(D153), (D153 - $B153) / $B153, "")</f>
        <v>8.658008658008658E-3</v>
      </c>
      <c r="F153" s="18">
        <f>IF(ISNUMBER(D153), $B172 * E153, "")</f>
        <v>1298.7012987012988</v>
      </c>
      <c r="G153" s="31">
        <v>231</v>
      </c>
      <c r="H153" s="32">
        <f t="shared" ref="H153:H156" si="79">IF(ISNUMBER(G153), (G153 - $B153) / $B153, "")</f>
        <v>0</v>
      </c>
      <c r="I153" s="91">
        <f>IF(ISNUMBER(G153), $B172 * H153, "")</f>
        <v>0</v>
      </c>
      <c r="J153" s="15">
        <v>231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231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56"/>
      <c r="R153" s="156"/>
      <c r="S153" s="156"/>
    </row>
    <row r="154" spans="1:19" ht="17.25" thickBot="1">
      <c r="A154" s="109" t="s">
        <v>183</v>
      </c>
      <c r="B154" s="110">
        <v>170</v>
      </c>
      <c r="C154" s="70">
        <v>-3.4090909099999997E-2</v>
      </c>
      <c r="D154" s="15">
        <v>172</v>
      </c>
      <c r="E154" s="32">
        <f t="shared" si="78"/>
        <v>1.1764705882352941E-2</v>
      </c>
      <c r="F154" s="18">
        <f>IF(ISNUMBER(D154), $B172 * E154, "")</f>
        <v>1764.7058823529412</v>
      </c>
      <c r="G154" s="31">
        <v>171</v>
      </c>
      <c r="H154" s="32">
        <f t="shared" si="79"/>
        <v>5.8823529411764705E-3</v>
      </c>
      <c r="I154" s="91">
        <f>IF(ISNUMBER(G154), $B172 * H154, "")</f>
        <v>882.35294117647061</v>
      </c>
      <c r="J154" s="15">
        <v>171</v>
      </c>
      <c r="K154" s="32">
        <f t="shared" si="80"/>
        <v>5.8823529411764705E-3</v>
      </c>
      <c r="L154" s="18">
        <f>IF(ISNUMBER(J154), $B172 * K154, "")</f>
        <v>882.35294117647061</v>
      </c>
      <c r="M154" s="31">
        <v>171</v>
      </c>
      <c r="N154" s="32">
        <f t="shared" si="81"/>
        <v>5.8823529411764705E-3</v>
      </c>
      <c r="O154" s="18">
        <f>IF(ISNUMBER(M154), $B172 * N154, "")</f>
        <v>882.35294117647061</v>
      </c>
      <c r="Q154" s="146"/>
      <c r="R154" s="146"/>
      <c r="S154" s="146"/>
    </row>
    <row r="155" spans="1:19" ht="17.25" thickBot="1">
      <c r="A155" s="109" t="s">
        <v>239</v>
      </c>
      <c r="B155" s="110">
        <v>510</v>
      </c>
      <c r="C155" s="70">
        <v>-3.4090909099999997E-2</v>
      </c>
      <c r="D155" s="15">
        <v>506</v>
      </c>
      <c r="E155" s="32">
        <f t="shared" si="78"/>
        <v>-7.8431372549019607E-3</v>
      </c>
      <c r="F155" s="18">
        <f>IF(ISNUMBER(D155), $B172 * E155, "")</f>
        <v>-1176.4705882352941</v>
      </c>
      <c r="G155" s="31">
        <v>504</v>
      </c>
      <c r="H155" s="32">
        <f t="shared" si="79"/>
        <v>-1.1764705882352941E-2</v>
      </c>
      <c r="I155" s="91">
        <f>IF(ISNUMBER(G155), $B172 * H155, "")</f>
        <v>-1764.7058823529412</v>
      </c>
      <c r="J155" s="15">
        <v>504</v>
      </c>
      <c r="K155" s="32">
        <f t="shared" si="80"/>
        <v>-1.1764705882352941E-2</v>
      </c>
      <c r="L155" s="18">
        <f>IF(ISNUMBER(J155), $B172 * K155, "")</f>
        <v>-1764.7058823529412</v>
      </c>
      <c r="M155" s="31">
        <v>504</v>
      </c>
      <c r="N155" s="32">
        <f t="shared" si="81"/>
        <v>-1.1764705882352941E-2</v>
      </c>
      <c r="O155" s="18">
        <f>IF(ISNUMBER(M155), $B172 * N155, "")</f>
        <v>-1764.7058823529412</v>
      </c>
      <c r="Q155" s="146"/>
      <c r="R155" s="146"/>
      <c r="S155" s="146"/>
    </row>
    <row r="156" spans="1:19" ht="17.25" thickBot="1">
      <c r="A156" s="111" t="s">
        <v>330</v>
      </c>
      <c r="B156" s="112">
        <v>365</v>
      </c>
      <c r="C156" s="71">
        <v>-3.43915344E-2</v>
      </c>
      <c r="D156" s="20">
        <v>368</v>
      </c>
      <c r="E156" s="21">
        <f t="shared" si="78"/>
        <v>8.21917808219178E-3</v>
      </c>
      <c r="F156" s="22">
        <f>IF(ISNUMBER(D156), $B172 * E156, "")</f>
        <v>1232.8767123287671</v>
      </c>
      <c r="G156" s="30">
        <v>368</v>
      </c>
      <c r="H156" s="21">
        <f t="shared" si="79"/>
        <v>8.21917808219178E-3</v>
      </c>
      <c r="I156" s="95">
        <f>IF(ISNUMBER(G156), $B172 * H156, "")</f>
        <v>1232.8767123287671</v>
      </c>
      <c r="J156" s="20">
        <v>368</v>
      </c>
      <c r="K156" s="21">
        <f t="shared" si="80"/>
        <v>8.21917808219178E-3</v>
      </c>
      <c r="L156" s="22">
        <f>IF(ISNUMBER(J156), $B172 * K156, "")</f>
        <v>1232.8767123287671</v>
      </c>
      <c r="M156" s="30">
        <v>368</v>
      </c>
      <c r="N156" s="21">
        <f t="shared" si="81"/>
        <v>8.21917808219178E-3</v>
      </c>
      <c r="O156" s="22">
        <f>IF(ISNUMBER(M156), $B172 * N156, "")</f>
        <v>1232.8767123287671</v>
      </c>
      <c r="Q156" s="146"/>
      <c r="R156" s="146"/>
      <c r="S156" s="146"/>
    </row>
    <row r="157" spans="1:19" ht="17.25" thickBot="1">
      <c r="A157" s="109" t="s">
        <v>120</v>
      </c>
      <c r="B157" s="113">
        <v>140</v>
      </c>
      <c r="C157" s="73">
        <v>-3.4482758600000003E-2</v>
      </c>
      <c r="D157" s="96">
        <v>141</v>
      </c>
      <c r="E157" s="97">
        <f>IF(ISNUMBER(D157), (D157 - $B157) / $B157, "")</f>
        <v>7.1428571428571426E-3</v>
      </c>
      <c r="F157" s="98">
        <f>IF(ISNUMBER(D157), $B172 * E157, "")</f>
        <v>1071.4285714285713</v>
      </c>
      <c r="G157" s="99">
        <v>139</v>
      </c>
      <c r="H157" s="97">
        <f>IF(ISNUMBER(G157), (G157 - $B157) / $B157, "")</f>
        <v>-7.1428571428571426E-3</v>
      </c>
      <c r="I157" s="100">
        <f>IF(ISNUMBER(G157), $B172 * H157, "")</f>
        <v>-1071.4285714285713</v>
      </c>
      <c r="J157" s="96">
        <v>139</v>
      </c>
      <c r="K157" s="97">
        <f>IF(ISNUMBER(J157), (J157 - $B157) / $B157, "")</f>
        <v>-7.1428571428571426E-3</v>
      </c>
      <c r="L157" s="98">
        <f>IF(ISNUMBER(J157), $B172 * K157, "")</f>
        <v>-1071.4285714285713</v>
      </c>
      <c r="M157" s="99">
        <v>139</v>
      </c>
      <c r="N157" s="97">
        <f>IF(ISNUMBER(M157), (M157 - $B157) / $B157, "")</f>
        <v>-7.1428571428571426E-3</v>
      </c>
      <c r="O157" s="98">
        <f>IF(ISNUMBER(M157), $B172 * N157, "")</f>
        <v>-1071.4285714285713</v>
      </c>
      <c r="Q157" s="146"/>
      <c r="R157" s="146"/>
      <c r="S157" s="146"/>
    </row>
    <row r="158" spans="1:19" ht="17.25" thickBot="1">
      <c r="A158" s="109" t="s">
        <v>321</v>
      </c>
      <c r="B158" s="110">
        <v>245</v>
      </c>
      <c r="C158" s="70">
        <v>-3.5433070900000002E-2</v>
      </c>
      <c r="D158" s="15">
        <v>246</v>
      </c>
      <c r="E158" s="32">
        <f t="shared" ref="E158:E161" si="82">IF(ISNUMBER(D158), (D158 - $B158) / $B158, "")</f>
        <v>4.0816326530612249E-3</v>
      </c>
      <c r="F158" s="18">
        <f>IF(ISNUMBER(D158), $B172 * E158, "")</f>
        <v>612.24489795918373</v>
      </c>
      <c r="G158" s="31">
        <v>245</v>
      </c>
      <c r="H158" s="32">
        <f t="shared" ref="H158:H161" si="83">IF(ISNUMBER(G158), (G158 - $B158) / $B158, "")</f>
        <v>0</v>
      </c>
      <c r="I158" s="91">
        <f>IF(ISNUMBER(G158), $B172 * H158, "")</f>
        <v>0</v>
      </c>
      <c r="J158" s="15">
        <v>245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245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46"/>
      <c r="R158" s="146"/>
      <c r="S158" s="146"/>
    </row>
    <row r="159" spans="1:19" ht="17.25" thickBot="1">
      <c r="A159" s="109" t="s">
        <v>176</v>
      </c>
      <c r="B159" s="110">
        <v>380</v>
      </c>
      <c r="C159" s="70">
        <v>-3.5532994900000003E-2</v>
      </c>
      <c r="D159" s="15">
        <v>380</v>
      </c>
      <c r="E159" s="32">
        <f t="shared" si="82"/>
        <v>0</v>
      </c>
      <c r="F159" s="18">
        <f>IF(ISNUMBER(D159), $B172 * E159, "")</f>
        <v>0</v>
      </c>
      <c r="G159" s="31">
        <v>380</v>
      </c>
      <c r="H159" s="32">
        <f t="shared" si="83"/>
        <v>0</v>
      </c>
      <c r="I159" s="91">
        <f>IF(ISNUMBER(G159), $B172 * H159, "")</f>
        <v>0</v>
      </c>
      <c r="J159" s="15">
        <v>380</v>
      </c>
      <c r="K159" s="32">
        <f t="shared" si="84"/>
        <v>0</v>
      </c>
      <c r="L159" s="18">
        <f>IF(ISNUMBER(J159), $B172 * K159, "")</f>
        <v>0</v>
      </c>
      <c r="M159" s="31">
        <v>380</v>
      </c>
      <c r="N159" s="32">
        <f t="shared" si="85"/>
        <v>0</v>
      </c>
      <c r="O159" s="18">
        <f>IF(ISNUMBER(M159), $B172 * N159, "")</f>
        <v>0</v>
      </c>
      <c r="Q159" s="146"/>
      <c r="R159" s="146"/>
      <c r="S159" s="146"/>
    </row>
    <row r="160" spans="1:19" ht="17.25" thickBot="1">
      <c r="A160" s="109" t="s">
        <v>101</v>
      </c>
      <c r="B160" s="110">
        <v>268</v>
      </c>
      <c r="C160" s="70">
        <v>-3.5971222999999997E-2</v>
      </c>
      <c r="D160" s="15">
        <v>272</v>
      </c>
      <c r="E160" s="32">
        <f t="shared" si="82"/>
        <v>1.4925373134328358E-2</v>
      </c>
      <c r="F160" s="18">
        <f>IF(ISNUMBER(D160), $B172 * E160, "")</f>
        <v>2238.8059701492539</v>
      </c>
      <c r="G160" s="31">
        <v>272</v>
      </c>
      <c r="H160" s="32">
        <f t="shared" si="83"/>
        <v>1.4925373134328358E-2</v>
      </c>
      <c r="I160" s="91">
        <f>IF(ISNUMBER(G160), $B172 * H160, "")</f>
        <v>2238.8059701492539</v>
      </c>
      <c r="J160" s="15">
        <v>272</v>
      </c>
      <c r="K160" s="32">
        <f t="shared" si="84"/>
        <v>1.4925373134328358E-2</v>
      </c>
      <c r="L160" s="18">
        <f>IF(ISNUMBER(J160), $B172 * K160, "")</f>
        <v>2238.8059701492539</v>
      </c>
      <c r="M160" s="31">
        <v>272</v>
      </c>
      <c r="N160" s="32">
        <f t="shared" si="85"/>
        <v>1.4925373134328358E-2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114" t="s">
        <v>103</v>
      </c>
      <c r="B161" s="115">
        <v>289</v>
      </c>
      <c r="C161" s="72">
        <v>-3.6666666700000003E-2</v>
      </c>
      <c r="D161" s="24">
        <v>294</v>
      </c>
      <c r="E161" s="25">
        <f t="shared" si="82"/>
        <v>1.7301038062283738E-2</v>
      </c>
      <c r="F161" s="94">
        <f>IF(ISNUMBER(D161), $B172 * E161, "")</f>
        <v>2595.1557093425608</v>
      </c>
      <c r="G161" s="92">
        <v>292</v>
      </c>
      <c r="H161" s="25">
        <f t="shared" si="83"/>
        <v>1.0380622837370242E-2</v>
      </c>
      <c r="I161" s="93">
        <f>IF(ISNUMBER(G161), $B172 * H161, "")</f>
        <v>1557.0934256055361</v>
      </c>
      <c r="J161" s="24">
        <v>292</v>
      </c>
      <c r="K161" s="25">
        <f t="shared" si="84"/>
        <v>1.0380622837370242E-2</v>
      </c>
      <c r="L161" s="94">
        <f>IF(ISNUMBER(J161), $B172 * K161, "")</f>
        <v>1557.0934256055361</v>
      </c>
      <c r="M161" s="92">
        <v>292</v>
      </c>
      <c r="N161" s="25">
        <f t="shared" si="85"/>
        <v>1.0380622837370242E-2</v>
      </c>
      <c r="O161" s="94">
        <f>IF(ISNUMBER(M161), $B172 * N161, "")</f>
        <v>1557.0934256055361</v>
      </c>
      <c r="Q161" s="147"/>
      <c r="R161" s="148"/>
      <c r="S161" s="149"/>
    </row>
    <row r="162" spans="1:19">
      <c r="A162" s="107" t="s">
        <v>205</v>
      </c>
      <c r="B162" s="108">
        <v>128</v>
      </c>
      <c r="C162" s="69">
        <v>-3.7593985000000003E-2</v>
      </c>
      <c r="D162" s="13">
        <v>130</v>
      </c>
      <c r="E162" s="14">
        <f>IF(ISNUMBER(D162), (D162 - $B162) / $B162, "")</f>
        <v>1.5625E-2</v>
      </c>
      <c r="F162" s="16">
        <f>IF(ISNUMBER(D162), $B172 * E162, "")</f>
        <v>2343.75</v>
      </c>
      <c r="G162" s="29">
        <v>130</v>
      </c>
      <c r="H162" s="14">
        <f>IF(ISNUMBER(G162), (G162 - $B162) / $B162, "")</f>
        <v>1.5625E-2</v>
      </c>
      <c r="I162" s="90">
        <f>IF(ISNUMBER(G162), $B172 * H162, "")</f>
        <v>2343.75</v>
      </c>
      <c r="J162" s="13">
        <v>130</v>
      </c>
      <c r="K162" s="14">
        <f>IF(ISNUMBER(J162), (J162 - $B162) / $B162, "")</f>
        <v>1.5625E-2</v>
      </c>
      <c r="L162" s="16">
        <f>IF(ISNUMBER(J162), $B172 * K162, "")</f>
        <v>2343.75</v>
      </c>
      <c r="M162" s="29">
        <v>130</v>
      </c>
      <c r="N162" s="14">
        <f>IF(ISNUMBER(M162), (M162 - $B162) / $B162, "")</f>
        <v>1.5625E-2</v>
      </c>
      <c r="O162" s="16">
        <f>IF(ISNUMBER(M162), $B172 * N162, "")</f>
        <v>2343.75</v>
      </c>
      <c r="Q162" s="150"/>
      <c r="R162" s="151"/>
      <c r="S162" s="152"/>
    </row>
    <row r="163" spans="1:19" ht="17.25" thickBot="1">
      <c r="A163" s="109" t="s">
        <v>169</v>
      </c>
      <c r="B163" s="110">
        <v>295</v>
      </c>
      <c r="C163" s="70">
        <v>-3.9087947900000003E-2</v>
      </c>
      <c r="D163" s="15">
        <v>296</v>
      </c>
      <c r="E163" s="32">
        <f t="shared" ref="E163:E166" si="86">IF(ISNUMBER(D163), (D163 - $B163) / $B163, "")</f>
        <v>3.3898305084745762E-3</v>
      </c>
      <c r="F163" s="18">
        <f>IF(ISNUMBER(D163), $B172 * E163, "")</f>
        <v>508.47457627118644</v>
      </c>
      <c r="G163" s="31">
        <v>300</v>
      </c>
      <c r="H163" s="32">
        <f t="shared" ref="H163:H166" si="87">IF(ISNUMBER(G163), (G163 - $B163) / $B163, "")</f>
        <v>1.6949152542372881E-2</v>
      </c>
      <c r="I163" s="91">
        <f>IF(ISNUMBER(G163), $B172 * H163, "")</f>
        <v>2542.3728813559323</v>
      </c>
      <c r="J163" s="15">
        <v>300</v>
      </c>
      <c r="K163" s="32">
        <f t="shared" ref="K163:K166" si="88">IF(ISNUMBER(J163), (J163 - $B163) / $B163, "")</f>
        <v>1.6949152542372881E-2</v>
      </c>
      <c r="L163" s="18">
        <f>IF(ISNUMBER(J163), $B172 * K163, "")</f>
        <v>2542.3728813559323</v>
      </c>
      <c r="M163" s="31">
        <v>300</v>
      </c>
      <c r="N163" s="32">
        <f t="shared" ref="N163:N166" si="89">IF(ISNUMBER(M163), (M163 - $B163) / $B163, "")</f>
        <v>1.6949152542372881E-2</v>
      </c>
      <c r="O163" s="18">
        <f>IF(ISNUMBER(M163), $B172 * N163, "")</f>
        <v>2542.3728813559323</v>
      </c>
      <c r="Q163" s="153"/>
      <c r="R163" s="154"/>
      <c r="S163" s="155"/>
    </row>
    <row r="164" spans="1:19" ht="17.25" thickBot="1">
      <c r="A164" s="109" t="s">
        <v>130</v>
      </c>
      <c r="B164" s="110">
        <v>999</v>
      </c>
      <c r="C164" s="70">
        <v>-3.9423076899999999E-2</v>
      </c>
      <c r="D164" s="15">
        <v>1005</v>
      </c>
      <c r="E164" s="32">
        <f t="shared" si="86"/>
        <v>6.006006006006006E-3</v>
      </c>
      <c r="F164" s="18">
        <f>IF(ISNUMBER(D164), $B172 * E164, "")</f>
        <v>900.90090090090087</v>
      </c>
      <c r="G164" s="31">
        <v>1005</v>
      </c>
      <c r="H164" s="32">
        <f t="shared" si="87"/>
        <v>6.006006006006006E-3</v>
      </c>
      <c r="I164" s="91">
        <f>IF(ISNUMBER(G164), $B172 * H164, "")</f>
        <v>900.90090090090087</v>
      </c>
      <c r="J164" s="15">
        <v>1005</v>
      </c>
      <c r="K164" s="32">
        <f t="shared" si="88"/>
        <v>6.006006006006006E-3</v>
      </c>
      <c r="L164" s="18">
        <f>IF(ISNUMBER(J164), $B172 * K164, "")</f>
        <v>900.90090090090087</v>
      </c>
      <c r="M164" s="31">
        <v>1005</v>
      </c>
      <c r="N164" s="32">
        <f t="shared" si="89"/>
        <v>6.006006006006006E-3</v>
      </c>
      <c r="O164" s="18">
        <f>IF(ISNUMBER(M164), $B172 * N164, "")</f>
        <v>900.90090090090087</v>
      </c>
      <c r="Q164" s="146"/>
      <c r="R164" s="146"/>
      <c r="S164" s="146"/>
    </row>
    <row r="165" spans="1:19" ht="17.25" thickBot="1">
      <c r="A165" s="109" t="s">
        <v>231</v>
      </c>
      <c r="B165" s="110">
        <v>417</v>
      </c>
      <c r="C165" s="70">
        <v>-4.13793103E-2</v>
      </c>
      <c r="D165" s="15">
        <v>418</v>
      </c>
      <c r="E165" s="32">
        <f t="shared" si="86"/>
        <v>2.3980815347721821E-3</v>
      </c>
      <c r="F165" s="18">
        <f>IF(ISNUMBER(D165), $B172 * E165, "")</f>
        <v>359.71223021582733</v>
      </c>
      <c r="G165" s="31">
        <v>418</v>
      </c>
      <c r="H165" s="32">
        <f t="shared" si="87"/>
        <v>2.3980815347721821E-3</v>
      </c>
      <c r="I165" s="91">
        <f>IF(ISNUMBER(G165), $B172 * H165, "")</f>
        <v>359.71223021582733</v>
      </c>
      <c r="J165" s="15">
        <v>418</v>
      </c>
      <c r="K165" s="32">
        <f t="shared" si="88"/>
        <v>2.3980815347721821E-3</v>
      </c>
      <c r="L165" s="18">
        <f>IF(ISNUMBER(J165), $B172 * K165, "")</f>
        <v>359.71223021582733</v>
      </c>
      <c r="M165" s="31">
        <v>418</v>
      </c>
      <c r="N165" s="32">
        <f t="shared" si="89"/>
        <v>2.3980815347721821E-3</v>
      </c>
      <c r="O165" s="18">
        <f>IF(ISNUMBER(M165), $B172 * N165, "")</f>
        <v>359.71223021582733</v>
      </c>
      <c r="Q165" s="156"/>
      <c r="R165" s="156"/>
      <c r="S165" s="156"/>
    </row>
    <row r="166" spans="1:19" ht="17.25" thickBot="1">
      <c r="A166" s="111" t="s">
        <v>241</v>
      </c>
      <c r="B166" s="112">
        <v>112</v>
      </c>
      <c r="C166" s="71">
        <v>-4.2735042700000003E-2</v>
      </c>
      <c r="D166" s="20">
        <v>118</v>
      </c>
      <c r="E166" s="21">
        <f t="shared" si="86"/>
        <v>5.3571428571428568E-2</v>
      </c>
      <c r="F166" s="22">
        <f>IF(ISNUMBER(D166), $B172 * E166, "")</f>
        <v>8035.7142857142853</v>
      </c>
      <c r="G166" s="30">
        <v>118</v>
      </c>
      <c r="H166" s="21">
        <f t="shared" si="87"/>
        <v>5.3571428571428568E-2</v>
      </c>
      <c r="I166" s="95">
        <f>IF(ISNUMBER(G166), $B172 * H166, "")</f>
        <v>8035.7142857142853</v>
      </c>
      <c r="J166" s="20">
        <v>118</v>
      </c>
      <c r="K166" s="21">
        <f t="shared" si="88"/>
        <v>5.3571428571428568E-2</v>
      </c>
      <c r="L166" s="22">
        <f>IF(ISNUMBER(J166), $B172 * K166, "")</f>
        <v>8035.7142857142853</v>
      </c>
      <c r="M166" s="30">
        <v>118</v>
      </c>
      <c r="N166" s="21">
        <f t="shared" si="89"/>
        <v>5.3571428571428568E-2</v>
      </c>
      <c r="O166" s="22">
        <f>IF(ISNUMBER(M166), $B172 * N166, "")</f>
        <v>8035.7142857142853</v>
      </c>
      <c r="Q166" s="156"/>
      <c r="R166" s="156"/>
      <c r="S166" s="156"/>
    </row>
    <row r="167" spans="1:19" ht="17.25" thickBot="1">
      <c r="A167" s="109" t="s">
        <v>215</v>
      </c>
      <c r="B167" s="113">
        <v>411</v>
      </c>
      <c r="C167" s="73">
        <v>-4.4186046499999999E-2</v>
      </c>
      <c r="D167" s="96">
        <v>411</v>
      </c>
      <c r="E167" s="97">
        <f>IF(ISNUMBER(D167), (D167 - $B167) / $B167, "")</f>
        <v>0</v>
      </c>
      <c r="F167" s="98">
        <f>IF(ISNUMBER(D167), $B172 * E167, "")</f>
        <v>0</v>
      </c>
      <c r="G167" s="99">
        <v>410</v>
      </c>
      <c r="H167" s="97">
        <f>IF(ISNUMBER(G167), (G167 - $B167) / $B167, "")</f>
        <v>-2.4330900243309003E-3</v>
      </c>
      <c r="I167" s="100">
        <f>IF(ISNUMBER(G167), $B172 * H167, "")</f>
        <v>-364.96350364963507</v>
      </c>
      <c r="J167" s="96">
        <v>410</v>
      </c>
      <c r="K167" s="97">
        <f>IF(ISNUMBER(J167), (J167 - $B167) / $B167, "")</f>
        <v>-2.4330900243309003E-3</v>
      </c>
      <c r="L167" s="98">
        <f>IF(ISNUMBER(J167), $B172 * K167, "")</f>
        <v>-364.96350364963507</v>
      </c>
      <c r="M167" s="99">
        <v>410</v>
      </c>
      <c r="N167" s="97">
        <f>IF(ISNUMBER(M167), (M167 - $B167) / $B167, "")</f>
        <v>-2.4330900243309003E-3</v>
      </c>
      <c r="O167" s="98">
        <f>IF(ISNUMBER(M167), $B172 * N167, "")</f>
        <v>-364.96350364963507</v>
      </c>
      <c r="Q167" s="146"/>
      <c r="R167" s="146"/>
      <c r="S167" s="146"/>
    </row>
    <row r="168" spans="1:19" ht="17.25" thickBot="1">
      <c r="A168" s="109" t="s">
        <v>219</v>
      </c>
      <c r="B168" s="110">
        <v>510</v>
      </c>
      <c r="C168" s="70">
        <v>-5.0279329599999999E-2</v>
      </c>
      <c r="D168" s="15">
        <v>515</v>
      </c>
      <c r="E168" s="32">
        <f t="shared" ref="E168:E171" si="90">IF(ISNUMBER(D168), (D168 - $B168) / $B168, "")</f>
        <v>9.8039215686274508E-3</v>
      </c>
      <c r="F168" s="18">
        <f>IF(ISNUMBER(D168), $B172 * E168, "")</f>
        <v>1470.5882352941176</v>
      </c>
      <c r="G168" s="31">
        <v>512</v>
      </c>
      <c r="H168" s="32">
        <f t="shared" ref="H168:H171" si="91">IF(ISNUMBER(G168), (G168 - $B168) / $B168, "")</f>
        <v>3.9215686274509803E-3</v>
      </c>
      <c r="I168" s="91">
        <f>IF(ISNUMBER(G168), $B172 * H168, "")</f>
        <v>588.23529411764707</v>
      </c>
      <c r="J168" s="15">
        <v>512</v>
      </c>
      <c r="K168" s="32">
        <f t="shared" ref="K168:K171" si="92">IF(ISNUMBER(J168), (J168 - $B168) / $B168, "")</f>
        <v>3.9215686274509803E-3</v>
      </c>
      <c r="L168" s="18">
        <f>IF(ISNUMBER(J168), $B172 * K168, "")</f>
        <v>588.23529411764707</v>
      </c>
      <c r="M168" s="31">
        <v>512</v>
      </c>
      <c r="N168" s="32">
        <f t="shared" ref="N168:N171" si="93">IF(ISNUMBER(M168), (M168 - $B168) / $B168, "")</f>
        <v>3.9215686274509803E-3</v>
      </c>
      <c r="O168" s="18">
        <f>IF(ISNUMBER(M168), $B172 * N168, "")</f>
        <v>588.23529411764707</v>
      </c>
      <c r="Q168" s="146"/>
      <c r="R168" s="146"/>
      <c r="S168" s="146"/>
    </row>
    <row r="169" spans="1:19" ht="17.25" thickBot="1">
      <c r="A169" s="109" t="s">
        <v>235</v>
      </c>
      <c r="B169" s="110">
        <v>729</v>
      </c>
      <c r="C169" s="70">
        <v>-5.078125E-2</v>
      </c>
      <c r="D169" s="15">
        <v>719</v>
      </c>
      <c r="E169" s="32">
        <f t="shared" si="90"/>
        <v>-1.3717421124828532E-2</v>
      </c>
      <c r="F169" s="18">
        <f>IF(ISNUMBER(D169), $B172 * E169, "")</f>
        <v>-2057.6131687242796</v>
      </c>
      <c r="G169" s="31">
        <v>717</v>
      </c>
      <c r="H169" s="32">
        <f t="shared" si="91"/>
        <v>-1.646090534979424E-2</v>
      </c>
      <c r="I169" s="91">
        <f>IF(ISNUMBER(G169), $B172 * H169, "")</f>
        <v>-2469.1358024691358</v>
      </c>
      <c r="J169" s="15">
        <v>717</v>
      </c>
      <c r="K169" s="32">
        <f t="shared" si="92"/>
        <v>-1.646090534979424E-2</v>
      </c>
      <c r="L169" s="18">
        <f>IF(ISNUMBER(J169), $B172 * K169, "")</f>
        <v>-2469.1358024691358</v>
      </c>
      <c r="M169" s="31">
        <v>717</v>
      </c>
      <c r="N169" s="32">
        <f t="shared" si="93"/>
        <v>-1.646090534979424E-2</v>
      </c>
      <c r="O169" s="18">
        <f>IF(ISNUMBER(M169), $B172 * N169, "")</f>
        <v>-2469.1358024691358</v>
      </c>
      <c r="Q169" s="146"/>
      <c r="R169" s="146"/>
      <c r="S169" s="146"/>
    </row>
    <row r="170" spans="1:19">
      <c r="A170" s="109" t="s">
        <v>153</v>
      </c>
      <c r="B170" s="110">
        <v>490</v>
      </c>
      <c r="C170" s="70">
        <v>-5.4054054099999999E-2</v>
      </c>
      <c r="D170" s="15">
        <v>487</v>
      </c>
      <c r="E170" s="32">
        <f t="shared" si="90"/>
        <v>-6.1224489795918364E-3</v>
      </c>
      <c r="F170" s="18">
        <f>IF(ISNUMBER(D170), $B172 * E170, "")</f>
        <v>-918.36734693877543</v>
      </c>
      <c r="G170" s="31">
        <v>487</v>
      </c>
      <c r="H170" s="32">
        <f t="shared" si="91"/>
        <v>-6.1224489795918364E-3</v>
      </c>
      <c r="I170" s="91">
        <f>IF(ISNUMBER(G170), $B172 * H170, "")</f>
        <v>-918.36734693877543</v>
      </c>
      <c r="J170" s="15">
        <v>487</v>
      </c>
      <c r="K170" s="32">
        <f t="shared" si="92"/>
        <v>-6.1224489795918364E-3</v>
      </c>
      <c r="L170" s="18">
        <f>IF(ISNUMBER(J170), $B172 * K170, "")</f>
        <v>-918.36734693877543</v>
      </c>
      <c r="M170" s="31">
        <v>487</v>
      </c>
      <c r="N170" s="32">
        <f t="shared" si="93"/>
        <v>-6.1224489795918364E-3</v>
      </c>
      <c r="O170" s="18">
        <f>IF(ISNUMBER(M170), $B172 * N170, "")</f>
        <v>-918.36734693877543</v>
      </c>
      <c r="Q170" s="135"/>
      <c r="R170" s="136"/>
      <c r="S170" s="137"/>
    </row>
    <row r="171" spans="1:19" ht="17.25" thickBot="1">
      <c r="A171" s="114" t="s">
        <v>341</v>
      </c>
      <c r="B171" s="115">
        <v>960</v>
      </c>
      <c r="C171" s="72">
        <v>-5.4187192100000003E-2</v>
      </c>
      <c r="D171" s="24">
        <v>985</v>
      </c>
      <c r="E171" s="25">
        <f t="shared" si="90"/>
        <v>2.6041666666666668E-2</v>
      </c>
      <c r="F171" s="94">
        <f>IF(ISNUMBER(D171), $B172 * E171, "")</f>
        <v>3906.25</v>
      </c>
      <c r="G171" s="92">
        <v>971</v>
      </c>
      <c r="H171" s="25">
        <f t="shared" si="91"/>
        <v>1.1458333333333333E-2</v>
      </c>
      <c r="I171" s="93">
        <f>IF(ISNUMBER(G171), $B172 * H171, "")</f>
        <v>1718.7499999999998</v>
      </c>
      <c r="J171" s="24">
        <v>971</v>
      </c>
      <c r="K171" s="25">
        <f t="shared" si="92"/>
        <v>1.1458333333333333E-2</v>
      </c>
      <c r="L171" s="94">
        <f>IF(ISNUMBER(J171), $B172 * K171, "")</f>
        <v>1718.7499999999998</v>
      </c>
      <c r="M171" s="92">
        <v>971</v>
      </c>
      <c r="N171" s="25">
        <f t="shared" si="93"/>
        <v>1.1458333333333333E-2</v>
      </c>
      <c r="O171" s="94">
        <f>IF(ISNUMBER(M171), $B172 * N171, "")</f>
        <v>1718.7499999999998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9.1425329691670939E-3</v>
      </c>
      <c r="F172" s="28">
        <f>SUM(F152:F171)</f>
        <v>27427.598907501288</v>
      </c>
      <c r="G172" s="26" t="s">
        <v>258</v>
      </c>
      <c r="H172" s="27">
        <f>IF(COUNT(H152:H171), SUM(H152:H171) / COUNT(H152:H171), 0)</f>
        <v>8.3570742646616059E-3</v>
      </c>
      <c r="I172" s="28">
        <f>SUM(I152:I171)</f>
        <v>25071.222793984824</v>
      </c>
      <c r="J172" s="26" t="s">
        <v>258</v>
      </c>
      <c r="K172" s="27">
        <f>IF(COUNT(K152:K171), SUM(K152:K171) / COUNT(K152:K171), 0)</f>
        <v>8.3570742646616059E-3</v>
      </c>
      <c r="L172" s="28">
        <f>SUM(L152:L171)</f>
        <v>25071.222793984824</v>
      </c>
      <c r="M172" s="26" t="s">
        <v>258</v>
      </c>
      <c r="N172" s="27">
        <f>IF(COUNT(N152:N171), SUM(N152:N171) / COUNT(N152:N171), 0)</f>
        <v>8.3570742646616059E-3</v>
      </c>
      <c r="O172" s="28">
        <f>SUM(O152:O171)</f>
        <v>25071.222793984824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2023-01-29(일) 오전 00:00</v>
      </c>
      <c r="C177" s="198"/>
      <c r="D177" s="170" t="str">
        <f>TEXT($G$1, "[$-ko-KR]yyyy-mm-dd(ddd) ") &amp; "오후 14:00"</f>
        <v>2023-01-29(일) 오후 14:00</v>
      </c>
      <c r="E177" s="171"/>
      <c r="F177" s="172"/>
      <c r="G177" s="170" t="str">
        <f>TEXT($G$1, "[$-ko-KR]yyyy-mm-dd(ddd) ") &amp; "오후 19:00"</f>
        <v>2023-01-29(일) 오후 19:00</v>
      </c>
      <c r="H177" s="171"/>
      <c r="I177" s="172"/>
      <c r="J177" s="170" t="str">
        <f>TEXT($G$1, "[$-ko-KR]yyyy-mm-dd(ddd) ") &amp; "오후 21:00"</f>
        <v>2023-01-29(일) 오후 21:00</v>
      </c>
      <c r="K177" s="171"/>
      <c r="L177" s="172"/>
      <c r="M177" s="170" t="str">
        <f>TEXT($G$1+1, "[$-ko-KR]yyyy-mm-dd(ddd) ") &amp; "오전 00:00"</f>
        <v>2023-01-30(월)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205</v>
      </c>
      <c r="B179" s="108">
        <v>128</v>
      </c>
      <c r="C179" s="69">
        <v>-3.7593985000000003E-2</v>
      </c>
      <c r="D179" s="13">
        <v>130</v>
      </c>
      <c r="E179" s="14">
        <f>IF(ISNUMBER(D179), (D179 - $B179) / $B179, "")</f>
        <v>1.5625E-2</v>
      </c>
      <c r="F179" s="16">
        <f>IF(ISNUMBER(D179), $B199 * E179, "")</f>
        <v>2343.75</v>
      </c>
      <c r="G179" s="29">
        <v>130</v>
      </c>
      <c r="H179" s="14">
        <f>IF(ISNUMBER(G179), (G179 - $B179) / $B179, "")</f>
        <v>1.5625E-2</v>
      </c>
      <c r="I179" s="90">
        <f>IF(ISNUMBER(G179), $B199 * H179, "")</f>
        <v>2343.75</v>
      </c>
      <c r="J179" s="13">
        <v>130</v>
      </c>
      <c r="K179" s="14">
        <f>IF(ISNUMBER(J179), (J179 - $B179) / $B179, "")</f>
        <v>1.5625E-2</v>
      </c>
      <c r="L179" s="16">
        <f>IF(ISNUMBER(J179), $B199 * K179, "")</f>
        <v>2343.75</v>
      </c>
      <c r="M179" s="29">
        <v>130</v>
      </c>
      <c r="N179" s="14">
        <f>IF(ISNUMBER(M179), (M179 - $B179) / $B179, "")</f>
        <v>1.5625E-2</v>
      </c>
      <c r="O179" s="16">
        <f>IF(ISNUMBER(M179), $B199 * N179, "")</f>
        <v>2343.75</v>
      </c>
      <c r="Q179" s="156"/>
      <c r="R179" s="156"/>
      <c r="S179" s="156"/>
    </row>
    <row r="180" spans="1:19" ht="17.25" thickBot="1">
      <c r="A180" s="109" t="s">
        <v>116</v>
      </c>
      <c r="B180" s="110">
        <v>1275</v>
      </c>
      <c r="C180" s="70">
        <v>-3.7735849100000003E-2</v>
      </c>
      <c r="D180" s="15">
        <v>1285</v>
      </c>
      <c r="E180" s="32">
        <f t="shared" ref="E180:E183" si="94">IF(ISNUMBER(D180), (D180 - $B180) / $B180, "")</f>
        <v>7.8431372549019607E-3</v>
      </c>
      <c r="F180" s="18">
        <f>IF(ISNUMBER(D180), $B199 * E180, "")</f>
        <v>1176.4705882352941</v>
      </c>
      <c r="G180" s="31">
        <v>1290</v>
      </c>
      <c r="H180" s="32">
        <f t="shared" ref="H180:H183" si="95">IF(ISNUMBER(G180), (G180 - $B180) / $B180, "")</f>
        <v>1.1764705882352941E-2</v>
      </c>
      <c r="I180" s="91">
        <f>IF(ISNUMBER(G180), $B199 * H180, "")</f>
        <v>1764.7058823529412</v>
      </c>
      <c r="J180" s="15">
        <v>1290</v>
      </c>
      <c r="K180" s="32">
        <f t="shared" ref="K180:K183" si="96">IF(ISNUMBER(J180), (J180 - $B180) / $B180, "")</f>
        <v>1.1764705882352941E-2</v>
      </c>
      <c r="L180" s="18">
        <f>IF(ISNUMBER(J180), $B199 * K180, "")</f>
        <v>1764.7058823529412</v>
      </c>
      <c r="M180" s="31">
        <v>1290</v>
      </c>
      <c r="N180" s="32">
        <f t="shared" ref="N180:N183" si="97">IF(ISNUMBER(M180), (M180 - $B180) / $B180, "")</f>
        <v>1.1764705882352941E-2</v>
      </c>
      <c r="O180" s="18">
        <f>IF(ISNUMBER(M180), $B199 * N180, "")</f>
        <v>1764.7058823529412</v>
      </c>
      <c r="Q180" s="156"/>
      <c r="R180" s="156"/>
      <c r="S180" s="156"/>
    </row>
    <row r="181" spans="1:19" ht="17.25" thickBot="1">
      <c r="A181" s="109" t="s">
        <v>56</v>
      </c>
      <c r="B181" s="110">
        <v>48.1</v>
      </c>
      <c r="C181" s="70">
        <v>-3.7999999999999999E-2</v>
      </c>
      <c r="D181" s="15">
        <v>49.3</v>
      </c>
      <c r="E181" s="32">
        <f t="shared" si="94"/>
        <v>2.4948024948024859E-2</v>
      </c>
      <c r="F181" s="18">
        <f>IF(ISNUMBER(D181), $B199 * E181, "")</f>
        <v>3742.2037422037288</v>
      </c>
      <c r="G181" s="31">
        <v>49.3</v>
      </c>
      <c r="H181" s="32">
        <f t="shared" si="95"/>
        <v>2.4948024948024859E-2</v>
      </c>
      <c r="I181" s="91">
        <f>IF(ISNUMBER(G181), $B199 * H181, "")</f>
        <v>3742.2037422037288</v>
      </c>
      <c r="J181" s="15">
        <v>49.3</v>
      </c>
      <c r="K181" s="32">
        <f t="shared" si="96"/>
        <v>2.4948024948024859E-2</v>
      </c>
      <c r="L181" s="18">
        <f>IF(ISNUMBER(J181), $B199 * K181, "")</f>
        <v>3742.2037422037288</v>
      </c>
      <c r="M181" s="31">
        <v>49.3</v>
      </c>
      <c r="N181" s="32">
        <f t="shared" si="97"/>
        <v>2.4948024948024859E-2</v>
      </c>
      <c r="O181" s="18">
        <f>IF(ISNUMBER(M181), $B199 * N181, "")</f>
        <v>3742.2037422037288</v>
      </c>
      <c r="Q181" s="146"/>
      <c r="R181" s="146"/>
      <c r="S181" s="146"/>
    </row>
    <row r="182" spans="1:19" ht="17.25" thickBot="1">
      <c r="A182" s="109" t="s">
        <v>169</v>
      </c>
      <c r="B182" s="110">
        <v>295</v>
      </c>
      <c r="C182" s="70">
        <v>-3.9087947900000003E-2</v>
      </c>
      <c r="D182" s="15">
        <v>296</v>
      </c>
      <c r="E182" s="32">
        <f t="shared" si="94"/>
        <v>3.3898305084745762E-3</v>
      </c>
      <c r="F182" s="18">
        <f>IF(ISNUMBER(D182), $B199 * E182, "")</f>
        <v>508.47457627118644</v>
      </c>
      <c r="G182" s="31">
        <v>300</v>
      </c>
      <c r="H182" s="32">
        <f t="shared" si="95"/>
        <v>1.6949152542372881E-2</v>
      </c>
      <c r="I182" s="91">
        <f>IF(ISNUMBER(G182), $B199 * H182, "")</f>
        <v>2542.3728813559323</v>
      </c>
      <c r="J182" s="15">
        <v>300</v>
      </c>
      <c r="K182" s="32">
        <f t="shared" si="96"/>
        <v>1.6949152542372881E-2</v>
      </c>
      <c r="L182" s="18">
        <f>IF(ISNUMBER(J182), $B199 * K182, "")</f>
        <v>2542.3728813559323</v>
      </c>
      <c r="M182" s="31">
        <v>300</v>
      </c>
      <c r="N182" s="32">
        <f t="shared" si="97"/>
        <v>1.6949152542372881E-2</v>
      </c>
      <c r="O182" s="18">
        <f>IF(ISNUMBER(M182), $B199 * N182, "")</f>
        <v>2542.3728813559323</v>
      </c>
      <c r="Q182" s="146"/>
      <c r="R182" s="146"/>
      <c r="S182" s="146"/>
    </row>
    <row r="183" spans="1:19" ht="17.25" thickBot="1">
      <c r="A183" s="111" t="s">
        <v>165</v>
      </c>
      <c r="B183" s="112">
        <v>1220</v>
      </c>
      <c r="C183" s="71">
        <v>-3.9370078699999998E-2</v>
      </c>
      <c r="D183" s="20">
        <v>1240</v>
      </c>
      <c r="E183" s="21">
        <f t="shared" si="94"/>
        <v>1.6393442622950821E-2</v>
      </c>
      <c r="F183" s="22">
        <f>IF(ISNUMBER(D183), $B199 * E183, "")</f>
        <v>2459.0163934426232</v>
      </c>
      <c r="G183" s="30">
        <v>1245</v>
      </c>
      <c r="H183" s="21">
        <f t="shared" si="95"/>
        <v>2.0491803278688523E-2</v>
      </c>
      <c r="I183" s="95">
        <f>IF(ISNUMBER(G183), $B199 * H183, "")</f>
        <v>3073.7704918032787</v>
      </c>
      <c r="J183" s="20">
        <v>1245</v>
      </c>
      <c r="K183" s="21">
        <f t="shared" si="96"/>
        <v>2.0491803278688523E-2</v>
      </c>
      <c r="L183" s="22">
        <f>IF(ISNUMBER(J183), $B199 * K183, "")</f>
        <v>3073.7704918032787</v>
      </c>
      <c r="M183" s="30">
        <v>1245</v>
      </c>
      <c r="N183" s="21">
        <f t="shared" si="97"/>
        <v>2.0491803278688523E-2</v>
      </c>
      <c r="O183" s="22">
        <f>IF(ISNUMBER(M183), $B199 * N183, "")</f>
        <v>3073.7704918032787</v>
      </c>
      <c r="Q183" s="146"/>
      <c r="R183" s="146"/>
      <c r="S183" s="146"/>
    </row>
    <row r="184" spans="1:19" ht="17.25" thickBot="1">
      <c r="A184" s="109" t="s">
        <v>130</v>
      </c>
      <c r="B184" s="113">
        <v>999</v>
      </c>
      <c r="C184" s="73">
        <v>-3.9423076899999999E-2</v>
      </c>
      <c r="D184" s="96">
        <v>1005</v>
      </c>
      <c r="E184" s="97">
        <f>IF(ISNUMBER(D184), (D184 - $B184) / $B184, "")</f>
        <v>6.006006006006006E-3</v>
      </c>
      <c r="F184" s="98">
        <f>IF(ISNUMBER(D184), $B199 * E184, "")</f>
        <v>900.90090090090087</v>
      </c>
      <c r="G184" s="99">
        <v>1005</v>
      </c>
      <c r="H184" s="97">
        <f>IF(ISNUMBER(G184), (G184 - $B184) / $B184, "")</f>
        <v>6.006006006006006E-3</v>
      </c>
      <c r="I184" s="100">
        <f>IF(ISNUMBER(G184), $B199 * H184, "")</f>
        <v>900.90090090090087</v>
      </c>
      <c r="J184" s="96">
        <v>1005</v>
      </c>
      <c r="K184" s="97">
        <f>IF(ISNUMBER(J184), (J184 - $B184) / $B184, "")</f>
        <v>6.006006006006006E-3</v>
      </c>
      <c r="L184" s="98">
        <f>IF(ISNUMBER(J184), $B199 * K184, "")</f>
        <v>900.90090090090087</v>
      </c>
      <c r="M184" s="99">
        <v>1005</v>
      </c>
      <c r="N184" s="97">
        <f>IF(ISNUMBER(M184), (M184 - $B184) / $B184, "")</f>
        <v>6.006006006006006E-3</v>
      </c>
      <c r="O184" s="98">
        <f>IF(ISNUMBER(M184), $B199 * N184, "")</f>
        <v>900.90090090090087</v>
      </c>
      <c r="Q184" s="146"/>
      <c r="R184" s="146"/>
      <c r="S184" s="146"/>
    </row>
    <row r="185" spans="1:19" ht="17.25" thickBot="1">
      <c r="A185" s="109" t="s">
        <v>328</v>
      </c>
      <c r="B185" s="110">
        <v>21360</v>
      </c>
      <c r="C185" s="70">
        <v>-4.12926391E-2</v>
      </c>
      <c r="D185" s="15">
        <v>22930</v>
      </c>
      <c r="E185" s="32">
        <f t="shared" ref="E185:E188" si="98">IF(ISNUMBER(D185), (D185 - $B185) / $B185, "")</f>
        <v>7.3501872659176029E-2</v>
      </c>
      <c r="F185" s="18">
        <f>IF(ISNUMBER(D185), $B199 * E185, "")</f>
        <v>11025.280898876405</v>
      </c>
      <c r="G185" s="31">
        <v>22860</v>
      </c>
      <c r="H185" s="32">
        <f t="shared" ref="H185:H188" si="99">IF(ISNUMBER(G185), (G185 - $B185) / $B185, "")</f>
        <v>7.02247191011236E-2</v>
      </c>
      <c r="I185" s="91">
        <f>IF(ISNUMBER(G185), $B199 * H185, "")</f>
        <v>10533.707865168541</v>
      </c>
      <c r="J185" s="15">
        <v>22860</v>
      </c>
      <c r="K185" s="32">
        <f t="shared" ref="K185:K188" si="100">IF(ISNUMBER(J185), (J185 - $B185) / $B185, "")</f>
        <v>7.02247191011236E-2</v>
      </c>
      <c r="L185" s="18">
        <f>IF(ISNUMBER(J185), $B199 * K185, "")</f>
        <v>10533.707865168541</v>
      </c>
      <c r="M185" s="31">
        <v>22860</v>
      </c>
      <c r="N185" s="32">
        <f t="shared" ref="N185:N188" si="101">IF(ISNUMBER(M185), (M185 - $B185) / $B185, "")</f>
        <v>7.02247191011236E-2</v>
      </c>
      <c r="O185" s="18">
        <f>IF(ISNUMBER(M185), $B199 * N185, "")</f>
        <v>10533.707865168541</v>
      </c>
      <c r="Q185" s="146"/>
      <c r="R185" s="146"/>
      <c r="S185" s="146"/>
    </row>
    <row r="186" spans="1:19" ht="17.25" thickBot="1">
      <c r="A186" s="109" t="s">
        <v>231</v>
      </c>
      <c r="B186" s="110">
        <v>417</v>
      </c>
      <c r="C186" s="70">
        <v>-4.13793103E-2</v>
      </c>
      <c r="D186" s="15">
        <v>418</v>
      </c>
      <c r="E186" s="32">
        <f t="shared" si="98"/>
        <v>2.3980815347721821E-3</v>
      </c>
      <c r="F186" s="18">
        <f>IF(ISNUMBER(D186), $B199 * E186, "")</f>
        <v>359.71223021582733</v>
      </c>
      <c r="G186" s="31">
        <v>418</v>
      </c>
      <c r="H186" s="32">
        <f t="shared" si="99"/>
        <v>2.3980815347721821E-3</v>
      </c>
      <c r="I186" s="91">
        <f>IF(ISNUMBER(G186), $B199 * H186, "")</f>
        <v>359.71223021582733</v>
      </c>
      <c r="J186" s="15">
        <v>418</v>
      </c>
      <c r="K186" s="32">
        <f t="shared" si="100"/>
        <v>2.3980815347721821E-3</v>
      </c>
      <c r="L186" s="18">
        <f>IF(ISNUMBER(J186), $B199 * K186, "")</f>
        <v>359.71223021582733</v>
      </c>
      <c r="M186" s="31">
        <v>418</v>
      </c>
      <c r="N186" s="32">
        <f t="shared" si="101"/>
        <v>2.3980815347721821E-3</v>
      </c>
      <c r="O186" s="18">
        <f>IF(ISNUMBER(M186), $B199 * N186, "")</f>
        <v>359.71223021582733</v>
      </c>
      <c r="Q186" s="146"/>
      <c r="R186" s="146"/>
      <c r="S186" s="146"/>
    </row>
    <row r="187" spans="1:19" ht="17.25" thickBot="1">
      <c r="A187" s="109" t="s">
        <v>241</v>
      </c>
      <c r="B187" s="110">
        <v>112</v>
      </c>
      <c r="C187" s="70">
        <v>-4.2735042700000003E-2</v>
      </c>
      <c r="D187" s="15">
        <v>118</v>
      </c>
      <c r="E187" s="32">
        <f t="shared" si="98"/>
        <v>5.3571428571428568E-2</v>
      </c>
      <c r="F187" s="18">
        <f>IF(ISNUMBER(D187), $B199 * E187, "")</f>
        <v>8035.7142857142853</v>
      </c>
      <c r="G187" s="31">
        <v>118</v>
      </c>
      <c r="H187" s="32">
        <f t="shared" si="99"/>
        <v>5.3571428571428568E-2</v>
      </c>
      <c r="I187" s="91">
        <f>IF(ISNUMBER(G187), $B199 * H187, "")</f>
        <v>8035.7142857142853</v>
      </c>
      <c r="J187" s="15">
        <v>118</v>
      </c>
      <c r="K187" s="32">
        <f t="shared" si="100"/>
        <v>5.3571428571428568E-2</v>
      </c>
      <c r="L187" s="18">
        <f>IF(ISNUMBER(J187), $B199 * K187, "")</f>
        <v>8035.7142857142853</v>
      </c>
      <c r="M187" s="31">
        <v>118</v>
      </c>
      <c r="N187" s="32">
        <f t="shared" si="101"/>
        <v>5.3571428571428568E-2</v>
      </c>
      <c r="O187" s="18">
        <f>IF(ISNUMBER(M187), $B199 * N187, "")</f>
        <v>8035.7142857142853</v>
      </c>
      <c r="Q187" s="33"/>
      <c r="R187" s="33"/>
    </row>
    <row r="188" spans="1:19" ht="17.25" thickBot="1">
      <c r="A188" s="114" t="s">
        <v>71</v>
      </c>
      <c r="B188" s="115">
        <v>13.1</v>
      </c>
      <c r="C188" s="72">
        <v>-4.3795620399999999E-2</v>
      </c>
      <c r="D188" s="24">
        <v>13.4</v>
      </c>
      <c r="E188" s="25">
        <f t="shared" si="98"/>
        <v>2.2900763358778681E-2</v>
      </c>
      <c r="F188" s="94">
        <f>IF(ISNUMBER(D188), $B199 * E188, "")</f>
        <v>3435.1145038168024</v>
      </c>
      <c r="G188" s="92">
        <v>13.2</v>
      </c>
      <c r="H188" s="25">
        <f t="shared" si="99"/>
        <v>7.6335877862595148E-3</v>
      </c>
      <c r="I188" s="93">
        <f>IF(ISNUMBER(G188), $B199 * H188, "")</f>
        <v>1145.0381679389272</v>
      </c>
      <c r="J188" s="24">
        <v>13.2</v>
      </c>
      <c r="K188" s="25">
        <f t="shared" si="100"/>
        <v>7.6335877862595148E-3</v>
      </c>
      <c r="L188" s="94">
        <f>IF(ISNUMBER(J188), $B199 * K188, "")</f>
        <v>1145.0381679389272</v>
      </c>
      <c r="M188" s="92">
        <v>13.2</v>
      </c>
      <c r="N188" s="25">
        <f t="shared" si="101"/>
        <v>7.6335877862595148E-3</v>
      </c>
      <c r="O188" s="94">
        <f>IF(ISNUMBER(M188), $B199 * N188, "")</f>
        <v>1145.0381679389272</v>
      </c>
      <c r="Q188" s="147"/>
      <c r="R188" s="148"/>
      <c r="S188" s="149"/>
    </row>
    <row r="189" spans="1:19">
      <c r="A189" s="107" t="s">
        <v>215</v>
      </c>
      <c r="B189" s="108">
        <v>411</v>
      </c>
      <c r="C189" s="69">
        <v>-4.4186046499999999E-2</v>
      </c>
      <c r="D189" s="13">
        <v>411</v>
      </c>
      <c r="E189" s="14">
        <f>IF(ISNUMBER(D189), (D189 - $B189) / $B189, "")</f>
        <v>0</v>
      </c>
      <c r="F189" s="16">
        <f>IF(ISNUMBER(D189), $B199 * E189, "")</f>
        <v>0</v>
      </c>
      <c r="G189" s="29">
        <v>410</v>
      </c>
      <c r="H189" s="14">
        <f>IF(ISNUMBER(G189), (G189 - $B189) / $B189, "")</f>
        <v>-2.4330900243309003E-3</v>
      </c>
      <c r="I189" s="90">
        <f>IF(ISNUMBER(G189), $B199 * H189, "")</f>
        <v>-364.96350364963507</v>
      </c>
      <c r="J189" s="13">
        <v>410</v>
      </c>
      <c r="K189" s="14">
        <f>IF(ISNUMBER(J189), (J189 - $B189) / $B189, "")</f>
        <v>-2.4330900243309003E-3</v>
      </c>
      <c r="L189" s="16">
        <f>IF(ISNUMBER(J189), $B199 * K189, "")</f>
        <v>-364.96350364963507</v>
      </c>
      <c r="M189" s="29">
        <v>410</v>
      </c>
      <c r="N189" s="14">
        <f>IF(ISNUMBER(M189), (M189 - $B189) / $B189, "")</f>
        <v>-2.4330900243309003E-3</v>
      </c>
      <c r="O189" s="16">
        <f>IF(ISNUMBER(M189), $B199 * N189, "")</f>
        <v>-364.96350364963507</v>
      </c>
      <c r="Q189" s="150"/>
      <c r="R189" s="151"/>
      <c r="S189" s="152"/>
    </row>
    <row r="190" spans="1:19" ht="17.25" thickBot="1">
      <c r="A190" s="109" t="s">
        <v>339</v>
      </c>
      <c r="B190" s="110">
        <v>1385</v>
      </c>
      <c r="C190" s="70">
        <v>-4.4827586199999998E-2</v>
      </c>
      <c r="D190" s="15">
        <v>1445</v>
      </c>
      <c r="E190" s="32">
        <f t="shared" ref="E190:E193" si="102">IF(ISNUMBER(D190), (D190 - $B190) / $B190, "")</f>
        <v>4.3321299638989168E-2</v>
      </c>
      <c r="F190" s="18">
        <f>IF(ISNUMBER(D190), $B199 * E190, "")</f>
        <v>6498.194945848375</v>
      </c>
      <c r="G190" s="31">
        <v>1465</v>
      </c>
      <c r="H190" s="32">
        <f t="shared" ref="H190:H193" si="103">IF(ISNUMBER(G190), (G190 - $B190) / $B190, "")</f>
        <v>5.7761732851985562E-2</v>
      </c>
      <c r="I190" s="91">
        <f>IF(ISNUMBER(G190), $B199 * H190, "")</f>
        <v>8664.2599277978334</v>
      </c>
      <c r="J190" s="15">
        <v>1465</v>
      </c>
      <c r="K190" s="32">
        <f t="shared" ref="K190:K193" si="104">IF(ISNUMBER(J190), (J190 - $B190) / $B190, "")</f>
        <v>5.7761732851985562E-2</v>
      </c>
      <c r="L190" s="18">
        <f>IF(ISNUMBER(J190), $B199 * K190, "")</f>
        <v>8664.2599277978334</v>
      </c>
      <c r="M190" s="31">
        <v>1465</v>
      </c>
      <c r="N190" s="32">
        <f t="shared" ref="N190:N193" si="105">IF(ISNUMBER(M190), (M190 - $B190) / $B190, "")</f>
        <v>5.7761732851985562E-2</v>
      </c>
      <c r="O190" s="18">
        <f>IF(ISNUMBER(M190), $B199 * N190, "")</f>
        <v>8664.2599277978334</v>
      </c>
      <c r="Q190" s="153"/>
      <c r="R190" s="154"/>
      <c r="S190" s="155"/>
    </row>
    <row r="191" spans="1:19" ht="17.25" thickBot="1">
      <c r="A191" s="109" t="s">
        <v>64</v>
      </c>
      <c r="B191" s="110">
        <v>12.7</v>
      </c>
      <c r="C191" s="70">
        <v>-4.5112781999999997E-2</v>
      </c>
      <c r="D191" s="15">
        <v>12.7</v>
      </c>
      <c r="E191" s="32">
        <f t="shared" si="102"/>
        <v>0</v>
      </c>
      <c r="F191" s="18">
        <f>IF(ISNUMBER(D191), $B199 * E191, "")</f>
        <v>0</v>
      </c>
      <c r="G191" s="31">
        <v>12.8</v>
      </c>
      <c r="H191" s="32">
        <f t="shared" si="103"/>
        <v>7.8740157480316087E-3</v>
      </c>
      <c r="I191" s="91">
        <f>IF(ISNUMBER(G191), $B199 * H191, "")</f>
        <v>1181.1023622047412</v>
      </c>
      <c r="J191" s="15">
        <v>12.8</v>
      </c>
      <c r="K191" s="32">
        <f t="shared" si="104"/>
        <v>7.8740157480316087E-3</v>
      </c>
      <c r="L191" s="18">
        <f>IF(ISNUMBER(J191), $B199 * K191, "")</f>
        <v>1181.1023622047412</v>
      </c>
      <c r="M191" s="31">
        <v>12.8</v>
      </c>
      <c r="N191" s="32">
        <f t="shared" si="105"/>
        <v>7.8740157480316087E-3</v>
      </c>
      <c r="O191" s="18">
        <f>IF(ISNUMBER(M191), $B199 * N191, "")</f>
        <v>1181.1023622047412</v>
      </c>
      <c r="Q191" s="146"/>
      <c r="R191" s="146"/>
      <c r="S191" s="146"/>
    </row>
    <row r="192" spans="1:19" ht="17.25" thickBot="1">
      <c r="A192" s="109" t="s">
        <v>347</v>
      </c>
      <c r="B192" s="110">
        <v>25350</v>
      </c>
      <c r="C192" s="70">
        <v>-4.8423423399999999E-2</v>
      </c>
      <c r="D192" s="15">
        <v>25750</v>
      </c>
      <c r="E192" s="32">
        <f t="shared" si="102"/>
        <v>1.5779092702169626E-2</v>
      </c>
      <c r="F192" s="18">
        <f>IF(ISNUMBER(D192), $B199 * E192, "")</f>
        <v>2366.8639053254437</v>
      </c>
      <c r="G192" s="31">
        <v>25780</v>
      </c>
      <c r="H192" s="32">
        <f t="shared" si="103"/>
        <v>1.6962524654832348E-2</v>
      </c>
      <c r="I192" s="91">
        <f>IF(ISNUMBER(G192), $B199 * H192, "")</f>
        <v>2544.3786982248521</v>
      </c>
      <c r="J192" s="15">
        <v>25780</v>
      </c>
      <c r="K192" s="32">
        <f t="shared" si="104"/>
        <v>1.6962524654832348E-2</v>
      </c>
      <c r="L192" s="18">
        <f>IF(ISNUMBER(J192), $B199 * K192, "")</f>
        <v>2544.3786982248521</v>
      </c>
      <c r="M192" s="31">
        <v>25780</v>
      </c>
      <c r="N192" s="32">
        <f t="shared" si="105"/>
        <v>1.6962524654832348E-2</v>
      </c>
      <c r="O192" s="18">
        <f>IF(ISNUMBER(M192), $B199 * N192, "")</f>
        <v>2544.3786982248521</v>
      </c>
      <c r="Q192" s="156"/>
      <c r="R192" s="156"/>
      <c r="S192" s="156"/>
    </row>
    <row r="193" spans="1:19" ht="17.25" thickBot="1">
      <c r="A193" s="111" t="s">
        <v>323</v>
      </c>
      <c r="B193" s="112">
        <v>4.6600000000000003E-2</v>
      </c>
      <c r="C193" s="71">
        <v>-4.89795918E-2</v>
      </c>
      <c r="D193" s="20">
        <v>4.6699999999999998E-2</v>
      </c>
      <c r="E193" s="21">
        <f t="shared" si="102"/>
        <v>2.1459227467810283E-3</v>
      </c>
      <c r="F193" s="22">
        <f>IF(ISNUMBER(D193), $B199 * E193, "")</f>
        <v>321.88841201715422</v>
      </c>
      <c r="G193" s="30">
        <v>4.6600000000000003E-2</v>
      </c>
      <c r="H193" s="21">
        <f t="shared" si="103"/>
        <v>0</v>
      </c>
      <c r="I193" s="95">
        <f>IF(ISNUMBER(G193), $B199 * H193, "")</f>
        <v>0</v>
      </c>
      <c r="J193" s="20">
        <v>4.6600000000000003E-2</v>
      </c>
      <c r="K193" s="21">
        <f t="shared" si="104"/>
        <v>0</v>
      </c>
      <c r="L193" s="22">
        <f>IF(ISNUMBER(J193), $B199 * K193, "")</f>
        <v>0</v>
      </c>
      <c r="M193" s="30">
        <v>4.6600000000000003E-2</v>
      </c>
      <c r="N193" s="21">
        <f t="shared" si="105"/>
        <v>0</v>
      </c>
      <c r="O193" s="22">
        <f>IF(ISNUMBER(M193), $B199 * N193, "")</f>
        <v>0</v>
      </c>
      <c r="Q193" s="156"/>
      <c r="R193" s="156"/>
      <c r="S193" s="156"/>
    </row>
    <row r="194" spans="1:19" ht="17.25" thickBot="1">
      <c r="A194" s="109" t="s">
        <v>219</v>
      </c>
      <c r="B194" s="113">
        <v>510</v>
      </c>
      <c r="C194" s="73">
        <v>-5.0279329599999999E-2</v>
      </c>
      <c r="D194" s="96">
        <v>515</v>
      </c>
      <c r="E194" s="97">
        <f>IF(ISNUMBER(D194), (D194 - $B194) / $B194, "")</f>
        <v>9.8039215686274508E-3</v>
      </c>
      <c r="F194" s="98">
        <f>IF(ISNUMBER(D194), $B199 * E194, "")</f>
        <v>1470.5882352941176</v>
      </c>
      <c r="G194" s="99">
        <v>512</v>
      </c>
      <c r="H194" s="97">
        <f>IF(ISNUMBER(G194), (G194 - $B194) / $B194, "")</f>
        <v>3.9215686274509803E-3</v>
      </c>
      <c r="I194" s="100">
        <f>IF(ISNUMBER(G194), $B199 * H194, "")</f>
        <v>588.23529411764707</v>
      </c>
      <c r="J194" s="96">
        <v>512</v>
      </c>
      <c r="K194" s="97">
        <f>IF(ISNUMBER(J194), (J194 - $B194) / $B194, "")</f>
        <v>3.9215686274509803E-3</v>
      </c>
      <c r="L194" s="98">
        <f>IF(ISNUMBER(J194), $B199 * K194, "")</f>
        <v>588.23529411764707</v>
      </c>
      <c r="M194" s="99">
        <v>512</v>
      </c>
      <c r="N194" s="97">
        <f>IF(ISNUMBER(M194), (M194 - $B194) / $B194, "")</f>
        <v>3.9215686274509803E-3</v>
      </c>
      <c r="O194" s="98">
        <f>IF(ISNUMBER(M194), $B199 * N194, "")</f>
        <v>588.23529411764707</v>
      </c>
      <c r="Q194" s="146"/>
      <c r="R194" s="146"/>
      <c r="S194" s="146"/>
    </row>
    <row r="195" spans="1:19" ht="17.25" thickBot="1">
      <c r="A195" s="109" t="s">
        <v>235</v>
      </c>
      <c r="B195" s="110">
        <v>729</v>
      </c>
      <c r="C195" s="70">
        <v>-5.078125E-2</v>
      </c>
      <c r="D195" s="15">
        <v>719</v>
      </c>
      <c r="E195" s="32">
        <f t="shared" ref="E195:E198" si="106">IF(ISNUMBER(D195), (D195 - $B195) / $B195, "")</f>
        <v>-1.3717421124828532E-2</v>
      </c>
      <c r="F195" s="18">
        <f>IF(ISNUMBER(D195), $B199 * E195, "")</f>
        <v>-2057.6131687242796</v>
      </c>
      <c r="G195" s="31">
        <v>717</v>
      </c>
      <c r="H195" s="32">
        <f t="shared" ref="H195:H198" si="107">IF(ISNUMBER(G195), (G195 - $B195) / $B195, "")</f>
        <v>-1.646090534979424E-2</v>
      </c>
      <c r="I195" s="91">
        <f>IF(ISNUMBER(G195), $B199 * H195, "")</f>
        <v>-2469.1358024691358</v>
      </c>
      <c r="J195" s="15">
        <v>717</v>
      </c>
      <c r="K195" s="32">
        <f t="shared" ref="K195:K198" si="108">IF(ISNUMBER(J195), (J195 - $B195) / $B195, "")</f>
        <v>-1.646090534979424E-2</v>
      </c>
      <c r="L195" s="18">
        <f>IF(ISNUMBER(J195), $B199 * K195, "")</f>
        <v>-2469.1358024691358</v>
      </c>
      <c r="M195" s="31">
        <v>717</v>
      </c>
      <c r="N195" s="32">
        <f t="shared" ref="N195:N198" si="109">IF(ISNUMBER(M195), (M195 - $B195) / $B195, "")</f>
        <v>-1.646090534979424E-2</v>
      </c>
      <c r="O195" s="18">
        <f>IF(ISNUMBER(M195), $B199 * N195, "")</f>
        <v>-2469.1358024691358</v>
      </c>
      <c r="Q195" s="146"/>
      <c r="R195" s="146"/>
      <c r="S195" s="146"/>
    </row>
    <row r="196" spans="1:19" ht="17.25" thickBot="1">
      <c r="A196" s="109" t="s">
        <v>153</v>
      </c>
      <c r="B196" s="110">
        <v>490</v>
      </c>
      <c r="C196" s="70">
        <v>-5.4054054099999999E-2</v>
      </c>
      <c r="D196" s="15">
        <v>487</v>
      </c>
      <c r="E196" s="32">
        <f t="shared" si="106"/>
        <v>-6.1224489795918364E-3</v>
      </c>
      <c r="F196" s="18">
        <f>IF(ISNUMBER(D196), $B199 * E196, "")</f>
        <v>-918.36734693877543</v>
      </c>
      <c r="G196" s="31">
        <v>487</v>
      </c>
      <c r="H196" s="32">
        <f t="shared" si="107"/>
        <v>-6.1224489795918364E-3</v>
      </c>
      <c r="I196" s="91">
        <f>IF(ISNUMBER(G196), $B199 * H196, "")</f>
        <v>-918.36734693877543</v>
      </c>
      <c r="J196" s="15">
        <v>487</v>
      </c>
      <c r="K196" s="32">
        <f t="shared" si="108"/>
        <v>-6.1224489795918364E-3</v>
      </c>
      <c r="L196" s="18">
        <f>IF(ISNUMBER(J196), $B199 * K196, "")</f>
        <v>-918.36734693877543</v>
      </c>
      <c r="M196" s="31">
        <v>487</v>
      </c>
      <c r="N196" s="32">
        <f t="shared" si="109"/>
        <v>-6.1224489795918364E-3</v>
      </c>
      <c r="O196" s="18">
        <f>IF(ISNUMBER(M196), $B199 * N196, "")</f>
        <v>-918.36734693877543</v>
      </c>
      <c r="Q196" s="146"/>
      <c r="R196" s="146"/>
      <c r="S196" s="146"/>
    </row>
    <row r="197" spans="1:19">
      <c r="A197" s="109" t="s">
        <v>341</v>
      </c>
      <c r="B197" s="110">
        <v>960</v>
      </c>
      <c r="C197" s="70">
        <v>-5.4187192100000003E-2</v>
      </c>
      <c r="D197" s="15">
        <v>985</v>
      </c>
      <c r="E197" s="32">
        <f t="shared" si="106"/>
        <v>2.6041666666666668E-2</v>
      </c>
      <c r="F197" s="18">
        <f>IF(ISNUMBER(D197), $B199 * E197, "")</f>
        <v>3906.25</v>
      </c>
      <c r="G197" s="31">
        <v>971</v>
      </c>
      <c r="H197" s="32">
        <f t="shared" si="107"/>
        <v>1.1458333333333333E-2</v>
      </c>
      <c r="I197" s="91">
        <f>IF(ISNUMBER(G197), $B199 * H197, "")</f>
        <v>1718.7499999999998</v>
      </c>
      <c r="J197" s="15">
        <v>971</v>
      </c>
      <c r="K197" s="32">
        <f t="shared" si="108"/>
        <v>1.1458333333333333E-2</v>
      </c>
      <c r="L197" s="18">
        <f>IF(ISNUMBER(J197), $B199 * K197, "")</f>
        <v>1718.7499999999998</v>
      </c>
      <c r="M197" s="31">
        <v>971</v>
      </c>
      <c r="N197" s="32">
        <f t="shared" si="109"/>
        <v>1.1458333333333333E-2</v>
      </c>
      <c r="O197" s="18">
        <f>IF(ISNUMBER(M197), $B199 * N197, "")</f>
        <v>1718.7499999999998</v>
      </c>
      <c r="Q197" s="135"/>
      <c r="R197" s="136"/>
      <c r="S197" s="137"/>
    </row>
    <row r="198" spans="1:19" ht="17.25" thickBot="1">
      <c r="A198" s="114" t="s">
        <v>349</v>
      </c>
      <c r="B198" s="115">
        <v>57.9</v>
      </c>
      <c r="C198" s="72">
        <v>-6.1588330599999998E-2</v>
      </c>
      <c r="D198" s="24">
        <v>56.7</v>
      </c>
      <c r="E198" s="25">
        <f t="shared" si="106"/>
        <v>-2.0725388601036197E-2</v>
      </c>
      <c r="F198" s="94">
        <f>IF(ISNUMBER(D198), $B199 * E198, "")</f>
        <v>-3108.8082901554294</v>
      </c>
      <c r="G198" s="92">
        <v>57</v>
      </c>
      <c r="H198" s="25">
        <f t="shared" si="107"/>
        <v>-1.5544041450777177E-2</v>
      </c>
      <c r="I198" s="93">
        <f>IF(ISNUMBER(G198), $B199 * H198, "")</f>
        <v>-2331.6062176165765</v>
      </c>
      <c r="J198" s="24">
        <v>57</v>
      </c>
      <c r="K198" s="25">
        <f t="shared" si="108"/>
        <v>-1.5544041450777177E-2</v>
      </c>
      <c r="L198" s="94">
        <f>IF(ISNUMBER(J198), $B199 * K198, "")</f>
        <v>-2331.6062176165765</v>
      </c>
      <c r="M198" s="92">
        <v>57</v>
      </c>
      <c r="N198" s="25">
        <f t="shared" si="109"/>
        <v>-1.5544041450777177E-2</v>
      </c>
      <c r="O198" s="94">
        <f>IF(ISNUMBER(M198), $B199 * N198, "")</f>
        <v>-2331.6062176165765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1.4155211604114556E-2</v>
      </c>
      <c r="F199" s="28">
        <f>SUM(F179:F198)</f>
        <v>42465.634812343662</v>
      </c>
      <c r="G199" s="26" t="s">
        <v>258</v>
      </c>
      <c r="H199" s="27">
        <f>IF(COUNT(H179:H198), SUM(H179:H198) / COUNT(H179:H198), 0)</f>
        <v>1.4351509953108438E-2</v>
      </c>
      <c r="I199" s="28">
        <f>SUM(I179:I198)</f>
        <v>43054.52985932531</v>
      </c>
      <c r="J199" s="26" t="s">
        <v>258</v>
      </c>
      <c r="K199" s="27">
        <f>IF(COUNT(K179:K198), SUM(K179:K198) / COUNT(K179:K198), 0)</f>
        <v>1.4351509953108438E-2</v>
      </c>
      <c r="L199" s="28">
        <f>SUM(L179:L198)</f>
        <v>43054.52985932531</v>
      </c>
      <c r="M199" s="26" t="s">
        <v>258</v>
      </c>
      <c r="N199" s="27">
        <f>IF(COUNT(N179:N198), SUM(N179:N198) / COUNT(N179:N198), 0)</f>
        <v>1.4351509953108438E-2</v>
      </c>
      <c r="O199" s="28">
        <f>SUM(O179:O198)</f>
        <v>43054.52985932531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35EFF-B076-4B5A-9FE0-09DED44E1BA6}">
  <sheetPr codeName="Sheet32"/>
  <dimension ref="A1:S199"/>
  <sheetViews>
    <sheetView tabSelected="1" topLeftCell="A18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44957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-13,194 KRW (-0.44%)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-1,073 KRW (-0.04%)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22,298 KRW (0.74%)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44,124 KRW (1.47%)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29052000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1.2053229299999999E-2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2023-01-31(화) 오전 00:00</v>
      </c>
      <c r="C15" s="196"/>
      <c r="D15" s="170" t="str">
        <f>TEXT($G$1, "[$-ko-KR]yyyy-mm-dd(ddd) ") &amp; "오후 14:00"</f>
        <v>2023-01-31(화) 오후 14:00</v>
      </c>
      <c r="E15" s="171"/>
      <c r="F15" s="172"/>
      <c r="G15" s="170" t="str">
        <f>TEXT($G$1, "[$-ko-KR]yyyy-mm-dd(ddd) ") &amp; "오후 19:00"</f>
        <v>2023-01-31(화) 오후 19:00</v>
      </c>
      <c r="H15" s="171"/>
      <c r="I15" s="172"/>
      <c r="J15" s="170" t="str">
        <f>TEXT($G$1, "[$-ko-KR]yyyy-mm-dd(ddd) ") &amp; "오후 21:00"</f>
        <v>2023-01-31(화) 오후 21:00</v>
      </c>
      <c r="K15" s="171"/>
      <c r="L15" s="172"/>
      <c r="M15" s="170" t="str">
        <f>TEXT($G$1+1, "[$-ko-KR]yyyy-mm-dd(ddd) ") &amp; "오전 00:00"</f>
        <v>2023-02-01(수)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29052000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1.2053229299999999E-2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2023-01-31(화) 오전 00:00</v>
      </c>
      <c r="C42" s="198"/>
      <c r="D42" s="170" t="str">
        <f>TEXT($G$1, "[$-ko-KR]yyyy-mm-dd(ddd) ") &amp; "오후 14:00"</f>
        <v>2023-01-31(화) 오후 14:00</v>
      </c>
      <c r="E42" s="171"/>
      <c r="F42" s="172"/>
      <c r="G42" s="170" t="str">
        <f>TEXT($G$1, "[$-ko-KR]yyyy-mm-dd(ddd) ") &amp; "오후 19:00"</f>
        <v>2023-01-31(화) 오후 19:00</v>
      </c>
      <c r="H42" s="171"/>
      <c r="I42" s="172"/>
      <c r="J42" s="170" t="str">
        <f>TEXT($G$1, "[$-ko-KR]yyyy-mm-dd(ddd) ") &amp; "오후 21:00"</f>
        <v>2023-01-31(화) 오후 21:00</v>
      </c>
      <c r="K42" s="171"/>
      <c r="L42" s="172"/>
      <c r="M42" s="170" t="str">
        <f>TEXT($G$1+1, "[$-ko-KR]yyyy-mm-dd(ddd) ") &amp; "오전 00:00"</f>
        <v>2023-02-01(수)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349</v>
      </c>
      <c r="B44" s="108">
        <v>66.7</v>
      </c>
      <c r="C44" s="69">
        <v>0.24672897199999999</v>
      </c>
      <c r="D44" s="13">
        <v>60.6</v>
      </c>
      <c r="E44" s="14">
        <f>IF(ISNUMBER(D44), (D44 - $B44) / $B44, "")</f>
        <v>-9.1454272863568234E-2</v>
      </c>
      <c r="F44" s="16">
        <f>IF(ISNUMBER(D44), $B64 * E44, "")</f>
        <v>-13718.140929535235</v>
      </c>
      <c r="G44" s="29">
        <v>60.6</v>
      </c>
      <c r="H44" s="14">
        <f>IF(ISNUMBER(G44), (G44 - $B44) / $B44, "")</f>
        <v>-9.1454272863568234E-2</v>
      </c>
      <c r="I44" s="90">
        <f>IF(ISNUMBER(G44), $B64 * H44, "")</f>
        <v>-13718.140929535235</v>
      </c>
      <c r="J44" s="13">
        <v>60.6</v>
      </c>
      <c r="K44" s="14">
        <f>IF(ISNUMBER(J44), (J44 - $B44) / $B44, "")</f>
        <v>-9.1454272863568234E-2</v>
      </c>
      <c r="L44" s="16">
        <f>IF(ISNUMBER(J44), $B64 * K44, "")</f>
        <v>-13718.140929535235</v>
      </c>
      <c r="M44" s="29">
        <v>60.6</v>
      </c>
      <c r="N44" s="14">
        <f>IF(ISNUMBER(M44), (M44 - $B44) / $B44, "")</f>
        <v>-9.1454272863568234E-2</v>
      </c>
      <c r="O44" s="16">
        <f>IF(ISNUMBER(M44), $B64 * N44, "")</f>
        <v>-13718.140929535235</v>
      </c>
      <c r="Q44" s="156"/>
      <c r="R44" s="156"/>
      <c r="S44" s="156"/>
    </row>
    <row r="45" spans="1:19" ht="17.25" customHeight="1" thickBot="1">
      <c r="A45" s="109" t="s">
        <v>132</v>
      </c>
      <c r="B45" s="110">
        <v>68.599999999999994</v>
      </c>
      <c r="C45" s="70">
        <v>4.7328244300000002E-2</v>
      </c>
      <c r="D45" s="15">
        <v>68.099999999999994</v>
      </c>
      <c r="E45" s="32">
        <f t="shared" ref="E45:E48" si="14">IF(ISNUMBER(D45), (D45 - $B45) / $B45, "")</f>
        <v>-7.28862973760933E-3</v>
      </c>
      <c r="F45" s="18">
        <f>IF(ISNUMBER(D45), $B64 * E45, "")</f>
        <v>-1093.2944606413996</v>
      </c>
      <c r="G45" s="31">
        <v>68.099999999999994</v>
      </c>
      <c r="H45" s="32">
        <f t="shared" ref="H45:H48" si="15">IF(ISNUMBER(G45), (G45 - $B45) / $B45, "")</f>
        <v>-7.28862973760933E-3</v>
      </c>
      <c r="I45" s="91">
        <f>IF(ISNUMBER(G45), $B64 * H45, "")</f>
        <v>-1093.2944606413996</v>
      </c>
      <c r="J45" s="15">
        <v>68.099999999999994</v>
      </c>
      <c r="K45" s="32">
        <f t="shared" ref="K45:K48" si="16">IF(ISNUMBER(J45), (J45 - $B45) / $B45, "")</f>
        <v>-7.28862973760933E-3</v>
      </c>
      <c r="L45" s="18">
        <f>IF(ISNUMBER(J45), $B64 * K45, "")</f>
        <v>-1093.2944606413996</v>
      </c>
      <c r="M45" s="31">
        <v>68.099999999999994</v>
      </c>
      <c r="N45" s="32">
        <f t="shared" ref="N45:N48" si="17">IF(ISNUMBER(M45), (M45 - $B45) / $B45, "")</f>
        <v>-7.28862973760933E-3</v>
      </c>
      <c r="O45" s="18">
        <f>IF(ISNUMBER(M45), $B64 * N45, "")</f>
        <v>-1093.2944606413996</v>
      </c>
      <c r="Q45" s="156"/>
      <c r="R45" s="156"/>
      <c r="S45" s="156"/>
    </row>
    <row r="46" spans="1:19" ht="17.25" customHeight="1" thickBot="1">
      <c r="A46" s="109" t="s">
        <v>191</v>
      </c>
      <c r="B46" s="110">
        <v>70</v>
      </c>
      <c r="C46" s="70">
        <v>4.4776119400000002E-2</v>
      </c>
      <c r="D46" s="15">
        <v>69.7</v>
      </c>
      <c r="E46" s="32">
        <f t="shared" si="14"/>
        <v>-4.2857142857142452E-3</v>
      </c>
      <c r="F46" s="18">
        <f>IF(ISNUMBER(D46), $B64 * E46, "")</f>
        <v>-642.85714285713675</v>
      </c>
      <c r="G46" s="31">
        <v>69.7</v>
      </c>
      <c r="H46" s="32">
        <f t="shared" si="15"/>
        <v>-4.2857142857142452E-3</v>
      </c>
      <c r="I46" s="91">
        <f>IF(ISNUMBER(G46), $B64 * H46, "")</f>
        <v>-642.85714285713675</v>
      </c>
      <c r="J46" s="15">
        <v>69.7</v>
      </c>
      <c r="K46" s="32">
        <f t="shared" si="16"/>
        <v>-4.2857142857142452E-3</v>
      </c>
      <c r="L46" s="18">
        <f>IF(ISNUMBER(J46), $B64 * K46, "")</f>
        <v>-642.85714285713675</v>
      </c>
      <c r="M46" s="31">
        <v>69.7</v>
      </c>
      <c r="N46" s="32">
        <f t="shared" si="17"/>
        <v>-4.2857142857142452E-3</v>
      </c>
      <c r="O46" s="18">
        <f>IF(ISNUMBER(M46), $B64 * N46, "")</f>
        <v>-642.85714285713675</v>
      </c>
      <c r="Q46" s="146"/>
      <c r="R46" s="146"/>
      <c r="S46" s="146"/>
    </row>
    <row r="47" spans="1:19" ht="17.25" customHeight="1" thickBot="1">
      <c r="A47" s="109" t="s">
        <v>197</v>
      </c>
      <c r="B47" s="110">
        <v>7.95</v>
      </c>
      <c r="C47" s="70">
        <v>3.9215686299999997E-2</v>
      </c>
      <c r="D47" s="15">
        <v>7.9</v>
      </c>
      <c r="E47" s="32">
        <f t="shared" si="14"/>
        <v>-6.2893081761006067E-3</v>
      </c>
      <c r="F47" s="18">
        <f>IF(ISNUMBER(D47), $B64 * E47, "")</f>
        <v>-943.39622641509106</v>
      </c>
      <c r="G47" s="31">
        <v>7.9</v>
      </c>
      <c r="H47" s="32">
        <f t="shared" si="15"/>
        <v>-6.2893081761006067E-3</v>
      </c>
      <c r="I47" s="91">
        <f>IF(ISNUMBER(G47), $B64 * H47, "")</f>
        <v>-943.39622641509106</v>
      </c>
      <c r="J47" s="15">
        <v>7.9</v>
      </c>
      <c r="K47" s="32">
        <f t="shared" si="16"/>
        <v>-6.2893081761006067E-3</v>
      </c>
      <c r="L47" s="18">
        <f>IF(ISNUMBER(J47), $B64 * K47, "")</f>
        <v>-943.39622641509106</v>
      </c>
      <c r="M47" s="31">
        <v>7.9</v>
      </c>
      <c r="N47" s="32">
        <f t="shared" si="17"/>
        <v>-6.2893081761006067E-3</v>
      </c>
      <c r="O47" s="18">
        <f>IF(ISNUMBER(M47), $B64 * N47, "")</f>
        <v>-943.39622641509106</v>
      </c>
      <c r="Q47" s="146"/>
      <c r="R47" s="146"/>
      <c r="S47" s="146"/>
    </row>
    <row r="48" spans="1:19" ht="17.25" customHeight="1" thickBot="1">
      <c r="A48" s="111" t="s">
        <v>323</v>
      </c>
      <c r="B48" s="112">
        <v>4.4699999999999997E-2</v>
      </c>
      <c r="C48" s="71">
        <v>3.2332563500000001E-2</v>
      </c>
      <c r="D48" s="20">
        <v>4.4499999999999998E-2</v>
      </c>
      <c r="E48" s="21">
        <f t="shared" si="14"/>
        <v>-4.4742729306487426E-3</v>
      </c>
      <c r="F48" s="22">
        <f>IF(ISNUMBER(D48), $B64 * E48, "")</f>
        <v>-671.14093959731144</v>
      </c>
      <c r="G48" s="30">
        <v>4.4499999999999998E-2</v>
      </c>
      <c r="H48" s="21">
        <f t="shared" si="15"/>
        <v>-4.4742729306487426E-3</v>
      </c>
      <c r="I48" s="95">
        <f>IF(ISNUMBER(G48), $B64 * H48, "")</f>
        <v>-671.14093959731144</v>
      </c>
      <c r="J48" s="20">
        <v>4.4499999999999998E-2</v>
      </c>
      <c r="K48" s="21">
        <f t="shared" si="16"/>
        <v>-4.4742729306487426E-3</v>
      </c>
      <c r="L48" s="22">
        <f>IF(ISNUMBER(J48), $B64 * K48, "")</f>
        <v>-671.14093959731144</v>
      </c>
      <c r="M48" s="30">
        <v>4.4499999999999998E-2</v>
      </c>
      <c r="N48" s="21">
        <f t="shared" si="17"/>
        <v>-4.4742729306487426E-3</v>
      </c>
      <c r="O48" s="22">
        <f>IF(ISNUMBER(M48), $B64 * N48, "")</f>
        <v>-671.14093959731144</v>
      </c>
      <c r="Q48" s="146"/>
      <c r="R48" s="146"/>
      <c r="S48" s="146"/>
    </row>
    <row r="49" spans="1:19" ht="17.25" customHeight="1" thickBot="1">
      <c r="A49" s="109" t="s">
        <v>143</v>
      </c>
      <c r="B49" s="113">
        <v>4.3600000000000003</v>
      </c>
      <c r="C49" s="73">
        <v>3.07328605E-2</v>
      </c>
      <c r="D49" s="96">
        <v>4.41</v>
      </c>
      <c r="E49" s="97">
        <f>IF(ISNUMBER(D49), (D49 - $B49) / $B49, "")</f>
        <v>1.146788990825684E-2</v>
      </c>
      <c r="F49" s="98">
        <f>IF(ISNUMBER(D49), $B64 * E49, "")</f>
        <v>1720.183486238526</v>
      </c>
      <c r="G49" s="99">
        <v>4.41</v>
      </c>
      <c r="H49" s="97">
        <f>IF(ISNUMBER(G49), (G49 - $B49) / $B49, "")</f>
        <v>1.146788990825684E-2</v>
      </c>
      <c r="I49" s="100">
        <f>IF(ISNUMBER(G49), $B64 * H49, "")</f>
        <v>1720.183486238526</v>
      </c>
      <c r="J49" s="96">
        <v>4.41</v>
      </c>
      <c r="K49" s="97">
        <f>IF(ISNUMBER(J49), (J49 - $B49) / $B49, "")</f>
        <v>1.146788990825684E-2</v>
      </c>
      <c r="L49" s="98">
        <f>IF(ISNUMBER(J49), $B64 * K49, "")</f>
        <v>1720.183486238526</v>
      </c>
      <c r="M49" s="99">
        <v>4.41</v>
      </c>
      <c r="N49" s="97">
        <f>IF(ISNUMBER(M49), (M49 - $B49) / $B49, "")</f>
        <v>1.146788990825684E-2</v>
      </c>
      <c r="O49" s="98">
        <f>IF(ISNUMBER(M49), $B64 * N49, "")</f>
        <v>1720.183486238526</v>
      </c>
      <c r="Q49" s="146"/>
      <c r="R49" s="146"/>
      <c r="S49" s="146"/>
    </row>
    <row r="50" spans="1:19" ht="17.25" customHeight="1" thickBot="1">
      <c r="A50" s="109" t="s">
        <v>237</v>
      </c>
      <c r="B50" s="110">
        <v>32.799999999999997</v>
      </c>
      <c r="C50" s="70">
        <v>2.5000000000000001E-2</v>
      </c>
      <c r="D50" s="15">
        <v>32.700000000000003</v>
      </c>
      <c r="E50" s="32">
        <f t="shared" ref="E50:E53" si="18">IF(ISNUMBER(D50), (D50 - $B50) / $B50, "")</f>
        <v>-3.0487804878047051E-3</v>
      </c>
      <c r="F50" s="18">
        <f>IF(ISNUMBER(D50), $B64 * E50, "")</f>
        <v>-457.31707317070578</v>
      </c>
      <c r="G50" s="31">
        <v>32.700000000000003</v>
      </c>
      <c r="H50" s="32">
        <f t="shared" ref="H50:H53" si="19">IF(ISNUMBER(G50), (G50 - $B50) / $B50, "")</f>
        <v>-3.0487804878047051E-3</v>
      </c>
      <c r="I50" s="91">
        <f>IF(ISNUMBER(G50), $B64 * H50, "")</f>
        <v>-457.31707317070578</v>
      </c>
      <c r="J50" s="15">
        <v>32.700000000000003</v>
      </c>
      <c r="K50" s="32">
        <f t="shared" ref="K50:K53" si="20">IF(ISNUMBER(J50), (J50 - $B50) / $B50, "")</f>
        <v>-3.0487804878047051E-3</v>
      </c>
      <c r="L50" s="18">
        <f>IF(ISNUMBER(J50), $B64 * K50, "")</f>
        <v>-457.31707317070578</v>
      </c>
      <c r="M50" s="31">
        <v>32.700000000000003</v>
      </c>
      <c r="N50" s="32">
        <f t="shared" ref="N50:N53" si="21">IF(ISNUMBER(M50), (M50 - $B50) / $B50, "")</f>
        <v>-3.0487804878047051E-3</v>
      </c>
      <c r="O50" s="18">
        <f>IF(ISNUMBER(M50), $B64 * N50, "")</f>
        <v>-457.31707317070578</v>
      </c>
      <c r="Q50" s="146"/>
      <c r="R50" s="146"/>
      <c r="S50" s="146"/>
    </row>
    <row r="51" spans="1:19" ht="17.25" customHeight="1" thickBot="1">
      <c r="A51" s="109" t="s">
        <v>225</v>
      </c>
      <c r="B51" s="110">
        <v>63.2</v>
      </c>
      <c r="C51" s="70">
        <v>1.7713365500000001E-2</v>
      </c>
      <c r="D51" s="15">
        <v>63.3</v>
      </c>
      <c r="E51" s="32">
        <f t="shared" si="18"/>
        <v>1.5822784810125682E-3</v>
      </c>
      <c r="F51" s="18">
        <f>IF(ISNUMBER(D51), $B64 * E51, "")</f>
        <v>237.34177215188524</v>
      </c>
      <c r="G51" s="31">
        <v>63.3</v>
      </c>
      <c r="H51" s="32">
        <f t="shared" si="19"/>
        <v>1.5822784810125682E-3</v>
      </c>
      <c r="I51" s="91">
        <f>IF(ISNUMBER(G51), $B64 * H51, "")</f>
        <v>237.34177215188524</v>
      </c>
      <c r="J51" s="15">
        <v>63.3</v>
      </c>
      <c r="K51" s="32">
        <f t="shared" si="20"/>
        <v>1.5822784810125682E-3</v>
      </c>
      <c r="L51" s="18">
        <f>IF(ISNUMBER(J51), $B64 * K51, "")</f>
        <v>237.34177215188524</v>
      </c>
      <c r="M51" s="31">
        <v>63.3</v>
      </c>
      <c r="N51" s="32">
        <f t="shared" si="21"/>
        <v>1.5822784810125682E-3</v>
      </c>
      <c r="O51" s="18">
        <f>IF(ISNUMBER(M51), $B64 * N51, "")</f>
        <v>237.34177215188524</v>
      </c>
      <c r="Q51" s="146"/>
      <c r="R51" s="146"/>
      <c r="S51" s="146"/>
    </row>
    <row r="52" spans="1:19" ht="17.25" customHeight="1" thickBot="1">
      <c r="A52" s="109" t="s">
        <v>352</v>
      </c>
      <c r="B52" s="110">
        <v>1.47E-2</v>
      </c>
      <c r="C52" s="70">
        <v>1.3793103399999999E-2</v>
      </c>
      <c r="D52" s="15">
        <v>1.4800000000000001E-2</v>
      </c>
      <c r="E52" s="32">
        <f t="shared" si="18"/>
        <v>6.8027210884354511E-3</v>
      </c>
      <c r="F52" s="18">
        <f>IF(ISNUMBER(D52), $B64 * E52, "")</f>
        <v>1020.4081632653176</v>
      </c>
      <c r="G52" s="31">
        <v>1.4800000000000001E-2</v>
      </c>
      <c r="H52" s="32">
        <f t="shared" si="19"/>
        <v>6.8027210884354511E-3</v>
      </c>
      <c r="I52" s="91">
        <f>IF(ISNUMBER(G52), $B64 * H52, "")</f>
        <v>1020.4081632653176</v>
      </c>
      <c r="J52" s="15">
        <v>1.4800000000000001E-2</v>
      </c>
      <c r="K52" s="32">
        <f t="shared" si="20"/>
        <v>6.8027210884354511E-3</v>
      </c>
      <c r="L52" s="18">
        <f>IF(ISNUMBER(J52), $B64 * K52, "")</f>
        <v>1020.4081632653176</v>
      </c>
      <c r="M52" s="31">
        <v>1.4800000000000001E-2</v>
      </c>
      <c r="N52" s="32">
        <f t="shared" si="21"/>
        <v>6.8027210884354511E-3</v>
      </c>
      <c r="O52" s="18">
        <f>IF(ISNUMBER(M52), $B64 * N52, "")</f>
        <v>1020.4081632653176</v>
      </c>
      <c r="Q52" s="33"/>
      <c r="R52" s="33"/>
    </row>
    <row r="53" spans="1:19" ht="17.25" customHeight="1" thickBot="1">
      <c r="A53" s="114" t="s">
        <v>207</v>
      </c>
      <c r="B53" s="115">
        <v>73.599999999999994</v>
      </c>
      <c r="C53" s="72">
        <v>1.3774104699999999E-2</v>
      </c>
      <c r="D53" s="24">
        <v>73.400000000000006</v>
      </c>
      <c r="E53" s="25">
        <f t="shared" si="18"/>
        <v>-2.7173913043476716E-3</v>
      </c>
      <c r="F53" s="94">
        <f>IF(ISNUMBER(D53), $B64 * E53, "")</f>
        <v>-407.60869565215074</v>
      </c>
      <c r="G53" s="92">
        <v>73.400000000000006</v>
      </c>
      <c r="H53" s="25">
        <f t="shared" si="19"/>
        <v>-2.7173913043476716E-3</v>
      </c>
      <c r="I53" s="93">
        <f>IF(ISNUMBER(G53), $B64 * H53, "")</f>
        <v>-407.60869565215074</v>
      </c>
      <c r="J53" s="24">
        <v>73.400000000000006</v>
      </c>
      <c r="K53" s="25">
        <f t="shared" si="20"/>
        <v>-2.7173913043476716E-3</v>
      </c>
      <c r="L53" s="94">
        <f>IF(ISNUMBER(J53), $B64 * K53, "")</f>
        <v>-407.60869565215074</v>
      </c>
      <c r="M53" s="92">
        <v>73.400000000000006</v>
      </c>
      <c r="N53" s="25">
        <f t="shared" si="21"/>
        <v>-2.7173913043476716E-3</v>
      </c>
      <c r="O53" s="94">
        <f>IF(ISNUMBER(M53), $B64 * N53, "")</f>
        <v>-407.60869565215074</v>
      </c>
      <c r="Q53" s="147"/>
      <c r="R53" s="148"/>
      <c r="S53" s="149"/>
    </row>
    <row r="54" spans="1:19" ht="17.25" customHeight="1">
      <c r="A54" s="107" t="s">
        <v>185</v>
      </c>
      <c r="B54" s="108">
        <v>36.299999999999997</v>
      </c>
      <c r="C54" s="69">
        <v>1.1142061300000001E-2</v>
      </c>
      <c r="D54" s="13">
        <v>36.299999999999997</v>
      </c>
      <c r="E54" s="14">
        <f>IF(ISNUMBER(D54), (D54 - $B54) / $B54, "")</f>
        <v>0</v>
      </c>
      <c r="F54" s="16">
        <f>IF(ISNUMBER(D54), $B64 * E54, "")</f>
        <v>0</v>
      </c>
      <c r="G54" s="29">
        <v>36.299999999999997</v>
      </c>
      <c r="H54" s="14">
        <f>IF(ISNUMBER(G54), (G54 - $B54) / $B54, "")</f>
        <v>0</v>
      </c>
      <c r="I54" s="90">
        <f>IF(ISNUMBER(G54), $B64 * H54, "")</f>
        <v>0</v>
      </c>
      <c r="J54" s="13">
        <v>36.299999999999997</v>
      </c>
      <c r="K54" s="14">
        <f>IF(ISNUMBER(J54), (J54 - $B54) / $B54, "")</f>
        <v>0</v>
      </c>
      <c r="L54" s="16">
        <f>IF(ISNUMBER(J54), $B64 * K54, "")</f>
        <v>0</v>
      </c>
      <c r="M54" s="29">
        <v>36.299999999999997</v>
      </c>
      <c r="N54" s="14">
        <f>IF(ISNUMBER(M54), (M54 - $B54) / $B54, "")</f>
        <v>0</v>
      </c>
      <c r="O54" s="16">
        <f>IF(ISNUMBER(M54), $B64 * N54, "")</f>
        <v>0</v>
      </c>
      <c r="Q54" s="150"/>
      <c r="R54" s="151"/>
      <c r="S54" s="152"/>
    </row>
    <row r="55" spans="1:19" ht="17.25" customHeight="1" thickBot="1">
      <c r="A55" s="109" t="s">
        <v>227</v>
      </c>
      <c r="B55" s="110">
        <v>50.2</v>
      </c>
      <c r="C55" s="70">
        <v>1.0060362200000001E-2</v>
      </c>
      <c r="D55" s="15">
        <v>50.2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50.2</v>
      </c>
      <c r="H55" s="32">
        <f t="shared" ref="H55:H58" si="23">IF(ISNUMBER(G55), (G55 - $B55) / $B55, "")</f>
        <v>0</v>
      </c>
      <c r="I55" s="91">
        <f>IF(ISNUMBER(G55), $B64 * H55, "")</f>
        <v>0</v>
      </c>
      <c r="J55" s="15">
        <v>50.2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50.2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153"/>
      <c r="R55" s="154"/>
      <c r="S55" s="155"/>
    </row>
    <row r="56" spans="1:19" ht="17.25" customHeight="1" thickBot="1">
      <c r="A56" s="109" t="s">
        <v>138</v>
      </c>
      <c r="B56" s="110">
        <v>31.8</v>
      </c>
      <c r="C56" s="70">
        <v>9.5238094999999991E-3</v>
      </c>
      <c r="D56" s="15">
        <v>32.200000000000003</v>
      </c>
      <c r="E56" s="32">
        <f t="shared" si="22"/>
        <v>1.2578616352201324E-2</v>
      </c>
      <c r="F56" s="18">
        <f>IF(ISNUMBER(D56), $B64 * E56, "")</f>
        <v>1886.7924528301987</v>
      </c>
      <c r="G56" s="31">
        <v>32.200000000000003</v>
      </c>
      <c r="H56" s="32">
        <f t="shared" si="23"/>
        <v>1.2578616352201324E-2</v>
      </c>
      <c r="I56" s="91">
        <f>IF(ISNUMBER(G56), $B64 * H56, "")</f>
        <v>1886.7924528301987</v>
      </c>
      <c r="J56" s="15">
        <v>32.200000000000003</v>
      </c>
      <c r="K56" s="32">
        <f t="shared" si="24"/>
        <v>1.2578616352201324E-2</v>
      </c>
      <c r="L56" s="18">
        <f>IF(ISNUMBER(J56), $B64 * K56, "")</f>
        <v>1886.7924528301987</v>
      </c>
      <c r="M56" s="31">
        <v>32.200000000000003</v>
      </c>
      <c r="N56" s="32">
        <f t="shared" si="25"/>
        <v>1.2578616352201324E-2</v>
      </c>
      <c r="O56" s="18">
        <f>IF(ISNUMBER(M56), $B64 * N56, "")</f>
        <v>1886.7924528301987</v>
      </c>
      <c r="Q56" s="146"/>
      <c r="R56" s="146"/>
      <c r="S56" s="146"/>
    </row>
    <row r="57" spans="1:19" ht="17.25" customHeight="1" thickBot="1">
      <c r="A57" s="109" t="s">
        <v>329</v>
      </c>
      <c r="B57" s="110">
        <v>80.900000000000006</v>
      </c>
      <c r="C57" s="70">
        <v>6.2189055E-3</v>
      </c>
      <c r="D57" s="15">
        <v>82.7</v>
      </c>
      <c r="E57" s="32">
        <f t="shared" si="22"/>
        <v>2.2249690976514178E-2</v>
      </c>
      <c r="F57" s="18">
        <f>IF(ISNUMBER(D57), $B64 * E57, "")</f>
        <v>3337.4536464771268</v>
      </c>
      <c r="G57" s="31">
        <v>82.7</v>
      </c>
      <c r="H57" s="32">
        <f t="shared" si="23"/>
        <v>2.2249690976514178E-2</v>
      </c>
      <c r="I57" s="91">
        <f>IF(ISNUMBER(G57), $B64 * H57, "")</f>
        <v>3337.4536464771268</v>
      </c>
      <c r="J57" s="15">
        <v>82.7</v>
      </c>
      <c r="K57" s="32">
        <f t="shared" si="24"/>
        <v>2.2249690976514178E-2</v>
      </c>
      <c r="L57" s="18">
        <f>IF(ISNUMBER(J57), $B64 * K57, "")</f>
        <v>3337.4536464771268</v>
      </c>
      <c r="M57" s="31">
        <v>82.7</v>
      </c>
      <c r="N57" s="32">
        <f t="shared" si="25"/>
        <v>2.2249690976514178E-2</v>
      </c>
      <c r="O57" s="18">
        <f>IF(ISNUMBER(M57), $B64 * N57, "")</f>
        <v>3337.4536464771268</v>
      </c>
      <c r="Q57" s="156"/>
      <c r="R57" s="156"/>
      <c r="S57" s="156"/>
    </row>
    <row r="58" spans="1:19" ht="17.25" customHeight="1" thickBot="1">
      <c r="A58" s="111" t="s">
        <v>195</v>
      </c>
      <c r="B58" s="112">
        <v>6.99</v>
      </c>
      <c r="C58" s="71">
        <v>5.7553956999999998E-3</v>
      </c>
      <c r="D58" s="20">
        <v>7.03</v>
      </c>
      <c r="E58" s="21">
        <f t="shared" si="22"/>
        <v>5.7224606580829809E-3</v>
      </c>
      <c r="F58" s="22">
        <f>IF(ISNUMBER(D58), $B64 * E58, "")</f>
        <v>858.36909871244711</v>
      </c>
      <c r="G58" s="30">
        <v>7.03</v>
      </c>
      <c r="H58" s="21">
        <f t="shared" si="23"/>
        <v>5.7224606580829809E-3</v>
      </c>
      <c r="I58" s="95">
        <f>IF(ISNUMBER(G58), $B64 * H58, "")</f>
        <v>858.36909871244711</v>
      </c>
      <c r="J58" s="20">
        <v>7.03</v>
      </c>
      <c r="K58" s="21">
        <f t="shared" si="24"/>
        <v>5.7224606580829809E-3</v>
      </c>
      <c r="L58" s="22">
        <f>IF(ISNUMBER(J58), $B64 * K58, "")</f>
        <v>858.36909871244711</v>
      </c>
      <c r="M58" s="30">
        <v>7.03</v>
      </c>
      <c r="N58" s="21">
        <f t="shared" si="25"/>
        <v>5.7224606580829809E-3</v>
      </c>
      <c r="O58" s="22">
        <f>IF(ISNUMBER(M58), $B64 * N58, "")</f>
        <v>858.36909871244711</v>
      </c>
      <c r="Q58" s="156"/>
      <c r="R58" s="156"/>
      <c r="S58" s="156"/>
    </row>
    <row r="59" spans="1:19" ht="17.25" customHeight="1" thickBot="1">
      <c r="A59" s="109" t="s">
        <v>141</v>
      </c>
      <c r="B59" s="113">
        <v>3.83</v>
      </c>
      <c r="C59" s="73">
        <v>5.2493438000000003E-3</v>
      </c>
      <c r="D59" s="96">
        <v>3.88</v>
      </c>
      <c r="E59" s="97">
        <f>IF(ISNUMBER(D59), (D59 - $B59) / $B59, "")</f>
        <v>1.3054830287206221E-2</v>
      </c>
      <c r="F59" s="98">
        <f>IF(ISNUMBER(D59), $B64 * E59, "")</f>
        <v>1958.224543080933</v>
      </c>
      <c r="G59" s="99">
        <v>3.88</v>
      </c>
      <c r="H59" s="97">
        <f>IF(ISNUMBER(G59), (G59 - $B59) / $B59, "")</f>
        <v>1.3054830287206221E-2</v>
      </c>
      <c r="I59" s="100">
        <f>IF(ISNUMBER(G59), $B64 * H59, "")</f>
        <v>1958.224543080933</v>
      </c>
      <c r="J59" s="96">
        <v>3.88</v>
      </c>
      <c r="K59" s="97">
        <f>IF(ISNUMBER(J59), (J59 - $B59) / $B59, "")</f>
        <v>1.3054830287206221E-2</v>
      </c>
      <c r="L59" s="98">
        <f>IF(ISNUMBER(J59), $B64 * K59, "")</f>
        <v>1958.224543080933</v>
      </c>
      <c r="M59" s="99">
        <v>3.88</v>
      </c>
      <c r="N59" s="97">
        <f>IF(ISNUMBER(M59), (M59 - $B59) / $B59, "")</f>
        <v>1.3054830287206221E-2</v>
      </c>
      <c r="O59" s="98">
        <f>IF(ISNUMBER(M59), $B64 * N59, "")</f>
        <v>1958.224543080933</v>
      </c>
      <c r="Q59" s="146"/>
      <c r="R59" s="146"/>
      <c r="S59" s="146"/>
    </row>
    <row r="60" spans="1:19" ht="17.25" customHeight="1" thickBot="1">
      <c r="A60" s="109" t="s">
        <v>193</v>
      </c>
      <c r="B60" s="110">
        <v>20.7</v>
      </c>
      <c r="C60" s="70">
        <v>4.8543689000000003E-3</v>
      </c>
      <c r="D60" s="15">
        <v>20.8</v>
      </c>
      <c r="E60" s="32">
        <f t="shared" ref="E60:E63" si="26">IF(ISNUMBER(D60), (D60 - $B60) / $B60, "")</f>
        <v>4.8309178743962044E-3</v>
      </c>
      <c r="F60" s="18">
        <f>IF(ISNUMBER(D60), $B64 * E60, "")</f>
        <v>724.63768115943071</v>
      </c>
      <c r="G60" s="31">
        <v>20.8</v>
      </c>
      <c r="H60" s="32">
        <f t="shared" ref="H60:H63" si="27">IF(ISNUMBER(G60), (G60 - $B60) / $B60, "")</f>
        <v>4.8309178743962044E-3</v>
      </c>
      <c r="I60" s="91">
        <f>IF(ISNUMBER(G60), $B64 * H60, "")</f>
        <v>724.63768115943071</v>
      </c>
      <c r="J60" s="15">
        <v>20.8</v>
      </c>
      <c r="K60" s="32">
        <f t="shared" ref="K60:K63" si="28">IF(ISNUMBER(J60), (J60 - $B60) / $B60, "")</f>
        <v>4.8309178743962044E-3</v>
      </c>
      <c r="L60" s="18">
        <f>IF(ISNUMBER(J60), $B64 * K60, "")</f>
        <v>724.63768115943071</v>
      </c>
      <c r="M60" s="31">
        <v>20.8</v>
      </c>
      <c r="N60" s="32">
        <f t="shared" ref="N60:N63" si="29">IF(ISNUMBER(M60), (M60 - $B60) / $B60, "")</f>
        <v>4.8309178743962044E-3</v>
      </c>
      <c r="O60" s="18">
        <f>IF(ISNUMBER(M60), $B64 * N60, "")</f>
        <v>724.63768115943071</v>
      </c>
      <c r="Q60" s="146"/>
      <c r="R60" s="146"/>
      <c r="S60" s="146"/>
    </row>
    <row r="61" spans="1:19" ht="17.25" customHeight="1" thickBot="1">
      <c r="A61" s="109" t="s">
        <v>97</v>
      </c>
      <c r="B61" s="110">
        <v>8.9999999999999998E-4</v>
      </c>
      <c r="C61" s="70">
        <v>0</v>
      </c>
      <c r="D61" s="15">
        <v>8.9999999999999998E-4</v>
      </c>
      <c r="E61" s="32">
        <f t="shared" si="26"/>
        <v>0</v>
      </c>
      <c r="F61" s="18">
        <f>IF(ISNUMBER(D61), $B64 * E61, "")</f>
        <v>0</v>
      </c>
      <c r="G61" s="31">
        <v>8.9999999999999998E-4</v>
      </c>
      <c r="H61" s="32">
        <f t="shared" si="27"/>
        <v>0</v>
      </c>
      <c r="I61" s="91">
        <f>IF(ISNUMBER(G61), $B64 * H61, "")</f>
        <v>0</v>
      </c>
      <c r="J61" s="15">
        <v>8.9999999999999998E-4</v>
      </c>
      <c r="K61" s="32">
        <f t="shared" si="28"/>
        <v>0</v>
      </c>
      <c r="L61" s="18">
        <f>IF(ISNUMBER(J61), $B64 * K61, "")</f>
        <v>0</v>
      </c>
      <c r="M61" s="31">
        <v>8.9999999999999998E-4</v>
      </c>
      <c r="N61" s="32">
        <f t="shared" si="29"/>
        <v>0</v>
      </c>
      <c r="O61" s="18">
        <f>IF(ISNUMBER(M61), $B64 * N61, "")</f>
        <v>0</v>
      </c>
      <c r="Q61" s="146"/>
      <c r="R61" s="146"/>
      <c r="S61" s="146"/>
    </row>
    <row r="62" spans="1:19" ht="17.25" customHeight="1">
      <c r="A62" s="109" t="s">
        <v>324</v>
      </c>
      <c r="B62" s="110">
        <v>97.5</v>
      </c>
      <c r="C62" s="70">
        <v>0</v>
      </c>
      <c r="D62" s="15">
        <v>100</v>
      </c>
      <c r="E62" s="32">
        <f t="shared" si="26"/>
        <v>2.564102564102564E-2</v>
      </c>
      <c r="F62" s="18">
        <f>IF(ISNUMBER(D62), $B64 * E62, "")</f>
        <v>3846.1538461538462</v>
      </c>
      <c r="G62" s="31">
        <v>100</v>
      </c>
      <c r="H62" s="32">
        <f t="shared" si="27"/>
        <v>2.564102564102564E-2</v>
      </c>
      <c r="I62" s="91">
        <f>IF(ISNUMBER(G62), $B64 * H62, "")</f>
        <v>3846.1538461538462</v>
      </c>
      <c r="J62" s="15">
        <v>100</v>
      </c>
      <c r="K62" s="32">
        <f t="shared" si="28"/>
        <v>2.564102564102564E-2</v>
      </c>
      <c r="L62" s="18">
        <f>IF(ISNUMBER(J62), $B64 * K62, "")</f>
        <v>3846.1538461538462</v>
      </c>
      <c r="M62" s="31">
        <v>100</v>
      </c>
      <c r="N62" s="32">
        <f t="shared" si="29"/>
        <v>2.564102564102564E-2</v>
      </c>
      <c r="O62" s="18">
        <f>IF(ISNUMBER(M62), $B64 * N62, "")</f>
        <v>3846.1538461538462</v>
      </c>
      <c r="Q62" s="135"/>
      <c r="R62" s="136"/>
      <c r="S62" s="137"/>
    </row>
    <row r="63" spans="1:19" ht="17.25" customHeight="1" thickBot="1">
      <c r="A63" s="114" t="s">
        <v>64</v>
      </c>
      <c r="B63" s="115">
        <v>11.8</v>
      </c>
      <c r="C63" s="72">
        <v>0</v>
      </c>
      <c r="D63" s="24">
        <v>11.9</v>
      </c>
      <c r="E63" s="25">
        <f t="shared" si="26"/>
        <v>8.4745762711864094E-3</v>
      </c>
      <c r="F63" s="94">
        <f>IF(ISNUMBER(D63), $B64 * E63, "")</f>
        <v>1271.1864406779614</v>
      </c>
      <c r="G63" s="92">
        <v>11.9</v>
      </c>
      <c r="H63" s="25">
        <f t="shared" si="27"/>
        <v>8.4745762711864094E-3</v>
      </c>
      <c r="I63" s="93">
        <f>IF(ISNUMBER(G63), $B64 * H63, "")</f>
        <v>1271.1864406779614</v>
      </c>
      <c r="J63" s="24">
        <v>11.9</v>
      </c>
      <c r="K63" s="25">
        <f t="shared" si="28"/>
        <v>8.4745762711864094E-3</v>
      </c>
      <c r="L63" s="94">
        <f>IF(ISNUMBER(J63), $B64 * K63, "")</f>
        <v>1271.1864406779614</v>
      </c>
      <c r="M63" s="92">
        <v>11.9</v>
      </c>
      <c r="N63" s="25">
        <f t="shared" si="29"/>
        <v>8.4745762711864094E-3</v>
      </c>
      <c r="O63" s="94">
        <f>IF(ISNUMBER(M63), $B64 * N63, "")</f>
        <v>1271.1864406779614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-3.5766811237378454E-4</v>
      </c>
      <c r="F64" s="28">
        <f>SUM(F44:F63)</f>
        <v>-1073.0043371213583</v>
      </c>
      <c r="G64" s="26" t="s">
        <v>258</v>
      </c>
      <c r="H64" s="27">
        <f>IF(COUNT(H44:H63), SUM(H44:H63) / COUNT(H44:H63), 0)</f>
        <v>-3.5766811237378454E-4</v>
      </c>
      <c r="I64" s="28">
        <f>SUM(I44:I63)</f>
        <v>-1073.0043371213583</v>
      </c>
      <c r="J64" s="26" t="s">
        <v>258</v>
      </c>
      <c r="K64" s="27">
        <f>IF(COUNT(K44:K63), SUM(K44:K63) / COUNT(K44:K63), 0)</f>
        <v>-3.5766811237378454E-4</v>
      </c>
      <c r="L64" s="28">
        <f>SUM(L44:L63)</f>
        <v>-1073.0043371213583</v>
      </c>
      <c r="M64" s="26" t="s">
        <v>258</v>
      </c>
      <c r="N64" s="27">
        <f>IF(COUNT(N44:N63), SUM(N44:N63) / COUNT(N44:N63), 0)</f>
        <v>-3.5766811237378454E-4</v>
      </c>
      <c r="O64" s="28">
        <f>SUM(O44:O63)</f>
        <v>-1073.0043371213583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29052000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1.2053229299999999E-2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2023-01-31(화) 오전 00:00</v>
      </c>
      <c r="C69" s="198"/>
      <c r="D69" s="170" t="str">
        <f>TEXT($G$1, "[$-ko-KR]yyyy-mm-dd(ddd) ") &amp; "오후 14:00"</f>
        <v>2023-01-31(화) 오후 14:00</v>
      </c>
      <c r="E69" s="171"/>
      <c r="F69" s="172"/>
      <c r="G69" s="170" t="str">
        <f>TEXT($G$1, "[$-ko-KR]yyyy-mm-dd(ddd) ") &amp; "오후 19:00"</f>
        <v>2023-01-31(화) 오후 19:00</v>
      </c>
      <c r="H69" s="171"/>
      <c r="I69" s="172"/>
      <c r="J69" s="170" t="str">
        <f>TEXT($G$1, "[$-ko-KR]yyyy-mm-dd(ddd) ") &amp; "오후 21:00"</f>
        <v>2023-01-31(화) 오후 21:00</v>
      </c>
      <c r="K69" s="171"/>
      <c r="L69" s="172"/>
      <c r="M69" s="170" t="str">
        <f>TEXT($G$1+1, "[$-ko-KR]yyyy-mm-dd(ddd) ") &amp; "오전 00:00"</f>
        <v>2023-02-01(수)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345</v>
      </c>
      <c r="B71" s="108">
        <v>227</v>
      </c>
      <c r="C71" s="69">
        <v>0.118226601</v>
      </c>
      <c r="D71" s="13">
        <v>215</v>
      </c>
      <c r="E71" s="14">
        <f>IF(ISNUMBER(D71), (D71 - $B71) / $B71, "")</f>
        <v>-5.2863436123348019E-2</v>
      </c>
      <c r="F71" s="16">
        <f>IF(ISNUMBER(D71), $B91 * E71, "")</f>
        <v>-7929.5154185022029</v>
      </c>
      <c r="G71" s="29">
        <v>215</v>
      </c>
      <c r="H71" s="14">
        <f>IF(ISNUMBER(G71), (G71 - $B71) / $B71, "")</f>
        <v>-5.2863436123348019E-2</v>
      </c>
      <c r="I71" s="90">
        <f>IF(ISNUMBER(G71), $B91 * H71, "")</f>
        <v>-7929.5154185022029</v>
      </c>
      <c r="J71" s="13">
        <v>215</v>
      </c>
      <c r="K71" s="14">
        <f>IF(ISNUMBER(J71), (J71 - $B71) / $B71, "")</f>
        <v>-5.2863436123348019E-2</v>
      </c>
      <c r="L71" s="16">
        <f>IF(ISNUMBER(J71), $B91 * K71, "")</f>
        <v>-7929.5154185022029</v>
      </c>
      <c r="M71" s="29">
        <v>215</v>
      </c>
      <c r="N71" s="14">
        <f>IF(ISNUMBER(M71), (M71 - $B71) / $B71, "")</f>
        <v>-5.2863436123348019E-2</v>
      </c>
      <c r="O71" s="16">
        <f>IF(ISNUMBER(M71), $B91 * N71, "")</f>
        <v>-7929.5154185022029</v>
      </c>
      <c r="Q71" s="156"/>
      <c r="R71" s="156"/>
      <c r="S71" s="156"/>
    </row>
    <row r="72" spans="1:19" ht="17.25" thickBot="1">
      <c r="A72" s="109" t="s">
        <v>253</v>
      </c>
      <c r="B72" s="110">
        <v>115</v>
      </c>
      <c r="C72" s="70">
        <v>3.6036036E-2</v>
      </c>
      <c r="D72" s="15">
        <v>117</v>
      </c>
      <c r="E72" s="32">
        <f t="shared" ref="E72:E75" si="30">IF(ISNUMBER(D72), (D72 - $B72) / $B72, "")</f>
        <v>1.7391304347826087E-2</v>
      </c>
      <c r="F72" s="18">
        <f>IF(ISNUMBER(D72), $B91 * E72, "")</f>
        <v>2608.695652173913</v>
      </c>
      <c r="G72" s="31">
        <v>117</v>
      </c>
      <c r="H72" s="32">
        <f t="shared" ref="H72:H75" si="31">IF(ISNUMBER(G72), (G72 - $B72) / $B72, "")</f>
        <v>1.7391304347826087E-2</v>
      </c>
      <c r="I72" s="91">
        <f>IF(ISNUMBER(G72), $B91 * H72, "")</f>
        <v>2608.695652173913</v>
      </c>
      <c r="J72" s="15">
        <v>117</v>
      </c>
      <c r="K72" s="32">
        <f t="shared" ref="K72:K75" si="32">IF(ISNUMBER(J72), (J72 - $B72) / $B72, "")</f>
        <v>1.7391304347826087E-2</v>
      </c>
      <c r="L72" s="18">
        <f>IF(ISNUMBER(J72), $B91 * K72, "")</f>
        <v>2608.695652173913</v>
      </c>
      <c r="M72" s="31">
        <v>117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156"/>
      <c r="R72" s="156"/>
      <c r="S72" s="156"/>
    </row>
    <row r="73" spans="1:19" ht="17.25" thickBot="1">
      <c r="A73" s="109" t="s">
        <v>317</v>
      </c>
      <c r="B73" s="110">
        <v>620</v>
      </c>
      <c r="C73" s="70">
        <v>2.6490066199999999E-2</v>
      </c>
      <c r="D73" s="15">
        <v>623</v>
      </c>
      <c r="E73" s="32">
        <f t="shared" si="30"/>
        <v>4.8387096774193551E-3</v>
      </c>
      <c r="F73" s="18">
        <f>IF(ISNUMBER(D73), $B91 * E73, "")</f>
        <v>725.80645161290329</v>
      </c>
      <c r="G73" s="31">
        <v>623</v>
      </c>
      <c r="H73" s="32">
        <f t="shared" si="31"/>
        <v>4.8387096774193551E-3</v>
      </c>
      <c r="I73" s="91">
        <f>IF(ISNUMBER(G73), $B91 * H73, "")</f>
        <v>725.80645161290329</v>
      </c>
      <c r="J73" s="15">
        <v>623</v>
      </c>
      <c r="K73" s="32">
        <f t="shared" si="32"/>
        <v>4.8387096774193551E-3</v>
      </c>
      <c r="L73" s="18">
        <f>IF(ISNUMBER(J73), $B91 * K73, "")</f>
        <v>725.80645161290329</v>
      </c>
      <c r="M73" s="31">
        <v>623</v>
      </c>
      <c r="N73" s="32">
        <f t="shared" si="33"/>
        <v>4.8387096774193551E-3</v>
      </c>
      <c r="O73" s="18">
        <f>IF(ISNUMBER(M73), $B91 * N73, "")</f>
        <v>725.80645161290329</v>
      </c>
      <c r="Q73" s="146"/>
      <c r="R73" s="146"/>
      <c r="S73" s="146"/>
    </row>
    <row r="74" spans="1:19" ht="17.25" thickBot="1">
      <c r="A74" s="109" t="s">
        <v>89</v>
      </c>
      <c r="B74" s="110">
        <v>503</v>
      </c>
      <c r="C74" s="70">
        <v>1.6161616199999999E-2</v>
      </c>
      <c r="D74" s="15">
        <v>505</v>
      </c>
      <c r="E74" s="32">
        <f t="shared" si="30"/>
        <v>3.9761431411530811E-3</v>
      </c>
      <c r="F74" s="18">
        <f>IF(ISNUMBER(D74), $B91 * E74, "")</f>
        <v>596.42147117296213</v>
      </c>
      <c r="G74" s="31">
        <v>505</v>
      </c>
      <c r="H74" s="32">
        <f t="shared" si="31"/>
        <v>3.9761431411530811E-3</v>
      </c>
      <c r="I74" s="91">
        <f>IF(ISNUMBER(G74), $B91 * H74, "")</f>
        <v>596.42147117296213</v>
      </c>
      <c r="J74" s="15">
        <v>505</v>
      </c>
      <c r="K74" s="32">
        <f t="shared" si="32"/>
        <v>3.9761431411530811E-3</v>
      </c>
      <c r="L74" s="18">
        <f>IF(ISNUMBER(J74), $B91 * K74, "")</f>
        <v>596.42147117296213</v>
      </c>
      <c r="M74" s="31">
        <v>505</v>
      </c>
      <c r="N74" s="32">
        <f t="shared" si="33"/>
        <v>3.9761431411530811E-3</v>
      </c>
      <c r="O74" s="18">
        <f>IF(ISNUMBER(M74), $B91 * N74, "")</f>
        <v>596.42147117296213</v>
      </c>
      <c r="Q74" s="146"/>
      <c r="R74" s="146"/>
      <c r="S74" s="146"/>
    </row>
    <row r="75" spans="1:19" ht="17.25" thickBot="1">
      <c r="A75" s="111" t="s">
        <v>235</v>
      </c>
      <c r="B75" s="112">
        <v>696</v>
      </c>
      <c r="C75" s="71">
        <v>1.6058394199999999E-2</v>
      </c>
      <c r="D75" s="20">
        <v>697</v>
      </c>
      <c r="E75" s="21">
        <f t="shared" si="30"/>
        <v>1.4367816091954023E-3</v>
      </c>
      <c r="F75" s="22">
        <f>IF(ISNUMBER(D75), $B91 * E75, "")</f>
        <v>215.51724137931035</v>
      </c>
      <c r="G75" s="30">
        <v>697</v>
      </c>
      <c r="H75" s="21">
        <f t="shared" si="31"/>
        <v>1.4367816091954023E-3</v>
      </c>
      <c r="I75" s="95">
        <f>IF(ISNUMBER(G75), $B91 * H75, "")</f>
        <v>215.51724137931035</v>
      </c>
      <c r="J75" s="20">
        <v>697</v>
      </c>
      <c r="K75" s="21">
        <f t="shared" si="32"/>
        <v>1.4367816091954023E-3</v>
      </c>
      <c r="L75" s="22">
        <f>IF(ISNUMBER(J75), $B91 * K75, "")</f>
        <v>215.51724137931035</v>
      </c>
      <c r="M75" s="30">
        <v>697</v>
      </c>
      <c r="N75" s="21">
        <f t="shared" si="33"/>
        <v>1.4367816091954023E-3</v>
      </c>
      <c r="O75" s="22">
        <f>IF(ISNUMBER(M75), $B91 * N75, "")</f>
        <v>215.51724137931035</v>
      </c>
      <c r="Q75" s="146"/>
      <c r="R75" s="146"/>
      <c r="S75" s="146"/>
    </row>
    <row r="76" spans="1:19" ht="17.25" thickBot="1">
      <c r="A76" s="109" t="s">
        <v>330</v>
      </c>
      <c r="B76" s="113">
        <v>348</v>
      </c>
      <c r="C76" s="73">
        <v>8.6956522000000008E-3</v>
      </c>
      <c r="D76" s="96">
        <v>352</v>
      </c>
      <c r="E76" s="97">
        <f>IF(ISNUMBER(D76), (D76 - $B76) / $B76, "")</f>
        <v>1.1494252873563218E-2</v>
      </c>
      <c r="F76" s="98">
        <f>IF(ISNUMBER(D76), $B91 * E76, "")</f>
        <v>1724.1379310344828</v>
      </c>
      <c r="G76" s="99">
        <v>352</v>
      </c>
      <c r="H76" s="97">
        <f>IF(ISNUMBER(G76), (G76 - $B76) / $B76, "")</f>
        <v>1.1494252873563218E-2</v>
      </c>
      <c r="I76" s="100">
        <f>IF(ISNUMBER(G76), $B91 * H76, "")</f>
        <v>1724.1379310344828</v>
      </c>
      <c r="J76" s="96">
        <v>352</v>
      </c>
      <c r="K76" s="97">
        <f>IF(ISNUMBER(J76), (J76 - $B76) / $B76, "")</f>
        <v>1.1494252873563218E-2</v>
      </c>
      <c r="L76" s="98">
        <f>IF(ISNUMBER(J76), $B91 * K76, "")</f>
        <v>1724.1379310344828</v>
      </c>
      <c r="M76" s="99">
        <v>352</v>
      </c>
      <c r="N76" s="97">
        <f>IF(ISNUMBER(M76), (M76 - $B76) / $B76, "")</f>
        <v>1.1494252873563218E-2</v>
      </c>
      <c r="O76" s="98">
        <f>IF(ISNUMBER(M76), $B91 * N76, "")</f>
        <v>1724.1379310344828</v>
      </c>
      <c r="Q76" s="146"/>
      <c r="R76" s="146"/>
      <c r="S76" s="146"/>
    </row>
    <row r="77" spans="1:19" ht="17.25" thickBot="1">
      <c r="A77" s="109" t="s">
        <v>85</v>
      </c>
      <c r="B77" s="110">
        <v>166</v>
      </c>
      <c r="C77" s="70">
        <v>6.0606061000000001E-3</v>
      </c>
      <c r="D77" s="15">
        <v>167</v>
      </c>
      <c r="E77" s="32">
        <f t="shared" ref="E77:E80" si="34">IF(ISNUMBER(D77), (D77 - $B77) / $B77, "")</f>
        <v>6.024096385542169E-3</v>
      </c>
      <c r="F77" s="18">
        <f>IF(ISNUMBER(D77), $B91 * E77, "")</f>
        <v>903.61445783132535</v>
      </c>
      <c r="G77" s="31">
        <v>167</v>
      </c>
      <c r="H77" s="32">
        <f t="shared" ref="H77:H80" si="35">IF(ISNUMBER(G77), (G77 - $B77) / $B77, "")</f>
        <v>6.024096385542169E-3</v>
      </c>
      <c r="I77" s="91">
        <f>IF(ISNUMBER(G77), $B91 * H77, "")</f>
        <v>903.61445783132535</v>
      </c>
      <c r="J77" s="15">
        <v>167</v>
      </c>
      <c r="K77" s="32">
        <f t="shared" ref="K77:K80" si="36">IF(ISNUMBER(J77), (J77 - $B77) / $B77, "")</f>
        <v>6.024096385542169E-3</v>
      </c>
      <c r="L77" s="18">
        <f>IF(ISNUMBER(J77), $B91 * K77, "")</f>
        <v>903.61445783132535</v>
      </c>
      <c r="M77" s="31">
        <v>167</v>
      </c>
      <c r="N77" s="32">
        <f t="shared" ref="N77:N80" si="37">IF(ISNUMBER(M77), (M77 - $B77) / $B77, "")</f>
        <v>6.024096385542169E-3</v>
      </c>
      <c r="O77" s="18">
        <f>IF(ISNUMBER(M77), $B91 * N77, "")</f>
        <v>903.61445783132535</v>
      </c>
      <c r="Q77" s="146"/>
      <c r="R77" s="146"/>
      <c r="S77" s="146"/>
    </row>
    <row r="78" spans="1:19" ht="17.25" thickBot="1">
      <c r="A78" s="109" t="s">
        <v>81</v>
      </c>
      <c r="B78" s="110">
        <v>468</v>
      </c>
      <c r="C78" s="70">
        <v>0</v>
      </c>
      <c r="D78" s="15">
        <v>479</v>
      </c>
      <c r="E78" s="32">
        <f t="shared" si="34"/>
        <v>2.3504273504273504E-2</v>
      </c>
      <c r="F78" s="18">
        <f>IF(ISNUMBER(D78), $B91 * E78, "")</f>
        <v>3525.6410256410254</v>
      </c>
      <c r="G78" s="31">
        <v>479</v>
      </c>
      <c r="H78" s="32">
        <f t="shared" si="35"/>
        <v>2.3504273504273504E-2</v>
      </c>
      <c r="I78" s="91">
        <f>IF(ISNUMBER(G78), $B91 * H78, "")</f>
        <v>3525.6410256410254</v>
      </c>
      <c r="J78" s="15">
        <v>479</v>
      </c>
      <c r="K78" s="32">
        <f t="shared" si="36"/>
        <v>2.3504273504273504E-2</v>
      </c>
      <c r="L78" s="18">
        <f>IF(ISNUMBER(J78), $B91 * K78, "")</f>
        <v>3525.6410256410254</v>
      </c>
      <c r="M78" s="31">
        <v>479</v>
      </c>
      <c r="N78" s="32">
        <f t="shared" si="37"/>
        <v>2.3504273504273504E-2</v>
      </c>
      <c r="O78" s="18">
        <f>IF(ISNUMBER(M78), $B91 * N78, "")</f>
        <v>3525.6410256410254</v>
      </c>
      <c r="Q78" s="146"/>
      <c r="R78" s="146"/>
      <c r="S78" s="146"/>
    </row>
    <row r="79" spans="1:19" ht="17.25" thickBot="1">
      <c r="A79" s="109" t="s">
        <v>161</v>
      </c>
      <c r="B79" s="110">
        <v>339</v>
      </c>
      <c r="C79" s="70">
        <v>0</v>
      </c>
      <c r="D79" s="15">
        <v>341</v>
      </c>
      <c r="E79" s="32">
        <f t="shared" si="34"/>
        <v>5.8997050147492625E-3</v>
      </c>
      <c r="F79" s="18">
        <f>IF(ISNUMBER(D79), $B91 * E79, "")</f>
        <v>884.95575221238937</v>
      </c>
      <c r="G79" s="31">
        <v>341</v>
      </c>
      <c r="H79" s="32">
        <f t="shared" si="35"/>
        <v>5.8997050147492625E-3</v>
      </c>
      <c r="I79" s="91">
        <f>IF(ISNUMBER(G79), $B91 * H79, "")</f>
        <v>884.95575221238937</v>
      </c>
      <c r="J79" s="15">
        <v>341</v>
      </c>
      <c r="K79" s="32">
        <f t="shared" si="36"/>
        <v>5.8997050147492625E-3</v>
      </c>
      <c r="L79" s="18">
        <f>IF(ISNUMBER(J79), $B91 * K79, "")</f>
        <v>884.95575221238937</v>
      </c>
      <c r="M79" s="31">
        <v>341</v>
      </c>
      <c r="N79" s="32">
        <f t="shared" si="37"/>
        <v>5.8997050147492625E-3</v>
      </c>
      <c r="O79" s="18">
        <f>IF(ISNUMBER(M79), $B91 * N79, "")</f>
        <v>884.95575221238937</v>
      </c>
      <c r="Q79" s="33"/>
      <c r="R79" s="33"/>
    </row>
    <row r="80" spans="1:19" ht="17.25" thickBot="1">
      <c r="A80" s="114" t="s">
        <v>51</v>
      </c>
      <c r="B80" s="115">
        <v>113</v>
      </c>
      <c r="C80" s="72">
        <v>0</v>
      </c>
      <c r="D80" s="24">
        <v>114</v>
      </c>
      <c r="E80" s="25">
        <f t="shared" si="34"/>
        <v>8.8495575221238937E-3</v>
      </c>
      <c r="F80" s="94">
        <f>IF(ISNUMBER(D80), $B91 * E80, "")</f>
        <v>1327.4336283185839</v>
      </c>
      <c r="G80" s="92">
        <v>114</v>
      </c>
      <c r="H80" s="25">
        <f t="shared" si="35"/>
        <v>8.8495575221238937E-3</v>
      </c>
      <c r="I80" s="93">
        <f>IF(ISNUMBER(G80), $B91 * H80, "")</f>
        <v>1327.4336283185839</v>
      </c>
      <c r="J80" s="24">
        <v>114</v>
      </c>
      <c r="K80" s="25">
        <f t="shared" si="36"/>
        <v>8.8495575221238937E-3</v>
      </c>
      <c r="L80" s="94">
        <f>IF(ISNUMBER(J80), $B91 * K80, "")</f>
        <v>1327.4336283185839</v>
      </c>
      <c r="M80" s="92">
        <v>114</v>
      </c>
      <c r="N80" s="25">
        <f t="shared" si="37"/>
        <v>8.8495575221238937E-3</v>
      </c>
      <c r="O80" s="94">
        <f>IF(ISNUMBER(M80), $B91 * N80, "")</f>
        <v>1327.4336283185839</v>
      </c>
      <c r="Q80" s="147"/>
      <c r="R80" s="148"/>
      <c r="S80" s="149"/>
    </row>
    <row r="81" spans="1:19">
      <c r="A81" s="107" t="s">
        <v>103</v>
      </c>
      <c r="B81" s="108">
        <v>269</v>
      </c>
      <c r="C81" s="69">
        <v>0</v>
      </c>
      <c r="D81" s="13">
        <v>273</v>
      </c>
      <c r="E81" s="14">
        <f>IF(ISNUMBER(D81), (D81 - $B81) / $B81, "")</f>
        <v>1.4869888475836431E-2</v>
      </c>
      <c r="F81" s="16">
        <f>IF(ISNUMBER(D81), $B91 * E81, "")</f>
        <v>2230.4832713754645</v>
      </c>
      <c r="G81" s="29">
        <v>273</v>
      </c>
      <c r="H81" s="14">
        <f>IF(ISNUMBER(G81), (G81 - $B81) / $B81, "")</f>
        <v>1.4869888475836431E-2</v>
      </c>
      <c r="I81" s="90">
        <f>IF(ISNUMBER(G81), $B91 * H81, "")</f>
        <v>2230.4832713754645</v>
      </c>
      <c r="J81" s="13">
        <v>273</v>
      </c>
      <c r="K81" s="14">
        <f>IF(ISNUMBER(J81), (J81 - $B81) / $B81, "")</f>
        <v>1.4869888475836431E-2</v>
      </c>
      <c r="L81" s="16">
        <f>IF(ISNUMBER(J81), $B91 * K81, "")</f>
        <v>2230.4832713754645</v>
      </c>
      <c r="M81" s="29">
        <v>273</v>
      </c>
      <c r="N81" s="14">
        <f>IF(ISNUMBER(M81), (M81 - $B81) / $B81, "")</f>
        <v>1.4869888475836431E-2</v>
      </c>
      <c r="O81" s="16">
        <f>IF(ISNUMBER(M81), $B91 * N81, "")</f>
        <v>2230.4832713754645</v>
      </c>
      <c r="Q81" s="150"/>
      <c r="R81" s="151"/>
      <c r="S81" s="152"/>
    </row>
    <row r="82" spans="1:19" ht="17.25" thickBot="1">
      <c r="A82" s="109" t="s">
        <v>332</v>
      </c>
      <c r="B82" s="110">
        <v>640</v>
      </c>
      <c r="C82" s="70">
        <v>-1.5600624E-3</v>
      </c>
      <c r="D82" s="15">
        <v>644</v>
      </c>
      <c r="E82" s="32">
        <f t="shared" ref="E82:E85" si="38">IF(ISNUMBER(D82), (D82 - $B82) / $B82, "")</f>
        <v>6.2500000000000003E-3</v>
      </c>
      <c r="F82" s="18">
        <f>IF(ISNUMBER(D82), $B91 * E82, "")</f>
        <v>937.5</v>
      </c>
      <c r="G82" s="31">
        <v>644</v>
      </c>
      <c r="H82" s="32">
        <f t="shared" ref="H82:H85" si="39">IF(ISNUMBER(G82), (G82 - $B82) / $B82, "")</f>
        <v>6.2500000000000003E-3</v>
      </c>
      <c r="I82" s="91">
        <f>IF(ISNUMBER(G82), $B91 * H82, "")</f>
        <v>937.5</v>
      </c>
      <c r="J82" s="15">
        <v>644</v>
      </c>
      <c r="K82" s="32">
        <f t="shared" ref="K82:K85" si="40">IF(ISNUMBER(J82), (J82 - $B82) / $B82, "")</f>
        <v>6.2500000000000003E-3</v>
      </c>
      <c r="L82" s="18">
        <f>IF(ISNUMBER(J82), $B91 * K82, "")</f>
        <v>937.5</v>
      </c>
      <c r="M82" s="31">
        <v>644</v>
      </c>
      <c r="N82" s="32">
        <f t="shared" ref="N82:N85" si="41">IF(ISNUMBER(M82), (M82 - $B82) / $B82, "")</f>
        <v>6.2500000000000003E-3</v>
      </c>
      <c r="O82" s="18">
        <f>IF(ISNUMBER(M82), $B91 * N82, "")</f>
        <v>937.5</v>
      </c>
      <c r="Q82" s="153"/>
      <c r="R82" s="154"/>
      <c r="S82" s="155"/>
    </row>
    <row r="83" spans="1:19" ht="17.25" thickBot="1">
      <c r="A83" s="109" t="s">
        <v>153</v>
      </c>
      <c r="B83" s="110">
        <v>447</v>
      </c>
      <c r="C83" s="70">
        <v>-2.2321429000000002E-3</v>
      </c>
      <c r="D83" s="15">
        <v>452</v>
      </c>
      <c r="E83" s="32">
        <f t="shared" si="38"/>
        <v>1.1185682326621925E-2</v>
      </c>
      <c r="F83" s="18">
        <f>IF(ISNUMBER(D83), $B91 * E83, "")</f>
        <v>1677.8523489932886</v>
      </c>
      <c r="G83" s="31">
        <v>452</v>
      </c>
      <c r="H83" s="32">
        <f t="shared" si="39"/>
        <v>1.1185682326621925E-2</v>
      </c>
      <c r="I83" s="91">
        <f>IF(ISNUMBER(G83), $B91 * H83, "")</f>
        <v>1677.8523489932886</v>
      </c>
      <c r="J83" s="15">
        <v>452</v>
      </c>
      <c r="K83" s="32">
        <f t="shared" si="40"/>
        <v>1.1185682326621925E-2</v>
      </c>
      <c r="L83" s="18">
        <f>IF(ISNUMBER(J83), $B91 * K83, "")</f>
        <v>1677.8523489932886</v>
      </c>
      <c r="M83" s="31">
        <v>452</v>
      </c>
      <c r="N83" s="32">
        <f t="shared" si="41"/>
        <v>1.1185682326621925E-2</v>
      </c>
      <c r="O83" s="18">
        <f>IF(ISNUMBER(M83), $B91 * N83, "")</f>
        <v>1677.8523489932886</v>
      </c>
      <c r="Q83" s="146"/>
      <c r="R83" s="146"/>
      <c r="S83" s="146"/>
    </row>
    <row r="84" spans="1:19" ht="17.25" thickBot="1">
      <c r="A84" s="109" t="s">
        <v>341</v>
      </c>
      <c r="B84" s="110">
        <v>886</v>
      </c>
      <c r="C84" s="70">
        <v>-2.2522522999999998E-3</v>
      </c>
      <c r="D84" s="15">
        <v>902</v>
      </c>
      <c r="E84" s="32">
        <f t="shared" si="38"/>
        <v>1.8058690744920992E-2</v>
      </c>
      <c r="F84" s="18">
        <f>IF(ISNUMBER(D84), $B91 * E84, "")</f>
        <v>2708.8036117381489</v>
      </c>
      <c r="G84" s="31">
        <v>902</v>
      </c>
      <c r="H84" s="32">
        <f t="shared" si="39"/>
        <v>1.8058690744920992E-2</v>
      </c>
      <c r="I84" s="91">
        <f>IF(ISNUMBER(G84), $B91 * H84, "")</f>
        <v>2708.8036117381489</v>
      </c>
      <c r="J84" s="15">
        <v>902</v>
      </c>
      <c r="K84" s="32">
        <f t="shared" si="40"/>
        <v>1.8058690744920992E-2</v>
      </c>
      <c r="L84" s="18">
        <f>IF(ISNUMBER(J84), $B91 * K84, "")</f>
        <v>2708.8036117381489</v>
      </c>
      <c r="M84" s="31">
        <v>902</v>
      </c>
      <c r="N84" s="32">
        <f t="shared" si="41"/>
        <v>1.8058690744920992E-2</v>
      </c>
      <c r="O84" s="18">
        <f>IF(ISNUMBER(M84), $B91 * N84, "")</f>
        <v>2708.8036117381489</v>
      </c>
      <c r="Q84" s="156"/>
      <c r="R84" s="156"/>
      <c r="S84" s="156"/>
    </row>
    <row r="85" spans="1:19" ht="17.25" thickBot="1">
      <c r="A85" s="111" t="s">
        <v>79</v>
      </c>
      <c r="B85" s="112">
        <v>310</v>
      </c>
      <c r="C85" s="71">
        <v>-3.2154341000000001E-3</v>
      </c>
      <c r="D85" s="20">
        <v>314</v>
      </c>
      <c r="E85" s="21">
        <f t="shared" si="38"/>
        <v>1.2903225806451613E-2</v>
      </c>
      <c r="F85" s="22">
        <f>IF(ISNUMBER(D85), $B91 * E85, "")</f>
        <v>1935.483870967742</v>
      </c>
      <c r="G85" s="30">
        <v>314</v>
      </c>
      <c r="H85" s="21">
        <f t="shared" si="39"/>
        <v>1.2903225806451613E-2</v>
      </c>
      <c r="I85" s="95">
        <f>IF(ISNUMBER(G85), $B91 * H85, "")</f>
        <v>1935.483870967742</v>
      </c>
      <c r="J85" s="20">
        <v>314</v>
      </c>
      <c r="K85" s="21">
        <f t="shared" si="40"/>
        <v>1.2903225806451613E-2</v>
      </c>
      <c r="L85" s="22">
        <f>IF(ISNUMBER(J85), $B91 * K85, "")</f>
        <v>1935.483870967742</v>
      </c>
      <c r="M85" s="30">
        <v>314</v>
      </c>
      <c r="N85" s="21">
        <f t="shared" si="41"/>
        <v>1.2903225806451613E-2</v>
      </c>
      <c r="O85" s="22">
        <f>IF(ISNUMBER(M85), $B91 * N85, "")</f>
        <v>1935.483870967742</v>
      </c>
      <c r="Q85" s="156"/>
      <c r="R85" s="156"/>
      <c r="S85" s="156"/>
    </row>
    <row r="86" spans="1:19" ht="17.25" thickBot="1">
      <c r="A86" s="109" t="s">
        <v>111</v>
      </c>
      <c r="B86" s="113">
        <v>905</v>
      </c>
      <c r="C86" s="73">
        <v>-3.3039647999999998E-3</v>
      </c>
      <c r="D86" s="96">
        <v>914</v>
      </c>
      <c r="E86" s="97">
        <f>IF(ISNUMBER(D86), (D86 - $B86) / $B86, "")</f>
        <v>9.9447513812154689E-3</v>
      </c>
      <c r="F86" s="98">
        <f>IF(ISNUMBER(D86), $B91 * E86, "")</f>
        <v>1491.7127071823204</v>
      </c>
      <c r="G86" s="99">
        <v>914</v>
      </c>
      <c r="H86" s="97">
        <f>IF(ISNUMBER(G86), (G86 - $B86) / $B86, "")</f>
        <v>9.9447513812154689E-3</v>
      </c>
      <c r="I86" s="100">
        <f>IF(ISNUMBER(G86), $B91 * H86, "")</f>
        <v>1491.7127071823204</v>
      </c>
      <c r="J86" s="96">
        <v>914</v>
      </c>
      <c r="K86" s="97">
        <f>IF(ISNUMBER(J86), (J86 - $B86) / $B86, "")</f>
        <v>9.9447513812154689E-3</v>
      </c>
      <c r="L86" s="98">
        <f>IF(ISNUMBER(J86), $B91 * K86, "")</f>
        <v>1491.7127071823204</v>
      </c>
      <c r="M86" s="99">
        <v>914</v>
      </c>
      <c r="N86" s="97">
        <f>IF(ISNUMBER(M86), (M86 - $B86) / $B86, "")</f>
        <v>9.9447513812154689E-3</v>
      </c>
      <c r="O86" s="98">
        <f>IF(ISNUMBER(M86), $B91 * N86, "")</f>
        <v>1491.7127071823204</v>
      </c>
      <c r="Q86" s="146"/>
      <c r="R86" s="146"/>
      <c r="S86" s="146"/>
    </row>
    <row r="87" spans="1:19" ht="17.25" thickBot="1">
      <c r="A87" s="109" t="s">
        <v>239</v>
      </c>
      <c r="B87" s="110">
        <v>472</v>
      </c>
      <c r="C87" s="70">
        <v>-4.2194093E-3</v>
      </c>
      <c r="D87" s="15">
        <v>478</v>
      </c>
      <c r="E87" s="32">
        <f t="shared" ref="E87:E90" si="42">IF(ISNUMBER(D87), (D87 - $B87) / $B87, "")</f>
        <v>1.2711864406779662E-2</v>
      </c>
      <c r="F87" s="18">
        <f>IF(ISNUMBER(D87), $B91 * E87, "")</f>
        <v>1906.7796610169494</v>
      </c>
      <c r="G87" s="31">
        <v>478</v>
      </c>
      <c r="H87" s="32">
        <f t="shared" ref="H87:H90" si="43">IF(ISNUMBER(G87), (G87 - $B87) / $B87, "")</f>
        <v>1.2711864406779662E-2</v>
      </c>
      <c r="I87" s="91">
        <f>IF(ISNUMBER(G87), $B91 * H87, "")</f>
        <v>1906.7796610169494</v>
      </c>
      <c r="J87" s="15">
        <v>478</v>
      </c>
      <c r="K87" s="32">
        <f t="shared" ref="K87:K90" si="44">IF(ISNUMBER(J87), (J87 - $B87) / $B87, "")</f>
        <v>1.2711864406779662E-2</v>
      </c>
      <c r="L87" s="18">
        <f>IF(ISNUMBER(J87), $B91 * K87, "")</f>
        <v>1906.7796610169494</v>
      </c>
      <c r="M87" s="31">
        <v>478</v>
      </c>
      <c r="N87" s="32">
        <f t="shared" ref="N87:N90" si="45">IF(ISNUMBER(M87), (M87 - $B87) / $B87, "")</f>
        <v>1.2711864406779662E-2</v>
      </c>
      <c r="O87" s="18">
        <f>IF(ISNUMBER(M87), $B91 * N87, "")</f>
        <v>1906.7796610169494</v>
      </c>
      <c r="Q87" s="146"/>
      <c r="R87" s="146"/>
      <c r="S87" s="146"/>
    </row>
    <row r="88" spans="1:19" ht="17.25" thickBot="1">
      <c r="A88" s="109" t="s">
        <v>319</v>
      </c>
      <c r="B88" s="110">
        <v>688</v>
      </c>
      <c r="C88" s="70">
        <v>-4.3415340000000002E-3</v>
      </c>
      <c r="D88" s="15">
        <v>694</v>
      </c>
      <c r="E88" s="32">
        <f t="shared" si="42"/>
        <v>8.7209302325581394E-3</v>
      </c>
      <c r="F88" s="18">
        <f>IF(ISNUMBER(D88), $B91 * E88, "")</f>
        <v>1308.1395348837209</v>
      </c>
      <c r="G88" s="31">
        <v>694</v>
      </c>
      <c r="H88" s="32">
        <f t="shared" si="43"/>
        <v>8.7209302325581394E-3</v>
      </c>
      <c r="I88" s="91">
        <f>IF(ISNUMBER(G88), $B91 * H88, "")</f>
        <v>1308.1395348837209</v>
      </c>
      <c r="J88" s="15">
        <v>694</v>
      </c>
      <c r="K88" s="32">
        <f t="shared" si="44"/>
        <v>8.7209302325581394E-3</v>
      </c>
      <c r="L88" s="18">
        <f>IF(ISNUMBER(J88), $B91 * K88, "")</f>
        <v>1308.1395348837209</v>
      </c>
      <c r="M88" s="31">
        <v>694</v>
      </c>
      <c r="N88" s="32">
        <f t="shared" si="45"/>
        <v>8.7209302325581394E-3</v>
      </c>
      <c r="O88" s="18">
        <f>IF(ISNUMBER(M88), $B91 * N88, "")</f>
        <v>1308.1395348837209</v>
      </c>
      <c r="Q88" s="146"/>
      <c r="R88" s="146"/>
      <c r="S88" s="146"/>
    </row>
    <row r="89" spans="1:19">
      <c r="A89" s="109" t="s">
        <v>167</v>
      </c>
      <c r="B89" s="110">
        <v>213</v>
      </c>
      <c r="C89" s="70">
        <v>-4.6728971999999997E-3</v>
      </c>
      <c r="D89" s="15">
        <v>215</v>
      </c>
      <c r="E89" s="32">
        <f t="shared" si="42"/>
        <v>9.3896713615023476E-3</v>
      </c>
      <c r="F89" s="18">
        <f>IF(ISNUMBER(D89), $B91 * E89, "")</f>
        <v>1408.4507042253522</v>
      </c>
      <c r="G89" s="31">
        <v>215</v>
      </c>
      <c r="H89" s="32">
        <f t="shared" si="43"/>
        <v>9.3896713615023476E-3</v>
      </c>
      <c r="I89" s="91">
        <f>IF(ISNUMBER(G89), $B91 * H89, "")</f>
        <v>1408.4507042253522</v>
      </c>
      <c r="J89" s="15">
        <v>215</v>
      </c>
      <c r="K89" s="32">
        <f t="shared" si="44"/>
        <v>9.3896713615023476E-3</v>
      </c>
      <c r="L89" s="18">
        <f>IF(ISNUMBER(J89), $B91 * K89, "")</f>
        <v>1408.4507042253522</v>
      </c>
      <c r="M89" s="31">
        <v>215</v>
      </c>
      <c r="N89" s="32">
        <f t="shared" si="45"/>
        <v>9.3896713615023476E-3</v>
      </c>
      <c r="O89" s="18">
        <f>IF(ISNUMBER(M89), $B91 * N89, "")</f>
        <v>1408.4507042253522</v>
      </c>
      <c r="Q89" s="135"/>
      <c r="R89" s="136"/>
      <c r="S89" s="137"/>
    </row>
    <row r="90" spans="1:19" ht="17.25" thickBot="1">
      <c r="A90" s="114" t="s">
        <v>130</v>
      </c>
      <c r="B90" s="115">
        <v>924</v>
      </c>
      <c r="C90" s="72">
        <v>-6.4516128999999997E-3</v>
      </c>
      <c r="D90" s="24">
        <v>937</v>
      </c>
      <c r="E90" s="25">
        <f t="shared" si="42"/>
        <v>1.406926406926407E-2</v>
      </c>
      <c r="F90" s="94">
        <f>IF(ISNUMBER(D90), $B91 * E90, "")</f>
        <v>2110.3896103896104</v>
      </c>
      <c r="G90" s="92">
        <v>937</v>
      </c>
      <c r="H90" s="25">
        <f t="shared" si="43"/>
        <v>1.406926406926407E-2</v>
      </c>
      <c r="I90" s="93">
        <f>IF(ISNUMBER(G90), $B91 * H90, "")</f>
        <v>2110.3896103896104</v>
      </c>
      <c r="J90" s="24">
        <v>937</v>
      </c>
      <c r="K90" s="25">
        <f t="shared" si="44"/>
        <v>1.406926406926407E-2</v>
      </c>
      <c r="L90" s="94">
        <f>IF(ISNUMBER(J90), $B91 * K90, "")</f>
        <v>2110.3896103896104</v>
      </c>
      <c r="M90" s="92">
        <v>937</v>
      </c>
      <c r="N90" s="25">
        <f t="shared" si="45"/>
        <v>1.406926406926407E-2</v>
      </c>
      <c r="O90" s="94">
        <f>IF(ISNUMBER(M90), $B91 * N90, "")</f>
        <v>2110.3896103896104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7.4327678378824282E-3</v>
      </c>
      <c r="F91" s="28">
        <f>SUM(F71:F90)</f>
        <v>22298.303513647294</v>
      </c>
      <c r="G91" s="26" t="s">
        <v>258</v>
      </c>
      <c r="H91" s="27">
        <f>IF(COUNT(H71:H90), SUM(H71:H90) / COUNT(H71:H90), 0)</f>
        <v>7.4327678378824282E-3</v>
      </c>
      <c r="I91" s="28">
        <f>SUM(I71:I90)</f>
        <v>22298.303513647294</v>
      </c>
      <c r="J91" s="26" t="s">
        <v>258</v>
      </c>
      <c r="K91" s="27">
        <f>IF(COUNT(K71:K90), SUM(K71:K90) / COUNT(K71:K90), 0)</f>
        <v>7.4327678378824282E-3</v>
      </c>
      <c r="L91" s="28">
        <f>SUM(L71:L90)</f>
        <v>22298.303513647294</v>
      </c>
      <c r="M91" s="26" t="s">
        <v>258</v>
      </c>
      <c r="N91" s="27">
        <f>IF(COUNT(N71:N90), SUM(N71:N90) / COUNT(N71:N90), 0)</f>
        <v>7.4327678378824282E-3</v>
      </c>
      <c r="O91" s="28">
        <f>SUM(O71:O90)</f>
        <v>22298.303513647294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29052000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1.2053229299999999E-2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2023-01-31(화) 오전 00:00</v>
      </c>
      <c r="C96" s="198"/>
      <c r="D96" s="170" t="str">
        <f>TEXT($G$1, "[$-ko-KR]yyyy-mm-dd(ddd) ") &amp; "오후 14:00"</f>
        <v>2023-01-31(화) 오후 14:00</v>
      </c>
      <c r="E96" s="171"/>
      <c r="F96" s="172"/>
      <c r="G96" s="170" t="str">
        <f>TEXT($G$1, "[$-ko-KR]yyyy-mm-dd(ddd) ") &amp; "오후 19:00"</f>
        <v>2023-01-31(화) 오후 19:00</v>
      </c>
      <c r="H96" s="171"/>
      <c r="I96" s="172"/>
      <c r="J96" s="170" t="str">
        <f>TEXT($G$1, "[$-ko-KR]yyyy-mm-dd(ddd) ") &amp; "오후 21:00"</f>
        <v>2023-01-31(화) 오후 21:00</v>
      </c>
      <c r="K96" s="171"/>
      <c r="L96" s="172"/>
      <c r="M96" s="170" t="str">
        <f>TEXT($G$1+1, "[$-ko-KR]yyyy-mm-dd(ddd) ") &amp; "오전 00:00"</f>
        <v>2023-02-01(수)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349</v>
      </c>
      <c r="B98" s="108">
        <v>66.7</v>
      </c>
      <c r="C98" s="69">
        <v>0.24672897199999999</v>
      </c>
      <c r="D98" s="13">
        <v>60.6</v>
      </c>
      <c r="E98" s="14">
        <f>IF(ISNUMBER(D98), (D98 - $B98) / $B98, "")</f>
        <v>-9.1454272863568234E-2</v>
      </c>
      <c r="F98" s="16">
        <f>IF(ISNUMBER(D98), $B118 * E98, "")</f>
        <v>-13718.140929535235</v>
      </c>
      <c r="G98" s="29">
        <v>60.6</v>
      </c>
      <c r="H98" s="14">
        <f>IF(ISNUMBER(G98), (G98 - $B98) / $B98, "")</f>
        <v>-9.1454272863568234E-2</v>
      </c>
      <c r="I98" s="90">
        <f>IF(ISNUMBER(G98), $B118 * H98, "")</f>
        <v>-13718.140929535235</v>
      </c>
      <c r="J98" s="13">
        <v>60.6</v>
      </c>
      <c r="K98" s="14">
        <f>IF(ISNUMBER(J98), (J98 - $B98) / $B98, "")</f>
        <v>-9.1454272863568234E-2</v>
      </c>
      <c r="L98" s="16">
        <f>IF(ISNUMBER(J98), $B118 * K98, "")</f>
        <v>-13718.140929535235</v>
      </c>
      <c r="M98" s="29">
        <v>60.6</v>
      </c>
      <c r="N98" s="14">
        <f>IF(ISNUMBER(M98), (M98 - $B98) / $B98, "")</f>
        <v>-9.1454272863568234E-2</v>
      </c>
      <c r="O98" s="16">
        <f>IF(ISNUMBER(M98), $B118 * N98, "")</f>
        <v>-13718.140929535235</v>
      </c>
      <c r="Q98" s="156"/>
      <c r="R98" s="156"/>
      <c r="S98" s="156"/>
    </row>
    <row r="99" spans="1:19" ht="17.25" thickBot="1">
      <c r="A99" s="109" t="s">
        <v>345</v>
      </c>
      <c r="B99" s="110">
        <v>227</v>
      </c>
      <c r="C99" s="70">
        <v>0.118226601</v>
      </c>
      <c r="D99" s="15">
        <v>215</v>
      </c>
      <c r="E99" s="32">
        <f t="shared" ref="E99:E102" si="46">IF(ISNUMBER(D99), (D99 - $B99) / $B99, "")</f>
        <v>-5.2863436123348019E-2</v>
      </c>
      <c r="F99" s="18">
        <f>IF(ISNUMBER(D99), $B118 * E99, "")</f>
        <v>-7929.5154185022029</v>
      </c>
      <c r="G99" s="31">
        <v>215</v>
      </c>
      <c r="H99" s="32">
        <f t="shared" ref="H99:H102" si="47">IF(ISNUMBER(G99), (G99 - $B99) / $B99, "")</f>
        <v>-5.2863436123348019E-2</v>
      </c>
      <c r="I99" s="91">
        <f>IF(ISNUMBER(G99), $B118 * H99, "")</f>
        <v>-7929.5154185022029</v>
      </c>
      <c r="J99" s="15">
        <v>215</v>
      </c>
      <c r="K99" s="32">
        <f t="shared" ref="K99:K102" si="48">IF(ISNUMBER(J99), (J99 - $B99) / $B99, "")</f>
        <v>-5.2863436123348019E-2</v>
      </c>
      <c r="L99" s="18">
        <f>IF(ISNUMBER(J99), $B118 * K99, "")</f>
        <v>-7929.5154185022029</v>
      </c>
      <c r="M99" s="31">
        <v>215</v>
      </c>
      <c r="N99" s="32">
        <f t="shared" ref="N99:N102" si="49">IF(ISNUMBER(M99), (M99 - $B99) / $B99, "")</f>
        <v>-5.2863436123348019E-2</v>
      </c>
      <c r="O99" s="18">
        <f>IF(ISNUMBER(M99), $B118 * N99, "")</f>
        <v>-7929.5154185022029</v>
      </c>
      <c r="Q99" s="156"/>
      <c r="R99" s="156"/>
      <c r="S99" s="156"/>
    </row>
    <row r="100" spans="1:19" ht="17.25" thickBot="1">
      <c r="A100" s="109" t="s">
        <v>132</v>
      </c>
      <c r="B100" s="110">
        <v>68.599999999999994</v>
      </c>
      <c r="C100" s="70">
        <v>4.7328244300000002E-2</v>
      </c>
      <c r="D100" s="15">
        <v>68.099999999999994</v>
      </c>
      <c r="E100" s="32">
        <f t="shared" si="46"/>
        <v>-7.28862973760933E-3</v>
      </c>
      <c r="F100" s="18">
        <f>IF(ISNUMBER(D100), $B118 * E100, "")</f>
        <v>-1093.2944606413996</v>
      </c>
      <c r="G100" s="31">
        <v>68.099999999999994</v>
      </c>
      <c r="H100" s="32">
        <f t="shared" si="47"/>
        <v>-7.28862973760933E-3</v>
      </c>
      <c r="I100" s="91">
        <f>IF(ISNUMBER(G100), $B118 * H100, "")</f>
        <v>-1093.2944606413996</v>
      </c>
      <c r="J100" s="15">
        <v>68.099999999999994</v>
      </c>
      <c r="K100" s="32">
        <f t="shared" si="48"/>
        <v>-7.28862973760933E-3</v>
      </c>
      <c r="L100" s="18">
        <f>IF(ISNUMBER(J100), $B118 * K100, "")</f>
        <v>-1093.2944606413996</v>
      </c>
      <c r="M100" s="31">
        <v>68.099999999999994</v>
      </c>
      <c r="N100" s="32">
        <f t="shared" si="49"/>
        <v>-7.28862973760933E-3</v>
      </c>
      <c r="O100" s="18">
        <f>IF(ISNUMBER(M100), $B118 * N100, "")</f>
        <v>-1093.2944606413996</v>
      </c>
      <c r="Q100" s="146"/>
      <c r="R100" s="146"/>
      <c r="S100" s="146"/>
    </row>
    <row r="101" spans="1:19" ht="17.25" thickBot="1">
      <c r="A101" s="109" t="s">
        <v>191</v>
      </c>
      <c r="B101" s="110">
        <v>70</v>
      </c>
      <c r="C101" s="70">
        <v>4.4776119400000002E-2</v>
      </c>
      <c r="D101" s="15">
        <v>69.7</v>
      </c>
      <c r="E101" s="32">
        <f t="shared" si="46"/>
        <v>-4.2857142857142452E-3</v>
      </c>
      <c r="F101" s="18">
        <f>IF(ISNUMBER(D101), $B118 * E101, "")</f>
        <v>-642.85714285713675</v>
      </c>
      <c r="G101" s="31">
        <v>69.7</v>
      </c>
      <c r="H101" s="32">
        <f t="shared" si="47"/>
        <v>-4.2857142857142452E-3</v>
      </c>
      <c r="I101" s="91">
        <f>IF(ISNUMBER(G101), $B118 * H101, "")</f>
        <v>-642.85714285713675</v>
      </c>
      <c r="J101" s="15">
        <v>69.7</v>
      </c>
      <c r="K101" s="32">
        <f t="shared" si="48"/>
        <v>-4.2857142857142452E-3</v>
      </c>
      <c r="L101" s="18">
        <f>IF(ISNUMBER(J101), $B118 * K101, "")</f>
        <v>-642.85714285713675</v>
      </c>
      <c r="M101" s="31">
        <v>69.7</v>
      </c>
      <c r="N101" s="32">
        <f t="shared" si="49"/>
        <v>-4.2857142857142452E-3</v>
      </c>
      <c r="O101" s="18">
        <f>IF(ISNUMBER(M101), $B118 * N101, "")</f>
        <v>-642.85714285713675</v>
      </c>
      <c r="Q101" s="146"/>
      <c r="R101" s="146"/>
      <c r="S101" s="146"/>
    </row>
    <row r="102" spans="1:19" ht="17.25" thickBot="1">
      <c r="A102" s="111" t="s">
        <v>197</v>
      </c>
      <c r="B102" s="112">
        <v>7.95</v>
      </c>
      <c r="C102" s="71">
        <v>3.9215686299999997E-2</v>
      </c>
      <c r="D102" s="20">
        <v>7.9</v>
      </c>
      <c r="E102" s="21">
        <f t="shared" si="46"/>
        <v>-6.2893081761006067E-3</v>
      </c>
      <c r="F102" s="22">
        <f>IF(ISNUMBER(D102), $B118 * E102, "")</f>
        <v>-943.39622641509106</v>
      </c>
      <c r="G102" s="30">
        <v>7.9</v>
      </c>
      <c r="H102" s="21">
        <f t="shared" si="47"/>
        <v>-6.2893081761006067E-3</v>
      </c>
      <c r="I102" s="95">
        <f>IF(ISNUMBER(G102), $B118 * H102, "")</f>
        <v>-943.39622641509106</v>
      </c>
      <c r="J102" s="20">
        <v>7.9</v>
      </c>
      <c r="K102" s="21">
        <f t="shared" si="48"/>
        <v>-6.2893081761006067E-3</v>
      </c>
      <c r="L102" s="22">
        <f>IF(ISNUMBER(J102), $B118 * K102, "")</f>
        <v>-943.39622641509106</v>
      </c>
      <c r="M102" s="30">
        <v>7.9</v>
      </c>
      <c r="N102" s="21">
        <f t="shared" si="49"/>
        <v>-6.2893081761006067E-3</v>
      </c>
      <c r="O102" s="22">
        <f>IF(ISNUMBER(M102), $B118 * N102, "")</f>
        <v>-943.39622641509106</v>
      </c>
      <c r="Q102" s="146"/>
      <c r="R102" s="146"/>
      <c r="S102" s="146"/>
    </row>
    <row r="103" spans="1:19" ht="17.25" thickBot="1">
      <c r="A103" s="109" t="s">
        <v>253</v>
      </c>
      <c r="B103" s="113">
        <v>115</v>
      </c>
      <c r="C103" s="73">
        <v>3.6036036E-2</v>
      </c>
      <c r="D103" s="96">
        <v>117</v>
      </c>
      <c r="E103" s="97">
        <f>IF(ISNUMBER(D103), (D103 - $B103) / $B103, "")</f>
        <v>1.7391304347826087E-2</v>
      </c>
      <c r="F103" s="98">
        <f>IF(ISNUMBER(D103), $B118 * E103, "")</f>
        <v>2608.695652173913</v>
      </c>
      <c r="G103" s="99">
        <v>117</v>
      </c>
      <c r="H103" s="97">
        <f>IF(ISNUMBER(G103), (G103 - $B103) / $B103, "")</f>
        <v>1.7391304347826087E-2</v>
      </c>
      <c r="I103" s="100">
        <f>IF(ISNUMBER(G103), $B118 * H103, "")</f>
        <v>2608.695652173913</v>
      </c>
      <c r="J103" s="96">
        <v>117</v>
      </c>
      <c r="K103" s="97">
        <f>IF(ISNUMBER(J103), (J103 - $B103) / $B103, "")</f>
        <v>1.7391304347826087E-2</v>
      </c>
      <c r="L103" s="98">
        <f>IF(ISNUMBER(J103), $B118 * K103, "")</f>
        <v>2608.695652173913</v>
      </c>
      <c r="M103" s="99">
        <v>117</v>
      </c>
      <c r="N103" s="97">
        <f>IF(ISNUMBER(M103), (M103 - $B103) / $B103, "")</f>
        <v>1.7391304347826087E-2</v>
      </c>
      <c r="O103" s="98">
        <f>IF(ISNUMBER(M103), $B118 * N103, "")</f>
        <v>2608.695652173913</v>
      </c>
      <c r="Q103" s="146"/>
      <c r="R103" s="146"/>
      <c r="S103" s="146"/>
    </row>
    <row r="104" spans="1:19" ht="17.25" thickBot="1">
      <c r="A104" s="109" t="s">
        <v>323</v>
      </c>
      <c r="B104" s="110">
        <v>4.4699999999999997E-2</v>
      </c>
      <c r="C104" s="70">
        <v>3.2332563500000001E-2</v>
      </c>
      <c r="D104" s="15">
        <v>4.4499999999999998E-2</v>
      </c>
      <c r="E104" s="32">
        <f t="shared" ref="E104:E107" si="50">IF(ISNUMBER(D104), (D104 - $B104) / $B104, "")</f>
        <v>-4.4742729306487426E-3</v>
      </c>
      <c r="F104" s="18">
        <f>IF(ISNUMBER(D104), $B118 * E104, "")</f>
        <v>-671.14093959731144</v>
      </c>
      <c r="G104" s="31">
        <v>4.4499999999999998E-2</v>
      </c>
      <c r="H104" s="32">
        <f t="shared" ref="H104:H107" si="51">IF(ISNUMBER(G104), (G104 - $B104) / $B104, "")</f>
        <v>-4.4742729306487426E-3</v>
      </c>
      <c r="I104" s="91">
        <f>IF(ISNUMBER(G104), $B118 * H104, "")</f>
        <v>-671.14093959731144</v>
      </c>
      <c r="J104" s="15">
        <v>4.4499999999999998E-2</v>
      </c>
      <c r="K104" s="32">
        <f t="shared" ref="K104:K107" si="52">IF(ISNUMBER(J104), (J104 - $B104) / $B104, "")</f>
        <v>-4.4742729306487426E-3</v>
      </c>
      <c r="L104" s="18">
        <f>IF(ISNUMBER(J104), $B118 * K104, "")</f>
        <v>-671.14093959731144</v>
      </c>
      <c r="M104" s="31">
        <v>4.4499999999999998E-2</v>
      </c>
      <c r="N104" s="32">
        <f t="shared" ref="N104:N107" si="53">IF(ISNUMBER(M104), (M104 - $B104) / $B104, "")</f>
        <v>-4.4742729306487426E-3</v>
      </c>
      <c r="O104" s="18">
        <f>IF(ISNUMBER(M104), $B118 * N104, "")</f>
        <v>-671.14093959731144</v>
      </c>
      <c r="Q104" s="146"/>
      <c r="R104" s="146"/>
      <c r="S104" s="146"/>
    </row>
    <row r="105" spans="1:19" ht="17.25" thickBot="1">
      <c r="A105" s="109" t="s">
        <v>143</v>
      </c>
      <c r="B105" s="110">
        <v>4.3600000000000003</v>
      </c>
      <c r="C105" s="70">
        <v>3.07328605E-2</v>
      </c>
      <c r="D105" s="15">
        <v>4.41</v>
      </c>
      <c r="E105" s="32">
        <f t="shared" si="50"/>
        <v>1.146788990825684E-2</v>
      </c>
      <c r="F105" s="18">
        <f>IF(ISNUMBER(D105), $B118 * E105, "")</f>
        <v>1720.183486238526</v>
      </c>
      <c r="G105" s="31">
        <v>4.41</v>
      </c>
      <c r="H105" s="32">
        <f t="shared" si="51"/>
        <v>1.146788990825684E-2</v>
      </c>
      <c r="I105" s="91">
        <f>IF(ISNUMBER(G105), $B118 * H105, "")</f>
        <v>1720.183486238526</v>
      </c>
      <c r="J105" s="15">
        <v>4.41</v>
      </c>
      <c r="K105" s="32">
        <f t="shared" si="52"/>
        <v>1.146788990825684E-2</v>
      </c>
      <c r="L105" s="18">
        <f>IF(ISNUMBER(J105), $B118 * K105, "")</f>
        <v>1720.183486238526</v>
      </c>
      <c r="M105" s="31">
        <v>4.41</v>
      </c>
      <c r="N105" s="32">
        <f t="shared" si="53"/>
        <v>1.146788990825684E-2</v>
      </c>
      <c r="O105" s="18">
        <f>IF(ISNUMBER(M105), $B118 * N105, "")</f>
        <v>1720.183486238526</v>
      </c>
      <c r="Q105" s="146"/>
      <c r="R105" s="146"/>
      <c r="S105" s="146"/>
    </row>
    <row r="106" spans="1:19" ht="17.25" thickBot="1">
      <c r="A106" s="109" t="s">
        <v>317</v>
      </c>
      <c r="B106" s="110">
        <v>620</v>
      </c>
      <c r="C106" s="70">
        <v>2.6490066199999999E-2</v>
      </c>
      <c r="D106" s="15">
        <v>623</v>
      </c>
      <c r="E106" s="32">
        <f t="shared" si="50"/>
        <v>4.8387096774193551E-3</v>
      </c>
      <c r="F106" s="18">
        <f>IF(ISNUMBER(D106), $B118 * E106, "")</f>
        <v>725.80645161290329</v>
      </c>
      <c r="G106" s="31">
        <v>623</v>
      </c>
      <c r="H106" s="32">
        <f t="shared" si="51"/>
        <v>4.8387096774193551E-3</v>
      </c>
      <c r="I106" s="91">
        <f>IF(ISNUMBER(G106), $B118 * H106, "")</f>
        <v>725.80645161290329</v>
      </c>
      <c r="J106" s="15">
        <v>623</v>
      </c>
      <c r="K106" s="32">
        <f t="shared" si="52"/>
        <v>4.8387096774193551E-3</v>
      </c>
      <c r="L106" s="18">
        <f>IF(ISNUMBER(J106), $B118 * K106, "")</f>
        <v>725.80645161290329</v>
      </c>
      <c r="M106" s="31">
        <v>623</v>
      </c>
      <c r="N106" s="32">
        <f t="shared" si="53"/>
        <v>4.8387096774193551E-3</v>
      </c>
      <c r="O106" s="18">
        <f>IF(ISNUMBER(M106), $B118 * N106, "")</f>
        <v>725.80645161290329</v>
      </c>
      <c r="Q106" s="33"/>
      <c r="R106" s="33"/>
    </row>
    <row r="107" spans="1:19" ht="17.25" thickBot="1">
      <c r="A107" s="114" t="s">
        <v>237</v>
      </c>
      <c r="B107" s="115">
        <v>32.799999999999997</v>
      </c>
      <c r="C107" s="72">
        <v>2.5000000000000001E-2</v>
      </c>
      <c r="D107" s="24">
        <v>32.700000000000003</v>
      </c>
      <c r="E107" s="25">
        <f t="shared" si="50"/>
        <v>-3.0487804878047051E-3</v>
      </c>
      <c r="F107" s="94">
        <f>IF(ISNUMBER(D107), $B118 * E107, "")</f>
        <v>-457.31707317070578</v>
      </c>
      <c r="G107" s="92">
        <v>32.700000000000003</v>
      </c>
      <c r="H107" s="25">
        <f t="shared" si="51"/>
        <v>-3.0487804878047051E-3</v>
      </c>
      <c r="I107" s="93">
        <f>IF(ISNUMBER(G107), $B118 * H107, "")</f>
        <v>-457.31707317070578</v>
      </c>
      <c r="J107" s="24">
        <v>32.700000000000003</v>
      </c>
      <c r="K107" s="25">
        <f t="shared" si="52"/>
        <v>-3.0487804878047051E-3</v>
      </c>
      <c r="L107" s="94">
        <f>IF(ISNUMBER(J107), $B118 * K107, "")</f>
        <v>-457.31707317070578</v>
      </c>
      <c r="M107" s="92">
        <v>32.700000000000003</v>
      </c>
      <c r="N107" s="25">
        <f t="shared" si="53"/>
        <v>-3.0487804878047051E-3</v>
      </c>
      <c r="O107" s="94">
        <f>IF(ISNUMBER(M107), $B118 * N107, "")</f>
        <v>-457.31707317070578</v>
      </c>
      <c r="Q107" s="147"/>
      <c r="R107" s="148"/>
      <c r="S107" s="149"/>
    </row>
    <row r="108" spans="1:19">
      <c r="A108" s="107" t="s">
        <v>225</v>
      </c>
      <c r="B108" s="108">
        <v>63.2</v>
      </c>
      <c r="C108" s="69">
        <v>1.7713365500000001E-2</v>
      </c>
      <c r="D108" s="13">
        <v>63.3</v>
      </c>
      <c r="E108" s="14">
        <f>IF(ISNUMBER(D108), (D108 - $B108) / $B108, "")</f>
        <v>1.5822784810125682E-3</v>
      </c>
      <c r="F108" s="16">
        <f>IF(ISNUMBER(D108), $B118 * E108, "")</f>
        <v>237.34177215188524</v>
      </c>
      <c r="G108" s="29">
        <v>63.3</v>
      </c>
      <c r="H108" s="14">
        <f>IF(ISNUMBER(G108), (G108 - $B108) / $B108, "")</f>
        <v>1.5822784810125682E-3</v>
      </c>
      <c r="I108" s="90">
        <f>IF(ISNUMBER(G108), $B118 * H108, "")</f>
        <v>237.34177215188524</v>
      </c>
      <c r="J108" s="13">
        <v>63.3</v>
      </c>
      <c r="K108" s="14">
        <f>IF(ISNUMBER(J108), (J108 - $B108) / $B108, "")</f>
        <v>1.5822784810125682E-3</v>
      </c>
      <c r="L108" s="16">
        <f>IF(ISNUMBER(J108), $B118 * K108, "")</f>
        <v>237.34177215188524</v>
      </c>
      <c r="M108" s="29">
        <v>63.3</v>
      </c>
      <c r="N108" s="14">
        <f>IF(ISNUMBER(M108), (M108 - $B108) / $B108, "")</f>
        <v>1.5822784810125682E-3</v>
      </c>
      <c r="O108" s="16">
        <f>IF(ISNUMBER(M108), $B118 * N108, "")</f>
        <v>237.34177215188524</v>
      </c>
      <c r="Q108" s="150"/>
      <c r="R108" s="151"/>
      <c r="S108" s="152"/>
    </row>
    <row r="109" spans="1:19" ht="17.25" thickBot="1">
      <c r="A109" s="109" t="s">
        <v>89</v>
      </c>
      <c r="B109" s="110">
        <v>503</v>
      </c>
      <c r="C109" s="70">
        <v>1.6161616199999999E-2</v>
      </c>
      <c r="D109" s="15">
        <v>505</v>
      </c>
      <c r="E109" s="32">
        <f t="shared" ref="E109:E112" si="54">IF(ISNUMBER(D109), (D109 - $B109) / $B109, "")</f>
        <v>3.9761431411530811E-3</v>
      </c>
      <c r="F109" s="18">
        <f>IF(ISNUMBER(D109), $B118 * E109, "")</f>
        <v>596.42147117296213</v>
      </c>
      <c r="G109" s="31">
        <v>505</v>
      </c>
      <c r="H109" s="32">
        <f t="shared" ref="H109:H112" si="55">IF(ISNUMBER(G109), (G109 - $B109) / $B109, "")</f>
        <v>3.9761431411530811E-3</v>
      </c>
      <c r="I109" s="91">
        <f>IF(ISNUMBER(G109), $B118 * H109, "")</f>
        <v>596.42147117296213</v>
      </c>
      <c r="J109" s="15">
        <v>505</v>
      </c>
      <c r="K109" s="32">
        <f t="shared" ref="K109:K112" si="56">IF(ISNUMBER(J109), (J109 - $B109) / $B109, "")</f>
        <v>3.9761431411530811E-3</v>
      </c>
      <c r="L109" s="18">
        <f>IF(ISNUMBER(J109), $B118 * K109, "")</f>
        <v>596.42147117296213</v>
      </c>
      <c r="M109" s="31">
        <v>505</v>
      </c>
      <c r="N109" s="32">
        <f t="shared" ref="N109:N112" si="57">IF(ISNUMBER(M109), (M109 - $B109) / $B109, "")</f>
        <v>3.9761431411530811E-3</v>
      </c>
      <c r="O109" s="18">
        <f>IF(ISNUMBER(M109), $B118 * N109, "")</f>
        <v>596.42147117296213</v>
      </c>
      <c r="Q109" s="153"/>
      <c r="R109" s="154"/>
      <c r="S109" s="155"/>
    </row>
    <row r="110" spans="1:19" ht="17.25" thickBot="1">
      <c r="A110" s="109" t="s">
        <v>235</v>
      </c>
      <c r="B110" s="110">
        <v>696</v>
      </c>
      <c r="C110" s="70">
        <v>1.6058394199999999E-2</v>
      </c>
      <c r="D110" s="15">
        <v>697</v>
      </c>
      <c r="E110" s="32">
        <f t="shared" si="54"/>
        <v>1.4367816091954023E-3</v>
      </c>
      <c r="F110" s="18">
        <f>IF(ISNUMBER(D110), $B118 * E110, "")</f>
        <v>215.51724137931035</v>
      </c>
      <c r="G110" s="31">
        <v>697</v>
      </c>
      <c r="H110" s="32">
        <f t="shared" si="55"/>
        <v>1.4367816091954023E-3</v>
      </c>
      <c r="I110" s="91">
        <f>IF(ISNUMBER(G110), $B118 * H110, "")</f>
        <v>215.51724137931035</v>
      </c>
      <c r="J110" s="15">
        <v>697</v>
      </c>
      <c r="K110" s="32">
        <f t="shared" si="56"/>
        <v>1.4367816091954023E-3</v>
      </c>
      <c r="L110" s="18">
        <f>IF(ISNUMBER(J110), $B118 * K110, "")</f>
        <v>215.51724137931035</v>
      </c>
      <c r="M110" s="31">
        <v>697</v>
      </c>
      <c r="N110" s="32">
        <f t="shared" si="57"/>
        <v>1.4367816091954023E-3</v>
      </c>
      <c r="O110" s="18">
        <f>IF(ISNUMBER(M110), $B118 * N110, "")</f>
        <v>215.51724137931035</v>
      </c>
      <c r="Q110" s="146"/>
      <c r="R110" s="146"/>
      <c r="S110" s="146"/>
    </row>
    <row r="111" spans="1:19" ht="17.25" thickBot="1">
      <c r="A111" s="109" t="s">
        <v>352</v>
      </c>
      <c r="B111" s="110">
        <v>1.47E-2</v>
      </c>
      <c r="C111" s="70">
        <v>1.3793103399999999E-2</v>
      </c>
      <c r="D111" s="15">
        <v>1.4800000000000001E-2</v>
      </c>
      <c r="E111" s="32">
        <f t="shared" si="54"/>
        <v>6.8027210884354511E-3</v>
      </c>
      <c r="F111" s="18">
        <f>IF(ISNUMBER(D111), $B118 * E111, "")</f>
        <v>1020.4081632653176</v>
      </c>
      <c r="G111" s="31">
        <v>1.4800000000000001E-2</v>
      </c>
      <c r="H111" s="32">
        <f t="shared" si="55"/>
        <v>6.8027210884354511E-3</v>
      </c>
      <c r="I111" s="91">
        <f>IF(ISNUMBER(G111), $B118 * H111, "")</f>
        <v>1020.4081632653176</v>
      </c>
      <c r="J111" s="15">
        <v>1.4800000000000001E-2</v>
      </c>
      <c r="K111" s="32">
        <f t="shared" si="56"/>
        <v>6.8027210884354511E-3</v>
      </c>
      <c r="L111" s="18">
        <f>IF(ISNUMBER(J111), $B118 * K111, "")</f>
        <v>1020.4081632653176</v>
      </c>
      <c r="M111" s="31">
        <v>1.4800000000000001E-2</v>
      </c>
      <c r="N111" s="32">
        <f t="shared" si="57"/>
        <v>6.8027210884354511E-3</v>
      </c>
      <c r="O111" s="18">
        <f>IF(ISNUMBER(M111), $B118 * N111, "")</f>
        <v>1020.4081632653176</v>
      </c>
      <c r="Q111" s="156"/>
      <c r="R111" s="156"/>
      <c r="S111" s="156"/>
    </row>
    <row r="112" spans="1:19" ht="17.25" thickBot="1">
      <c r="A112" s="111" t="s">
        <v>207</v>
      </c>
      <c r="B112" s="112">
        <v>73.599999999999994</v>
      </c>
      <c r="C112" s="71">
        <v>1.3774104699999999E-2</v>
      </c>
      <c r="D112" s="20">
        <v>73.400000000000006</v>
      </c>
      <c r="E112" s="21">
        <f t="shared" si="54"/>
        <v>-2.7173913043476716E-3</v>
      </c>
      <c r="F112" s="22">
        <f>IF(ISNUMBER(D112), $B118 * E112, "")</f>
        <v>-407.60869565215074</v>
      </c>
      <c r="G112" s="30">
        <v>73.400000000000006</v>
      </c>
      <c r="H112" s="21">
        <f t="shared" si="55"/>
        <v>-2.7173913043476716E-3</v>
      </c>
      <c r="I112" s="95">
        <f>IF(ISNUMBER(G112), $B118 * H112, "")</f>
        <v>-407.60869565215074</v>
      </c>
      <c r="J112" s="20">
        <v>73.400000000000006</v>
      </c>
      <c r="K112" s="21">
        <f t="shared" si="56"/>
        <v>-2.7173913043476716E-3</v>
      </c>
      <c r="L112" s="22">
        <f>IF(ISNUMBER(J112), $B118 * K112, "")</f>
        <v>-407.60869565215074</v>
      </c>
      <c r="M112" s="30">
        <v>73.400000000000006</v>
      </c>
      <c r="N112" s="21">
        <f t="shared" si="57"/>
        <v>-2.7173913043476716E-3</v>
      </c>
      <c r="O112" s="22">
        <f>IF(ISNUMBER(M112), $B118 * N112, "")</f>
        <v>-407.60869565215074</v>
      </c>
      <c r="Q112" s="156"/>
      <c r="R112" s="156"/>
      <c r="S112" s="156"/>
    </row>
    <row r="113" spans="1:19" ht="17.25" thickBot="1">
      <c r="A113" s="109" t="s">
        <v>185</v>
      </c>
      <c r="B113" s="113">
        <v>36.299999999999997</v>
      </c>
      <c r="C113" s="73">
        <v>1.1142061300000001E-2</v>
      </c>
      <c r="D113" s="96">
        <v>36.299999999999997</v>
      </c>
      <c r="E113" s="97">
        <f>IF(ISNUMBER(D113), (D113 - $B113) / $B113, "")</f>
        <v>0</v>
      </c>
      <c r="F113" s="98">
        <f>IF(ISNUMBER(D113), $B118 * E113, "")</f>
        <v>0</v>
      </c>
      <c r="G113" s="99">
        <v>36.299999999999997</v>
      </c>
      <c r="H113" s="97">
        <f>IF(ISNUMBER(G113), (G113 - $B113) / $B113, "")</f>
        <v>0</v>
      </c>
      <c r="I113" s="100">
        <f>IF(ISNUMBER(G113), $B118 * H113, "")</f>
        <v>0</v>
      </c>
      <c r="J113" s="96">
        <v>36.299999999999997</v>
      </c>
      <c r="K113" s="97">
        <f>IF(ISNUMBER(J113), (J113 - $B113) / $B113, "")</f>
        <v>0</v>
      </c>
      <c r="L113" s="98">
        <f>IF(ISNUMBER(J113), $B118 * K113, "")</f>
        <v>0</v>
      </c>
      <c r="M113" s="99">
        <v>36.299999999999997</v>
      </c>
      <c r="N113" s="97">
        <f>IF(ISNUMBER(M113), (M113 - $B113) / $B113, "")</f>
        <v>0</v>
      </c>
      <c r="O113" s="98">
        <f>IF(ISNUMBER(M113), $B118 * N113, "")</f>
        <v>0</v>
      </c>
      <c r="Q113" s="146"/>
      <c r="R113" s="146"/>
      <c r="S113" s="146"/>
    </row>
    <row r="114" spans="1:19" ht="17.25" thickBot="1">
      <c r="A114" s="109" t="s">
        <v>77</v>
      </c>
      <c r="B114" s="110">
        <v>166750</v>
      </c>
      <c r="C114" s="70">
        <v>1.06060606E-2</v>
      </c>
      <c r="D114" s="15">
        <v>168900</v>
      </c>
      <c r="E114" s="32">
        <f t="shared" ref="E114:E117" si="58">IF(ISNUMBER(D114), (D114 - $B114) / $B114, "")</f>
        <v>1.2893553223388306E-2</v>
      </c>
      <c r="F114" s="18">
        <f>IF(ISNUMBER(D114), $B118 * E114, "")</f>
        <v>1934.0329835082459</v>
      </c>
      <c r="G114" s="31">
        <v>168900</v>
      </c>
      <c r="H114" s="32">
        <f t="shared" ref="H114:H117" si="59">IF(ISNUMBER(G114), (G114 - $B114) / $B114, "")</f>
        <v>1.2893553223388306E-2</v>
      </c>
      <c r="I114" s="91">
        <f>IF(ISNUMBER(G114), $B118 * H114, "")</f>
        <v>1934.0329835082459</v>
      </c>
      <c r="J114" s="15">
        <v>168900</v>
      </c>
      <c r="K114" s="32">
        <f t="shared" ref="K114:K117" si="60">IF(ISNUMBER(J114), (J114 - $B114) / $B114, "")</f>
        <v>1.2893553223388306E-2</v>
      </c>
      <c r="L114" s="18">
        <f>IF(ISNUMBER(J114), $B118 * K114, "")</f>
        <v>1934.0329835082459</v>
      </c>
      <c r="M114" s="31">
        <v>168900</v>
      </c>
      <c r="N114" s="32">
        <f t="shared" ref="N114:N117" si="61">IF(ISNUMBER(M114), (M114 - $B114) / $B114, "")</f>
        <v>1.2893553223388306E-2</v>
      </c>
      <c r="O114" s="18">
        <f>IF(ISNUMBER(M114), $B118 * N114, "")</f>
        <v>1934.0329835082459</v>
      </c>
      <c r="Q114" s="146"/>
      <c r="R114" s="146"/>
      <c r="S114" s="146"/>
    </row>
    <row r="115" spans="1:19" ht="17.25" thickBot="1">
      <c r="A115" s="109" t="s">
        <v>227</v>
      </c>
      <c r="B115" s="110">
        <v>50.2</v>
      </c>
      <c r="C115" s="70">
        <v>1.0060362200000001E-2</v>
      </c>
      <c r="D115" s="15">
        <v>50.2</v>
      </c>
      <c r="E115" s="32">
        <f t="shared" si="58"/>
        <v>0</v>
      </c>
      <c r="F115" s="18">
        <f>IF(ISNUMBER(D115), $B118 * E115, "")</f>
        <v>0</v>
      </c>
      <c r="G115" s="31">
        <v>50.2</v>
      </c>
      <c r="H115" s="32">
        <f t="shared" si="59"/>
        <v>0</v>
      </c>
      <c r="I115" s="91">
        <f>IF(ISNUMBER(G115), $B118 * H115, "")</f>
        <v>0</v>
      </c>
      <c r="J115" s="15">
        <v>50.2</v>
      </c>
      <c r="K115" s="32">
        <f t="shared" si="60"/>
        <v>0</v>
      </c>
      <c r="L115" s="18">
        <f>IF(ISNUMBER(J115), $B118 * K115, "")</f>
        <v>0</v>
      </c>
      <c r="M115" s="31">
        <v>50.2</v>
      </c>
      <c r="N115" s="32">
        <f t="shared" si="61"/>
        <v>0</v>
      </c>
      <c r="O115" s="18">
        <f>IF(ISNUMBER(M115), $B118 * N115, "")</f>
        <v>0</v>
      </c>
      <c r="Q115" s="146"/>
      <c r="R115" s="146"/>
      <c r="S115" s="146"/>
    </row>
    <row r="116" spans="1:19">
      <c r="A116" s="109" t="s">
        <v>138</v>
      </c>
      <c r="B116" s="110">
        <v>31.8</v>
      </c>
      <c r="C116" s="70">
        <v>9.5238094999999991E-3</v>
      </c>
      <c r="D116" s="15">
        <v>32.200000000000003</v>
      </c>
      <c r="E116" s="32">
        <f t="shared" si="58"/>
        <v>1.2578616352201324E-2</v>
      </c>
      <c r="F116" s="18">
        <f>IF(ISNUMBER(D116), $B118 * E116, "")</f>
        <v>1886.7924528301987</v>
      </c>
      <c r="G116" s="31">
        <v>32.200000000000003</v>
      </c>
      <c r="H116" s="32">
        <f t="shared" si="59"/>
        <v>1.2578616352201324E-2</v>
      </c>
      <c r="I116" s="91">
        <f>IF(ISNUMBER(G116), $B118 * H116, "")</f>
        <v>1886.7924528301987</v>
      </c>
      <c r="J116" s="15">
        <v>32.200000000000003</v>
      </c>
      <c r="K116" s="32">
        <f t="shared" si="60"/>
        <v>1.2578616352201324E-2</v>
      </c>
      <c r="L116" s="18">
        <f>IF(ISNUMBER(J116), $B118 * K116, "")</f>
        <v>1886.7924528301987</v>
      </c>
      <c r="M116" s="31">
        <v>32.200000000000003</v>
      </c>
      <c r="N116" s="32">
        <f t="shared" si="61"/>
        <v>1.2578616352201324E-2</v>
      </c>
      <c r="O116" s="18">
        <f>IF(ISNUMBER(M116), $B118 * N116, "")</f>
        <v>1886.7924528301987</v>
      </c>
      <c r="Q116" s="135"/>
      <c r="R116" s="136"/>
      <c r="S116" s="137"/>
    </row>
    <row r="117" spans="1:19" ht="17.25" thickBot="1">
      <c r="A117" s="114" t="s">
        <v>330</v>
      </c>
      <c r="B117" s="115">
        <v>348</v>
      </c>
      <c r="C117" s="72">
        <v>8.6956522000000008E-3</v>
      </c>
      <c r="D117" s="24">
        <v>352</v>
      </c>
      <c r="E117" s="25">
        <f t="shared" si="58"/>
        <v>1.1494252873563218E-2</v>
      </c>
      <c r="F117" s="94">
        <f>IF(ISNUMBER(D117), $B118 * E117, "")</f>
        <v>1724.1379310344828</v>
      </c>
      <c r="G117" s="92">
        <v>352</v>
      </c>
      <c r="H117" s="25">
        <f t="shared" si="59"/>
        <v>1.1494252873563218E-2</v>
      </c>
      <c r="I117" s="93">
        <f>IF(ISNUMBER(G117), $B118 * H117, "")</f>
        <v>1724.1379310344828</v>
      </c>
      <c r="J117" s="24">
        <v>352</v>
      </c>
      <c r="K117" s="25">
        <f t="shared" si="60"/>
        <v>1.1494252873563218E-2</v>
      </c>
      <c r="L117" s="94">
        <f>IF(ISNUMBER(J117), $B118 * K117, "")</f>
        <v>1724.1379310344828</v>
      </c>
      <c r="M117" s="92">
        <v>352</v>
      </c>
      <c r="N117" s="25">
        <f t="shared" si="61"/>
        <v>1.1494252873563218E-2</v>
      </c>
      <c r="O117" s="94">
        <f>IF(ISNUMBER(M117), $B118 * N117, "")</f>
        <v>1724.1379310344828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-4.3979777603344958E-3</v>
      </c>
      <c r="F118" s="28">
        <f>SUM(F98:F117)</f>
        <v>-13193.933281003494</v>
      </c>
      <c r="G118" s="26" t="s">
        <v>258</v>
      </c>
      <c r="H118" s="27">
        <f>IF(COUNT(H98:H117), SUM(H98:H117) / COUNT(H98:H117), 0)</f>
        <v>-4.3979777603344958E-3</v>
      </c>
      <c r="I118" s="28">
        <f>SUM(I98:I117)</f>
        <v>-13193.933281003494</v>
      </c>
      <c r="J118" s="26" t="s">
        <v>258</v>
      </c>
      <c r="K118" s="27">
        <f>IF(COUNT(K98:K117), SUM(K98:K117) / COUNT(K98:K117), 0)</f>
        <v>-4.3979777603344958E-3</v>
      </c>
      <c r="L118" s="28">
        <f>SUM(L98:L117)</f>
        <v>-13193.933281003494</v>
      </c>
      <c r="M118" s="26" t="s">
        <v>258</v>
      </c>
      <c r="N118" s="27">
        <f>IF(COUNT(N98:N117), SUM(N98:N117) / COUNT(N98:N117), 0)</f>
        <v>-4.3979777603344958E-3</v>
      </c>
      <c r="O118" s="28">
        <f>SUM(O98:O117)</f>
        <v>-13193.933281003494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29052000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1.2053229299999999E-2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2023-01-31(화) 오전 00:00</v>
      </c>
      <c r="C123" s="198"/>
      <c r="D123" s="170" t="str">
        <f>TEXT($G$1, "[$-ko-KR]yyyy-mm-dd(ddd) ") &amp; "오후 14:00"</f>
        <v>2023-01-31(화) 오후 14:00</v>
      </c>
      <c r="E123" s="171"/>
      <c r="F123" s="172"/>
      <c r="G123" s="170" t="str">
        <f>TEXT($G$1, "[$-ko-KR]yyyy-mm-dd(ddd) ") &amp; "오후 19:00"</f>
        <v>2023-01-31(화) 오후 19:00</v>
      </c>
      <c r="H123" s="171"/>
      <c r="I123" s="172"/>
      <c r="J123" s="170" t="str">
        <f>TEXT($G$1, "[$-ko-KR]yyyy-mm-dd(ddd) ") &amp; "오후 21:00"</f>
        <v>2023-01-31(화) 오후 21:00</v>
      </c>
      <c r="K123" s="171"/>
      <c r="L123" s="172"/>
      <c r="M123" s="170" t="str">
        <f>TEXT($G$1+1, "[$-ko-KR]yyyy-mm-dd(ddd) ") &amp; "오전 00:00"</f>
        <v>2023-02-01(수)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193</v>
      </c>
      <c r="B125" s="108">
        <v>20.7</v>
      </c>
      <c r="C125" s="69">
        <v>4.8543689000000003E-3</v>
      </c>
      <c r="D125" s="13">
        <v>20.8</v>
      </c>
      <c r="E125" s="14">
        <f>IF(ISNUMBER(D125), (D125 - $B125) / $B125, "")</f>
        <v>4.8309178743962044E-3</v>
      </c>
      <c r="F125" s="16">
        <f>IF(ISNUMBER(D125), $B145 * E125, "")</f>
        <v>724.63768115943071</v>
      </c>
      <c r="G125" s="29">
        <v>20.8</v>
      </c>
      <c r="H125" s="14">
        <f>IF(ISNUMBER(G125), (G125 - $B125) / $B125, "")</f>
        <v>4.8309178743962044E-3</v>
      </c>
      <c r="I125" s="90">
        <f>IF(ISNUMBER(G125), $B145 * H125, "")</f>
        <v>724.63768115943071</v>
      </c>
      <c r="J125" s="13">
        <v>20.8</v>
      </c>
      <c r="K125" s="14">
        <f>IF(ISNUMBER(J125), (J125 - $B125) / $B125, "")</f>
        <v>4.8309178743962044E-3</v>
      </c>
      <c r="L125" s="16">
        <f>IF(ISNUMBER(J125), $B145 * K125, "")</f>
        <v>724.63768115943071</v>
      </c>
      <c r="M125" s="29">
        <v>20.8</v>
      </c>
      <c r="N125" s="14">
        <f>IF(ISNUMBER(M125), (M125 - $B125) / $B125, "")</f>
        <v>4.8309178743962044E-3</v>
      </c>
      <c r="O125" s="16">
        <f>IF(ISNUMBER(M125), $B145 * N125, "")</f>
        <v>724.63768115943071</v>
      </c>
      <c r="Q125" s="156"/>
      <c r="R125" s="156"/>
      <c r="S125" s="156"/>
    </row>
    <row r="126" spans="1:19" ht="17.25" thickBot="1">
      <c r="A126" s="109" t="s">
        <v>97</v>
      </c>
      <c r="B126" s="110">
        <v>8.9999999999999998E-4</v>
      </c>
      <c r="C126" s="70">
        <v>0</v>
      </c>
      <c r="D126" s="15">
        <v>8.9999999999999998E-4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8.9999999999999998E-4</v>
      </c>
      <c r="H126" s="32">
        <f t="shared" ref="H126:H129" si="63">IF(ISNUMBER(G126), (G126 - $B126) / $B126, "")</f>
        <v>0</v>
      </c>
      <c r="I126" s="91">
        <f>IF(ISNUMBER(G126), $B145 * H126, "")</f>
        <v>0</v>
      </c>
      <c r="J126" s="15">
        <v>8.9999999999999998E-4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8.9999999999999998E-4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156"/>
      <c r="R126" s="156"/>
      <c r="S126" s="156"/>
    </row>
    <row r="127" spans="1:19" ht="17.25" thickBot="1">
      <c r="A127" s="109" t="s">
        <v>324</v>
      </c>
      <c r="B127" s="110">
        <v>97.5</v>
      </c>
      <c r="C127" s="70">
        <v>0</v>
      </c>
      <c r="D127" s="15">
        <v>100</v>
      </c>
      <c r="E127" s="32">
        <f t="shared" si="62"/>
        <v>2.564102564102564E-2</v>
      </c>
      <c r="F127" s="18">
        <f>IF(ISNUMBER(D127), $B145 * E127, "")</f>
        <v>3846.1538461538462</v>
      </c>
      <c r="G127" s="31">
        <v>100</v>
      </c>
      <c r="H127" s="32">
        <f t="shared" si="63"/>
        <v>2.564102564102564E-2</v>
      </c>
      <c r="I127" s="91">
        <f>IF(ISNUMBER(G127), $B145 * H127, "")</f>
        <v>3846.1538461538462</v>
      </c>
      <c r="J127" s="15">
        <v>100</v>
      </c>
      <c r="K127" s="32">
        <f t="shared" si="64"/>
        <v>2.564102564102564E-2</v>
      </c>
      <c r="L127" s="18">
        <f>IF(ISNUMBER(J127), $B145 * K127, "")</f>
        <v>3846.1538461538462</v>
      </c>
      <c r="M127" s="31">
        <v>100</v>
      </c>
      <c r="N127" s="32">
        <f t="shared" si="65"/>
        <v>2.564102564102564E-2</v>
      </c>
      <c r="O127" s="18">
        <f>IF(ISNUMBER(M127), $B145 * N127, "")</f>
        <v>3846.1538461538462</v>
      </c>
      <c r="Q127" s="146"/>
      <c r="R127" s="146"/>
      <c r="S127" s="146"/>
    </row>
    <row r="128" spans="1:19" ht="17.25" thickBot="1">
      <c r="A128" s="109" t="s">
        <v>64</v>
      </c>
      <c r="B128" s="110">
        <v>11.8</v>
      </c>
      <c r="C128" s="70">
        <v>0</v>
      </c>
      <c r="D128" s="15">
        <v>11.9</v>
      </c>
      <c r="E128" s="32">
        <f t="shared" si="62"/>
        <v>8.4745762711864094E-3</v>
      </c>
      <c r="F128" s="18">
        <f>IF(ISNUMBER(D128), $B145 * E128, "")</f>
        <v>1271.1864406779614</v>
      </c>
      <c r="G128" s="31">
        <v>11.9</v>
      </c>
      <c r="H128" s="32">
        <f t="shared" si="63"/>
        <v>8.4745762711864094E-3</v>
      </c>
      <c r="I128" s="91">
        <f>IF(ISNUMBER(G128), $B145 * H128, "")</f>
        <v>1271.1864406779614</v>
      </c>
      <c r="J128" s="15">
        <v>11.9</v>
      </c>
      <c r="K128" s="32">
        <f t="shared" si="64"/>
        <v>8.4745762711864094E-3</v>
      </c>
      <c r="L128" s="18">
        <f>IF(ISNUMBER(J128), $B145 * K128, "")</f>
        <v>1271.1864406779614</v>
      </c>
      <c r="M128" s="31">
        <v>11.9</v>
      </c>
      <c r="N128" s="32">
        <f t="shared" si="65"/>
        <v>8.4745762711864094E-3</v>
      </c>
      <c r="O128" s="18">
        <f>IF(ISNUMBER(M128), $B145 * N128, "")</f>
        <v>1271.1864406779614</v>
      </c>
      <c r="Q128" s="146"/>
      <c r="R128" s="146"/>
      <c r="S128" s="146"/>
    </row>
    <row r="129" spans="1:19" ht="17.25" thickBot="1">
      <c r="A129" s="111" t="s">
        <v>203</v>
      </c>
      <c r="B129" s="112">
        <v>3.76</v>
      </c>
      <c r="C129" s="71">
        <v>0</v>
      </c>
      <c r="D129" s="20">
        <v>3.82</v>
      </c>
      <c r="E129" s="21">
        <f t="shared" si="62"/>
        <v>1.5957446808510654E-2</v>
      </c>
      <c r="F129" s="22">
        <f>IF(ISNUMBER(D129), $B145 * E129, "")</f>
        <v>2393.6170212765983</v>
      </c>
      <c r="G129" s="30">
        <v>3.82</v>
      </c>
      <c r="H129" s="21">
        <f t="shared" si="63"/>
        <v>1.5957446808510654E-2</v>
      </c>
      <c r="I129" s="95">
        <f>IF(ISNUMBER(G129), $B145 * H129, "")</f>
        <v>2393.6170212765983</v>
      </c>
      <c r="J129" s="20">
        <v>3.82</v>
      </c>
      <c r="K129" s="21">
        <f t="shared" si="64"/>
        <v>1.5957446808510654E-2</v>
      </c>
      <c r="L129" s="22">
        <f>IF(ISNUMBER(J129), $B145 * K129, "")</f>
        <v>2393.6170212765983</v>
      </c>
      <c r="M129" s="30">
        <v>3.82</v>
      </c>
      <c r="N129" s="21">
        <f t="shared" si="65"/>
        <v>1.5957446808510654E-2</v>
      </c>
      <c r="O129" s="22">
        <f>IF(ISNUMBER(M129), $B145 * N129, "")</f>
        <v>2393.6170212765983</v>
      </c>
      <c r="Q129" s="146"/>
      <c r="R129" s="146"/>
      <c r="S129" s="146"/>
    </row>
    <row r="130" spans="1:19" ht="17.25" thickBot="1">
      <c r="A130" s="109" t="s">
        <v>122</v>
      </c>
      <c r="B130" s="113">
        <v>29</v>
      </c>
      <c r="C130" s="73">
        <v>0</v>
      </c>
      <c r="D130" s="96">
        <v>29.3</v>
      </c>
      <c r="E130" s="97">
        <f>IF(ISNUMBER(D130), (D130 - $B130) / $B130, "")</f>
        <v>1.0344827586206921E-2</v>
      </c>
      <c r="F130" s="98">
        <f>IF(ISNUMBER(D130), $B145 * E130, "")</f>
        <v>1551.7241379310381</v>
      </c>
      <c r="G130" s="99">
        <v>29.3</v>
      </c>
      <c r="H130" s="97">
        <f>IF(ISNUMBER(G130), (G130 - $B130) / $B130, "")</f>
        <v>1.0344827586206921E-2</v>
      </c>
      <c r="I130" s="100">
        <f>IF(ISNUMBER(G130), $B145 * H130, "")</f>
        <v>1551.7241379310381</v>
      </c>
      <c r="J130" s="96">
        <v>29.3</v>
      </c>
      <c r="K130" s="97">
        <f>IF(ISNUMBER(J130), (J130 - $B130) / $B130, "")</f>
        <v>1.0344827586206921E-2</v>
      </c>
      <c r="L130" s="98">
        <f>IF(ISNUMBER(J130), $B145 * K130, "")</f>
        <v>1551.7241379310381</v>
      </c>
      <c r="M130" s="99">
        <v>29.3</v>
      </c>
      <c r="N130" s="97">
        <f>IF(ISNUMBER(M130), (M130 - $B130) / $B130, "")</f>
        <v>1.0344827586206921E-2</v>
      </c>
      <c r="O130" s="98">
        <f>IF(ISNUMBER(M130), $B145 * N130, "")</f>
        <v>1551.7241379310381</v>
      </c>
      <c r="Q130" s="146"/>
      <c r="R130" s="146"/>
      <c r="S130" s="146"/>
    </row>
    <row r="131" spans="1:19" ht="17.25" thickBot="1">
      <c r="A131" s="109" t="s">
        <v>126</v>
      </c>
      <c r="B131" s="110">
        <v>33.4</v>
      </c>
      <c r="C131" s="70">
        <v>-2.9850746000000001E-3</v>
      </c>
      <c r="D131" s="15">
        <v>33.799999999999997</v>
      </c>
      <c r="E131" s="32">
        <f t="shared" ref="E131:E134" si="66">IF(ISNUMBER(D131), (D131 - $B131) / $B131, "")</f>
        <v>1.1976047904191574E-2</v>
      </c>
      <c r="F131" s="18">
        <f>IF(ISNUMBER(D131), $B145 * E131, "")</f>
        <v>1796.4071856287362</v>
      </c>
      <c r="G131" s="31">
        <v>33.799999999999997</v>
      </c>
      <c r="H131" s="32">
        <f t="shared" ref="H131:H134" si="67">IF(ISNUMBER(G131), (G131 - $B131) / $B131, "")</f>
        <v>1.1976047904191574E-2</v>
      </c>
      <c r="I131" s="91">
        <f>IF(ISNUMBER(G131), $B145 * H131, "")</f>
        <v>1796.4071856287362</v>
      </c>
      <c r="J131" s="15">
        <v>33.799999999999997</v>
      </c>
      <c r="K131" s="32">
        <f t="shared" ref="K131:K134" si="68">IF(ISNUMBER(J131), (J131 - $B131) / $B131, "")</f>
        <v>1.1976047904191574E-2</v>
      </c>
      <c r="L131" s="18">
        <f>IF(ISNUMBER(J131), $B145 * K131, "")</f>
        <v>1796.4071856287362</v>
      </c>
      <c r="M131" s="31">
        <v>33.799999999999997</v>
      </c>
      <c r="N131" s="32">
        <f t="shared" ref="N131:N134" si="69">IF(ISNUMBER(M131), (M131 - $B131) / $B131, "")</f>
        <v>1.1976047904191574E-2</v>
      </c>
      <c r="O131" s="18">
        <f>IF(ISNUMBER(M131), $B145 * N131, "")</f>
        <v>1796.4071856287362</v>
      </c>
      <c r="Q131" s="146"/>
      <c r="R131" s="146"/>
      <c r="S131" s="146"/>
    </row>
    <row r="132" spans="1:19" ht="17.25" thickBot="1">
      <c r="A132" s="109" t="s">
        <v>333</v>
      </c>
      <c r="B132" s="110">
        <v>5.0199999999999996</v>
      </c>
      <c r="C132" s="70">
        <v>-3.9682540000000001E-3</v>
      </c>
      <c r="D132" s="15">
        <v>5.07</v>
      </c>
      <c r="E132" s="32">
        <f t="shared" si="66"/>
        <v>9.9601593625499429E-3</v>
      </c>
      <c r="F132" s="18">
        <f>IF(ISNUMBER(D132), $B145 * E132, "")</f>
        <v>1494.0239043824915</v>
      </c>
      <c r="G132" s="31">
        <v>5.07</v>
      </c>
      <c r="H132" s="32">
        <f t="shared" si="67"/>
        <v>9.9601593625499429E-3</v>
      </c>
      <c r="I132" s="91">
        <f>IF(ISNUMBER(G132), $B145 * H132, "")</f>
        <v>1494.0239043824915</v>
      </c>
      <c r="J132" s="15">
        <v>5.07</v>
      </c>
      <c r="K132" s="32">
        <f t="shared" si="68"/>
        <v>9.9601593625499429E-3</v>
      </c>
      <c r="L132" s="18">
        <f>IF(ISNUMBER(J132), $B145 * K132, "")</f>
        <v>1494.0239043824915</v>
      </c>
      <c r="M132" s="31">
        <v>5.07</v>
      </c>
      <c r="N132" s="32">
        <f t="shared" si="69"/>
        <v>9.9601593625499429E-3</v>
      </c>
      <c r="O132" s="18">
        <f>IF(ISNUMBER(M132), $B145 * N132, "")</f>
        <v>1494.0239043824915</v>
      </c>
      <c r="Q132" s="146"/>
      <c r="R132" s="146"/>
      <c r="S132" s="146"/>
    </row>
    <row r="133" spans="1:19" ht="17.25" thickBot="1">
      <c r="A133" s="109" t="s">
        <v>56</v>
      </c>
      <c r="B133" s="110">
        <v>45.5</v>
      </c>
      <c r="C133" s="70">
        <v>-4.3763676000000001E-3</v>
      </c>
      <c r="D133" s="15">
        <v>45.7</v>
      </c>
      <c r="E133" s="32">
        <f t="shared" si="66"/>
        <v>4.3956043956044581E-3</v>
      </c>
      <c r="F133" s="18">
        <f>IF(ISNUMBER(D133), $B145 * E133, "")</f>
        <v>659.34065934066871</v>
      </c>
      <c r="G133" s="31">
        <v>45.7</v>
      </c>
      <c r="H133" s="32">
        <f t="shared" si="67"/>
        <v>4.3956043956044581E-3</v>
      </c>
      <c r="I133" s="91">
        <f>IF(ISNUMBER(G133), $B145 * H133, "")</f>
        <v>659.34065934066871</v>
      </c>
      <c r="J133" s="15">
        <v>45.7</v>
      </c>
      <c r="K133" s="32">
        <f t="shared" si="68"/>
        <v>4.3956043956044581E-3</v>
      </c>
      <c r="L133" s="18">
        <f>IF(ISNUMBER(J133), $B145 * K133, "")</f>
        <v>659.34065934066871</v>
      </c>
      <c r="M133" s="31">
        <v>45.7</v>
      </c>
      <c r="N133" s="32">
        <f t="shared" si="69"/>
        <v>4.3956043956044581E-3</v>
      </c>
      <c r="O133" s="18">
        <f>IF(ISNUMBER(M133), $B145 * N133, "")</f>
        <v>659.34065934066871</v>
      </c>
      <c r="Q133" s="33"/>
      <c r="R133" s="33"/>
    </row>
    <row r="134" spans="1:19" ht="17.25" thickBot="1">
      <c r="A134" s="114" t="s">
        <v>107</v>
      </c>
      <c r="B134" s="115">
        <v>43.8</v>
      </c>
      <c r="C134" s="72">
        <v>-4.5454544999999997E-3</v>
      </c>
      <c r="D134" s="24">
        <v>44.2</v>
      </c>
      <c r="E134" s="25">
        <f t="shared" si="66"/>
        <v>9.1324200913243305E-3</v>
      </c>
      <c r="F134" s="94">
        <f>IF(ISNUMBER(D134), $B145 * E134, "")</f>
        <v>1369.8630136986496</v>
      </c>
      <c r="G134" s="92">
        <v>44.2</v>
      </c>
      <c r="H134" s="25">
        <f t="shared" si="67"/>
        <v>9.1324200913243305E-3</v>
      </c>
      <c r="I134" s="93">
        <f>IF(ISNUMBER(G134), $B145 * H134, "")</f>
        <v>1369.8630136986496</v>
      </c>
      <c r="J134" s="24">
        <v>44.2</v>
      </c>
      <c r="K134" s="25">
        <f t="shared" si="68"/>
        <v>9.1324200913243305E-3</v>
      </c>
      <c r="L134" s="94">
        <f>IF(ISNUMBER(J134), $B145 * K134, "")</f>
        <v>1369.8630136986496</v>
      </c>
      <c r="M134" s="92">
        <v>44.2</v>
      </c>
      <c r="N134" s="25">
        <f t="shared" si="69"/>
        <v>9.1324200913243305E-3</v>
      </c>
      <c r="O134" s="94">
        <f>IF(ISNUMBER(M134), $B145 * N134, "")</f>
        <v>1369.8630136986496</v>
      </c>
      <c r="Q134" s="147"/>
      <c r="R134" s="148"/>
      <c r="S134" s="149"/>
    </row>
    <row r="135" spans="1:19">
      <c r="A135" s="107" t="s">
        <v>145</v>
      </c>
      <c r="B135" s="108">
        <v>77.900000000000006</v>
      </c>
      <c r="C135" s="69">
        <v>-7.6433120999999998E-3</v>
      </c>
      <c r="D135" s="13">
        <v>78.400000000000006</v>
      </c>
      <c r="E135" s="14">
        <f>IF(ISNUMBER(D135), (D135 - $B135) / $B135, "")</f>
        <v>6.4184852374839533E-3</v>
      </c>
      <c r="F135" s="16">
        <f>IF(ISNUMBER(D135), $B145 * E135, "")</f>
        <v>962.77278562259301</v>
      </c>
      <c r="G135" s="29">
        <v>78.400000000000006</v>
      </c>
      <c r="H135" s="14">
        <f>IF(ISNUMBER(G135), (G135 - $B135) / $B135, "")</f>
        <v>6.4184852374839533E-3</v>
      </c>
      <c r="I135" s="90">
        <f>IF(ISNUMBER(G135), $B145 * H135, "")</f>
        <v>962.77278562259301</v>
      </c>
      <c r="J135" s="13">
        <v>78.400000000000006</v>
      </c>
      <c r="K135" s="14">
        <f>IF(ISNUMBER(J135), (J135 - $B135) / $B135, "")</f>
        <v>6.4184852374839533E-3</v>
      </c>
      <c r="L135" s="16">
        <f>IF(ISNUMBER(J135), $B145 * K135, "")</f>
        <v>962.77278562259301</v>
      </c>
      <c r="M135" s="29">
        <v>78.400000000000006</v>
      </c>
      <c r="N135" s="14">
        <f>IF(ISNUMBER(M135), (M135 - $B135) / $B135, "")</f>
        <v>6.4184852374839533E-3</v>
      </c>
      <c r="O135" s="16">
        <f>IF(ISNUMBER(M135), $B145 * N135, "")</f>
        <v>962.77278562259301</v>
      </c>
      <c r="Q135" s="150"/>
      <c r="R135" s="151"/>
      <c r="S135" s="152"/>
    </row>
    <row r="136" spans="1:19" ht="17.25" thickBot="1">
      <c r="A136" s="109" t="s">
        <v>71</v>
      </c>
      <c r="B136" s="110">
        <v>12.4</v>
      </c>
      <c r="C136" s="70">
        <v>-8.0000000000000002E-3</v>
      </c>
      <c r="D136" s="15">
        <v>12.5</v>
      </c>
      <c r="E136" s="32">
        <f t="shared" ref="E136:E139" si="70">IF(ISNUMBER(D136), (D136 - $B136) / $B136, "")</f>
        <v>8.0645161290322284E-3</v>
      </c>
      <c r="F136" s="18">
        <f>IF(ISNUMBER(D136), $B145 * E136, "")</f>
        <v>1209.6774193548342</v>
      </c>
      <c r="G136" s="31">
        <v>12.5</v>
      </c>
      <c r="H136" s="32">
        <f t="shared" ref="H136:H139" si="71">IF(ISNUMBER(G136), (G136 - $B136) / $B136, "")</f>
        <v>8.0645161290322284E-3</v>
      </c>
      <c r="I136" s="91">
        <f>IF(ISNUMBER(G136), $B145 * H136, "")</f>
        <v>1209.6774193548342</v>
      </c>
      <c r="J136" s="15">
        <v>12.5</v>
      </c>
      <c r="K136" s="32">
        <f t="shared" ref="K136:K139" si="72">IF(ISNUMBER(J136), (J136 - $B136) / $B136, "")</f>
        <v>8.0645161290322284E-3</v>
      </c>
      <c r="L136" s="18">
        <f>IF(ISNUMBER(J136), $B145 * K136, "")</f>
        <v>1209.6774193548342</v>
      </c>
      <c r="M136" s="31">
        <v>12.5</v>
      </c>
      <c r="N136" s="32">
        <f t="shared" ref="N136:N139" si="73">IF(ISNUMBER(M136), (M136 - $B136) / $B136, "")</f>
        <v>8.0645161290322284E-3</v>
      </c>
      <c r="O136" s="18">
        <f>IF(ISNUMBER(M136), $B145 * N136, "")</f>
        <v>1209.6774193548342</v>
      </c>
      <c r="Q136" s="153"/>
      <c r="R136" s="154"/>
      <c r="S136" s="155"/>
    </row>
    <row r="137" spans="1:19" ht="17.25" thickBot="1">
      <c r="A137" s="109" t="s">
        <v>181</v>
      </c>
      <c r="B137" s="110">
        <v>4.7</v>
      </c>
      <c r="C137" s="70">
        <v>-1.05263158E-2</v>
      </c>
      <c r="D137" s="15">
        <v>4.75</v>
      </c>
      <c r="E137" s="32">
        <f t="shared" si="70"/>
        <v>1.0638297872340387E-2</v>
      </c>
      <c r="F137" s="18">
        <f>IF(ISNUMBER(D137), $B145 * E137, "")</f>
        <v>1595.7446808510581</v>
      </c>
      <c r="G137" s="31">
        <v>4.75</v>
      </c>
      <c r="H137" s="32">
        <f t="shared" si="71"/>
        <v>1.0638297872340387E-2</v>
      </c>
      <c r="I137" s="91">
        <f>IF(ISNUMBER(G137), $B145 * H137, "")</f>
        <v>1595.7446808510581</v>
      </c>
      <c r="J137" s="15">
        <v>4.75</v>
      </c>
      <c r="K137" s="32">
        <f t="shared" si="72"/>
        <v>1.0638297872340387E-2</v>
      </c>
      <c r="L137" s="18">
        <f>IF(ISNUMBER(J137), $B145 * K137, "")</f>
        <v>1595.7446808510581</v>
      </c>
      <c r="M137" s="31">
        <v>4.75</v>
      </c>
      <c r="N137" s="32">
        <f t="shared" si="73"/>
        <v>1.0638297872340387E-2</v>
      </c>
      <c r="O137" s="18">
        <f>IF(ISNUMBER(M137), $B145 * N137, "")</f>
        <v>1595.7446808510581</v>
      </c>
      <c r="Q137" s="146"/>
      <c r="R137" s="146"/>
      <c r="S137" s="146"/>
    </row>
    <row r="138" spans="1:19" ht="17.25" thickBot="1">
      <c r="A138" s="109" t="s">
        <v>217</v>
      </c>
      <c r="B138" s="110">
        <v>82.8</v>
      </c>
      <c r="C138" s="70">
        <v>-1.0752688200000001E-2</v>
      </c>
      <c r="D138" s="15">
        <v>83.7</v>
      </c>
      <c r="E138" s="32">
        <f t="shared" si="70"/>
        <v>1.0869565217391373E-2</v>
      </c>
      <c r="F138" s="18">
        <f>IF(ISNUMBER(D138), $B145 * E138, "")</f>
        <v>1630.434782608706</v>
      </c>
      <c r="G138" s="31">
        <v>83.7</v>
      </c>
      <c r="H138" s="32">
        <f t="shared" si="71"/>
        <v>1.0869565217391373E-2</v>
      </c>
      <c r="I138" s="91">
        <f>IF(ISNUMBER(G138), $B145 * H138, "")</f>
        <v>1630.434782608706</v>
      </c>
      <c r="J138" s="15">
        <v>83.7</v>
      </c>
      <c r="K138" s="32">
        <f t="shared" si="72"/>
        <v>1.0869565217391373E-2</v>
      </c>
      <c r="L138" s="18">
        <f>IF(ISNUMBER(J138), $B145 * K138, "")</f>
        <v>1630.434782608706</v>
      </c>
      <c r="M138" s="31">
        <v>83.7</v>
      </c>
      <c r="N138" s="32">
        <f t="shared" si="73"/>
        <v>1.0869565217391373E-2</v>
      </c>
      <c r="O138" s="18">
        <f>IF(ISNUMBER(M138), $B145 * N138, "")</f>
        <v>1630.434782608706</v>
      </c>
      <c r="Q138" s="156"/>
      <c r="R138" s="156"/>
      <c r="S138" s="156"/>
    </row>
    <row r="139" spans="1:19" ht="17.25" thickBot="1">
      <c r="A139" s="111" t="s">
        <v>124</v>
      </c>
      <c r="B139" s="112">
        <v>35</v>
      </c>
      <c r="C139" s="71">
        <v>-1.1299435E-2</v>
      </c>
      <c r="D139" s="20">
        <v>35.4</v>
      </c>
      <c r="E139" s="21">
        <f t="shared" si="70"/>
        <v>1.1428571428571389E-2</v>
      </c>
      <c r="F139" s="22">
        <f>IF(ISNUMBER(D139), $B145 * E139, "")</f>
        <v>1714.2857142857083</v>
      </c>
      <c r="G139" s="30">
        <v>35.4</v>
      </c>
      <c r="H139" s="21">
        <f t="shared" si="71"/>
        <v>1.1428571428571389E-2</v>
      </c>
      <c r="I139" s="95">
        <f>IF(ISNUMBER(G139), $B145 * H139, "")</f>
        <v>1714.2857142857083</v>
      </c>
      <c r="J139" s="20">
        <v>35.4</v>
      </c>
      <c r="K139" s="21">
        <f t="shared" si="72"/>
        <v>1.1428571428571389E-2</v>
      </c>
      <c r="L139" s="22">
        <f>IF(ISNUMBER(J139), $B145 * K139, "")</f>
        <v>1714.2857142857083</v>
      </c>
      <c r="M139" s="30">
        <v>35.4</v>
      </c>
      <c r="N139" s="21">
        <f t="shared" si="73"/>
        <v>1.1428571428571389E-2</v>
      </c>
      <c r="O139" s="22">
        <f>IF(ISNUMBER(M139), $B145 * N139, "")</f>
        <v>1714.2857142857083</v>
      </c>
      <c r="Q139" s="156"/>
      <c r="R139" s="156"/>
      <c r="S139" s="156"/>
    </row>
    <row r="140" spans="1:19" ht="17.25" thickBot="1">
      <c r="A140" s="109" t="s">
        <v>350</v>
      </c>
      <c r="B140" s="113">
        <v>7.63</v>
      </c>
      <c r="C140" s="73">
        <v>-1.1658031100000001E-2</v>
      </c>
      <c r="D140" s="96">
        <v>7.7</v>
      </c>
      <c r="E140" s="97">
        <f>IF(ISNUMBER(D140), (D140 - $B140) / $B140, "")</f>
        <v>9.1743119266055415E-3</v>
      </c>
      <c r="F140" s="98">
        <f>IF(ISNUMBER(D140), $B145 * E140, "")</f>
        <v>1376.1467889908313</v>
      </c>
      <c r="G140" s="99">
        <v>7.7</v>
      </c>
      <c r="H140" s="97">
        <f>IF(ISNUMBER(G140), (G140 - $B140) / $B140, "")</f>
        <v>9.1743119266055415E-3</v>
      </c>
      <c r="I140" s="100">
        <f>IF(ISNUMBER(G140), $B145 * H140, "")</f>
        <v>1376.1467889908313</v>
      </c>
      <c r="J140" s="96">
        <v>7.7</v>
      </c>
      <c r="K140" s="97">
        <f>IF(ISNUMBER(J140), (J140 - $B140) / $B140, "")</f>
        <v>9.1743119266055415E-3</v>
      </c>
      <c r="L140" s="98">
        <f>IF(ISNUMBER(J140), $B145 * K140, "")</f>
        <v>1376.1467889908313</v>
      </c>
      <c r="M140" s="99">
        <v>7.7</v>
      </c>
      <c r="N140" s="97">
        <f>IF(ISNUMBER(M140), (M140 - $B140) / $B140, "")</f>
        <v>9.1743119266055415E-3</v>
      </c>
      <c r="O140" s="98">
        <f>IF(ISNUMBER(M140), $B145 * N140, "")</f>
        <v>1376.1467889908313</v>
      </c>
      <c r="Q140" s="146"/>
      <c r="R140" s="146"/>
      <c r="S140" s="146"/>
    </row>
    <row r="141" spans="1:19" ht="17.25" thickBot="1">
      <c r="A141" s="109" t="s">
        <v>118</v>
      </c>
      <c r="B141" s="110">
        <v>6.76</v>
      </c>
      <c r="C141" s="70">
        <v>-1.1695906400000001E-2</v>
      </c>
      <c r="D141" s="15">
        <v>6.89</v>
      </c>
      <c r="E141" s="32">
        <f t="shared" ref="E141:E144" si="74">IF(ISNUMBER(D141), (D141 - $B141) / $B141, "")</f>
        <v>1.9230769230769214E-2</v>
      </c>
      <c r="F141" s="18">
        <f>IF(ISNUMBER(D141), $B145 * E141, "")</f>
        <v>2884.615384615382</v>
      </c>
      <c r="G141" s="31">
        <v>6.89</v>
      </c>
      <c r="H141" s="32">
        <f t="shared" ref="H141:H144" si="75">IF(ISNUMBER(G141), (G141 - $B141) / $B141, "")</f>
        <v>1.9230769230769214E-2</v>
      </c>
      <c r="I141" s="91">
        <f>IF(ISNUMBER(G141), $B145 * H141, "")</f>
        <v>2884.615384615382</v>
      </c>
      <c r="J141" s="15">
        <v>6.89</v>
      </c>
      <c r="K141" s="32">
        <f t="shared" ref="K141:K144" si="76">IF(ISNUMBER(J141), (J141 - $B141) / $B141, "")</f>
        <v>1.9230769230769214E-2</v>
      </c>
      <c r="L141" s="18">
        <f>IF(ISNUMBER(J141), $B145 * K141, "")</f>
        <v>2884.615384615382</v>
      </c>
      <c r="M141" s="31">
        <v>6.89</v>
      </c>
      <c r="N141" s="32">
        <f t="shared" ref="N141:N144" si="77">IF(ISNUMBER(M141), (M141 - $B141) / $B141, "")</f>
        <v>1.9230769230769214E-2</v>
      </c>
      <c r="O141" s="18">
        <f>IF(ISNUMBER(M141), $B145 * N141, "")</f>
        <v>2884.615384615382</v>
      </c>
      <c r="Q141" s="146"/>
      <c r="R141" s="146"/>
      <c r="S141" s="146"/>
    </row>
    <row r="142" spans="1:19" ht="17.25" thickBot="1">
      <c r="A142" s="109" t="s">
        <v>155</v>
      </c>
      <c r="B142" s="110">
        <v>31.7</v>
      </c>
      <c r="C142" s="70">
        <v>-1.2461059199999999E-2</v>
      </c>
      <c r="D142" s="15">
        <v>32.1</v>
      </c>
      <c r="E142" s="32">
        <f t="shared" si="74"/>
        <v>1.2618296529968522E-2</v>
      </c>
      <c r="F142" s="18">
        <f>IF(ISNUMBER(D142), $B145 * E142, "")</f>
        <v>1892.7444794952783</v>
      </c>
      <c r="G142" s="31">
        <v>32.1</v>
      </c>
      <c r="H142" s="32">
        <f t="shared" si="75"/>
        <v>1.2618296529968522E-2</v>
      </c>
      <c r="I142" s="91">
        <f>IF(ISNUMBER(G142), $B145 * H142, "")</f>
        <v>1892.7444794952783</v>
      </c>
      <c r="J142" s="15">
        <v>32.1</v>
      </c>
      <c r="K142" s="32">
        <f t="shared" si="76"/>
        <v>1.2618296529968522E-2</v>
      </c>
      <c r="L142" s="18">
        <f>IF(ISNUMBER(J142), $B145 * K142, "")</f>
        <v>1892.7444794952783</v>
      </c>
      <c r="M142" s="31">
        <v>32.1</v>
      </c>
      <c r="N142" s="32">
        <f t="shared" si="77"/>
        <v>1.2618296529968522E-2</v>
      </c>
      <c r="O142" s="18">
        <f>IF(ISNUMBER(M142), $B145 * N142, "")</f>
        <v>1892.7444794952783</v>
      </c>
      <c r="Q142" s="146"/>
      <c r="R142" s="146"/>
      <c r="S142" s="146"/>
    </row>
    <row r="143" spans="1:19">
      <c r="A143" s="109" t="s">
        <v>221</v>
      </c>
      <c r="B143" s="110">
        <v>22.3</v>
      </c>
      <c r="C143" s="70">
        <v>-1.32743363E-2</v>
      </c>
      <c r="D143" s="15">
        <v>22.8</v>
      </c>
      <c r="E143" s="32">
        <f t="shared" si="74"/>
        <v>2.2421524663677129E-2</v>
      </c>
      <c r="F143" s="18">
        <f>IF(ISNUMBER(D143), $B145 * E143, "")</f>
        <v>3363.2286995515692</v>
      </c>
      <c r="G143" s="31">
        <v>22.8</v>
      </c>
      <c r="H143" s="32">
        <f t="shared" si="75"/>
        <v>2.2421524663677129E-2</v>
      </c>
      <c r="I143" s="91">
        <f>IF(ISNUMBER(G143), $B145 * H143, "")</f>
        <v>3363.2286995515692</v>
      </c>
      <c r="J143" s="15">
        <v>22.8</v>
      </c>
      <c r="K143" s="32">
        <f t="shared" si="76"/>
        <v>2.2421524663677129E-2</v>
      </c>
      <c r="L143" s="18">
        <f>IF(ISNUMBER(J143), $B145 * K143, "")</f>
        <v>3363.2286995515692</v>
      </c>
      <c r="M143" s="31">
        <v>22.8</v>
      </c>
      <c r="N143" s="32">
        <f t="shared" si="77"/>
        <v>2.2421524663677129E-2</v>
      </c>
      <c r="O143" s="18">
        <f>IF(ISNUMBER(M143), $B145 * N143, "")</f>
        <v>3363.2286995515692</v>
      </c>
      <c r="Q143" s="135"/>
      <c r="R143" s="136"/>
      <c r="S143" s="137"/>
    </row>
    <row r="144" spans="1:19" ht="17.25" thickBot="1">
      <c r="A144" s="114" t="s">
        <v>209</v>
      </c>
      <c r="B144" s="115">
        <v>90.4</v>
      </c>
      <c r="C144" s="72">
        <v>-1.6322089200000001E-2</v>
      </c>
      <c r="D144" s="24">
        <v>91.9</v>
      </c>
      <c r="E144" s="25">
        <f t="shared" si="74"/>
        <v>1.6592920353982299E-2</v>
      </c>
      <c r="F144" s="94">
        <f>IF(ISNUMBER(D144), $B145 * E144, "")</f>
        <v>2488.9380530973449</v>
      </c>
      <c r="G144" s="92">
        <v>91.9</v>
      </c>
      <c r="H144" s="25">
        <f t="shared" si="75"/>
        <v>1.6592920353982299E-2</v>
      </c>
      <c r="I144" s="93">
        <f>IF(ISNUMBER(G144), $B145 * H144, "")</f>
        <v>2488.9380530973449</v>
      </c>
      <c r="J144" s="24">
        <v>91.9</v>
      </c>
      <c r="K144" s="25">
        <f t="shared" si="76"/>
        <v>1.6592920353982299E-2</v>
      </c>
      <c r="L144" s="94">
        <f>IF(ISNUMBER(J144), $B145 * K144, "")</f>
        <v>2488.9380530973449</v>
      </c>
      <c r="M144" s="92">
        <v>91.9</v>
      </c>
      <c r="N144" s="25">
        <f t="shared" si="77"/>
        <v>1.6592920353982299E-2</v>
      </c>
      <c r="O144" s="94">
        <f>IF(ISNUMBER(M144), $B145 * N144, "")</f>
        <v>2488.9380530973449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1.1408514226240909E-2</v>
      </c>
      <c r="F145" s="28">
        <f>SUM(F125:F144)</f>
        <v>34225.542678722726</v>
      </c>
      <c r="G145" s="26" t="s">
        <v>258</v>
      </c>
      <c r="H145" s="27">
        <f>IF(COUNT(H125:H144), SUM(H125:H144) / COUNT(H125:H144), 0)</f>
        <v>1.1408514226240909E-2</v>
      </c>
      <c r="I145" s="28">
        <f>SUM(I125:I144)</f>
        <v>34225.542678722726</v>
      </c>
      <c r="J145" s="26" t="s">
        <v>258</v>
      </c>
      <c r="K145" s="27">
        <f>IF(COUNT(K125:K144), SUM(K125:K144) / COUNT(K125:K144), 0)</f>
        <v>1.1408514226240909E-2</v>
      </c>
      <c r="L145" s="28">
        <f>SUM(L125:L144)</f>
        <v>34225.542678722726</v>
      </c>
      <c r="M145" s="26" t="s">
        <v>258</v>
      </c>
      <c r="N145" s="27">
        <f>IF(COUNT(N125:N144), SUM(N125:N144) / COUNT(N125:N144), 0)</f>
        <v>1.1408514226240909E-2</v>
      </c>
      <c r="O145" s="28">
        <f>SUM(O125:O144)</f>
        <v>34225.542678722726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29052000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1.2053229299999999E-2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2023-01-31(화) 오전 00:00</v>
      </c>
      <c r="C150" s="198"/>
      <c r="D150" s="170" t="str">
        <f>TEXT($G$1, "[$-ko-KR]yyyy-mm-dd(ddd) ") &amp; "오후 14:00"</f>
        <v>2023-01-31(화) 오후 14:00</v>
      </c>
      <c r="E150" s="171"/>
      <c r="F150" s="172"/>
      <c r="G150" s="170" t="str">
        <f>TEXT($G$1, "[$-ko-KR]yyyy-mm-dd(ddd) ") &amp; "오후 19:00"</f>
        <v>2023-01-31(화) 오후 19:00</v>
      </c>
      <c r="H150" s="171"/>
      <c r="I150" s="172"/>
      <c r="J150" s="170" t="str">
        <f>TEXT($G$1, "[$-ko-KR]yyyy-mm-dd(ddd) ") &amp; "오후 21:00"</f>
        <v>2023-01-31(화) 오후 21:00</v>
      </c>
      <c r="K150" s="171"/>
      <c r="L150" s="172"/>
      <c r="M150" s="170" t="str">
        <f>TEXT($G$1+1, "[$-ko-KR]yyyy-mm-dd(ddd) ") &amp; "오전 00:00"</f>
        <v>2023-02-01(수)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231</v>
      </c>
      <c r="B152" s="108">
        <v>381</v>
      </c>
      <c r="C152" s="69">
        <v>-1.0389610400000001E-2</v>
      </c>
      <c r="D152" s="13">
        <v>385</v>
      </c>
      <c r="E152" s="14">
        <f>IF(ISNUMBER(D152), (D152 - $B152) / $B152, "")</f>
        <v>1.0498687664041995E-2</v>
      </c>
      <c r="F152" s="16">
        <f>IF(ISNUMBER(D152), $B172 * E152, "")</f>
        <v>1574.8031496062993</v>
      </c>
      <c r="G152" s="29">
        <v>385</v>
      </c>
      <c r="H152" s="14">
        <f>IF(ISNUMBER(G152), (G152 - $B152) / $B152, "")</f>
        <v>1.0498687664041995E-2</v>
      </c>
      <c r="I152" s="90">
        <f>IF(ISNUMBER(G152), $B172 * H152, "")</f>
        <v>1574.8031496062993</v>
      </c>
      <c r="J152" s="13">
        <v>385</v>
      </c>
      <c r="K152" s="14">
        <f>IF(ISNUMBER(J152), (J152 - $B152) / $B152, "")</f>
        <v>1.0498687664041995E-2</v>
      </c>
      <c r="L152" s="16">
        <f>IF(ISNUMBER(J152), $B172 * K152, "")</f>
        <v>1574.8031496062993</v>
      </c>
      <c r="M152" s="29">
        <v>385</v>
      </c>
      <c r="N152" s="14">
        <f>IF(ISNUMBER(M152), (M152 - $B152) / $B152, "")</f>
        <v>1.0498687664041995E-2</v>
      </c>
      <c r="O152" s="16">
        <f>IF(ISNUMBER(M152), $B172 * N152, "")</f>
        <v>1574.8031496062993</v>
      </c>
      <c r="Q152" s="156"/>
      <c r="R152" s="156"/>
      <c r="S152" s="156"/>
    </row>
    <row r="153" spans="1:19" ht="17.25" thickBot="1">
      <c r="A153" s="109" t="s">
        <v>201</v>
      </c>
      <c r="B153" s="110">
        <v>280</v>
      </c>
      <c r="C153" s="70">
        <v>-1.06007067E-2</v>
      </c>
      <c r="D153" s="15">
        <v>283</v>
      </c>
      <c r="E153" s="32">
        <f t="shared" ref="E153:E156" si="78">IF(ISNUMBER(D153), (D153 - $B153) / $B153, "")</f>
        <v>1.0714285714285714E-2</v>
      </c>
      <c r="F153" s="18">
        <f>IF(ISNUMBER(D153), $B172 * E153, "")</f>
        <v>1607.1428571428571</v>
      </c>
      <c r="G153" s="31">
        <v>283</v>
      </c>
      <c r="H153" s="32">
        <f t="shared" ref="H153:H156" si="79">IF(ISNUMBER(G153), (G153 - $B153) / $B153, "")</f>
        <v>1.0714285714285714E-2</v>
      </c>
      <c r="I153" s="91">
        <f>IF(ISNUMBER(G153), $B172 * H153, "")</f>
        <v>1607.1428571428571</v>
      </c>
      <c r="J153" s="15">
        <v>283</v>
      </c>
      <c r="K153" s="32">
        <f t="shared" ref="K153:K156" si="80">IF(ISNUMBER(J153), (J153 - $B153) / $B153, "")</f>
        <v>1.0714285714285714E-2</v>
      </c>
      <c r="L153" s="18">
        <f>IF(ISNUMBER(J153), $B172 * K153, "")</f>
        <v>1607.1428571428571</v>
      </c>
      <c r="M153" s="31">
        <v>283</v>
      </c>
      <c r="N153" s="32">
        <f t="shared" ref="N153:N156" si="81">IF(ISNUMBER(M153), (M153 - $B153) / $B153, "")</f>
        <v>1.0714285714285714E-2</v>
      </c>
      <c r="O153" s="18">
        <f>IF(ISNUMBER(M153), $B172 * N153, "")</f>
        <v>1607.1428571428571</v>
      </c>
      <c r="Q153" s="156"/>
      <c r="R153" s="156"/>
      <c r="S153" s="156"/>
    </row>
    <row r="154" spans="1:19" ht="17.25" thickBot="1">
      <c r="A154" s="109" t="s">
        <v>68</v>
      </c>
      <c r="B154" s="110">
        <v>627</v>
      </c>
      <c r="C154" s="70">
        <v>-1.1041009500000001E-2</v>
      </c>
      <c r="D154" s="15">
        <v>633</v>
      </c>
      <c r="E154" s="32">
        <f t="shared" si="78"/>
        <v>9.5693779904306216E-3</v>
      </c>
      <c r="F154" s="18">
        <f>IF(ISNUMBER(D154), $B172 * E154, "")</f>
        <v>1435.4066985645932</v>
      </c>
      <c r="G154" s="31">
        <v>633</v>
      </c>
      <c r="H154" s="32">
        <f t="shared" si="79"/>
        <v>9.5693779904306216E-3</v>
      </c>
      <c r="I154" s="91">
        <f>IF(ISNUMBER(G154), $B172 * H154, "")</f>
        <v>1435.4066985645932</v>
      </c>
      <c r="J154" s="15">
        <v>633</v>
      </c>
      <c r="K154" s="32">
        <f t="shared" si="80"/>
        <v>9.5693779904306216E-3</v>
      </c>
      <c r="L154" s="18">
        <f>IF(ISNUMBER(J154), $B172 * K154, "")</f>
        <v>1435.4066985645932</v>
      </c>
      <c r="M154" s="31">
        <v>633</v>
      </c>
      <c r="N154" s="32">
        <f t="shared" si="81"/>
        <v>9.5693779904306216E-3</v>
      </c>
      <c r="O154" s="18">
        <f>IF(ISNUMBER(M154), $B172 * N154, "")</f>
        <v>1435.4066985645932</v>
      </c>
      <c r="Q154" s="146"/>
      <c r="R154" s="146"/>
      <c r="S154" s="146"/>
    </row>
    <row r="155" spans="1:19" ht="17.25" thickBot="1">
      <c r="A155" s="109" t="s">
        <v>219</v>
      </c>
      <c r="B155" s="110">
        <v>479</v>
      </c>
      <c r="C155" s="70">
        <v>-1.2371134000000001E-2</v>
      </c>
      <c r="D155" s="15">
        <v>487</v>
      </c>
      <c r="E155" s="32">
        <f t="shared" si="78"/>
        <v>1.6701461377870562E-2</v>
      </c>
      <c r="F155" s="18">
        <f>IF(ISNUMBER(D155), $B172 * E155, "")</f>
        <v>2505.2192066805842</v>
      </c>
      <c r="G155" s="31">
        <v>487</v>
      </c>
      <c r="H155" s="32">
        <f t="shared" si="79"/>
        <v>1.6701461377870562E-2</v>
      </c>
      <c r="I155" s="91">
        <f>IF(ISNUMBER(G155), $B172 * H155, "")</f>
        <v>2505.2192066805842</v>
      </c>
      <c r="J155" s="15">
        <v>487</v>
      </c>
      <c r="K155" s="32">
        <f t="shared" si="80"/>
        <v>1.6701461377870562E-2</v>
      </c>
      <c r="L155" s="18">
        <f>IF(ISNUMBER(J155), $B172 * K155, "")</f>
        <v>2505.2192066805842</v>
      </c>
      <c r="M155" s="31">
        <v>487</v>
      </c>
      <c r="N155" s="32">
        <f t="shared" si="81"/>
        <v>1.6701461377870562E-2</v>
      </c>
      <c r="O155" s="18">
        <f>IF(ISNUMBER(M155), $B172 * N155, "")</f>
        <v>2505.2192066805842</v>
      </c>
      <c r="Q155" s="146"/>
      <c r="R155" s="146"/>
      <c r="S155" s="146"/>
    </row>
    <row r="156" spans="1:19" ht="17.25" thickBot="1">
      <c r="A156" s="111" t="s">
        <v>159</v>
      </c>
      <c r="B156" s="112">
        <v>227</v>
      </c>
      <c r="C156" s="71">
        <v>-1.30434783E-2</v>
      </c>
      <c r="D156" s="20">
        <v>229</v>
      </c>
      <c r="E156" s="21">
        <f t="shared" si="78"/>
        <v>8.8105726872246704E-3</v>
      </c>
      <c r="F156" s="22">
        <f>IF(ISNUMBER(D156), $B172 * E156, "")</f>
        <v>1321.5859030837005</v>
      </c>
      <c r="G156" s="30">
        <v>229</v>
      </c>
      <c r="H156" s="21">
        <f t="shared" si="79"/>
        <v>8.8105726872246704E-3</v>
      </c>
      <c r="I156" s="95">
        <f>IF(ISNUMBER(G156), $B172 * H156, "")</f>
        <v>1321.5859030837005</v>
      </c>
      <c r="J156" s="20">
        <v>229</v>
      </c>
      <c r="K156" s="21">
        <f t="shared" si="80"/>
        <v>8.8105726872246704E-3</v>
      </c>
      <c r="L156" s="22">
        <f>IF(ISNUMBER(J156), $B172 * K156, "")</f>
        <v>1321.5859030837005</v>
      </c>
      <c r="M156" s="30">
        <v>229</v>
      </c>
      <c r="N156" s="21">
        <f t="shared" si="81"/>
        <v>8.8105726872246704E-3</v>
      </c>
      <c r="O156" s="22">
        <f>IF(ISNUMBER(M156), $B172 * N156, "")</f>
        <v>1321.5859030837005</v>
      </c>
      <c r="Q156" s="146"/>
      <c r="R156" s="146"/>
      <c r="S156" s="146"/>
    </row>
    <row r="157" spans="1:19" ht="17.25" thickBot="1">
      <c r="A157" s="109" t="s">
        <v>157</v>
      </c>
      <c r="B157" s="113">
        <v>220</v>
      </c>
      <c r="C157" s="73">
        <v>-1.34529148E-2</v>
      </c>
      <c r="D157" s="96">
        <v>221</v>
      </c>
      <c r="E157" s="97">
        <f>IF(ISNUMBER(D157), (D157 - $B157) / $B157, "")</f>
        <v>4.5454545454545452E-3</v>
      </c>
      <c r="F157" s="98">
        <f>IF(ISNUMBER(D157), $B172 * E157, "")</f>
        <v>681.81818181818176</v>
      </c>
      <c r="G157" s="99">
        <v>221</v>
      </c>
      <c r="H157" s="97">
        <f>IF(ISNUMBER(G157), (G157 - $B157) / $B157, "")</f>
        <v>4.5454545454545452E-3</v>
      </c>
      <c r="I157" s="100">
        <f>IF(ISNUMBER(G157), $B172 * H157, "")</f>
        <v>681.81818181818176</v>
      </c>
      <c r="J157" s="96">
        <v>221</v>
      </c>
      <c r="K157" s="97">
        <f>IF(ISNUMBER(J157), (J157 - $B157) / $B157, "")</f>
        <v>4.5454545454545452E-3</v>
      </c>
      <c r="L157" s="98">
        <f>IF(ISNUMBER(J157), $B172 * K157, "")</f>
        <v>681.81818181818176</v>
      </c>
      <c r="M157" s="99">
        <v>221</v>
      </c>
      <c r="N157" s="97">
        <f>IF(ISNUMBER(M157), (M157 - $B157) / $B157, "")</f>
        <v>4.5454545454545452E-3</v>
      </c>
      <c r="O157" s="98">
        <f>IF(ISNUMBER(M157), $B172 * N157, "")</f>
        <v>681.81818181818176</v>
      </c>
      <c r="Q157" s="146"/>
      <c r="R157" s="146"/>
      <c r="S157" s="146"/>
    </row>
    <row r="158" spans="1:19" ht="17.25" thickBot="1">
      <c r="A158" s="109" t="s">
        <v>229</v>
      </c>
      <c r="B158" s="110">
        <v>289</v>
      </c>
      <c r="C158" s="70">
        <v>-1.3651877099999999E-2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2076.1245674740485</v>
      </c>
      <c r="G158" s="31">
        <v>293</v>
      </c>
      <c r="H158" s="32">
        <f t="shared" ref="H158:H161" si="83">IF(ISNUMBER(G158), (G158 - $B158) / $B158, "")</f>
        <v>1.384083044982699E-2</v>
      </c>
      <c r="I158" s="91">
        <f>IF(ISNUMBER(G158), $B172 * H158, "")</f>
        <v>2076.1245674740485</v>
      </c>
      <c r="J158" s="15">
        <v>293</v>
      </c>
      <c r="K158" s="32">
        <f t="shared" ref="K158:K161" si="84">IF(ISNUMBER(J158), (J158 - $B158) / $B158, "")</f>
        <v>1.384083044982699E-2</v>
      </c>
      <c r="L158" s="18">
        <f>IF(ISNUMBER(J158), $B172 * K158, "")</f>
        <v>2076.1245674740485</v>
      </c>
      <c r="M158" s="31">
        <v>293</v>
      </c>
      <c r="N158" s="32">
        <f t="shared" ref="N158:N161" si="85">IF(ISNUMBER(M158), (M158 - $B158) / $B158, "")</f>
        <v>1.384083044982699E-2</v>
      </c>
      <c r="O158" s="18">
        <f>IF(ISNUMBER(M158), $B172 * N158, "")</f>
        <v>2076.1245674740485</v>
      </c>
      <c r="Q158" s="146"/>
      <c r="R158" s="146"/>
      <c r="S158" s="146"/>
    </row>
    <row r="159" spans="1:19" ht="17.25" thickBot="1">
      <c r="A159" s="109" t="s">
        <v>149</v>
      </c>
      <c r="B159" s="110">
        <v>542</v>
      </c>
      <c r="C159" s="70">
        <v>-1.4545454500000001E-2</v>
      </c>
      <c r="D159" s="15">
        <v>552</v>
      </c>
      <c r="E159" s="32">
        <f t="shared" si="82"/>
        <v>1.8450184501845018E-2</v>
      </c>
      <c r="F159" s="18">
        <f>IF(ISNUMBER(D159), $B172 * E159, "")</f>
        <v>2767.5276752767527</v>
      </c>
      <c r="G159" s="31">
        <v>552</v>
      </c>
      <c r="H159" s="32">
        <f t="shared" si="83"/>
        <v>1.8450184501845018E-2</v>
      </c>
      <c r="I159" s="91">
        <f>IF(ISNUMBER(G159), $B172 * H159, "")</f>
        <v>2767.5276752767527</v>
      </c>
      <c r="J159" s="15">
        <v>552</v>
      </c>
      <c r="K159" s="32">
        <f t="shared" si="84"/>
        <v>1.8450184501845018E-2</v>
      </c>
      <c r="L159" s="18">
        <f>IF(ISNUMBER(J159), $B172 * K159, "")</f>
        <v>2767.5276752767527</v>
      </c>
      <c r="M159" s="31">
        <v>552</v>
      </c>
      <c r="N159" s="32">
        <f t="shared" si="85"/>
        <v>1.8450184501845018E-2</v>
      </c>
      <c r="O159" s="18">
        <f>IF(ISNUMBER(M159), $B172 * N159, "")</f>
        <v>2767.5276752767527</v>
      </c>
      <c r="Q159" s="146"/>
      <c r="R159" s="146"/>
      <c r="S159" s="146"/>
    </row>
    <row r="160" spans="1:19" ht="17.25" thickBot="1">
      <c r="A160" s="109" t="s">
        <v>120</v>
      </c>
      <c r="B160" s="110">
        <v>129</v>
      </c>
      <c r="C160" s="70">
        <v>-1.52671756E-2</v>
      </c>
      <c r="D160" s="15">
        <v>131</v>
      </c>
      <c r="E160" s="32">
        <f t="shared" si="82"/>
        <v>1.5503875968992248E-2</v>
      </c>
      <c r="F160" s="18">
        <f>IF(ISNUMBER(D160), $B172 * E160, "")</f>
        <v>2325.5813953488373</v>
      </c>
      <c r="G160" s="31">
        <v>131</v>
      </c>
      <c r="H160" s="32">
        <f t="shared" si="83"/>
        <v>1.5503875968992248E-2</v>
      </c>
      <c r="I160" s="91">
        <f>IF(ISNUMBER(G160), $B172 * H160, "")</f>
        <v>2325.5813953488373</v>
      </c>
      <c r="J160" s="15">
        <v>131</v>
      </c>
      <c r="K160" s="32">
        <f t="shared" si="84"/>
        <v>1.5503875968992248E-2</v>
      </c>
      <c r="L160" s="18">
        <f>IF(ISNUMBER(J160), $B172 * K160, "")</f>
        <v>2325.5813953488373</v>
      </c>
      <c r="M160" s="31">
        <v>131</v>
      </c>
      <c r="N160" s="32">
        <f t="shared" si="85"/>
        <v>1.5503875968992248E-2</v>
      </c>
      <c r="O160" s="18">
        <f>IF(ISNUMBER(M160), $B172 * N160, "")</f>
        <v>2325.5813953488373</v>
      </c>
      <c r="Q160" s="33"/>
      <c r="R160" s="33"/>
    </row>
    <row r="161" spans="1:19" ht="17.25" thickBot="1">
      <c r="A161" s="114" t="s">
        <v>213</v>
      </c>
      <c r="B161" s="115">
        <v>555</v>
      </c>
      <c r="C161" s="72">
        <v>-1.59574468E-2</v>
      </c>
      <c r="D161" s="24">
        <v>562</v>
      </c>
      <c r="E161" s="25">
        <f t="shared" si="82"/>
        <v>1.2612612612612612E-2</v>
      </c>
      <c r="F161" s="94">
        <f>IF(ISNUMBER(D161), $B172 * E161, "")</f>
        <v>1891.8918918918919</v>
      </c>
      <c r="G161" s="92">
        <v>562</v>
      </c>
      <c r="H161" s="25">
        <f t="shared" si="83"/>
        <v>1.2612612612612612E-2</v>
      </c>
      <c r="I161" s="93">
        <f>IF(ISNUMBER(G161), $B172 * H161, "")</f>
        <v>1891.8918918918919</v>
      </c>
      <c r="J161" s="24">
        <v>562</v>
      </c>
      <c r="K161" s="25">
        <f t="shared" si="84"/>
        <v>1.2612612612612612E-2</v>
      </c>
      <c r="L161" s="94">
        <f>IF(ISNUMBER(J161), $B172 * K161, "")</f>
        <v>1891.8918918918919</v>
      </c>
      <c r="M161" s="92">
        <v>562</v>
      </c>
      <c r="N161" s="25">
        <f t="shared" si="85"/>
        <v>1.2612612612612612E-2</v>
      </c>
      <c r="O161" s="94">
        <f>IF(ISNUMBER(M161), $B172 * N161, "")</f>
        <v>1891.8918918918919</v>
      </c>
      <c r="Q161" s="147"/>
      <c r="R161" s="148"/>
      <c r="S161" s="149"/>
    </row>
    <row r="162" spans="1:19">
      <c r="A162" s="107" t="s">
        <v>205</v>
      </c>
      <c r="B162" s="108">
        <v>119</v>
      </c>
      <c r="C162" s="69">
        <v>-1.6528925600000001E-2</v>
      </c>
      <c r="D162" s="13">
        <v>122</v>
      </c>
      <c r="E162" s="14">
        <f>IF(ISNUMBER(D162), (D162 - $B162) / $B162, "")</f>
        <v>2.5210084033613446E-2</v>
      </c>
      <c r="F162" s="16">
        <f>IF(ISNUMBER(D162), $B172 * E162, "")</f>
        <v>3781.5126050420167</v>
      </c>
      <c r="G162" s="29">
        <v>122</v>
      </c>
      <c r="H162" s="14">
        <f>IF(ISNUMBER(G162), (G162 - $B162) / $B162, "")</f>
        <v>2.5210084033613446E-2</v>
      </c>
      <c r="I162" s="90">
        <f>IF(ISNUMBER(G162), $B172 * H162, "")</f>
        <v>3781.5126050420167</v>
      </c>
      <c r="J162" s="13">
        <v>122</v>
      </c>
      <c r="K162" s="14">
        <f>IF(ISNUMBER(J162), (J162 - $B162) / $B162, "")</f>
        <v>2.5210084033613446E-2</v>
      </c>
      <c r="L162" s="16">
        <f>IF(ISNUMBER(J162), $B172 * K162, "")</f>
        <v>3781.5126050420167</v>
      </c>
      <c r="M162" s="29">
        <v>122</v>
      </c>
      <c r="N162" s="14">
        <f>IF(ISNUMBER(M162), (M162 - $B162) / $B162, "")</f>
        <v>2.5210084033613446E-2</v>
      </c>
      <c r="O162" s="16">
        <f>IF(ISNUMBER(M162), $B172 * N162, "")</f>
        <v>3781.5126050420167</v>
      </c>
      <c r="Q162" s="150"/>
      <c r="R162" s="151"/>
      <c r="S162" s="152"/>
    </row>
    <row r="163" spans="1:19" ht="17.25" thickBot="1">
      <c r="A163" s="109" t="s">
        <v>199</v>
      </c>
      <c r="B163" s="110">
        <v>340</v>
      </c>
      <c r="C163" s="70">
        <v>-1.7341040499999998E-2</v>
      </c>
      <c r="D163" s="15">
        <v>345</v>
      </c>
      <c r="E163" s="32">
        <f t="shared" ref="E163:E166" si="86">IF(ISNUMBER(D163), (D163 - $B163) / $B163, "")</f>
        <v>1.4705882352941176E-2</v>
      </c>
      <c r="F163" s="18">
        <f>IF(ISNUMBER(D163), $B172 * E163, "")</f>
        <v>2205.8823529411766</v>
      </c>
      <c r="G163" s="31">
        <v>345</v>
      </c>
      <c r="H163" s="32">
        <f t="shared" ref="H163:H166" si="87">IF(ISNUMBER(G163), (G163 - $B163) / $B163, "")</f>
        <v>1.4705882352941176E-2</v>
      </c>
      <c r="I163" s="91">
        <f>IF(ISNUMBER(G163), $B172 * H163, "")</f>
        <v>2205.8823529411766</v>
      </c>
      <c r="J163" s="15">
        <v>345</v>
      </c>
      <c r="K163" s="32">
        <f t="shared" ref="K163:K166" si="88">IF(ISNUMBER(J163), (J163 - $B163) / $B163, "")</f>
        <v>1.4705882352941176E-2</v>
      </c>
      <c r="L163" s="18">
        <f>IF(ISNUMBER(J163), $B172 * K163, "")</f>
        <v>2205.8823529411766</v>
      </c>
      <c r="M163" s="31">
        <v>345</v>
      </c>
      <c r="N163" s="32">
        <f t="shared" ref="N163:N166" si="89">IF(ISNUMBER(M163), (M163 - $B163) / $B163, "")</f>
        <v>1.4705882352941176E-2</v>
      </c>
      <c r="O163" s="18">
        <f>IF(ISNUMBER(M163), $B172 * N163, "")</f>
        <v>2205.8823529411766</v>
      </c>
      <c r="Q163" s="153"/>
      <c r="R163" s="154"/>
      <c r="S163" s="155"/>
    </row>
    <row r="164" spans="1:19" ht="17.25" thickBot="1">
      <c r="A164" s="109" t="s">
        <v>321</v>
      </c>
      <c r="B164" s="110">
        <v>224</v>
      </c>
      <c r="C164" s="70">
        <v>-1.75438596E-2</v>
      </c>
      <c r="D164" s="15">
        <v>227</v>
      </c>
      <c r="E164" s="32">
        <f t="shared" si="86"/>
        <v>1.3392857142857142E-2</v>
      </c>
      <c r="F164" s="18">
        <f>IF(ISNUMBER(D164), $B172 * E164, "")</f>
        <v>2008.9285714285713</v>
      </c>
      <c r="G164" s="31">
        <v>227</v>
      </c>
      <c r="H164" s="32">
        <f t="shared" si="87"/>
        <v>1.3392857142857142E-2</v>
      </c>
      <c r="I164" s="91">
        <f>IF(ISNUMBER(G164), $B172 * H164, "")</f>
        <v>2008.9285714285713</v>
      </c>
      <c r="J164" s="15">
        <v>227</v>
      </c>
      <c r="K164" s="32">
        <f t="shared" si="88"/>
        <v>1.3392857142857142E-2</v>
      </c>
      <c r="L164" s="18">
        <f>IF(ISNUMBER(J164), $B172 * K164, "")</f>
        <v>2008.9285714285713</v>
      </c>
      <c r="M164" s="31">
        <v>227</v>
      </c>
      <c r="N164" s="32">
        <f t="shared" si="89"/>
        <v>1.3392857142857142E-2</v>
      </c>
      <c r="O164" s="18">
        <f>IF(ISNUMBER(M164), $B172 * N164, "")</f>
        <v>2008.9285714285713</v>
      </c>
      <c r="Q164" s="146"/>
      <c r="R164" s="146"/>
      <c r="S164" s="146"/>
    </row>
    <row r="165" spans="1:19" ht="17.25" thickBot="1">
      <c r="A165" s="109" t="s">
        <v>215</v>
      </c>
      <c r="B165" s="110">
        <v>377</v>
      </c>
      <c r="C165" s="70">
        <v>-1.82291667E-2</v>
      </c>
      <c r="D165" s="15">
        <v>382</v>
      </c>
      <c r="E165" s="32">
        <f t="shared" si="86"/>
        <v>1.3262599469496022E-2</v>
      </c>
      <c r="F165" s="18">
        <f>IF(ISNUMBER(D165), $B172 * E165, "")</f>
        <v>1989.3899204244033</v>
      </c>
      <c r="G165" s="31">
        <v>382</v>
      </c>
      <c r="H165" s="32">
        <f t="shared" si="87"/>
        <v>1.3262599469496022E-2</v>
      </c>
      <c r="I165" s="91">
        <f>IF(ISNUMBER(G165), $B172 * H165, "")</f>
        <v>1989.3899204244033</v>
      </c>
      <c r="J165" s="15">
        <v>382</v>
      </c>
      <c r="K165" s="32">
        <f t="shared" si="88"/>
        <v>1.3262599469496022E-2</v>
      </c>
      <c r="L165" s="18">
        <f>IF(ISNUMBER(J165), $B172 * K165, "")</f>
        <v>1989.3899204244033</v>
      </c>
      <c r="M165" s="31">
        <v>382</v>
      </c>
      <c r="N165" s="32">
        <f t="shared" si="89"/>
        <v>1.3262599469496022E-2</v>
      </c>
      <c r="O165" s="18">
        <f>IF(ISNUMBER(M165), $B172 * N165, "")</f>
        <v>1989.3899204244033</v>
      </c>
      <c r="Q165" s="156"/>
      <c r="R165" s="156"/>
      <c r="S165" s="156"/>
    </row>
    <row r="166" spans="1:19" ht="17.25" thickBot="1">
      <c r="A166" s="111" t="s">
        <v>241</v>
      </c>
      <c r="B166" s="112">
        <v>107</v>
      </c>
      <c r="C166" s="71">
        <v>-1.83486239E-2</v>
      </c>
      <c r="D166" s="20">
        <v>109</v>
      </c>
      <c r="E166" s="21">
        <f t="shared" si="86"/>
        <v>1.8691588785046728E-2</v>
      </c>
      <c r="F166" s="22">
        <f>IF(ISNUMBER(D166), $B172 * E166, "")</f>
        <v>2803.7383177570091</v>
      </c>
      <c r="G166" s="30">
        <v>109</v>
      </c>
      <c r="H166" s="21">
        <f t="shared" si="87"/>
        <v>1.8691588785046728E-2</v>
      </c>
      <c r="I166" s="95">
        <f>IF(ISNUMBER(G166), $B172 * H166, "")</f>
        <v>2803.7383177570091</v>
      </c>
      <c r="J166" s="20">
        <v>109</v>
      </c>
      <c r="K166" s="21">
        <f t="shared" si="88"/>
        <v>1.8691588785046728E-2</v>
      </c>
      <c r="L166" s="22">
        <f>IF(ISNUMBER(J166), $B172 * K166, "")</f>
        <v>2803.7383177570091</v>
      </c>
      <c r="M166" s="30">
        <v>109</v>
      </c>
      <c r="N166" s="21">
        <f t="shared" si="89"/>
        <v>1.8691588785046728E-2</v>
      </c>
      <c r="O166" s="22">
        <f>IF(ISNUMBER(M166), $B172 * N166, "")</f>
        <v>2803.7383177570091</v>
      </c>
      <c r="Q166" s="156"/>
      <c r="R166" s="156"/>
      <c r="S166" s="156"/>
    </row>
    <row r="167" spans="1:19" ht="17.25" thickBot="1">
      <c r="A167" s="109" t="s">
        <v>66</v>
      </c>
      <c r="B167" s="113">
        <v>816</v>
      </c>
      <c r="C167" s="73">
        <v>-2.3923445000000002E-2</v>
      </c>
      <c r="D167" s="96">
        <v>824</v>
      </c>
      <c r="E167" s="97">
        <f>IF(ISNUMBER(D167), (D167 - $B167) / $B167, "")</f>
        <v>9.8039215686274508E-3</v>
      </c>
      <c r="F167" s="98">
        <f>IF(ISNUMBER(D167), $B172 * E167, "")</f>
        <v>1470.5882352941176</v>
      </c>
      <c r="G167" s="99">
        <v>824</v>
      </c>
      <c r="H167" s="97">
        <f>IF(ISNUMBER(G167), (G167 - $B167) / $B167, "")</f>
        <v>9.8039215686274508E-3</v>
      </c>
      <c r="I167" s="100">
        <f>IF(ISNUMBER(G167), $B172 * H167, "")</f>
        <v>1470.5882352941176</v>
      </c>
      <c r="J167" s="96">
        <v>824</v>
      </c>
      <c r="K167" s="97">
        <f>IF(ISNUMBER(J167), (J167 - $B167) / $B167, "")</f>
        <v>9.8039215686274508E-3</v>
      </c>
      <c r="L167" s="98">
        <f>IF(ISNUMBER(J167), $B172 * K167, "")</f>
        <v>1470.5882352941176</v>
      </c>
      <c r="M167" s="99">
        <v>824</v>
      </c>
      <c r="N167" s="97">
        <f>IF(ISNUMBER(M167), (M167 - $B167) / $B167, "")</f>
        <v>9.8039215686274508E-3</v>
      </c>
      <c r="O167" s="98">
        <f>IF(ISNUMBER(M167), $B172 * N167, "")</f>
        <v>1470.5882352941176</v>
      </c>
      <c r="Q167" s="146"/>
      <c r="R167" s="146"/>
      <c r="S167" s="146"/>
    </row>
    <row r="168" spans="1:19" ht="17.25" thickBot="1">
      <c r="A168" s="109" t="s">
        <v>176</v>
      </c>
      <c r="B168" s="110">
        <v>362</v>
      </c>
      <c r="C168" s="70">
        <v>-2.68817204E-2</v>
      </c>
      <c r="D168" s="15">
        <v>366</v>
      </c>
      <c r="E168" s="32">
        <f t="shared" ref="E168:E171" si="90">IF(ISNUMBER(D168), (D168 - $B168) / $B168, "")</f>
        <v>1.1049723756906077E-2</v>
      </c>
      <c r="F168" s="18">
        <f>IF(ISNUMBER(D168), $B172 * E168, "")</f>
        <v>1657.4585635359115</v>
      </c>
      <c r="G168" s="31">
        <v>366</v>
      </c>
      <c r="H168" s="32">
        <f t="shared" ref="H168:H171" si="91">IF(ISNUMBER(G168), (G168 - $B168) / $B168, "")</f>
        <v>1.1049723756906077E-2</v>
      </c>
      <c r="I168" s="91">
        <f>IF(ISNUMBER(G168), $B172 * H168, "")</f>
        <v>1657.4585635359115</v>
      </c>
      <c r="J168" s="15">
        <v>366</v>
      </c>
      <c r="K168" s="32">
        <f t="shared" ref="K168:K171" si="92">IF(ISNUMBER(J168), (J168 - $B168) / $B168, "")</f>
        <v>1.1049723756906077E-2</v>
      </c>
      <c r="L168" s="18">
        <f>IF(ISNUMBER(J168), $B172 * K168, "")</f>
        <v>1657.4585635359115</v>
      </c>
      <c r="M168" s="31">
        <v>366</v>
      </c>
      <c r="N168" s="32">
        <f t="shared" ref="N168:N171" si="93">IF(ISNUMBER(M168), (M168 - $B168) / $B168, "")</f>
        <v>1.1049723756906077E-2</v>
      </c>
      <c r="O168" s="18">
        <f>IF(ISNUMBER(M168), $B172 * N168, "")</f>
        <v>1657.4585635359115</v>
      </c>
      <c r="Q168" s="146"/>
      <c r="R168" s="146"/>
      <c r="S168" s="146"/>
    </row>
    <row r="169" spans="1:19" ht="17.25" thickBot="1">
      <c r="A169" s="109" t="s">
        <v>187</v>
      </c>
      <c r="B169" s="110">
        <v>891</v>
      </c>
      <c r="C169" s="70">
        <v>-2.7292576400000001E-2</v>
      </c>
      <c r="D169" s="15">
        <v>900</v>
      </c>
      <c r="E169" s="32">
        <f t="shared" si="90"/>
        <v>1.0101010101010102E-2</v>
      </c>
      <c r="F169" s="18">
        <f>IF(ISNUMBER(D169), $B172 * E169, "")</f>
        <v>1515.1515151515152</v>
      </c>
      <c r="G169" s="31">
        <v>900</v>
      </c>
      <c r="H169" s="32">
        <f t="shared" si="91"/>
        <v>1.0101010101010102E-2</v>
      </c>
      <c r="I169" s="91">
        <f>IF(ISNUMBER(G169), $B172 * H169, "")</f>
        <v>1515.1515151515152</v>
      </c>
      <c r="J169" s="15">
        <v>900</v>
      </c>
      <c r="K169" s="32">
        <f t="shared" si="92"/>
        <v>1.0101010101010102E-2</v>
      </c>
      <c r="L169" s="18">
        <f>IF(ISNUMBER(J169), $B172 * K169, "")</f>
        <v>1515.1515151515152</v>
      </c>
      <c r="M169" s="31">
        <v>900</v>
      </c>
      <c r="N169" s="32">
        <f t="shared" si="93"/>
        <v>1.0101010101010102E-2</v>
      </c>
      <c r="O169" s="18">
        <f>IF(ISNUMBER(M169), $B172 * N169, "")</f>
        <v>1515.1515151515152</v>
      </c>
      <c r="Q169" s="146"/>
      <c r="R169" s="146"/>
      <c r="S169" s="146"/>
    </row>
    <row r="170" spans="1:19">
      <c r="A170" s="109" t="s">
        <v>60</v>
      </c>
      <c r="B170" s="110">
        <v>923</v>
      </c>
      <c r="C170" s="70">
        <v>-2.73972603E-2</v>
      </c>
      <c r="D170" s="15">
        <v>934</v>
      </c>
      <c r="E170" s="32">
        <f t="shared" si="90"/>
        <v>1.1917659804983749E-2</v>
      </c>
      <c r="F170" s="18">
        <f>IF(ISNUMBER(D170), $B172 * E170, "")</f>
        <v>1787.6489707475623</v>
      </c>
      <c r="G170" s="31">
        <v>934</v>
      </c>
      <c r="H170" s="32">
        <f t="shared" si="91"/>
        <v>1.1917659804983749E-2</v>
      </c>
      <c r="I170" s="91">
        <f>IF(ISNUMBER(G170), $B172 * H170, "")</f>
        <v>1787.6489707475623</v>
      </c>
      <c r="J170" s="15">
        <v>934</v>
      </c>
      <c r="K170" s="32">
        <f t="shared" si="92"/>
        <v>1.1917659804983749E-2</v>
      </c>
      <c r="L170" s="18">
        <f>IF(ISNUMBER(J170), $B172 * K170, "")</f>
        <v>1787.6489707475623</v>
      </c>
      <c r="M170" s="31">
        <v>934</v>
      </c>
      <c r="N170" s="32">
        <f t="shared" si="93"/>
        <v>1.1917659804983749E-2</v>
      </c>
      <c r="O170" s="18">
        <f>IF(ISNUMBER(M170), $B172 * N170, "")</f>
        <v>1787.6489707475623</v>
      </c>
      <c r="Q170" s="135"/>
      <c r="R170" s="136"/>
      <c r="S170" s="137"/>
    </row>
    <row r="171" spans="1:19" ht="17.25" thickBot="1">
      <c r="A171" s="114" t="s">
        <v>183</v>
      </c>
      <c r="B171" s="115">
        <v>172</v>
      </c>
      <c r="C171" s="72">
        <v>-2.82485876E-2</v>
      </c>
      <c r="D171" s="24">
        <v>174</v>
      </c>
      <c r="E171" s="25">
        <f t="shared" si="90"/>
        <v>1.1627906976744186E-2</v>
      </c>
      <c r="F171" s="94">
        <f>IF(ISNUMBER(D171), $B172 * E171, "")</f>
        <v>1744.1860465116279</v>
      </c>
      <c r="G171" s="92">
        <v>174</v>
      </c>
      <c r="H171" s="25">
        <f t="shared" si="91"/>
        <v>1.1627906976744186E-2</v>
      </c>
      <c r="I171" s="93">
        <f>IF(ISNUMBER(G171), $B172 * H171, "")</f>
        <v>1744.1860465116279</v>
      </c>
      <c r="J171" s="24">
        <v>174</v>
      </c>
      <c r="K171" s="25">
        <f t="shared" si="92"/>
        <v>1.1627906976744186E-2</v>
      </c>
      <c r="L171" s="94">
        <f>IF(ISNUMBER(J171), $B172 * K171, "")</f>
        <v>1744.1860465116279</v>
      </c>
      <c r="M171" s="92">
        <v>174</v>
      </c>
      <c r="N171" s="25">
        <f t="shared" si="93"/>
        <v>1.1627906976744186E-2</v>
      </c>
      <c r="O171" s="94">
        <f>IF(ISNUMBER(M171), $B172 * N171, "")</f>
        <v>1744.1860465116279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1.3050528875240552E-2</v>
      </c>
      <c r="F172" s="28">
        <f>SUM(F152:F171)</f>
        <v>39151.586625721655</v>
      </c>
      <c r="G172" s="26" t="s">
        <v>258</v>
      </c>
      <c r="H172" s="27">
        <f>IF(COUNT(H152:H171), SUM(H152:H171) / COUNT(H152:H171), 0)</f>
        <v>1.3050528875240552E-2</v>
      </c>
      <c r="I172" s="28">
        <f>SUM(I152:I171)</f>
        <v>39151.586625721655</v>
      </c>
      <c r="J172" s="26" t="s">
        <v>258</v>
      </c>
      <c r="K172" s="27">
        <f>IF(COUNT(K152:K171), SUM(K152:K171) / COUNT(K152:K171), 0)</f>
        <v>1.3050528875240552E-2</v>
      </c>
      <c r="L172" s="28">
        <f>SUM(L152:L171)</f>
        <v>39151.586625721655</v>
      </c>
      <c r="M172" s="26" t="s">
        <v>258</v>
      </c>
      <c r="N172" s="27">
        <f>IF(COUNT(N152:N171), SUM(N152:N171) / COUNT(N152:N171), 0)</f>
        <v>1.3050528875240552E-2</v>
      </c>
      <c r="O172" s="28">
        <f>SUM(O152:O171)</f>
        <v>39151.586625721655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29052000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1.2053229299999999E-2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2023-01-31(화) 오전 00:00</v>
      </c>
      <c r="C177" s="198"/>
      <c r="D177" s="170" t="str">
        <f>TEXT($G$1, "[$-ko-KR]yyyy-mm-dd(ddd) ") &amp; "오후 14:00"</f>
        <v>2023-01-31(화) 오후 14:00</v>
      </c>
      <c r="E177" s="171"/>
      <c r="F177" s="172"/>
      <c r="G177" s="170" t="str">
        <f>TEXT($G$1, "[$-ko-KR]yyyy-mm-dd(ddd) ") &amp; "오후 19:00"</f>
        <v>2023-01-31(화) 오후 19:00</v>
      </c>
      <c r="H177" s="171"/>
      <c r="I177" s="172"/>
      <c r="J177" s="170" t="str">
        <f>TEXT($G$1, "[$-ko-KR]yyyy-mm-dd(ddd) ") &amp; "오후 21:00"</f>
        <v>2023-01-31(화) 오후 21:00</v>
      </c>
      <c r="K177" s="171"/>
      <c r="L177" s="172"/>
      <c r="M177" s="170" t="str">
        <f>TEXT($G$1+1, "[$-ko-KR]yyyy-mm-dd(ddd) ") &amp; "오전 00:00"</f>
        <v>2023-02-01(수)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233</v>
      </c>
      <c r="B179" s="108">
        <v>3080</v>
      </c>
      <c r="C179" s="69">
        <v>-1.44E-2</v>
      </c>
      <c r="D179" s="13">
        <v>3115</v>
      </c>
      <c r="E179" s="14">
        <f>IF(ISNUMBER(D179), (D179 - $B179) / $B179, "")</f>
        <v>1.1363636363636364E-2</v>
      </c>
      <c r="F179" s="16">
        <f>IF(ISNUMBER(D179), $B199 * E179, "")</f>
        <v>1704.5454545454545</v>
      </c>
      <c r="G179" s="29">
        <v>3115</v>
      </c>
      <c r="H179" s="14">
        <f>IF(ISNUMBER(G179), (G179 - $B179) / $B179, "")</f>
        <v>1.1363636363636364E-2</v>
      </c>
      <c r="I179" s="90">
        <f>IF(ISNUMBER(G179), $B199 * H179, "")</f>
        <v>1704.5454545454545</v>
      </c>
      <c r="J179" s="13">
        <v>3115</v>
      </c>
      <c r="K179" s="14">
        <f>IF(ISNUMBER(J179), (J179 - $B179) / $B179, "")</f>
        <v>1.1363636363636364E-2</v>
      </c>
      <c r="L179" s="16">
        <f>IF(ISNUMBER(J179), $B199 * K179, "")</f>
        <v>1704.5454545454545</v>
      </c>
      <c r="M179" s="29">
        <v>3115</v>
      </c>
      <c r="N179" s="14">
        <f>IF(ISNUMBER(M179), (M179 - $B179) / $B179, "")</f>
        <v>1.1363636363636364E-2</v>
      </c>
      <c r="O179" s="16">
        <f>IF(ISNUMBER(M179), $B199 * N179, "")</f>
        <v>1704.5454545454545</v>
      </c>
      <c r="Q179" s="156"/>
      <c r="R179" s="156"/>
      <c r="S179" s="156"/>
    </row>
    <row r="180" spans="1:19" ht="17.25" thickBot="1">
      <c r="A180" s="109" t="s">
        <v>149</v>
      </c>
      <c r="B180" s="110">
        <v>542</v>
      </c>
      <c r="C180" s="70">
        <v>-1.4545454500000001E-2</v>
      </c>
      <c r="D180" s="15">
        <v>552</v>
      </c>
      <c r="E180" s="32">
        <f t="shared" ref="E180:E183" si="94">IF(ISNUMBER(D180), (D180 - $B180) / $B180, "")</f>
        <v>1.8450184501845018E-2</v>
      </c>
      <c r="F180" s="18">
        <f>IF(ISNUMBER(D180), $B199 * E180, "")</f>
        <v>2767.5276752767527</v>
      </c>
      <c r="G180" s="31">
        <v>552</v>
      </c>
      <c r="H180" s="32">
        <f t="shared" ref="H180:H183" si="95">IF(ISNUMBER(G180), (G180 - $B180) / $B180, "")</f>
        <v>1.8450184501845018E-2</v>
      </c>
      <c r="I180" s="91">
        <f>IF(ISNUMBER(G180), $B199 * H180, "")</f>
        <v>2767.5276752767527</v>
      </c>
      <c r="J180" s="15">
        <v>552</v>
      </c>
      <c r="K180" s="32">
        <f t="shared" ref="K180:K183" si="96">IF(ISNUMBER(J180), (J180 - $B180) / $B180, "")</f>
        <v>1.8450184501845018E-2</v>
      </c>
      <c r="L180" s="18">
        <f>IF(ISNUMBER(J180), $B199 * K180, "")</f>
        <v>2767.5276752767527</v>
      </c>
      <c r="M180" s="31">
        <v>552</v>
      </c>
      <c r="N180" s="32">
        <f t="shared" ref="N180:N183" si="97">IF(ISNUMBER(M180), (M180 - $B180) / $B180, "")</f>
        <v>1.8450184501845018E-2</v>
      </c>
      <c r="O180" s="18">
        <f>IF(ISNUMBER(M180), $B199 * N180, "")</f>
        <v>2767.5276752767527</v>
      </c>
      <c r="Q180" s="156"/>
      <c r="R180" s="156"/>
      <c r="S180" s="156"/>
    </row>
    <row r="181" spans="1:19" ht="17.25" thickBot="1">
      <c r="A181" s="109" t="s">
        <v>120</v>
      </c>
      <c r="B181" s="110">
        <v>129</v>
      </c>
      <c r="C181" s="70">
        <v>-1.52671756E-2</v>
      </c>
      <c r="D181" s="15">
        <v>131</v>
      </c>
      <c r="E181" s="32">
        <f t="shared" si="94"/>
        <v>1.5503875968992248E-2</v>
      </c>
      <c r="F181" s="18">
        <f>IF(ISNUMBER(D181), $B199 * E181, "")</f>
        <v>2325.5813953488373</v>
      </c>
      <c r="G181" s="31">
        <v>131</v>
      </c>
      <c r="H181" s="32">
        <f t="shared" si="95"/>
        <v>1.5503875968992248E-2</v>
      </c>
      <c r="I181" s="91">
        <f>IF(ISNUMBER(G181), $B199 * H181, "")</f>
        <v>2325.5813953488373</v>
      </c>
      <c r="J181" s="15">
        <v>131</v>
      </c>
      <c r="K181" s="32">
        <f t="shared" si="96"/>
        <v>1.5503875968992248E-2</v>
      </c>
      <c r="L181" s="18">
        <f>IF(ISNUMBER(J181), $B199 * K181, "")</f>
        <v>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146"/>
      <c r="R181" s="146"/>
      <c r="S181" s="146"/>
    </row>
    <row r="182" spans="1:19" ht="17.25" thickBot="1">
      <c r="A182" s="109" t="s">
        <v>163</v>
      </c>
      <c r="B182" s="110">
        <v>7140</v>
      </c>
      <c r="C182" s="70">
        <v>-1.5851137099999999E-2</v>
      </c>
      <c r="D182" s="15">
        <v>7220</v>
      </c>
      <c r="E182" s="32">
        <f t="shared" si="94"/>
        <v>1.1204481792717087E-2</v>
      </c>
      <c r="F182" s="18">
        <f>IF(ISNUMBER(D182), $B199 * E182, "")</f>
        <v>1680.672268907563</v>
      </c>
      <c r="G182" s="31">
        <v>7220</v>
      </c>
      <c r="H182" s="32">
        <f t="shared" si="95"/>
        <v>1.1204481792717087E-2</v>
      </c>
      <c r="I182" s="91">
        <f>IF(ISNUMBER(G182), $B199 * H182, "")</f>
        <v>1680.672268907563</v>
      </c>
      <c r="J182" s="15">
        <v>7220</v>
      </c>
      <c r="K182" s="32">
        <f t="shared" si="96"/>
        <v>1.1204481792717087E-2</v>
      </c>
      <c r="L182" s="18">
        <f>IF(ISNUMBER(J182), $B199 * K182, "")</f>
        <v>1680.672268907563</v>
      </c>
      <c r="M182" s="31">
        <v>7220</v>
      </c>
      <c r="N182" s="32">
        <f t="shared" si="97"/>
        <v>1.1204481792717087E-2</v>
      </c>
      <c r="O182" s="18">
        <f>IF(ISNUMBER(M182), $B199 * N182, "")</f>
        <v>1680.672268907563</v>
      </c>
      <c r="Q182" s="146"/>
      <c r="R182" s="146"/>
      <c r="S182" s="146"/>
    </row>
    <row r="183" spans="1:19" ht="17.25" thickBot="1">
      <c r="A183" s="111" t="s">
        <v>213</v>
      </c>
      <c r="B183" s="112">
        <v>555</v>
      </c>
      <c r="C183" s="71">
        <v>-1.59574468E-2</v>
      </c>
      <c r="D183" s="20">
        <v>562</v>
      </c>
      <c r="E183" s="21">
        <f t="shared" si="94"/>
        <v>1.2612612612612612E-2</v>
      </c>
      <c r="F183" s="22">
        <f>IF(ISNUMBER(D183), $B199 * E183, "")</f>
        <v>1891.8918918918919</v>
      </c>
      <c r="G183" s="30">
        <v>562</v>
      </c>
      <c r="H183" s="21">
        <f t="shared" si="95"/>
        <v>1.2612612612612612E-2</v>
      </c>
      <c r="I183" s="95">
        <f>IF(ISNUMBER(G183), $B199 * H183, "")</f>
        <v>1891.8918918918919</v>
      </c>
      <c r="J183" s="20">
        <v>562</v>
      </c>
      <c r="K183" s="21">
        <f t="shared" si="96"/>
        <v>1.2612612612612612E-2</v>
      </c>
      <c r="L183" s="22">
        <f>IF(ISNUMBER(J183), $B199 * K183, "")</f>
        <v>1891.8918918918919</v>
      </c>
      <c r="M183" s="30">
        <v>562</v>
      </c>
      <c r="N183" s="21">
        <f t="shared" si="97"/>
        <v>1.2612612612612612E-2</v>
      </c>
      <c r="O183" s="22">
        <f>IF(ISNUMBER(M183), $B199 * N183, "")</f>
        <v>1891.8918918918919</v>
      </c>
      <c r="Q183" s="146"/>
      <c r="R183" s="146"/>
      <c r="S183" s="146"/>
    </row>
    <row r="184" spans="1:19" ht="17.25" thickBot="1">
      <c r="A184" s="109" t="s">
        <v>209</v>
      </c>
      <c r="B184" s="113">
        <v>90.4</v>
      </c>
      <c r="C184" s="73">
        <v>-1.6322089200000001E-2</v>
      </c>
      <c r="D184" s="96">
        <v>91.9</v>
      </c>
      <c r="E184" s="97">
        <f>IF(ISNUMBER(D184), (D184 - $B184) / $B184, "")</f>
        <v>1.6592920353982299E-2</v>
      </c>
      <c r="F184" s="98">
        <f>IF(ISNUMBER(D184), $B199 * E184, "")</f>
        <v>2488.9380530973449</v>
      </c>
      <c r="G184" s="99">
        <v>91.9</v>
      </c>
      <c r="H184" s="97">
        <f>IF(ISNUMBER(G184), (G184 - $B184) / $B184, "")</f>
        <v>1.6592920353982299E-2</v>
      </c>
      <c r="I184" s="100">
        <f>IF(ISNUMBER(G184), $B199 * H184, "")</f>
        <v>2488.9380530973449</v>
      </c>
      <c r="J184" s="96">
        <v>91.9</v>
      </c>
      <c r="K184" s="97">
        <f>IF(ISNUMBER(J184), (J184 - $B184) / $B184, "")</f>
        <v>1.6592920353982299E-2</v>
      </c>
      <c r="L184" s="98">
        <f>IF(ISNUMBER(J184), $B199 * K184, "")</f>
        <v>2488.9380530973449</v>
      </c>
      <c r="M184" s="99">
        <v>91.9</v>
      </c>
      <c r="N184" s="97">
        <f>IF(ISNUMBER(M184), (M184 - $B184) / $B184, "")</f>
        <v>1.6592920353982299E-2</v>
      </c>
      <c r="O184" s="98">
        <f>IF(ISNUMBER(M184), $B199 * N184, "")</f>
        <v>2488.9380530973449</v>
      </c>
      <c r="Q184" s="146"/>
      <c r="R184" s="146"/>
      <c r="S184" s="146"/>
    </row>
    <row r="185" spans="1:19" ht="17.25" thickBot="1">
      <c r="A185" s="109" t="s">
        <v>205</v>
      </c>
      <c r="B185" s="110">
        <v>119</v>
      </c>
      <c r="C185" s="70">
        <v>-1.6528925600000001E-2</v>
      </c>
      <c r="D185" s="15">
        <v>122</v>
      </c>
      <c r="E185" s="32">
        <f t="shared" ref="E185:E188" si="98">IF(ISNUMBER(D185), (D185 - $B185) / $B185, "")</f>
        <v>2.5210084033613446E-2</v>
      </c>
      <c r="F185" s="18">
        <f>IF(ISNUMBER(D185), $B199 * E185, "")</f>
        <v>3781.5126050420167</v>
      </c>
      <c r="G185" s="31">
        <v>122</v>
      </c>
      <c r="H185" s="32">
        <f t="shared" ref="H185:H188" si="99">IF(ISNUMBER(G185), (G185 - $B185) / $B185, "")</f>
        <v>2.5210084033613446E-2</v>
      </c>
      <c r="I185" s="91">
        <f>IF(ISNUMBER(G185), $B199 * H185, "")</f>
        <v>3781.5126050420167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3781.5126050420167</v>
      </c>
      <c r="M185" s="31">
        <v>122</v>
      </c>
      <c r="N185" s="32">
        <f t="shared" ref="N185:N188" si="101">IF(ISNUMBER(M185), (M185 - $B185) / $B185, "")</f>
        <v>2.5210084033613446E-2</v>
      </c>
      <c r="O185" s="18">
        <f>IF(ISNUMBER(M185), $B199 * N185, "")</f>
        <v>3781.5126050420167</v>
      </c>
      <c r="Q185" s="146"/>
      <c r="R185" s="146"/>
      <c r="S185" s="146"/>
    </row>
    <row r="186" spans="1:19" ht="17.25" thickBot="1">
      <c r="A186" s="109" t="s">
        <v>199</v>
      </c>
      <c r="B186" s="110">
        <v>340</v>
      </c>
      <c r="C186" s="70">
        <v>-1.7341040499999998E-2</v>
      </c>
      <c r="D186" s="15">
        <v>345</v>
      </c>
      <c r="E186" s="32">
        <f t="shared" si="98"/>
        <v>1.4705882352941176E-2</v>
      </c>
      <c r="F186" s="18">
        <f>IF(ISNUMBER(D186), $B199 * E186, "")</f>
        <v>2205.8823529411766</v>
      </c>
      <c r="G186" s="31">
        <v>345</v>
      </c>
      <c r="H186" s="32">
        <f t="shared" si="99"/>
        <v>1.4705882352941176E-2</v>
      </c>
      <c r="I186" s="91">
        <f>IF(ISNUMBER(G186), $B199 * H186, "")</f>
        <v>2205.8823529411766</v>
      </c>
      <c r="J186" s="15">
        <v>345</v>
      </c>
      <c r="K186" s="32">
        <f t="shared" si="100"/>
        <v>1.4705882352941176E-2</v>
      </c>
      <c r="L186" s="18">
        <f>IF(ISNUMBER(J186), $B199 * K186, "")</f>
        <v>2205.8823529411766</v>
      </c>
      <c r="M186" s="31">
        <v>345</v>
      </c>
      <c r="N186" s="32">
        <f t="shared" si="101"/>
        <v>1.4705882352941176E-2</v>
      </c>
      <c r="O186" s="18">
        <f>IF(ISNUMBER(M186), $B199 * N186, "")</f>
        <v>2205.8823529411766</v>
      </c>
      <c r="Q186" s="146"/>
      <c r="R186" s="146"/>
      <c r="S186" s="146"/>
    </row>
    <row r="187" spans="1:19" ht="17.25" thickBot="1">
      <c r="A187" s="109" t="s">
        <v>321</v>
      </c>
      <c r="B187" s="110">
        <v>224</v>
      </c>
      <c r="C187" s="70">
        <v>-1.75438596E-2</v>
      </c>
      <c r="D187" s="15">
        <v>227</v>
      </c>
      <c r="E187" s="32">
        <f t="shared" si="98"/>
        <v>1.3392857142857142E-2</v>
      </c>
      <c r="F187" s="18">
        <f>IF(ISNUMBER(D187), $B199 * E187, "")</f>
        <v>2008.9285714285713</v>
      </c>
      <c r="G187" s="31">
        <v>227</v>
      </c>
      <c r="H187" s="32">
        <f t="shared" si="99"/>
        <v>1.3392857142857142E-2</v>
      </c>
      <c r="I187" s="91">
        <f>IF(ISNUMBER(G187), $B199 * H187, "")</f>
        <v>2008.9285714285713</v>
      </c>
      <c r="J187" s="15">
        <v>227</v>
      </c>
      <c r="K187" s="32">
        <f t="shared" si="100"/>
        <v>1.3392857142857142E-2</v>
      </c>
      <c r="L187" s="18">
        <f>IF(ISNUMBER(J187), $B199 * K187, "")</f>
        <v>2008.9285714285713</v>
      </c>
      <c r="M187" s="31">
        <v>227</v>
      </c>
      <c r="N187" s="32">
        <f t="shared" si="101"/>
        <v>1.3392857142857142E-2</v>
      </c>
      <c r="O187" s="18">
        <f>IF(ISNUMBER(M187), $B199 * N187, "")</f>
        <v>2008.9285714285713</v>
      </c>
      <c r="Q187" s="33"/>
      <c r="R187" s="33"/>
    </row>
    <row r="188" spans="1:19" ht="17.25" thickBot="1">
      <c r="A188" s="114" t="s">
        <v>215</v>
      </c>
      <c r="B188" s="115">
        <v>377</v>
      </c>
      <c r="C188" s="72">
        <v>-1.82291667E-2</v>
      </c>
      <c r="D188" s="24">
        <v>382</v>
      </c>
      <c r="E188" s="25">
        <f t="shared" si="98"/>
        <v>1.3262599469496022E-2</v>
      </c>
      <c r="F188" s="94">
        <f>IF(ISNUMBER(D188), $B199 * E188, "")</f>
        <v>1989.3899204244033</v>
      </c>
      <c r="G188" s="92">
        <v>382</v>
      </c>
      <c r="H188" s="25">
        <f t="shared" si="99"/>
        <v>1.3262599469496022E-2</v>
      </c>
      <c r="I188" s="93">
        <f>IF(ISNUMBER(G188), $B199 * H188, "")</f>
        <v>1989.3899204244033</v>
      </c>
      <c r="J188" s="24">
        <v>382</v>
      </c>
      <c r="K188" s="25">
        <f t="shared" si="100"/>
        <v>1.3262599469496022E-2</v>
      </c>
      <c r="L188" s="94">
        <f>IF(ISNUMBER(J188), $B199 * K188, "")</f>
        <v>1989.3899204244033</v>
      </c>
      <c r="M188" s="92">
        <v>382</v>
      </c>
      <c r="N188" s="25">
        <f t="shared" si="101"/>
        <v>1.3262599469496022E-2</v>
      </c>
      <c r="O188" s="94">
        <f>IF(ISNUMBER(M188), $B199 * N188, "")</f>
        <v>1989.3899204244033</v>
      </c>
      <c r="Q188" s="147"/>
      <c r="R188" s="148"/>
      <c r="S188" s="149"/>
    </row>
    <row r="189" spans="1:19">
      <c r="A189" s="107" t="s">
        <v>241</v>
      </c>
      <c r="B189" s="108">
        <v>107</v>
      </c>
      <c r="C189" s="69">
        <v>-1.83486239E-2</v>
      </c>
      <c r="D189" s="13">
        <v>109</v>
      </c>
      <c r="E189" s="14">
        <f>IF(ISNUMBER(D189), (D189 - $B189) / $B189, "")</f>
        <v>1.8691588785046728E-2</v>
      </c>
      <c r="F189" s="16">
        <f>IF(ISNUMBER(D189), $B199 * E189, "")</f>
        <v>2803.7383177570091</v>
      </c>
      <c r="G189" s="29">
        <v>109</v>
      </c>
      <c r="H189" s="14">
        <f>IF(ISNUMBER(G189), (G189 - $B189) / $B189, "")</f>
        <v>1.8691588785046728E-2</v>
      </c>
      <c r="I189" s="90">
        <f>IF(ISNUMBER(G189), $B199 * H189, "")</f>
        <v>2803.7383177570091</v>
      </c>
      <c r="J189" s="13">
        <v>109</v>
      </c>
      <c r="K189" s="14">
        <f>IF(ISNUMBER(J189), (J189 - $B189) / $B189, "")</f>
        <v>1.8691588785046728E-2</v>
      </c>
      <c r="L189" s="16">
        <f>IF(ISNUMBER(J189), $B199 * K189, "")</f>
        <v>2803.7383177570091</v>
      </c>
      <c r="M189" s="29">
        <v>109</v>
      </c>
      <c r="N189" s="14">
        <f>IF(ISNUMBER(M189), (M189 - $B189) / $B189, "")</f>
        <v>1.8691588785046728E-2</v>
      </c>
      <c r="O189" s="16">
        <f>IF(ISNUMBER(M189), $B199 * N189, "")</f>
        <v>2803.7383177570091</v>
      </c>
      <c r="Q189" s="150"/>
      <c r="R189" s="151"/>
      <c r="S189" s="152"/>
    </row>
    <row r="190" spans="1:19" ht="17.25" thickBot="1">
      <c r="A190" s="109" t="s">
        <v>116</v>
      </c>
      <c r="B190" s="110">
        <v>1190</v>
      </c>
      <c r="C190" s="70">
        <v>-2.05761317E-2</v>
      </c>
      <c r="D190" s="15">
        <v>1210</v>
      </c>
      <c r="E190" s="32">
        <f t="shared" ref="E190:E193" si="102">IF(ISNUMBER(D190), (D190 - $B190) / $B190, "")</f>
        <v>1.680672268907563E-2</v>
      </c>
      <c r="F190" s="18">
        <f>IF(ISNUMBER(D190), $B199 * E190, "")</f>
        <v>2521.0084033613443</v>
      </c>
      <c r="G190" s="31">
        <v>1210</v>
      </c>
      <c r="H190" s="32">
        <f t="shared" ref="H190:H193" si="103">IF(ISNUMBER(G190), (G190 - $B190) / $B190, "")</f>
        <v>1.680672268907563E-2</v>
      </c>
      <c r="I190" s="91">
        <f>IF(ISNUMBER(G190), $B199 * H190, "")</f>
        <v>2521.0084033613443</v>
      </c>
      <c r="J190" s="15">
        <v>1210</v>
      </c>
      <c r="K190" s="32">
        <f t="shared" ref="K190:K193" si="104">IF(ISNUMBER(J190), (J190 - $B190) / $B190, "")</f>
        <v>1.680672268907563E-2</v>
      </c>
      <c r="L190" s="18">
        <f>IF(ISNUMBER(J190), $B199 * K190, "")</f>
        <v>2521.0084033613443</v>
      </c>
      <c r="M190" s="31">
        <v>1210</v>
      </c>
      <c r="N190" s="32">
        <f t="shared" ref="N190:N193" si="105">IF(ISNUMBER(M190), (M190 - $B190) / $B190, "")</f>
        <v>1.680672268907563E-2</v>
      </c>
      <c r="O190" s="18">
        <f>IF(ISNUMBER(M190), $B199 * N190, "")</f>
        <v>2521.0084033613443</v>
      </c>
      <c r="Q190" s="153"/>
      <c r="R190" s="154"/>
      <c r="S190" s="155"/>
    </row>
    <row r="191" spans="1:19" ht="17.25" thickBot="1">
      <c r="A191" s="109" t="s">
        <v>66</v>
      </c>
      <c r="B191" s="110">
        <v>816</v>
      </c>
      <c r="C191" s="70">
        <v>-2.3923445000000002E-2</v>
      </c>
      <c r="D191" s="15">
        <v>824</v>
      </c>
      <c r="E191" s="32">
        <f t="shared" si="102"/>
        <v>9.8039215686274508E-3</v>
      </c>
      <c r="F191" s="18">
        <f>IF(ISNUMBER(D191), $B199 * E191, "")</f>
        <v>1470.5882352941176</v>
      </c>
      <c r="G191" s="31">
        <v>824</v>
      </c>
      <c r="H191" s="32">
        <f t="shared" si="103"/>
        <v>9.8039215686274508E-3</v>
      </c>
      <c r="I191" s="91">
        <f>IF(ISNUMBER(G191), $B199 * H191, "")</f>
        <v>1470.5882352941176</v>
      </c>
      <c r="J191" s="15">
        <v>824</v>
      </c>
      <c r="K191" s="32">
        <f t="shared" si="104"/>
        <v>9.8039215686274508E-3</v>
      </c>
      <c r="L191" s="18">
        <f>IF(ISNUMBER(J191), $B199 * K191, "")</f>
        <v>1470.5882352941176</v>
      </c>
      <c r="M191" s="31">
        <v>824</v>
      </c>
      <c r="N191" s="32">
        <f t="shared" si="105"/>
        <v>9.8039215686274508E-3</v>
      </c>
      <c r="O191" s="18">
        <f>IF(ISNUMBER(M191), $B199 * N191, "")</f>
        <v>1470.5882352941176</v>
      </c>
      <c r="Q191" s="146"/>
      <c r="R191" s="146"/>
      <c r="S191" s="146"/>
    </row>
    <row r="192" spans="1:19" ht="17.25" thickBot="1">
      <c r="A192" s="109" t="s">
        <v>147</v>
      </c>
      <c r="B192" s="110">
        <v>13370</v>
      </c>
      <c r="C192" s="70">
        <v>-2.5510204099999999E-2</v>
      </c>
      <c r="D192" s="15">
        <v>13570</v>
      </c>
      <c r="E192" s="32">
        <f t="shared" si="102"/>
        <v>1.4958863126402393E-2</v>
      </c>
      <c r="F192" s="18">
        <f>IF(ISNUMBER(D192), $B199 * E192, "")</f>
        <v>2243.829468960359</v>
      </c>
      <c r="G192" s="31">
        <v>13570</v>
      </c>
      <c r="H192" s="32">
        <f t="shared" si="103"/>
        <v>1.4958863126402393E-2</v>
      </c>
      <c r="I192" s="91">
        <f>IF(ISNUMBER(G192), $B199 * H192, "")</f>
        <v>2243.829468960359</v>
      </c>
      <c r="J192" s="15">
        <v>13570</v>
      </c>
      <c r="K192" s="32">
        <f t="shared" si="104"/>
        <v>1.4958863126402393E-2</v>
      </c>
      <c r="L192" s="18">
        <f>IF(ISNUMBER(J192), $B199 * K192, "")</f>
        <v>2243.829468960359</v>
      </c>
      <c r="M192" s="31">
        <v>13570</v>
      </c>
      <c r="N192" s="32">
        <f t="shared" si="105"/>
        <v>1.4958863126402393E-2</v>
      </c>
      <c r="O192" s="18">
        <f>IF(ISNUMBER(M192), $B199 * N192, "")</f>
        <v>2243.829468960359</v>
      </c>
      <c r="Q192" s="156"/>
      <c r="R192" s="156"/>
      <c r="S192" s="156"/>
    </row>
    <row r="193" spans="1:19" ht="17.25" thickBot="1">
      <c r="A193" s="111" t="s">
        <v>176</v>
      </c>
      <c r="B193" s="112">
        <v>362</v>
      </c>
      <c r="C193" s="71">
        <v>-2.68817204E-2</v>
      </c>
      <c r="D193" s="20">
        <v>366</v>
      </c>
      <c r="E193" s="21">
        <f t="shared" si="102"/>
        <v>1.1049723756906077E-2</v>
      </c>
      <c r="F193" s="22">
        <f>IF(ISNUMBER(D193), $B199 * E193, "")</f>
        <v>1657.4585635359115</v>
      </c>
      <c r="G193" s="30">
        <v>366</v>
      </c>
      <c r="H193" s="21">
        <f t="shared" si="103"/>
        <v>1.1049723756906077E-2</v>
      </c>
      <c r="I193" s="95">
        <f>IF(ISNUMBER(G193), $B199 * H193, "")</f>
        <v>1657.4585635359115</v>
      </c>
      <c r="J193" s="20">
        <v>366</v>
      </c>
      <c r="K193" s="21">
        <f t="shared" si="104"/>
        <v>1.1049723756906077E-2</v>
      </c>
      <c r="L193" s="22">
        <f>IF(ISNUMBER(J193), $B199 * K193, "")</f>
        <v>1657.4585635359115</v>
      </c>
      <c r="M193" s="30">
        <v>366</v>
      </c>
      <c r="N193" s="21">
        <f t="shared" si="105"/>
        <v>1.1049723756906077E-2</v>
      </c>
      <c r="O193" s="22">
        <f>IF(ISNUMBER(M193), $B199 * N193, "")</f>
        <v>1657.4585635359115</v>
      </c>
      <c r="Q193" s="156"/>
      <c r="R193" s="156"/>
      <c r="S193" s="156"/>
    </row>
    <row r="194" spans="1:19" ht="17.25" thickBot="1">
      <c r="A194" s="109" t="s">
        <v>187</v>
      </c>
      <c r="B194" s="113">
        <v>891</v>
      </c>
      <c r="C194" s="73">
        <v>-2.7292576400000001E-2</v>
      </c>
      <c r="D194" s="96">
        <v>900</v>
      </c>
      <c r="E194" s="97">
        <f>IF(ISNUMBER(D194), (D194 - $B194) / $B194, "")</f>
        <v>1.0101010101010102E-2</v>
      </c>
      <c r="F194" s="98">
        <f>IF(ISNUMBER(D194), $B199 * E194, "")</f>
        <v>1515.1515151515152</v>
      </c>
      <c r="G194" s="99">
        <v>900</v>
      </c>
      <c r="H194" s="97">
        <f>IF(ISNUMBER(G194), (G194 - $B194) / $B194, "")</f>
        <v>1.0101010101010102E-2</v>
      </c>
      <c r="I194" s="100">
        <f>IF(ISNUMBER(G194), $B199 * H194, "")</f>
        <v>1515.1515151515152</v>
      </c>
      <c r="J194" s="96">
        <v>900</v>
      </c>
      <c r="K194" s="97">
        <f>IF(ISNUMBER(J194), (J194 - $B194) / $B194, "")</f>
        <v>1.0101010101010102E-2</v>
      </c>
      <c r="L194" s="98">
        <f>IF(ISNUMBER(J194), $B199 * K194, "")</f>
        <v>1515.1515151515152</v>
      </c>
      <c r="M194" s="99">
        <v>900</v>
      </c>
      <c r="N194" s="97">
        <f>IF(ISNUMBER(M194), (M194 - $B194) / $B194, "")</f>
        <v>1.0101010101010102E-2</v>
      </c>
      <c r="O194" s="98">
        <f>IF(ISNUMBER(M194), $B199 * N194, "")</f>
        <v>1515.1515151515152</v>
      </c>
      <c r="Q194" s="146"/>
      <c r="R194" s="146"/>
      <c r="S194" s="146"/>
    </row>
    <row r="195" spans="1:19" ht="17.25" thickBot="1">
      <c r="A195" s="109" t="s">
        <v>60</v>
      </c>
      <c r="B195" s="110">
        <v>923</v>
      </c>
      <c r="C195" s="70">
        <v>-2.73972603E-2</v>
      </c>
      <c r="D195" s="15">
        <v>934</v>
      </c>
      <c r="E195" s="32">
        <f t="shared" ref="E195:E198" si="106">IF(ISNUMBER(D195), (D195 - $B195) / $B195, "")</f>
        <v>1.1917659804983749E-2</v>
      </c>
      <c r="F195" s="18">
        <f>IF(ISNUMBER(D195), $B199 * E195, "")</f>
        <v>1787.6489707475623</v>
      </c>
      <c r="G195" s="31">
        <v>934</v>
      </c>
      <c r="H195" s="32">
        <f t="shared" ref="H195:H198" si="107">IF(ISNUMBER(G195), (G195 - $B195) / $B195, "")</f>
        <v>1.1917659804983749E-2</v>
      </c>
      <c r="I195" s="91">
        <f>IF(ISNUMBER(G195), $B199 * H195, "")</f>
        <v>1787.6489707475623</v>
      </c>
      <c r="J195" s="15">
        <v>934</v>
      </c>
      <c r="K195" s="32">
        <f t="shared" ref="K195:K198" si="108">IF(ISNUMBER(J195), (J195 - $B195) / $B195, "")</f>
        <v>1.1917659804983749E-2</v>
      </c>
      <c r="L195" s="18">
        <f>IF(ISNUMBER(J195), $B199 * K195, "")</f>
        <v>1787.6489707475623</v>
      </c>
      <c r="M195" s="31">
        <v>934</v>
      </c>
      <c r="N195" s="32">
        <f t="shared" ref="N195:N198" si="109">IF(ISNUMBER(M195), (M195 - $B195) / $B195, "")</f>
        <v>1.1917659804983749E-2</v>
      </c>
      <c r="O195" s="18">
        <f>IF(ISNUMBER(M195), $B199 * N195, "")</f>
        <v>1787.6489707475623</v>
      </c>
      <c r="Q195" s="146"/>
      <c r="R195" s="146"/>
      <c r="S195" s="146"/>
    </row>
    <row r="196" spans="1:19" ht="17.25" thickBot="1">
      <c r="A196" s="109" t="s">
        <v>183</v>
      </c>
      <c r="B196" s="110">
        <v>172</v>
      </c>
      <c r="C196" s="70">
        <v>-2.82485876E-2</v>
      </c>
      <c r="D196" s="15">
        <v>174</v>
      </c>
      <c r="E196" s="32">
        <f t="shared" si="106"/>
        <v>1.1627906976744186E-2</v>
      </c>
      <c r="F196" s="18">
        <f>IF(ISNUMBER(D196), $B199 * E196, "")</f>
        <v>1744.1860465116279</v>
      </c>
      <c r="G196" s="31">
        <v>174</v>
      </c>
      <c r="H196" s="32">
        <f t="shared" si="107"/>
        <v>1.1627906976744186E-2</v>
      </c>
      <c r="I196" s="91">
        <f>IF(ISNUMBER(G196), $B199 * H196, "")</f>
        <v>1744.1860465116279</v>
      </c>
      <c r="J196" s="15">
        <v>174</v>
      </c>
      <c r="K196" s="32">
        <f t="shared" si="108"/>
        <v>1.1627906976744186E-2</v>
      </c>
      <c r="L196" s="18">
        <f>IF(ISNUMBER(J196), $B199 * K196, "")</f>
        <v>1744.1860465116279</v>
      </c>
      <c r="M196" s="31">
        <v>174</v>
      </c>
      <c r="N196" s="32">
        <f t="shared" si="109"/>
        <v>1.1627906976744186E-2</v>
      </c>
      <c r="O196" s="18">
        <f>IF(ISNUMBER(M196), $B199 * N196, "")</f>
        <v>1744.1860465116279</v>
      </c>
      <c r="Q196" s="146"/>
      <c r="R196" s="146"/>
      <c r="S196" s="146"/>
    </row>
    <row r="197" spans="1:19">
      <c r="A197" s="109" t="s">
        <v>328</v>
      </c>
      <c r="B197" s="110">
        <v>20830</v>
      </c>
      <c r="C197" s="70">
        <v>-3.9649608099999997E-2</v>
      </c>
      <c r="D197" s="15">
        <v>21220</v>
      </c>
      <c r="E197" s="32">
        <f t="shared" si="106"/>
        <v>1.8722995679308688E-2</v>
      </c>
      <c r="F197" s="18">
        <f>IF(ISNUMBER(D197), $B199 * E197, "")</f>
        <v>2808.4493518963031</v>
      </c>
      <c r="G197" s="31">
        <v>21220</v>
      </c>
      <c r="H197" s="32">
        <f t="shared" si="107"/>
        <v>1.8722995679308688E-2</v>
      </c>
      <c r="I197" s="91">
        <f>IF(ISNUMBER(G197), $B199 * H197, "")</f>
        <v>2808.4493518963031</v>
      </c>
      <c r="J197" s="15">
        <v>21220</v>
      </c>
      <c r="K197" s="32">
        <f t="shared" si="108"/>
        <v>1.8722995679308688E-2</v>
      </c>
      <c r="L197" s="18">
        <f>IF(ISNUMBER(J197), $B199 * K197, "")</f>
        <v>2808.4493518963031</v>
      </c>
      <c r="M197" s="31">
        <v>21220</v>
      </c>
      <c r="N197" s="32">
        <f t="shared" si="109"/>
        <v>1.8722995679308688E-2</v>
      </c>
      <c r="O197" s="18">
        <f>IF(ISNUMBER(M197), $B199 * N197, "")</f>
        <v>2808.4493518963031</v>
      </c>
      <c r="Q197" s="135"/>
      <c r="R197" s="136"/>
      <c r="S197" s="137"/>
    </row>
    <row r="198" spans="1:19" ht="17.25" thickBot="1">
      <c r="A198" s="114" t="s">
        <v>172</v>
      </c>
      <c r="B198" s="115">
        <v>3300</v>
      </c>
      <c r="C198" s="72">
        <v>-4.6242774600000001E-2</v>
      </c>
      <c r="D198" s="24">
        <v>3360</v>
      </c>
      <c r="E198" s="25">
        <f t="shared" si="106"/>
        <v>1.8181818181818181E-2</v>
      </c>
      <c r="F198" s="94">
        <f>IF(ISNUMBER(D198), $B199 * E198, "")</f>
        <v>2727.272727272727</v>
      </c>
      <c r="G198" s="92">
        <v>3360</v>
      </c>
      <c r="H198" s="25">
        <f t="shared" si="107"/>
        <v>1.8181818181818181E-2</v>
      </c>
      <c r="I198" s="93">
        <f>IF(ISNUMBER(G198), $B199 * H198, "")</f>
        <v>2727.272727272727</v>
      </c>
      <c r="J198" s="24">
        <v>3360</v>
      </c>
      <c r="K198" s="25">
        <f t="shared" si="108"/>
        <v>1.8181818181818181E-2</v>
      </c>
      <c r="L198" s="94">
        <f>IF(ISNUMBER(J198), $B199 * K198, "")</f>
        <v>2727.272727272727</v>
      </c>
      <c r="M198" s="92">
        <v>3360</v>
      </c>
      <c r="N198" s="25">
        <f t="shared" si="109"/>
        <v>1.8181818181818181E-2</v>
      </c>
      <c r="O198" s="94">
        <f>IF(ISNUMBER(M198), $B199 * N198, "")</f>
        <v>2727.272727272727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1.4708067263130831E-2</v>
      </c>
      <c r="F199" s="28">
        <f>SUM(F179:F198)</f>
        <v>44124.201789392493</v>
      </c>
      <c r="G199" s="26" t="s">
        <v>258</v>
      </c>
      <c r="H199" s="27">
        <f>IF(COUNT(H179:H198), SUM(H179:H198) / COUNT(H179:H198), 0)</f>
        <v>1.4708067263130831E-2</v>
      </c>
      <c r="I199" s="28">
        <f>SUM(I179:I198)</f>
        <v>44124.201789392493</v>
      </c>
      <c r="J199" s="26" t="s">
        <v>258</v>
      </c>
      <c r="K199" s="27">
        <f>IF(COUNT(K179:K198), SUM(K179:K198) / COUNT(K179:K198), 0)</f>
        <v>1.4708067263130831E-2</v>
      </c>
      <c r="L199" s="28">
        <f>SUM(L179:L198)</f>
        <v>44124.201789392493</v>
      </c>
      <c r="M199" s="26" t="s">
        <v>258</v>
      </c>
      <c r="N199" s="27">
        <f>IF(COUNT(N179:N198), SUM(N179:N198) / COUNT(N179:N198), 0)</f>
        <v>1.4708067263130831E-2</v>
      </c>
      <c r="O199" s="28">
        <f>SUM(O179:O198)</f>
        <v>44124.201789392493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2023.01.01</vt:lpstr>
      <vt:lpstr>2023.01.02</vt:lpstr>
      <vt:lpstr>2023.01.03</vt:lpstr>
      <vt:lpstr>2023.01.04</vt:lpstr>
      <vt:lpstr>2023.01.05</vt:lpstr>
      <vt:lpstr>2023.01.06</vt:lpstr>
      <vt:lpstr>2023.01.07</vt:lpstr>
      <vt:lpstr>2023.01.08</vt:lpstr>
      <vt:lpstr>2023.01.13</vt:lpstr>
      <vt:lpstr>2023.01.14</vt:lpstr>
      <vt:lpstr>2023.01.15</vt:lpstr>
      <vt:lpstr>2023.01.16</vt:lpstr>
      <vt:lpstr>2023.01.17</vt:lpstr>
      <vt:lpstr>2023.01.18</vt:lpstr>
      <vt:lpstr>2023.01.19</vt:lpstr>
      <vt:lpstr>2023.01.20</vt:lpstr>
      <vt:lpstr>2023.01.21</vt:lpstr>
      <vt:lpstr>2023.01.22</vt:lpstr>
      <vt:lpstr>2023.01.23</vt:lpstr>
      <vt:lpstr>2023.01.24</vt:lpstr>
      <vt:lpstr>2023.01.25</vt:lpstr>
      <vt:lpstr>2023.01.26</vt:lpstr>
      <vt:lpstr>2023.01.27</vt:lpstr>
      <vt:lpstr>2023.01.28</vt:lpstr>
      <vt:lpstr>2023.01.29</vt:lpstr>
      <vt:lpstr>2023.01.31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2023-01-31T15:09:48Z</dcterms:modified>
</cp:coreProperties>
</file>