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data\2023\"/>
    </mc:Choice>
  </mc:AlternateContent>
  <xr:revisionPtr revIDLastSave="0" documentId="8_{1E5FF7B7-DFF2-488E-8A96-429AE481D8F4}" xr6:coauthVersionLast="47" xr6:coauthVersionMax="47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3.03.01" sheetId="24" r:id="rId6"/>
    <sheet name="2023.03.07" sheetId="25" r:id="rId7"/>
    <sheet name="2023.03.08" sheetId="26" r:id="rId8"/>
    <sheet name="2023.03.09" sheetId="27" r:id="rId9"/>
    <sheet name="2023.03.10" sheetId="28" r:id="rId10"/>
    <sheet name="2023.03.11" sheetId="29" r:id="rId11"/>
    <sheet name="2023.03.12" sheetId="30" r:id="rId12"/>
    <sheet name="2023.03.13" sheetId="31" r:id="rId13"/>
    <sheet name="2023.03.14" sheetId="32" r:id="rId14"/>
    <sheet name="2023.03.15" sheetId="33" r:id="rId15"/>
    <sheet name="2023.03.16" sheetId="34" r:id="rId16"/>
    <sheet name="2023.03.17" sheetId="35" r:id="rId17"/>
  </sheets>
  <definedNames>
    <definedName name="_xlnm._FilterDatabase" localSheetId="5" hidden="1">'2023.03.01'!#REF!</definedName>
    <definedName name="_xlnm._FilterDatabase" localSheetId="6" hidden="1">'2023.03.07'!#REF!</definedName>
    <definedName name="_xlnm._FilterDatabase" localSheetId="7" hidden="1">'2023.03.08'!#REF!</definedName>
    <definedName name="_xlnm._FilterDatabase" localSheetId="8" hidden="1">'2023.03.09'!#REF!</definedName>
    <definedName name="_xlnm._FilterDatabase" localSheetId="9" hidden="1">'2023.03.10'!#REF!</definedName>
    <definedName name="_xlnm._FilterDatabase" localSheetId="10" hidden="1">'2023.03.11'!#REF!</definedName>
    <definedName name="_xlnm._FilterDatabase" localSheetId="11" hidden="1">'2023.03.12'!#REF!</definedName>
    <definedName name="_xlnm._FilterDatabase" localSheetId="12" hidden="1">'2023.03.13'!#REF!</definedName>
    <definedName name="_xlnm._FilterDatabase" localSheetId="13" hidden="1">'2023.03.14'!#REF!</definedName>
    <definedName name="_xlnm._FilterDatabase" localSheetId="14" hidden="1">'2023.03.15'!#REF!</definedName>
    <definedName name="_xlnm._FilterDatabase" localSheetId="15" hidden="1">'2023.03.16'!#REF!</definedName>
    <definedName name="_xlnm._FilterDatabase" localSheetId="16" hidden="1">'2023.03.17'!#REF!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F117" i="35"/>
  <c r="E117" i="35"/>
  <c r="O116" i="35"/>
  <c r="N116" i="35"/>
  <c r="L116" i="35"/>
  <c r="K116" i="35"/>
  <c r="I116" i="35"/>
  <c r="H116" i="35"/>
  <c r="F116" i="35"/>
  <c r="E116" i="35"/>
  <c r="O115" i="35"/>
  <c r="N115" i="35"/>
  <c r="L115" i="35"/>
  <c r="K115" i="35"/>
  <c r="I115" i="35"/>
  <c r="H115" i="35"/>
  <c r="F115" i="35"/>
  <c r="E115" i="35"/>
  <c r="O114" i="35"/>
  <c r="N114" i="35"/>
  <c r="L114" i="35"/>
  <c r="K114" i="35"/>
  <c r="I114" i="35"/>
  <c r="H114" i="35"/>
  <c r="F114" i="35"/>
  <c r="E114" i="35"/>
  <c r="O113" i="35"/>
  <c r="N113" i="35"/>
  <c r="L113" i="35"/>
  <c r="K113" i="35"/>
  <c r="I113" i="35"/>
  <c r="H113" i="35"/>
  <c r="F113" i="35"/>
  <c r="E113" i="35"/>
  <c r="O112" i="35"/>
  <c r="N112" i="35"/>
  <c r="L112" i="35"/>
  <c r="K112" i="35"/>
  <c r="I112" i="35"/>
  <c r="H112" i="35"/>
  <c r="F112" i="35"/>
  <c r="E112" i="35"/>
  <c r="O111" i="35"/>
  <c r="N111" i="35"/>
  <c r="L111" i="35"/>
  <c r="K111" i="35"/>
  <c r="I111" i="35"/>
  <c r="H111" i="35"/>
  <c r="F111" i="35"/>
  <c r="E111" i="35"/>
  <c r="O110" i="35"/>
  <c r="N110" i="35"/>
  <c r="L110" i="35"/>
  <c r="K110" i="35"/>
  <c r="I110" i="35"/>
  <c r="H110" i="35"/>
  <c r="F110" i="35"/>
  <c r="E110" i="35"/>
  <c r="O109" i="35"/>
  <c r="N109" i="35"/>
  <c r="L109" i="35"/>
  <c r="K109" i="35"/>
  <c r="I109" i="35"/>
  <c r="H109" i="35"/>
  <c r="F109" i="35"/>
  <c r="E109" i="35"/>
  <c r="O108" i="35"/>
  <c r="N108" i="35"/>
  <c r="L108" i="35"/>
  <c r="K108" i="35"/>
  <c r="I108" i="35"/>
  <c r="H108" i="35"/>
  <c r="F108" i="35"/>
  <c r="E108" i="35"/>
  <c r="O107" i="35"/>
  <c r="N107" i="35"/>
  <c r="L107" i="35"/>
  <c r="K107" i="35"/>
  <c r="I107" i="35"/>
  <c r="H107" i="35"/>
  <c r="F107" i="35"/>
  <c r="E107" i="35"/>
  <c r="O106" i="35"/>
  <c r="N106" i="35"/>
  <c r="L106" i="35"/>
  <c r="K106" i="35"/>
  <c r="I106" i="35"/>
  <c r="H106" i="35"/>
  <c r="F106" i="35"/>
  <c r="E106" i="35"/>
  <c r="O105" i="35"/>
  <c r="N105" i="35"/>
  <c r="L105" i="35"/>
  <c r="K105" i="35"/>
  <c r="I105" i="35"/>
  <c r="H105" i="35"/>
  <c r="F105" i="35"/>
  <c r="E105" i="35"/>
  <c r="O104" i="35"/>
  <c r="N104" i="35"/>
  <c r="L104" i="35"/>
  <c r="K104" i="35"/>
  <c r="I104" i="35"/>
  <c r="H104" i="35"/>
  <c r="F104" i="35"/>
  <c r="E104" i="35"/>
  <c r="O103" i="35"/>
  <c r="N103" i="35"/>
  <c r="L103" i="35"/>
  <c r="K103" i="35"/>
  <c r="I103" i="35"/>
  <c r="H103" i="35"/>
  <c r="F103" i="35"/>
  <c r="E103" i="35"/>
  <c r="O102" i="35"/>
  <c r="N102" i="35"/>
  <c r="L102" i="35"/>
  <c r="K102" i="35"/>
  <c r="I102" i="35"/>
  <c r="H102" i="35"/>
  <c r="F102" i="35"/>
  <c r="E102" i="35"/>
  <c r="O101" i="35"/>
  <c r="N101" i="35"/>
  <c r="L101" i="35"/>
  <c r="K101" i="35"/>
  <c r="I101" i="35"/>
  <c r="H101" i="35"/>
  <c r="F101" i="35"/>
  <c r="E101" i="35"/>
  <c r="O100" i="35"/>
  <c r="N100" i="35"/>
  <c r="L100" i="35"/>
  <c r="K100" i="35"/>
  <c r="I100" i="35"/>
  <c r="H100" i="35"/>
  <c r="F100" i="35"/>
  <c r="E100" i="35"/>
  <c r="O99" i="35"/>
  <c r="N99" i="35"/>
  <c r="L99" i="35"/>
  <c r="K99" i="35"/>
  <c r="I99" i="35"/>
  <c r="H99" i="35"/>
  <c r="F99" i="35"/>
  <c r="E99" i="35"/>
  <c r="O98" i="35"/>
  <c r="O118" i="35" s="1"/>
  <c r="N98" i="35"/>
  <c r="N118" i="35" s="1"/>
  <c r="L98" i="35"/>
  <c r="L118" i="35" s="1"/>
  <c r="K98" i="35"/>
  <c r="K118" i="35" s="1"/>
  <c r="I98" i="35"/>
  <c r="I118" i="35" s="1"/>
  <c r="H98" i="35"/>
  <c r="H118" i="35" s="1"/>
  <c r="F98" i="35"/>
  <c r="F118" i="35" s="1"/>
  <c r="E98" i="35"/>
  <c r="E118" i="35" s="1"/>
  <c r="M96" i="35"/>
  <c r="J96" i="35"/>
  <c r="G96" i="35"/>
  <c r="D96" i="35"/>
  <c r="B96" i="35"/>
  <c r="M95" i="35"/>
  <c r="G95" i="35"/>
  <c r="N91" i="35"/>
  <c r="K91" i="35"/>
  <c r="B91" i="35"/>
  <c r="O90" i="35"/>
  <c r="N90" i="35"/>
  <c r="L90" i="35"/>
  <c r="K90" i="35"/>
  <c r="I90" i="35"/>
  <c r="H90" i="35"/>
  <c r="F90" i="35"/>
  <c r="E90" i="35"/>
  <c r="O89" i="35"/>
  <c r="N89" i="35"/>
  <c r="L89" i="35"/>
  <c r="K89" i="35"/>
  <c r="I89" i="35"/>
  <c r="H89" i="35"/>
  <c r="F89" i="35"/>
  <c r="E89" i="35"/>
  <c r="O88" i="35"/>
  <c r="N88" i="35"/>
  <c r="L88" i="35"/>
  <c r="K88" i="35"/>
  <c r="I88" i="35"/>
  <c r="H88" i="35"/>
  <c r="F88" i="35"/>
  <c r="E88" i="35"/>
  <c r="O87" i="35"/>
  <c r="N87" i="35"/>
  <c r="L87" i="35"/>
  <c r="K87" i="35"/>
  <c r="I87" i="35"/>
  <c r="H87" i="35"/>
  <c r="F87" i="35"/>
  <c r="E87" i="35"/>
  <c r="O86" i="35"/>
  <c r="N86" i="35"/>
  <c r="L86" i="35"/>
  <c r="K86" i="35"/>
  <c r="I86" i="35"/>
  <c r="H86" i="35"/>
  <c r="F86" i="35"/>
  <c r="E86" i="35"/>
  <c r="O85" i="35"/>
  <c r="N85" i="35"/>
  <c r="L85" i="35"/>
  <c r="K85" i="35"/>
  <c r="I85" i="35"/>
  <c r="H85" i="35"/>
  <c r="F85" i="35"/>
  <c r="E85" i="35"/>
  <c r="O84" i="35"/>
  <c r="N84" i="35"/>
  <c r="L84" i="35"/>
  <c r="K84" i="35"/>
  <c r="I84" i="35"/>
  <c r="H84" i="35"/>
  <c r="F84" i="35"/>
  <c r="E84" i="35"/>
  <c r="O83" i="35"/>
  <c r="N83" i="35"/>
  <c r="L83" i="35"/>
  <c r="K83" i="35"/>
  <c r="I83" i="35"/>
  <c r="H83" i="35"/>
  <c r="F83" i="35"/>
  <c r="E83" i="35"/>
  <c r="O82" i="35"/>
  <c r="N82" i="35"/>
  <c r="L82" i="35"/>
  <c r="K82" i="35"/>
  <c r="I82" i="35"/>
  <c r="H82" i="35"/>
  <c r="F82" i="35"/>
  <c r="E82" i="35"/>
  <c r="O81" i="35"/>
  <c r="N81" i="35"/>
  <c r="L81" i="35"/>
  <c r="K81" i="35"/>
  <c r="I81" i="35"/>
  <c r="H81" i="35"/>
  <c r="F81" i="35"/>
  <c r="E81" i="35"/>
  <c r="O80" i="35"/>
  <c r="N80" i="35"/>
  <c r="L80" i="35"/>
  <c r="K80" i="35"/>
  <c r="I80" i="35"/>
  <c r="H80" i="35"/>
  <c r="F80" i="35"/>
  <c r="E80" i="35"/>
  <c r="O79" i="35"/>
  <c r="N79" i="35"/>
  <c r="L79" i="35"/>
  <c r="K79" i="35"/>
  <c r="I79" i="35"/>
  <c r="H79" i="35"/>
  <c r="F79" i="35"/>
  <c r="E79" i="35"/>
  <c r="O78" i="35"/>
  <c r="N78" i="35"/>
  <c r="L78" i="35"/>
  <c r="K78" i="35"/>
  <c r="I78" i="35"/>
  <c r="H78" i="35"/>
  <c r="F78" i="35"/>
  <c r="E78" i="35"/>
  <c r="O77" i="35"/>
  <c r="N77" i="35"/>
  <c r="L77" i="35"/>
  <c r="K77" i="35"/>
  <c r="I77" i="35"/>
  <c r="H77" i="35"/>
  <c r="F77" i="35"/>
  <c r="E77" i="35"/>
  <c r="O76" i="35"/>
  <c r="N76" i="35"/>
  <c r="L76" i="35"/>
  <c r="K76" i="35"/>
  <c r="I76" i="35"/>
  <c r="H76" i="35"/>
  <c r="F76" i="35"/>
  <c r="E76" i="35"/>
  <c r="O75" i="35"/>
  <c r="N75" i="35"/>
  <c r="L75" i="35"/>
  <c r="K75" i="35"/>
  <c r="I75" i="35"/>
  <c r="H75" i="35"/>
  <c r="F75" i="35"/>
  <c r="E75" i="35"/>
  <c r="O74" i="35"/>
  <c r="N74" i="35"/>
  <c r="L74" i="35"/>
  <c r="K74" i="35"/>
  <c r="I74" i="35"/>
  <c r="H74" i="35"/>
  <c r="F74" i="35"/>
  <c r="E74" i="35"/>
  <c r="O73" i="35"/>
  <c r="N73" i="35"/>
  <c r="L73" i="35"/>
  <c r="K73" i="35"/>
  <c r="I73" i="35"/>
  <c r="H73" i="35"/>
  <c r="F73" i="35"/>
  <c r="E73" i="35"/>
  <c r="O72" i="35"/>
  <c r="N72" i="35"/>
  <c r="L72" i="35"/>
  <c r="K72" i="35"/>
  <c r="I72" i="35"/>
  <c r="H72" i="35"/>
  <c r="F72" i="35"/>
  <c r="E72" i="35"/>
  <c r="O71" i="35"/>
  <c r="N71" i="35"/>
  <c r="L71" i="35"/>
  <c r="L91" i="35" s="1"/>
  <c r="K71" i="35"/>
  <c r="I71" i="35"/>
  <c r="I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L59" i="35"/>
  <c r="K59" i="35"/>
  <c r="I59" i="35"/>
  <c r="H59" i="35"/>
  <c r="F59" i="35"/>
  <c r="E59" i="35"/>
  <c r="O58" i="35"/>
  <c r="N58" i="35"/>
  <c r="L58" i="35"/>
  <c r="K58" i="35"/>
  <c r="I58" i="35"/>
  <c r="H58" i="35"/>
  <c r="F58" i="35"/>
  <c r="E58" i="35"/>
  <c r="O57" i="35"/>
  <c r="N57" i="35"/>
  <c r="L57" i="35"/>
  <c r="K57" i="35"/>
  <c r="I57" i="35"/>
  <c r="H57" i="35"/>
  <c r="F57" i="35"/>
  <c r="E57" i="35"/>
  <c r="O56" i="35"/>
  <c r="N56" i="35"/>
  <c r="L56" i="35"/>
  <c r="K56" i="35"/>
  <c r="I56" i="35"/>
  <c r="H56" i="35"/>
  <c r="F56" i="35"/>
  <c r="E56" i="35"/>
  <c r="O55" i="35"/>
  <c r="N55" i="35"/>
  <c r="L55" i="35"/>
  <c r="K55" i="35"/>
  <c r="I55" i="35"/>
  <c r="H55" i="35"/>
  <c r="F55" i="35"/>
  <c r="E55" i="35"/>
  <c r="O54" i="35"/>
  <c r="N54" i="35"/>
  <c r="L54" i="35"/>
  <c r="K54" i="35"/>
  <c r="I54" i="35"/>
  <c r="H54" i="35"/>
  <c r="F54" i="35"/>
  <c r="E54" i="35"/>
  <c r="O53" i="35"/>
  <c r="N53" i="35"/>
  <c r="L53" i="35"/>
  <c r="K53" i="35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O64" i="35" s="1"/>
  <c r="N44" i="35"/>
  <c r="N64" i="35" s="1"/>
  <c r="L44" i="35"/>
  <c r="L64" i="35" s="1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E37" i="35" s="1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K168" i="34"/>
  <c r="L168" i="34" s="1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K160" i="34"/>
  <c r="L160" i="34" s="1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H144" i="34"/>
  <c r="I144" i="34" s="1"/>
  <c r="E144" i="34"/>
  <c r="F144" i="34" s="1"/>
  <c r="O143" i="34"/>
  <c r="N143" i="34"/>
  <c r="K143" i="34"/>
  <c r="L143" i="34" s="1"/>
  <c r="H143" i="34"/>
  <c r="I143" i="34" s="1"/>
  <c r="E143" i="34"/>
  <c r="F143" i="34" s="1"/>
  <c r="N142" i="34"/>
  <c r="O142" i="34" s="1"/>
  <c r="L142" i="34"/>
  <c r="K142" i="34"/>
  <c r="I142" i="34"/>
  <c r="H142" i="34"/>
  <c r="E142" i="34"/>
  <c r="F142" i="34" s="1"/>
  <c r="O141" i="34"/>
  <c r="N141" i="34"/>
  <c r="K141" i="34"/>
  <c r="L141" i="34" s="1"/>
  <c r="H141" i="34"/>
  <c r="I141" i="34" s="1"/>
  <c r="E141" i="34"/>
  <c r="F141" i="34" s="1"/>
  <c r="N140" i="34"/>
  <c r="O140" i="34" s="1"/>
  <c r="K140" i="34"/>
  <c r="L140" i="34" s="1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K138" i="34"/>
  <c r="L138" i="34" s="1"/>
  <c r="I138" i="34"/>
  <c r="H138" i="34"/>
  <c r="E138" i="34"/>
  <c r="F138" i="34" s="1"/>
  <c r="N137" i="34"/>
  <c r="O137" i="34" s="1"/>
  <c r="L137" i="34"/>
  <c r="K137" i="34"/>
  <c r="H137" i="34"/>
  <c r="I137" i="34" s="1"/>
  <c r="E137" i="34"/>
  <c r="F137" i="34" s="1"/>
  <c r="N136" i="34"/>
  <c r="O136" i="34" s="1"/>
  <c r="K136" i="34"/>
  <c r="L136" i="34" s="1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N134" i="34"/>
  <c r="O134" i="34" s="1"/>
  <c r="K134" i="34"/>
  <c r="L134" i="34" s="1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N132" i="34"/>
  <c r="O132" i="34" s="1"/>
  <c r="K132" i="34"/>
  <c r="L132" i="34" s="1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I130" i="34"/>
  <c r="H130" i="34"/>
  <c r="E130" i="34"/>
  <c r="F130" i="34" s="1"/>
  <c r="N129" i="34"/>
  <c r="O129" i="34" s="1"/>
  <c r="K129" i="34"/>
  <c r="L129" i="34" s="1"/>
  <c r="H129" i="34"/>
  <c r="I129" i="34" s="1"/>
  <c r="E129" i="34"/>
  <c r="F129" i="34" s="1"/>
  <c r="N128" i="34"/>
  <c r="O128" i="34" s="1"/>
  <c r="L128" i="34"/>
  <c r="K128" i="34"/>
  <c r="H128" i="34"/>
  <c r="I128" i="34" s="1"/>
  <c r="E128" i="34"/>
  <c r="F128" i="34" s="1"/>
  <c r="O127" i="34"/>
  <c r="N127" i="34"/>
  <c r="K127" i="34"/>
  <c r="L127" i="34" s="1"/>
  <c r="H127" i="34"/>
  <c r="I127" i="34" s="1"/>
  <c r="E127" i="34"/>
  <c r="F127" i="34" s="1"/>
  <c r="N126" i="34"/>
  <c r="O126" i="34" s="1"/>
  <c r="L126" i="34"/>
  <c r="K126" i="34"/>
  <c r="I126" i="34"/>
  <c r="H126" i="34"/>
  <c r="E126" i="34"/>
  <c r="F126" i="34" s="1"/>
  <c r="O125" i="34"/>
  <c r="N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L114" i="34"/>
  <c r="K114" i="34"/>
  <c r="H114" i="34"/>
  <c r="I114" i="34" s="1"/>
  <c r="E114" i="34"/>
  <c r="F114" i="34" s="1"/>
  <c r="N113" i="34"/>
  <c r="O113" i="34" s="1"/>
  <c r="K113" i="34"/>
  <c r="L113" i="34" s="1"/>
  <c r="H113" i="34"/>
  <c r="I113" i="34" s="1"/>
  <c r="E113" i="34"/>
  <c r="F113" i="34" s="1"/>
  <c r="O112" i="34"/>
  <c r="N112" i="34"/>
  <c r="L112" i="34"/>
  <c r="K112" i="34"/>
  <c r="I112" i="34"/>
  <c r="H112" i="34"/>
  <c r="E112" i="34"/>
  <c r="F112" i="34" s="1"/>
  <c r="N111" i="34"/>
  <c r="O111" i="34" s="1"/>
  <c r="K111" i="34"/>
  <c r="L111" i="34" s="1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L109" i="34"/>
  <c r="K109" i="34"/>
  <c r="I109" i="34"/>
  <c r="H109" i="34"/>
  <c r="E109" i="34"/>
  <c r="F109" i="34" s="1"/>
  <c r="N108" i="34"/>
  <c r="O108" i="34" s="1"/>
  <c r="K108" i="34"/>
  <c r="L108" i="34" s="1"/>
  <c r="I108" i="34"/>
  <c r="H108" i="34"/>
  <c r="E108" i="34"/>
  <c r="F108" i="34" s="1"/>
  <c r="N107" i="34"/>
  <c r="O107" i="34" s="1"/>
  <c r="K107" i="34"/>
  <c r="L107" i="34" s="1"/>
  <c r="I107" i="34"/>
  <c r="H107" i="34"/>
  <c r="E107" i="34"/>
  <c r="F107" i="34" s="1"/>
  <c r="N106" i="34"/>
  <c r="O106" i="34" s="1"/>
  <c r="K106" i="34"/>
  <c r="L106" i="34" s="1"/>
  <c r="H106" i="34"/>
  <c r="I106" i="34" s="1"/>
  <c r="E106" i="34"/>
  <c r="F106" i="34" s="1"/>
  <c r="O105" i="34"/>
  <c r="N105" i="34"/>
  <c r="K105" i="34"/>
  <c r="L105" i="34" s="1"/>
  <c r="I105" i="34"/>
  <c r="H105" i="34"/>
  <c r="E105" i="34"/>
  <c r="F105" i="34" s="1"/>
  <c r="O104" i="34"/>
  <c r="N104" i="34"/>
  <c r="K104" i="34"/>
  <c r="L104" i="34" s="1"/>
  <c r="I104" i="34"/>
  <c r="H104" i="34"/>
  <c r="E104" i="34"/>
  <c r="F104" i="34" s="1"/>
  <c r="N103" i="34"/>
  <c r="O103" i="34" s="1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L100" i="34"/>
  <c r="K100" i="34"/>
  <c r="I100" i="34"/>
  <c r="H100" i="34"/>
  <c r="E100" i="34"/>
  <c r="F100" i="34" s="1"/>
  <c r="N99" i="34"/>
  <c r="O99" i="34" s="1"/>
  <c r="K99" i="34"/>
  <c r="L99" i="34" s="1"/>
  <c r="I99" i="34"/>
  <c r="H99" i="34"/>
  <c r="E99" i="34"/>
  <c r="F99" i="34" s="1"/>
  <c r="O98" i="34"/>
  <c r="N98" i="34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E90" i="34"/>
  <c r="F90" i="34" s="1"/>
  <c r="N89" i="34"/>
  <c r="O89" i="34" s="1"/>
  <c r="K89" i="34"/>
  <c r="L89" i="34" s="1"/>
  <c r="H89" i="34"/>
  <c r="I89" i="34" s="1"/>
  <c r="E89" i="34"/>
  <c r="F89" i="34" s="1"/>
  <c r="O88" i="34"/>
  <c r="N88" i="34"/>
  <c r="L88" i="34"/>
  <c r="K88" i="34"/>
  <c r="H88" i="34"/>
  <c r="I88" i="34" s="1"/>
  <c r="E88" i="34"/>
  <c r="F88" i="34" s="1"/>
  <c r="N87" i="34"/>
  <c r="O87" i="34" s="1"/>
  <c r="K87" i="34"/>
  <c r="L87" i="34" s="1"/>
  <c r="I87" i="34"/>
  <c r="H87" i="34"/>
  <c r="E87" i="34"/>
  <c r="F87" i="34" s="1"/>
  <c r="O86" i="34"/>
  <c r="N86" i="34"/>
  <c r="K86" i="34"/>
  <c r="L86" i="34" s="1"/>
  <c r="H86" i="34"/>
  <c r="I86" i="34" s="1"/>
  <c r="E86" i="34"/>
  <c r="F86" i="34" s="1"/>
  <c r="N85" i="34"/>
  <c r="O85" i="34" s="1"/>
  <c r="L85" i="34"/>
  <c r="K85" i="34"/>
  <c r="H85" i="34"/>
  <c r="I85" i="34" s="1"/>
  <c r="E85" i="34"/>
  <c r="F85" i="34" s="1"/>
  <c r="N84" i="34"/>
  <c r="O84" i="34" s="1"/>
  <c r="L84" i="34"/>
  <c r="K84" i="34"/>
  <c r="H84" i="34"/>
  <c r="I84" i="34" s="1"/>
  <c r="E84" i="34"/>
  <c r="F84" i="34" s="1"/>
  <c r="N83" i="34"/>
  <c r="O83" i="34" s="1"/>
  <c r="L83" i="34"/>
  <c r="K83" i="34"/>
  <c r="I83" i="34"/>
  <c r="H83" i="34"/>
  <c r="E83" i="34"/>
  <c r="F83" i="34" s="1"/>
  <c r="O82" i="34"/>
  <c r="N82" i="34"/>
  <c r="K82" i="34"/>
  <c r="L82" i="34" s="1"/>
  <c r="H82" i="34"/>
  <c r="I82" i="34" s="1"/>
  <c r="E82" i="34"/>
  <c r="F82" i="34" s="1"/>
  <c r="N81" i="34"/>
  <c r="O81" i="34" s="1"/>
  <c r="L81" i="34"/>
  <c r="K81" i="34"/>
  <c r="H81" i="34"/>
  <c r="I81" i="34" s="1"/>
  <c r="E81" i="34"/>
  <c r="F81" i="34" s="1"/>
  <c r="N80" i="34"/>
  <c r="O80" i="34" s="1"/>
  <c r="K80" i="34"/>
  <c r="L80" i="34" s="1"/>
  <c r="H80" i="34"/>
  <c r="I80" i="34" s="1"/>
  <c r="E80" i="34"/>
  <c r="F80" i="34" s="1"/>
  <c r="O79" i="34"/>
  <c r="N79" i="34"/>
  <c r="L79" i="34"/>
  <c r="K79" i="34"/>
  <c r="I79" i="34"/>
  <c r="H79" i="34"/>
  <c r="E79" i="34"/>
  <c r="F79" i="34" s="1"/>
  <c r="N78" i="34"/>
  <c r="O78" i="34" s="1"/>
  <c r="L78" i="34"/>
  <c r="K78" i="34"/>
  <c r="H78" i="34"/>
  <c r="I78" i="34" s="1"/>
  <c r="E78" i="34"/>
  <c r="F78" i="34" s="1"/>
  <c r="O77" i="34"/>
  <c r="N77" i="34"/>
  <c r="L77" i="34"/>
  <c r="K77" i="34"/>
  <c r="H77" i="34"/>
  <c r="I77" i="34" s="1"/>
  <c r="E77" i="34"/>
  <c r="F77" i="34" s="1"/>
  <c r="N76" i="34"/>
  <c r="O76" i="34" s="1"/>
  <c r="L76" i="34"/>
  <c r="K76" i="34"/>
  <c r="H76" i="34"/>
  <c r="I76" i="34" s="1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H74" i="34"/>
  <c r="I74" i="34" s="1"/>
  <c r="E74" i="34"/>
  <c r="F74" i="34" s="1"/>
  <c r="N73" i="34"/>
  <c r="O73" i="34" s="1"/>
  <c r="K73" i="34"/>
  <c r="L73" i="34" s="1"/>
  <c r="H73" i="34"/>
  <c r="I73" i="34" s="1"/>
  <c r="E73" i="34"/>
  <c r="F73" i="34" s="1"/>
  <c r="O72" i="34"/>
  <c r="N72" i="34"/>
  <c r="K72" i="34"/>
  <c r="L72" i="34" s="1"/>
  <c r="H72" i="34"/>
  <c r="I72" i="34" s="1"/>
  <c r="E72" i="34"/>
  <c r="F72" i="34" s="1"/>
  <c r="N71" i="34"/>
  <c r="N91" i="34" s="1"/>
  <c r="K71" i="34"/>
  <c r="K91" i="34" s="1"/>
  <c r="I71" i="34"/>
  <c r="H71" i="34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K63" i="34"/>
  <c r="L63" i="34" s="1"/>
  <c r="H63" i="34"/>
  <c r="I63" i="34" s="1"/>
  <c r="E63" i="34"/>
  <c r="F63" i="34" s="1"/>
  <c r="N62" i="34"/>
  <c r="O62" i="34" s="1"/>
  <c r="L62" i="34"/>
  <c r="K62" i="34"/>
  <c r="H62" i="34"/>
  <c r="I62" i="34" s="1"/>
  <c r="E62" i="34"/>
  <c r="F62" i="34" s="1"/>
  <c r="O61" i="34"/>
  <c r="N61" i="34"/>
  <c r="K61" i="34"/>
  <c r="L61" i="34" s="1"/>
  <c r="H61" i="34"/>
  <c r="I61" i="34" s="1"/>
  <c r="E61" i="34"/>
  <c r="F61" i="34" s="1"/>
  <c r="N60" i="34"/>
  <c r="O60" i="34" s="1"/>
  <c r="L60" i="34"/>
  <c r="K60" i="34"/>
  <c r="I60" i="34"/>
  <c r="H60" i="34"/>
  <c r="E60" i="34"/>
  <c r="F60" i="34" s="1"/>
  <c r="O59" i="34"/>
  <c r="N59" i="34"/>
  <c r="K59" i="34"/>
  <c r="L59" i="34" s="1"/>
  <c r="H59" i="34"/>
  <c r="I59" i="34" s="1"/>
  <c r="E59" i="34"/>
  <c r="F59" i="34" s="1"/>
  <c r="O58" i="34"/>
  <c r="N58" i="34"/>
  <c r="K58" i="34"/>
  <c r="L58" i="34" s="1"/>
  <c r="H58" i="34"/>
  <c r="I58" i="34" s="1"/>
  <c r="E58" i="34"/>
  <c r="F58" i="34" s="1"/>
  <c r="N57" i="34"/>
  <c r="O57" i="34" s="1"/>
  <c r="K57" i="34"/>
  <c r="L57" i="34" s="1"/>
  <c r="H57" i="34"/>
  <c r="I57" i="34" s="1"/>
  <c r="E57" i="34"/>
  <c r="F57" i="34" s="1"/>
  <c r="N56" i="34"/>
  <c r="O56" i="34" s="1"/>
  <c r="K56" i="34"/>
  <c r="L56" i="34" s="1"/>
  <c r="I56" i="34"/>
  <c r="H56" i="34"/>
  <c r="E56" i="34"/>
  <c r="F56" i="34" s="1"/>
  <c r="N55" i="34"/>
  <c r="O55" i="34" s="1"/>
  <c r="L55" i="34"/>
  <c r="K55" i="34"/>
  <c r="H55" i="34"/>
  <c r="I55" i="34" s="1"/>
  <c r="E55" i="34"/>
  <c r="F55" i="34" s="1"/>
  <c r="N54" i="34"/>
  <c r="O54" i="34" s="1"/>
  <c r="K54" i="34"/>
  <c r="L54" i="34" s="1"/>
  <c r="H54" i="34"/>
  <c r="I54" i="34" s="1"/>
  <c r="E54" i="34"/>
  <c r="F54" i="34" s="1"/>
  <c r="O53" i="34"/>
  <c r="N53" i="34"/>
  <c r="L53" i="34"/>
  <c r="K53" i="34"/>
  <c r="H53" i="34"/>
  <c r="I53" i="34" s="1"/>
  <c r="E53" i="34"/>
  <c r="F53" i="34" s="1"/>
  <c r="N52" i="34"/>
  <c r="O52" i="34" s="1"/>
  <c r="K52" i="34"/>
  <c r="L52" i="34" s="1"/>
  <c r="I52" i="34"/>
  <c r="H52" i="34"/>
  <c r="E52" i="34"/>
  <c r="F52" i="34" s="1"/>
  <c r="O51" i="34"/>
  <c r="N51" i="34"/>
  <c r="K51" i="34"/>
  <c r="L51" i="34" s="1"/>
  <c r="H51" i="34"/>
  <c r="I51" i="34" s="1"/>
  <c r="E51" i="34"/>
  <c r="F51" i="34" s="1"/>
  <c r="O50" i="34"/>
  <c r="N50" i="34"/>
  <c r="K50" i="34"/>
  <c r="L50" i="34" s="1"/>
  <c r="H50" i="34"/>
  <c r="I50" i="34" s="1"/>
  <c r="E50" i="34"/>
  <c r="F50" i="34" s="1"/>
  <c r="N49" i="34"/>
  <c r="O49" i="34" s="1"/>
  <c r="K49" i="34"/>
  <c r="L49" i="34" s="1"/>
  <c r="H49" i="34"/>
  <c r="I49" i="34" s="1"/>
  <c r="E49" i="34"/>
  <c r="F49" i="34" s="1"/>
  <c r="N48" i="34"/>
  <c r="O48" i="34" s="1"/>
  <c r="K48" i="34"/>
  <c r="L48" i="34" s="1"/>
  <c r="I48" i="34"/>
  <c r="H48" i="34"/>
  <c r="E48" i="34"/>
  <c r="F48" i="34" s="1"/>
  <c r="N47" i="34"/>
  <c r="O47" i="34" s="1"/>
  <c r="K47" i="34"/>
  <c r="L47" i="34" s="1"/>
  <c r="H47" i="34"/>
  <c r="I47" i="34" s="1"/>
  <c r="E47" i="34"/>
  <c r="F47" i="34" s="1"/>
  <c r="N46" i="34"/>
  <c r="O46" i="34" s="1"/>
  <c r="L46" i="34"/>
  <c r="K46" i="34"/>
  <c r="H46" i="34"/>
  <c r="I46" i="34" s="1"/>
  <c r="E46" i="34"/>
  <c r="F46" i="34" s="1"/>
  <c r="O45" i="34"/>
  <c r="N45" i="34"/>
  <c r="K45" i="34"/>
  <c r="L45" i="34" s="1"/>
  <c r="H45" i="34"/>
  <c r="I45" i="34" s="1"/>
  <c r="E45" i="34"/>
  <c r="F45" i="34" s="1"/>
  <c r="N44" i="34"/>
  <c r="L44" i="34"/>
  <c r="K44" i="34"/>
  <c r="I44" i="34"/>
  <c r="H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O168" i="33"/>
  <c r="N168" i="33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O161" i="33"/>
  <c r="N161" i="33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O152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N142" i="33"/>
  <c r="O142" i="33" s="1"/>
  <c r="K142" i="33"/>
  <c r="L142" i="33" s="1"/>
  <c r="H142" i="33"/>
  <c r="I142" i="33" s="1"/>
  <c r="F142" i="33"/>
  <c r="E142" i="33"/>
  <c r="N141" i="33"/>
  <c r="O141" i="33" s="1"/>
  <c r="K141" i="33"/>
  <c r="L141" i="33" s="1"/>
  <c r="H141" i="33"/>
  <c r="I141" i="33" s="1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N135" i="33"/>
  <c r="O135" i="33" s="1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N133" i="33"/>
  <c r="O133" i="33" s="1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O113" i="33"/>
  <c r="N113" i="33"/>
  <c r="L113" i="33"/>
  <c r="K113" i="33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K110" i="33"/>
  <c r="L110" i="33" s="1"/>
  <c r="H110" i="33"/>
  <c r="I110" i="33" s="1"/>
  <c r="F110" i="33"/>
  <c r="E110" i="33"/>
  <c r="O109" i="33"/>
  <c r="N109" i="33"/>
  <c r="L109" i="33"/>
  <c r="K109" i="33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N103" i="33"/>
  <c r="O103" i="33" s="1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N101" i="33"/>
  <c r="O101" i="33" s="1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O99" i="33"/>
  <c r="N99" i="33"/>
  <c r="K99" i="33"/>
  <c r="L99" i="33" s="1"/>
  <c r="H99" i="33"/>
  <c r="I99" i="33" s="1"/>
  <c r="F99" i="33"/>
  <c r="E99" i="33"/>
  <c r="N98" i="33"/>
  <c r="K98" i="33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L90" i="33"/>
  <c r="K90" i="33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O88" i="33"/>
  <c r="N88" i="33"/>
  <c r="K88" i="33"/>
  <c r="L88" i="33" s="1"/>
  <c r="H88" i="33"/>
  <c r="I88" i="33" s="1"/>
  <c r="F88" i="33"/>
  <c r="E88" i="33"/>
  <c r="N87" i="33"/>
  <c r="O87" i="33" s="1"/>
  <c r="K87" i="33"/>
  <c r="L87" i="33" s="1"/>
  <c r="H87" i="33"/>
  <c r="I87" i="33" s="1"/>
  <c r="F87" i="33"/>
  <c r="E87" i="33"/>
  <c r="O86" i="33"/>
  <c r="N86" i="33"/>
  <c r="L86" i="33"/>
  <c r="K86" i="33"/>
  <c r="H86" i="33"/>
  <c r="I86" i="33" s="1"/>
  <c r="F86" i="33"/>
  <c r="E86" i="33"/>
  <c r="O85" i="33"/>
  <c r="N85" i="33"/>
  <c r="K85" i="33"/>
  <c r="L85" i="33" s="1"/>
  <c r="H85" i="33"/>
  <c r="I85" i="33" s="1"/>
  <c r="F85" i="33"/>
  <c r="E85" i="33"/>
  <c r="N84" i="33"/>
  <c r="O84" i="33" s="1"/>
  <c r="K84" i="33"/>
  <c r="L84" i="33" s="1"/>
  <c r="H84" i="33"/>
  <c r="I84" i="33" s="1"/>
  <c r="F84" i="33"/>
  <c r="E84" i="33"/>
  <c r="O83" i="33"/>
  <c r="N83" i="33"/>
  <c r="K83" i="33"/>
  <c r="L83" i="33" s="1"/>
  <c r="H83" i="33"/>
  <c r="I83" i="33" s="1"/>
  <c r="F83" i="33"/>
  <c r="E83" i="33"/>
  <c r="N82" i="33"/>
  <c r="O82" i="33" s="1"/>
  <c r="L82" i="33"/>
  <c r="K82" i="33"/>
  <c r="H82" i="33"/>
  <c r="I82" i="33" s="1"/>
  <c r="F82" i="33"/>
  <c r="E82" i="33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F80" i="33"/>
  <c r="E80" i="33"/>
  <c r="O79" i="33"/>
  <c r="N79" i="33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E78" i="33"/>
  <c r="F78" i="33" s="1"/>
  <c r="O77" i="33"/>
  <c r="N77" i="33"/>
  <c r="L77" i="33"/>
  <c r="K77" i="33"/>
  <c r="I77" i="33"/>
  <c r="H77" i="33"/>
  <c r="E77" i="33"/>
  <c r="F77" i="33" s="1"/>
  <c r="N76" i="33"/>
  <c r="O76" i="33" s="1"/>
  <c r="L76" i="33"/>
  <c r="K76" i="33"/>
  <c r="H76" i="33"/>
  <c r="I76" i="33" s="1"/>
  <c r="E76" i="33"/>
  <c r="F76" i="33" s="1"/>
  <c r="N75" i="33"/>
  <c r="O75" i="33" s="1"/>
  <c r="L75" i="33"/>
  <c r="K75" i="33"/>
  <c r="H75" i="33"/>
  <c r="I75" i="33" s="1"/>
  <c r="E75" i="33"/>
  <c r="F75" i="33" s="1"/>
  <c r="N74" i="33"/>
  <c r="O74" i="33" s="1"/>
  <c r="L74" i="33"/>
  <c r="K74" i="33"/>
  <c r="H74" i="33"/>
  <c r="I74" i="33" s="1"/>
  <c r="E74" i="33"/>
  <c r="F74" i="33" s="1"/>
  <c r="N73" i="33"/>
  <c r="O73" i="33" s="1"/>
  <c r="K73" i="33"/>
  <c r="L73" i="33" s="1"/>
  <c r="I73" i="33"/>
  <c r="H73" i="33"/>
  <c r="E73" i="33"/>
  <c r="F73" i="33" s="1"/>
  <c r="N72" i="33"/>
  <c r="O72" i="33" s="1"/>
  <c r="K72" i="33"/>
  <c r="L72" i="33" s="1"/>
  <c r="H72" i="33"/>
  <c r="I72" i="33" s="1"/>
  <c r="E72" i="33"/>
  <c r="F72" i="33" s="1"/>
  <c r="O71" i="33"/>
  <c r="N71" i="33"/>
  <c r="K71" i="33"/>
  <c r="K91" i="33" s="1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I62" i="33"/>
  <c r="H62" i="33"/>
  <c r="E62" i="33"/>
  <c r="F62" i="33" s="1"/>
  <c r="O61" i="33"/>
  <c r="N61" i="33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E60" i="33"/>
  <c r="F60" i="33" s="1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K48" i="33"/>
  <c r="L48" i="33" s="1"/>
  <c r="I48" i="33"/>
  <c r="H48" i="33"/>
  <c r="F48" i="33"/>
  <c r="E48" i="33"/>
  <c r="N47" i="33"/>
  <c r="O47" i="33" s="1"/>
  <c r="K47" i="33"/>
  <c r="L47" i="33" s="1"/>
  <c r="I47" i="33"/>
  <c r="H47" i="33"/>
  <c r="F47" i="33"/>
  <c r="E47" i="33"/>
  <c r="N46" i="33"/>
  <c r="O46" i="33" s="1"/>
  <c r="K46" i="33"/>
  <c r="L46" i="33" s="1"/>
  <c r="H46" i="33"/>
  <c r="I46" i="33" s="1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H44" i="33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N143" i="32"/>
  <c r="O143" i="32" s="1"/>
  <c r="K143" i="32"/>
  <c r="L143" i="32" s="1"/>
  <c r="H143" i="32"/>
  <c r="I143" i="32" s="1"/>
  <c r="F143" i="32"/>
  <c r="E143" i="32"/>
  <c r="O142" i="32"/>
  <c r="N142" i="32"/>
  <c r="K142" i="32"/>
  <c r="L142" i="32" s="1"/>
  <c r="H142" i="32"/>
  <c r="I142" i="32" s="1"/>
  <c r="F142" i="32"/>
  <c r="E142" i="32"/>
  <c r="N141" i="32"/>
  <c r="O141" i="32" s="1"/>
  <c r="K141" i="32"/>
  <c r="L141" i="32" s="1"/>
  <c r="H141" i="32"/>
  <c r="I141" i="32" s="1"/>
  <c r="F141" i="32"/>
  <c r="E141" i="32"/>
  <c r="O140" i="32"/>
  <c r="N140" i="32"/>
  <c r="L140" i="32"/>
  <c r="K140" i="32"/>
  <c r="H140" i="32"/>
  <c r="I140" i="32" s="1"/>
  <c r="F140" i="32"/>
  <c r="E140" i="32"/>
  <c r="N139" i="32"/>
  <c r="O139" i="32" s="1"/>
  <c r="K139" i="32"/>
  <c r="L139" i="32" s="1"/>
  <c r="H139" i="32"/>
  <c r="I139" i="32" s="1"/>
  <c r="F139" i="32"/>
  <c r="E139" i="32"/>
  <c r="O138" i="32"/>
  <c r="N138" i="32"/>
  <c r="K138" i="32"/>
  <c r="L138" i="32" s="1"/>
  <c r="H138" i="32"/>
  <c r="I138" i="32" s="1"/>
  <c r="F138" i="32"/>
  <c r="E138" i="32"/>
  <c r="N137" i="32"/>
  <c r="O137" i="32" s="1"/>
  <c r="L137" i="32"/>
  <c r="K137" i="32"/>
  <c r="H137" i="32"/>
  <c r="I137" i="32" s="1"/>
  <c r="F137" i="32"/>
  <c r="E137" i="32"/>
  <c r="N136" i="32"/>
  <c r="O136" i="32" s="1"/>
  <c r="L136" i="32"/>
  <c r="K136" i="32"/>
  <c r="H136" i="32"/>
  <c r="I136" i="32" s="1"/>
  <c r="F136" i="32"/>
  <c r="E136" i="32"/>
  <c r="O135" i="32"/>
  <c r="N135" i="32"/>
  <c r="K135" i="32"/>
  <c r="L135" i="32" s="1"/>
  <c r="H135" i="32"/>
  <c r="I135" i="32" s="1"/>
  <c r="F135" i="32"/>
  <c r="E135" i="32"/>
  <c r="N134" i="32"/>
  <c r="O134" i="32" s="1"/>
  <c r="K134" i="32"/>
  <c r="L134" i="32" s="1"/>
  <c r="H134" i="32"/>
  <c r="I134" i="32" s="1"/>
  <c r="F134" i="32"/>
  <c r="E134" i="32"/>
  <c r="O133" i="32"/>
  <c r="N133" i="32"/>
  <c r="L133" i="32"/>
  <c r="K133" i="32"/>
  <c r="H133" i="32"/>
  <c r="I133" i="32" s="1"/>
  <c r="F133" i="32"/>
  <c r="E133" i="32"/>
  <c r="O132" i="32"/>
  <c r="N132" i="32"/>
  <c r="L132" i="32"/>
  <c r="K132" i="32"/>
  <c r="H132" i="32"/>
  <c r="I132" i="32" s="1"/>
  <c r="F132" i="32"/>
  <c r="E132" i="32"/>
  <c r="N131" i="32"/>
  <c r="O131" i="32" s="1"/>
  <c r="K131" i="32"/>
  <c r="L131" i="32" s="1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N129" i="32"/>
  <c r="O129" i="32" s="1"/>
  <c r="L129" i="32"/>
  <c r="K129" i="32"/>
  <c r="H129" i="32"/>
  <c r="I129" i="32" s="1"/>
  <c r="F129" i="32"/>
  <c r="E129" i="32"/>
  <c r="N128" i="32"/>
  <c r="O128" i="32" s="1"/>
  <c r="L128" i="32"/>
  <c r="K128" i="32"/>
  <c r="H128" i="32"/>
  <c r="I128" i="32" s="1"/>
  <c r="F128" i="32"/>
  <c r="E128" i="32"/>
  <c r="O127" i="32"/>
  <c r="N127" i="32"/>
  <c r="K127" i="32"/>
  <c r="L127" i="32" s="1"/>
  <c r="H127" i="32"/>
  <c r="I127" i="32" s="1"/>
  <c r="F127" i="32"/>
  <c r="E127" i="32"/>
  <c r="N126" i="32"/>
  <c r="O126" i="32" s="1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F117" i="32"/>
  <c r="E117" i="32"/>
  <c r="N116" i="32"/>
  <c r="O116" i="32" s="1"/>
  <c r="K116" i="32"/>
  <c r="L116" i="32" s="1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N114" i="32"/>
  <c r="O114" i="32" s="1"/>
  <c r="K114" i="32"/>
  <c r="L114" i="32" s="1"/>
  <c r="H114" i="32"/>
  <c r="I114" i="32" s="1"/>
  <c r="F114" i="32"/>
  <c r="E114" i="32"/>
  <c r="O113" i="32"/>
  <c r="N113" i="32"/>
  <c r="L113" i="32"/>
  <c r="K113" i="32"/>
  <c r="H113" i="32"/>
  <c r="I113" i="32" s="1"/>
  <c r="F113" i="32"/>
  <c r="E113" i="32"/>
  <c r="O112" i="32"/>
  <c r="N112" i="32"/>
  <c r="K112" i="32"/>
  <c r="L112" i="32" s="1"/>
  <c r="H112" i="32"/>
  <c r="I112" i="32" s="1"/>
  <c r="F112" i="32"/>
  <c r="E112" i="32"/>
  <c r="N111" i="32"/>
  <c r="O111" i="32" s="1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L109" i="32"/>
  <c r="K109" i="32"/>
  <c r="H109" i="32"/>
  <c r="I109" i="32" s="1"/>
  <c r="F109" i="32"/>
  <c r="E109" i="32"/>
  <c r="N108" i="32"/>
  <c r="O108" i="32" s="1"/>
  <c r="K108" i="32"/>
  <c r="L108" i="32" s="1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N106" i="32"/>
  <c r="O106" i="32" s="1"/>
  <c r="L106" i="32"/>
  <c r="K106" i="32"/>
  <c r="H106" i="32"/>
  <c r="I106" i="32" s="1"/>
  <c r="F106" i="32"/>
  <c r="E106" i="32"/>
  <c r="O105" i="32"/>
  <c r="N105" i="32"/>
  <c r="L105" i="32"/>
  <c r="K105" i="32"/>
  <c r="H105" i="32"/>
  <c r="I105" i="32" s="1"/>
  <c r="F105" i="32"/>
  <c r="E105" i="32"/>
  <c r="O104" i="32"/>
  <c r="N104" i="32"/>
  <c r="K104" i="32"/>
  <c r="L104" i="32" s="1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L101" i="32"/>
  <c r="K101" i="32"/>
  <c r="H101" i="32"/>
  <c r="I101" i="32" s="1"/>
  <c r="F101" i="32"/>
  <c r="E101" i="32"/>
  <c r="N100" i="32"/>
  <c r="O100" i="32" s="1"/>
  <c r="K100" i="32"/>
  <c r="L100" i="32" s="1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N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O80" i="32"/>
  <c r="N80" i="32"/>
  <c r="K80" i="32"/>
  <c r="L80" i="32" s="1"/>
  <c r="H80" i="32"/>
  <c r="I80" i="32" s="1"/>
  <c r="E80" i="32"/>
  <c r="F80" i="32" s="1"/>
  <c r="N79" i="32"/>
  <c r="O79" i="32" s="1"/>
  <c r="L79" i="32"/>
  <c r="K79" i="32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L77" i="32"/>
  <c r="K77" i="32"/>
  <c r="H77" i="32"/>
  <c r="I77" i="32" s="1"/>
  <c r="E77" i="32"/>
  <c r="F77" i="32" s="1"/>
  <c r="N76" i="32"/>
  <c r="O76" i="32" s="1"/>
  <c r="K76" i="32"/>
  <c r="L76" i="32" s="1"/>
  <c r="I76" i="32"/>
  <c r="H76" i="32"/>
  <c r="E76" i="32"/>
  <c r="F76" i="32" s="1"/>
  <c r="O75" i="32"/>
  <c r="N75" i="32"/>
  <c r="K75" i="32"/>
  <c r="L75" i="32" s="1"/>
  <c r="I75" i="32"/>
  <c r="H75" i="32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O72" i="32"/>
  <c r="N72" i="32"/>
  <c r="L72" i="32"/>
  <c r="K72" i="32"/>
  <c r="I72" i="32"/>
  <c r="H72" i="32"/>
  <c r="E72" i="32"/>
  <c r="F72" i="32" s="1"/>
  <c r="N71" i="32"/>
  <c r="O71" i="32" s="1"/>
  <c r="L71" i="32"/>
  <c r="K71" i="32"/>
  <c r="K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N62" i="32"/>
  <c r="O62" i="32" s="1"/>
  <c r="K62" i="32"/>
  <c r="L62" i="32" s="1"/>
  <c r="H62" i="32"/>
  <c r="I62" i="32" s="1"/>
  <c r="E62" i="32"/>
  <c r="F62" i="32" s="1"/>
  <c r="O61" i="32"/>
  <c r="N61" i="32"/>
  <c r="K61" i="32"/>
  <c r="L61" i="32" s="1"/>
  <c r="H61" i="32"/>
  <c r="I61" i="32" s="1"/>
  <c r="E61" i="32"/>
  <c r="F61" i="32" s="1"/>
  <c r="N60" i="32"/>
  <c r="O60" i="32" s="1"/>
  <c r="K60" i="32"/>
  <c r="L60" i="32" s="1"/>
  <c r="I60" i="32"/>
  <c r="H60" i="32"/>
  <c r="E60" i="32"/>
  <c r="F60" i="32" s="1"/>
  <c r="N59" i="32"/>
  <c r="O59" i="32" s="1"/>
  <c r="L59" i="32"/>
  <c r="K59" i="32"/>
  <c r="H59" i="32"/>
  <c r="I59" i="32" s="1"/>
  <c r="E59" i="32"/>
  <c r="F59" i="32" s="1"/>
  <c r="N58" i="32"/>
  <c r="O58" i="32" s="1"/>
  <c r="K58" i="32"/>
  <c r="L58" i="32" s="1"/>
  <c r="H58" i="32"/>
  <c r="I58" i="32" s="1"/>
  <c r="E58" i="32"/>
  <c r="F58" i="32" s="1"/>
  <c r="O57" i="32"/>
  <c r="N57" i="32"/>
  <c r="L57" i="32"/>
  <c r="K57" i="32"/>
  <c r="H57" i="32"/>
  <c r="I57" i="32" s="1"/>
  <c r="E57" i="32"/>
  <c r="F57" i="32" s="1"/>
  <c r="O56" i="32"/>
  <c r="N56" i="32"/>
  <c r="K56" i="32"/>
  <c r="L56" i="32" s="1"/>
  <c r="I56" i="32"/>
  <c r="H56" i="32"/>
  <c r="F56" i="32"/>
  <c r="E56" i="32"/>
  <c r="N55" i="32"/>
  <c r="O55" i="32" s="1"/>
  <c r="K55" i="32"/>
  <c r="L55" i="32" s="1"/>
  <c r="I55" i="32"/>
  <c r="H55" i="32"/>
  <c r="F55" i="32"/>
  <c r="E55" i="32"/>
  <c r="O54" i="32"/>
  <c r="N54" i="32"/>
  <c r="K54" i="32"/>
  <c r="L54" i="32" s="1"/>
  <c r="I54" i="32"/>
  <c r="H54" i="32"/>
  <c r="F54" i="32"/>
  <c r="E54" i="32"/>
  <c r="N53" i="32"/>
  <c r="O53" i="32" s="1"/>
  <c r="K53" i="32"/>
  <c r="L53" i="32" s="1"/>
  <c r="I53" i="32"/>
  <c r="H53" i="32"/>
  <c r="F53" i="32"/>
  <c r="E53" i="32"/>
  <c r="O52" i="32"/>
  <c r="N52" i="32"/>
  <c r="K52" i="32"/>
  <c r="L52" i="32" s="1"/>
  <c r="I52" i="32"/>
  <c r="H52" i="32"/>
  <c r="F52" i="32"/>
  <c r="E52" i="32"/>
  <c r="N51" i="32"/>
  <c r="O51" i="32" s="1"/>
  <c r="K51" i="32"/>
  <c r="L51" i="32" s="1"/>
  <c r="I51" i="32"/>
  <c r="H51" i="32"/>
  <c r="F51" i="32"/>
  <c r="E51" i="32"/>
  <c r="O50" i="32"/>
  <c r="N50" i="32"/>
  <c r="K50" i="32"/>
  <c r="L50" i="32" s="1"/>
  <c r="I50" i="32"/>
  <c r="H50" i="32"/>
  <c r="F50" i="32"/>
  <c r="E50" i="32"/>
  <c r="N49" i="32"/>
  <c r="O49" i="32" s="1"/>
  <c r="K49" i="32"/>
  <c r="L49" i="32" s="1"/>
  <c r="I49" i="32"/>
  <c r="H49" i="32"/>
  <c r="F49" i="32"/>
  <c r="E49" i="32"/>
  <c r="O48" i="32"/>
  <c r="N48" i="32"/>
  <c r="K48" i="32"/>
  <c r="L48" i="32" s="1"/>
  <c r="I48" i="32"/>
  <c r="H48" i="32"/>
  <c r="F48" i="32"/>
  <c r="E48" i="32"/>
  <c r="N47" i="32"/>
  <c r="O47" i="32" s="1"/>
  <c r="K47" i="32"/>
  <c r="L47" i="32" s="1"/>
  <c r="I47" i="32"/>
  <c r="H47" i="32"/>
  <c r="F47" i="32"/>
  <c r="E47" i="32"/>
  <c r="O46" i="32"/>
  <c r="N46" i="32"/>
  <c r="K46" i="32"/>
  <c r="L46" i="32" s="1"/>
  <c r="I46" i="32"/>
  <c r="H46" i="32"/>
  <c r="F46" i="32"/>
  <c r="E46" i="32"/>
  <c r="N45" i="32"/>
  <c r="O45" i="32" s="1"/>
  <c r="K45" i="32"/>
  <c r="L45" i="32" s="1"/>
  <c r="I45" i="32"/>
  <c r="H45" i="32"/>
  <c r="F45" i="32"/>
  <c r="E45" i="32"/>
  <c r="O44" i="32"/>
  <c r="N44" i="32"/>
  <c r="K44" i="32"/>
  <c r="I44" i="32"/>
  <c r="H44" i="32"/>
  <c r="F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O186" i="31"/>
  <c r="N186" i="3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L125" i="31"/>
  <c r="K125" i="3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O116" i="31"/>
  <c r="N116" i="3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O105" i="31"/>
  <c r="N105" i="31"/>
  <c r="L105" i="31"/>
  <c r="K105" i="31"/>
  <c r="H105" i="31"/>
  <c r="I105" i="31" s="1"/>
  <c r="F105" i="31"/>
  <c r="E105" i="31"/>
  <c r="N104" i="31"/>
  <c r="O104" i="31" s="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O99" i="31"/>
  <c r="N99" i="31"/>
  <c r="L99" i="31"/>
  <c r="K99" i="3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K88" i="31"/>
  <c r="L88" i="31" s="1"/>
  <c r="H88" i="31"/>
  <c r="I88" i="31" s="1"/>
  <c r="F88" i="31"/>
  <c r="E88" i="31"/>
  <c r="N87" i="31"/>
  <c r="O87" i="31" s="1"/>
  <c r="K87" i="31"/>
  <c r="L87" i="31" s="1"/>
  <c r="H87" i="31"/>
  <c r="I87" i="31" s="1"/>
  <c r="F87" i="31"/>
  <c r="E87" i="31"/>
  <c r="O86" i="31"/>
  <c r="N86" i="3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O84" i="31"/>
  <c r="N84" i="31"/>
  <c r="K84" i="31"/>
  <c r="L84" i="31" s="1"/>
  <c r="H84" i="31"/>
  <c r="I84" i="31" s="1"/>
  <c r="F84" i="31"/>
  <c r="E84" i="31"/>
  <c r="N83" i="31"/>
  <c r="O83" i="31" s="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O81" i="31"/>
  <c r="N81" i="31"/>
  <c r="K81" i="31"/>
  <c r="L81" i="31" s="1"/>
  <c r="H81" i="31"/>
  <c r="I81" i="31" s="1"/>
  <c r="F81" i="31"/>
  <c r="E81" i="31"/>
  <c r="N80" i="31"/>
  <c r="O80" i="31" s="1"/>
  <c r="K80" i="31"/>
  <c r="L80" i="31" s="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N78" i="31"/>
  <c r="O78" i="31" s="1"/>
  <c r="L78" i="31"/>
  <c r="K78" i="3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K76" i="31"/>
  <c r="L76" i="31" s="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N74" i="31"/>
  <c r="O74" i="31" s="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K72" i="31"/>
  <c r="L72" i="31" s="1"/>
  <c r="H72" i="31"/>
  <c r="I72" i="31" s="1"/>
  <c r="F72" i="31"/>
  <c r="E72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H63" i="31"/>
  <c r="I63" i="31" s="1"/>
  <c r="E63" i="31"/>
  <c r="F63" i="31" s="1"/>
  <c r="N62" i="31"/>
  <c r="O62" i="31" s="1"/>
  <c r="K62" i="31"/>
  <c r="L62" i="31" s="1"/>
  <c r="H62" i="31"/>
  <c r="I62" i="31" s="1"/>
  <c r="E62" i="31"/>
  <c r="F62" i="31" s="1"/>
  <c r="N61" i="31"/>
  <c r="O61" i="31" s="1"/>
  <c r="L61" i="31"/>
  <c r="K61" i="31"/>
  <c r="I61" i="31"/>
  <c r="H61" i="31"/>
  <c r="E61" i="31"/>
  <c r="F61" i="31" s="1"/>
  <c r="N60" i="31"/>
  <c r="O60" i="31" s="1"/>
  <c r="K60" i="31"/>
  <c r="L60" i="31" s="1"/>
  <c r="H60" i="31"/>
  <c r="I60" i="31" s="1"/>
  <c r="E60" i="31"/>
  <c r="F60" i="31" s="1"/>
  <c r="N59" i="31"/>
  <c r="O59" i="31" s="1"/>
  <c r="K59" i="31"/>
  <c r="L59" i="31" s="1"/>
  <c r="H59" i="31"/>
  <c r="I59" i="31" s="1"/>
  <c r="E59" i="31"/>
  <c r="F59" i="31" s="1"/>
  <c r="O58" i="31"/>
  <c r="N58" i="31"/>
  <c r="K58" i="31"/>
  <c r="L58" i="31" s="1"/>
  <c r="H58" i="31"/>
  <c r="I58" i="31" s="1"/>
  <c r="E58" i="31"/>
  <c r="F58" i="31" s="1"/>
  <c r="N57" i="31"/>
  <c r="O57" i="31" s="1"/>
  <c r="L57" i="31"/>
  <c r="K57" i="31"/>
  <c r="I57" i="31"/>
  <c r="H57" i="31"/>
  <c r="E57" i="31"/>
  <c r="F57" i="31" s="1"/>
  <c r="O56" i="31"/>
  <c r="N56" i="31"/>
  <c r="L56" i="31"/>
  <c r="K56" i="31"/>
  <c r="H56" i="31"/>
  <c r="I56" i="31" s="1"/>
  <c r="E56" i="31"/>
  <c r="F56" i="31" s="1"/>
  <c r="N55" i="31"/>
  <c r="O55" i="31" s="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L53" i="31"/>
  <c r="K53" i="3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O46" i="31"/>
  <c r="N46" i="31"/>
  <c r="L46" i="31"/>
  <c r="K46" i="31"/>
  <c r="H46" i="31"/>
  <c r="I46" i="31" s="1"/>
  <c r="F46" i="31"/>
  <c r="E46" i="31"/>
  <c r="N45" i="31"/>
  <c r="O45" i="31" s="1"/>
  <c r="L45" i="31"/>
  <c r="K45" i="31"/>
  <c r="H45" i="31"/>
  <c r="I45" i="31" s="1"/>
  <c r="E45" i="31"/>
  <c r="F45" i="31" s="1"/>
  <c r="N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O157" i="30"/>
  <c r="N157" i="30"/>
  <c r="K157" i="30"/>
  <c r="L157" i="30" s="1"/>
  <c r="H157" i="30"/>
  <c r="I157" i="30" s="1"/>
  <c r="F157" i="30"/>
  <c r="E157" i="30"/>
  <c r="N156" i="30"/>
  <c r="O156" i="30" s="1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L137" i="30"/>
  <c r="K137" i="30"/>
  <c r="H137" i="30"/>
  <c r="I137" i="30" s="1"/>
  <c r="F137" i="30"/>
  <c r="E137" i="30"/>
  <c r="N136" i="30"/>
  <c r="O136" i="30" s="1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O133" i="30"/>
  <c r="N133" i="30"/>
  <c r="L133" i="30"/>
  <c r="K133" i="30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I130" i="30"/>
  <c r="H130" i="30"/>
  <c r="F130" i="30"/>
  <c r="E130" i="30"/>
  <c r="N129" i="30"/>
  <c r="O129" i="30" s="1"/>
  <c r="K129" i="30"/>
  <c r="L129" i="30" s="1"/>
  <c r="I129" i="30"/>
  <c r="H129" i="30"/>
  <c r="F129" i="30"/>
  <c r="E129" i="30"/>
  <c r="O128" i="30"/>
  <c r="N128" i="30"/>
  <c r="K128" i="30"/>
  <c r="L128" i="30" s="1"/>
  <c r="I128" i="30"/>
  <c r="H128" i="30"/>
  <c r="F128" i="30"/>
  <c r="E128" i="30"/>
  <c r="N127" i="30"/>
  <c r="O127" i="30" s="1"/>
  <c r="K127" i="30"/>
  <c r="L127" i="30" s="1"/>
  <c r="I127" i="30"/>
  <c r="H127" i="30"/>
  <c r="F127" i="30"/>
  <c r="E127" i="30"/>
  <c r="O126" i="30"/>
  <c r="N126" i="30"/>
  <c r="K126" i="30"/>
  <c r="L126" i="30" s="1"/>
  <c r="I126" i="30"/>
  <c r="H126" i="30"/>
  <c r="F126" i="30"/>
  <c r="E126" i="30"/>
  <c r="N125" i="30"/>
  <c r="K125" i="30"/>
  <c r="I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F117" i="30"/>
  <c r="E117" i="30"/>
  <c r="N116" i="30"/>
  <c r="O116" i="30" s="1"/>
  <c r="K116" i="30"/>
  <c r="L116" i="30" s="1"/>
  <c r="H116" i="30"/>
  <c r="I116" i="30" s="1"/>
  <c r="F116" i="30"/>
  <c r="E116" i="30"/>
  <c r="O115" i="30"/>
  <c r="N115" i="30"/>
  <c r="L115" i="30"/>
  <c r="K115" i="30"/>
  <c r="H115" i="30"/>
  <c r="I115" i="30" s="1"/>
  <c r="F115" i="30"/>
  <c r="E115" i="30"/>
  <c r="N114" i="30"/>
  <c r="O114" i="30" s="1"/>
  <c r="K114" i="30"/>
  <c r="L114" i="30" s="1"/>
  <c r="H114" i="30"/>
  <c r="I114" i="30" s="1"/>
  <c r="F114" i="30"/>
  <c r="E114" i="30"/>
  <c r="O113" i="30"/>
  <c r="N113" i="30"/>
  <c r="K113" i="30"/>
  <c r="L113" i="30" s="1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N111" i="30"/>
  <c r="O111" i="30" s="1"/>
  <c r="L111" i="30"/>
  <c r="K111" i="30"/>
  <c r="H111" i="30"/>
  <c r="I111" i="30" s="1"/>
  <c r="F111" i="30"/>
  <c r="E111" i="30"/>
  <c r="O110" i="30"/>
  <c r="N110" i="30"/>
  <c r="K110" i="30"/>
  <c r="L110" i="30" s="1"/>
  <c r="H110" i="30"/>
  <c r="I110" i="30" s="1"/>
  <c r="F110" i="30"/>
  <c r="E110" i="30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L107" i="30"/>
  <c r="K107" i="30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N105" i="30"/>
  <c r="O105" i="30" s="1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N103" i="30"/>
  <c r="O103" i="30" s="1"/>
  <c r="L103" i="30"/>
  <c r="K103" i="30"/>
  <c r="H103" i="30"/>
  <c r="I103" i="30" s="1"/>
  <c r="F103" i="30"/>
  <c r="E103" i="30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L99" i="30"/>
  <c r="K99" i="30"/>
  <c r="H99" i="30"/>
  <c r="I99" i="30" s="1"/>
  <c r="F99" i="30"/>
  <c r="E99" i="30"/>
  <c r="N98" i="30"/>
  <c r="N118" i="30" s="1"/>
  <c r="K98" i="30"/>
  <c r="K118" i="30" s="1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K90" i="30"/>
  <c r="L90" i="30" s="1"/>
  <c r="H90" i="30"/>
  <c r="I90" i="30" s="1"/>
  <c r="F90" i="30"/>
  <c r="E90" i="30"/>
  <c r="N89" i="30"/>
  <c r="O89" i="30" s="1"/>
  <c r="K89" i="30"/>
  <c r="L89" i="30" s="1"/>
  <c r="H89" i="30"/>
  <c r="I89" i="30" s="1"/>
  <c r="F89" i="30"/>
  <c r="E89" i="30"/>
  <c r="N88" i="30"/>
  <c r="O88" i="30" s="1"/>
  <c r="L88" i="30"/>
  <c r="K88" i="30"/>
  <c r="H88" i="30"/>
  <c r="I88" i="30" s="1"/>
  <c r="F88" i="30"/>
  <c r="E88" i="30"/>
  <c r="O87" i="30"/>
  <c r="N87" i="30"/>
  <c r="K87" i="30"/>
  <c r="L87" i="30" s="1"/>
  <c r="H87" i="30"/>
  <c r="I87" i="30" s="1"/>
  <c r="F87" i="30"/>
  <c r="E87" i="30"/>
  <c r="N86" i="30"/>
  <c r="O86" i="30" s="1"/>
  <c r="K86" i="30"/>
  <c r="L86" i="30" s="1"/>
  <c r="H86" i="30"/>
  <c r="I86" i="30" s="1"/>
  <c r="F86" i="30"/>
  <c r="E86" i="30"/>
  <c r="O85" i="30"/>
  <c r="N85" i="30"/>
  <c r="K85" i="30"/>
  <c r="L85" i="30" s="1"/>
  <c r="H85" i="30"/>
  <c r="I85" i="30" s="1"/>
  <c r="F85" i="30"/>
  <c r="E85" i="30"/>
  <c r="N84" i="30"/>
  <c r="O84" i="30" s="1"/>
  <c r="L84" i="30"/>
  <c r="K84" i="30"/>
  <c r="H84" i="30"/>
  <c r="I84" i="30" s="1"/>
  <c r="F84" i="30"/>
  <c r="E84" i="30"/>
  <c r="N83" i="30"/>
  <c r="O83" i="30" s="1"/>
  <c r="K83" i="30"/>
  <c r="L83" i="30" s="1"/>
  <c r="H83" i="30"/>
  <c r="I83" i="30" s="1"/>
  <c r="F83" i="30"/>
  <c r="E83" i="30"/>
  <c r="N82" i="30"/>
  <c r="O82" i="30" s="1"/>
  <c r="K82" i="30"/>
  <c r="L82" i="30" s="1"/>
  <c r="H82" i="30"/>
  <c r="I82" i="30" s="1"/>
  <c r="F82" i="30"/>
  <c r="E82" i="30"/>
  <c r="N81" i="30"/>
  <c r="O81" i="30" s="1"/>
  <c r="K81" i="30"/>
  <c r="L81" i="30" s="1"/>
  <c r="H81" i="30"/>
  <c r="I81" i="30" s="1"/>
  <c r="F81" i="30"/>
  <c r="E81" i="30"/>
  <c r="N80" i="30"/>
  <c r="O80" i="30" s="1"/>
  <c r="L80" i="30"/>
  <c r="K80" i="30"/>
  <c r="H80" i="30"/>
  <c r="I80" i="30" s="1"/>
  <c r="F80" i="30"/>
  <c r="E80" i="30"/>
  <c r="N79" i="30"/>
  <c r="O79" i="30" s="1"/>
  <c r="K79" i="30"/>
  <c r="L79" i="30" s="1"/>
  <c r="I79" i="30"/>
  <c r="H79" i="30"/>
  <c r="F79" i="30"/>
  <c r="E79" i="30"/>
  <c r="N78" i="30"/>
  <c r="O78" i="30" s="1"/>
  <c r="K78" i="30"/>
  <c r="L78" i="30" s="1"/>
  <c r="I78" i="30"/>
  <c r="H78" i="30"/>
  <c r="F78" i="30"/>
  <c r="E78" i="30"/>
  <c r="O77" i="30"/>
  <c r="N77" i="30"/>
  <c r="K77" i="30"/>
  <c r="L77" i="30" s="1"/>
  <c r="I77" i="30"/>
  <c r="H77" i="30"/>
  <c r="F77" i="30"/>
  <c r="E77" i="30"/>
  <c r="N76" i="30"/>
  <c r="O76" i="30" s="1"/>
  <c r="K76" i="30"/>
  <c r="L76" i="30" s="1"/>
  <c r="I76" i="30"/>
  <c r="H76" i="30"/>
  <c r="F76" i="30"/>
  <c r="E76" i="30"/>
  <c r="N75" i="30"/>
  <c r="O75" i="30" s="1"/>
  <c r="K75" i="30"/>
  <c r="L75" i="30" s="1"/>
  <c r="I75" i="30"/>
  <c r="H75" i="30"/>
  <c r="F75" i="30"/>
  <c r="E75" i="30"/>
  <c r="N74" i="30"/>
  <c r="O74" i="30" s="1"/>
  <c r="K74" i="30"/>
  <c r="L74" i="30" s="1"/>
  <c r="I74" i="30"/>
  <c r="H74" i="30"/>
  <c r="F74" i="30"/>
  <c r="E74" i="30"/>
  <c r="O73" i="30"/>
  <c r="N73" i="30"/>
  <c r="K73" i="30"/>
  <c r="L73" i="30" s="1"/>
  <c r="I73" i="30"/>
  <c r="H73" i="30"/>
  <c r="F73" i="30"/>
  <c r="E73" i="30"/>
  <c r="N72" i="30"/>
  <c r="O72" i="30" s="1"/>
  <c r="K72" i="30"/>
  <c r="L72" i="30" s="1"/>
  <c r="I72" i="30"/>
  <c r="H72" i="30"/>
  <c r="F72" i="30"/>
  <c r="E72" i="30"/>
  <c r="N71" i="30"/>
  <c r="K71" i="30"/>
  <c r="K91" i="30" s="1"/>
  <c r="H71" i="30"/>
  <c r="H91" i="30" s="1"/>
  <c r="F71" i="30"/>
  <c r="F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F63" i="30"/>
  <c r="E63" i="30"/>
  <c r="N62" i="30"/>
  <c r="O62" i="30" s="1"/>
  <c r="K62" i="30"/>
  <c r="L62" i="30" s="1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N59" i="30"/>
  <c r="O59" i="30" s="1"/>
  <c r="K59" i="30"/>
  <c r="L59" i="30" s="1"/>
  <c r="H59" i="30"/>
  <c r="I59" i="30" s="1"/>
  <c r="F59" i="30"/>
  <c r="E59" i="30"/>
  <c r="N58" i="30"/>
  <c r="O58" i="30" s="1"/>
  <c r="K58" i="30"/>
  <c r="L58" i="30" s="1"/>
  <c r="H58" i="30"/>
  <c r="I58" i="30" s="1"/>
  <c r="F58" i="30"/>
  <c r="E58" i="30"/>
  <c r="O57" i="30"/>
  <c r="N57" i="30"/>
  <c r="L57" i="30"/>
  <c r="K57" i="30"/>
  <c r="H57" i="30"/>
  <c r="I57" i="30" s="1"/>
  <c r="F57" i="30"/>
  <c r="E57" i="30"/>
  <c r="O56" i="30"/>
  <c r="N56" i="30"/>
  <c r="K56" i="30"/>
  <c r="L56" i="30" s="1"/>
  <c r="H56" i="30"/>
  <c r="I56" i="30" s="1"/>
  <c r="F56" i="30"/>
  <c r="E56" i="30"/>
  <c r="N55" i="30"/>
  <c r="O55" i="30" s="1"/>
  <c r="K55" i="30"/>
  <c r="L55" i="30" s="1"/>
  <c r="H55" i="30"/>
  <c r="I55" i="30" s="1"/>
  <c r="F55" i="30"/>
  <c r="E55" i="30"/>
  <c r="O54" i="30"/>
  <c r="N54" i="30"/>
  <c r="K54" i="30"/>
  <c r="L54" i="30" s="1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K51" i="30"/>
  <c r="L51" i="30" s="1"/>
  <c r="H51" i="30"/>
  <c r="I51" i="30" s="1"/>
  <c r="F51" i="30"/>
  <c r="E51" i="30"/>
  <c r="N50" i="30"/>
  <c r="O50" i="30" s="1"/>
  <c r="K50" i="30"/>
  <c r="L50" i="30" s="1"/>
  <c r="H50" i="30"/>
  <c r="I50" i="30" s="1"/>
  <c r="F50" i="30"/>
  <c r="E50" i="30"/>
  <c r="N49" i="30"/>
  <c r="O49" i="30" s="1"/>
  <c r="L49" i="30"/>
  <c r="K49" i="30"/>
  <c r="H49" i="30"/>
  <c r="I49" i="30" s="1"/>
  <c r="F49" i="30"/>
  <c r="E49" i="30"/>
  <c r="N48" i="30"/>
  <c r="O48" i="30" s="1"/>
  <c r="K48" i="30"/>
  <c r="L48" i="30" s="1"/>
  <c r="H48" i="30"/>
  <c r="I48" i="30" s="1"/>
  <c r="F48" i="30"/>
  <c r="E48" i="30"/>
  <c r="O47" i="30"/>
  <c r="N47" i="30"/>
  <c r="K47" i="30"/>
  <c r="L47" i="30" s="1"/>
  <c r="H47" i="30"/>
  <c r="I47" i="30" s="1"/>
  <c r="F47" i="30"/>
  <c r="E47" i="30"/>
  <c r="N46" i="30"/>
  <c r="O46" i="30" s="1"/>
  <c r="K46" i="30"/>
  <c r="L46" i="30" s="1"/>
  <c r="H46" i="30"/>
  <c r="I46" i="30" s="1"/>
  <c r="F46" i="30"/>
  <c r="E46" i="30"/>
  <c r="O45" i="30"/>
  <c r="N45" i="30"/>
  <c r="L45" i="30"/>
  <c r="K45" i="30"/>
  <c r="H45" i="30"/>
  <c r="I45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O157" i="29"/>
  <c r="N157" i="29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O142" i="29"/>
  <c r="N142" i="29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K135" i="29"/>
  <c r="L135" i="29" s="1"/>
  <c r="H135" i="29"/>
  <c r="I135" i="29" s="1"/>
  <c r="F135" i="29"/>
  <c r="E135" i="29"/>
  <c r="N134" i="29"/>
  <c r="O134" i="29" s="1"/>
  <c r="K134" i="29"/>
  <c r="L134" i="29" s="1"/>
  <c r="H134" i="29"/>
  <c r="I134" i="29" s="1"/>
  <c r="F134" i="29"/>
  <c r="E134" i="29"/>
  <c r="O133" i="29"/>
  <c r="N133" i="29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N131" i="29"/>
  <c r="O131" i="29" s="1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O129" i="29"/>
  <c r="N129" i="29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N114" i="29"/>
  <c r="O114" i="29" s="1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O112" i="29"/>
  <c r="N112" i="29"/>
  <c r="K112" i="29"/>
  <c r="L112" i="29" s="1"/>
  <c r="H112" i="29"/>
  <c r="I112" i="29" s="1"/>
  <c r="F112" i="29"/>
  <c r="E112" i="29"/>
  <c r="N111" i="29"/>
  <c r="O111" i="29" s="1"/>
  <c r="K111" i="29"/>
  <c r="L111" i="29" s="1"/>
  <c r="H111" i="29"/>
  <c r="I111" i="29" s="1"/>
  <c r="F111" i="29"/>
  <c r="E111" i="29"/>
  <c r="O110" i="29"/>
  <c r="N110" i="29"/>
  <c r="K110" i="29"/>
  <c r="L110" i="29" s="1"/>
  <c r="H110" i="29"/>
  <c r="I110" i="29" s="1"/>
  <c r="F110" i="29"/>
  <c r="E110" i="29"/>
  <c r="N109" i="29"/>
  <c r="O109" i="29" s="1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K107" i="29"/>
  <c r="L107" i="29" s="1"/>
  <c r="H107" i="29"/>
  <c r="I107" i="29" s="1"/>
  <c r="F107" i="29"/>
  <c r="E107" i="29"/>
  <c r="N106" i="29"/>
  <c r="O106" i="29" s="1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O103" i="29"/>
  <c r="N103" i="29"/>
  <c r="K103" i="29"/>
  <c r="L103" i="29" s="1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F99" i="29"/>
  <c r="E99" i="29"/>
  <c r="N98" i="29"/>
  <c r="N118" i="29" s="1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O89" i="29"/>
  <c r="N89" i="29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O87" i="29"/>
  <c r="N87" i="29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L56" i="29"/>
  <c r="K56" i="29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N54" i="29"/>
  <c r="O54" i="29" s="1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N52" i="29"/>
  <c r="O52" i="29" s="1"/>
  <c r="L52" i="29"/>
  <c r="K52" i="29"/>
  <c r="H52" i="29"/>
  <c r="I52" i="29" s="1"/>
  <c r="F52" i="29"/>
  <c r="E52" i="29"/>
  <c r="O51" i="29"/>
  <c r="N51" i="29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K45" i="29"/>
  <c r="L45" i="29" s="1"/>
  <c r="H45" i="29"/>
  <c r="I45" i="29" s="1"/>
  <c r="F45" i="29"/>
  <c r="E45" i="29"/>
  <c r="O44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L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N81" i="28"/>
  <c r="O81" i="28" s="1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N79" i="28"/>
  <c r="O79" i="28" s="1"/>
  <c r="K79" i="28"/>
  <c r="L79" i="28" s="1"/>
  <c r="I79" i="28"/>
  <c r="H79" i="28"/>
  <c r="F79" i="28"/>
  <c r="E79" i="28"/>
  <c r="N78" i="28"/>
  <c r="O78" i="28" s="1"/>
  <c r="K78" i="28"/>
  <c r="L78" i="28" s="1"/>
  <c r="I78" i="28"/>
  <c r="H78" i="28"/>
  <c r="F78" i="28"/>
  <c r="E78" i="28"/>
  <c r="N77" i="28"/>
  <c r="O77" i="28" s="1"/>
  <c r="K77" i="28"/>
  <c r="L77" i="28" s="1"/>
  <c r="I77" i="28"/>
  <c r="H77" i="28"/>
  <c r="F77" i="28"/>
  <c r="E77" i="28"/>
  <c r="O76" i="28"/>
  <c r="N76" i="28"/>
  <c r="K76" i="28"/>
  <c r="L76" i="28" s="1"/>
  <c r="I76" i="28"/>
  <c r="H76" i="28"/>
  <c r="F76" i="28"/>
  <c r="E76" i="28"/>
  <c r="N75" i="28"/>
  <c r="O75" i="28" s="1"/>
  <c r="K75" i="28"/>
  <c r="L75" i="28" s="1"/>
  <c r="I75" i="28"/>
  <c r="H75" i="28"/>
  <c r="F75" i="28"/>
  <c r="E75" i="28"/>
  <c r="N74" i="28"/>
  <c r="O74" i="28" s="1"/>
  <c r="K74" i="28"/>
  <c r="L74" i="28" s="1"/>
  <c r="I74" i="28"/>
  <c r="H74" i="28"/>
  <c r="F74" i="28"/>
  <c r="E74" i="28"/>
  <c r="N73" i="28"/>
  <c r="O73" i="28" s="1"/>
  <c r="K73" i="28"/>
  <c r="L73" i="28" s="1"/>
  <c r="I73" i="28"/>
  <c r="H73" i="28"/>
  <c r="F73" i="28"/>
  <c r="E73" i="28"/>
  <c r="O72" i="28"/>
  <c r="N72" i="28"/>
  <c r="K72" i="28"/>
  <c r="L72" i="28" s="1"/>
  <c r="I72" i="28"/>
  <c r="H72" i="28"/>
  <c r="F72" i="28"/>
  <c r="E72" i="28"/>
  <c r="N71" i="28"/>
  <c r="N91" i="28" s="1"/>
  <c r="K71" i="28"/>
  <c r="I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N62" i="28"/>
  <c r="O62" i="28" s="1"/>
  <c r="L62" i="28"/>
  <c r="K62" i="28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H57" i="28"/>
  <c r="I57" i="28" s="1"/>
  <c r="F57" i="28"/>
  <c r="E57" i="28"/>
  <c r="O56" i="28"/>
  <c r="N56" i="28"/>
  <c r="K56" i="28"/>
  <c r="L56" i="28" s="1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N54" i="28"/>
  <c r="O54" i="28" s="1"/>
  <c r="L54" i="28"/>
  <c r="K54" i="28"/>
  <c r="H54" i="28"/>
  <c r="I54" i="28" s="1"/>
  <c r="F54" i="28"/>
  <c r="E54" i="28"/>
  <c r="O53" i="28"/>
  <c r="N53" i="28"/>
  <c r="K53" i="28"/>
  <c r="L53" i="28" s="1"/>
  <c r="H53" i="28"/>
  <c r="I53" i="28" s="1"/>
  <c r="F53" i="28"/>
  <c r="E53" i="28"/>
  <c r="N52" i="28"/>
  <c r="O52" i="28" s="1"/>
  <c r="K52" i="28"/>
  <c r="L52" i="28" s="1"/>
  <c r="H52" i="28"/>
  <c r="I52" i="28" s="1"/>
  <c r="F52" i="28"/>
  <c r="E52" i="28"/>
  <c r="O51" i="28"/>
  <c r="N51" i="28"/>
  <c r="L51" i="28"/>
  <c r="K51" i="28"/>
  <c r="H51" i="28"/>
  <c r="I51" i="28" s="1"/>
  <c r="F51" i="28"/>
  <c r="E51" i="28"/>
  <c r="N50" i="28"/>
  <c r="O50" i="28" s="1"/>
  <c r="L50" i="28"/>
  <c r="K50" i="28"/>
  <c r="H50" i="28"/>
  <c r="I50" i="28" s="1"/>
  <c r="F50" i="28"/>
  <c r="E50" i="28"/>
  <c r="N49" i="28"/>
  <c r="O49" i="28" s="1"/>
  <c r="K49" i="28"/>
  <c r="L49" i="28" s="1"/>
  <c r="H49" i="28"/>
  <c r="I49" i="28" s="1"/>
  <c r="F49" i="28"/>
  <c r="E49" i="28"/>
  <c r="O48" i="28"/>
  <c r="N48" i="28"/>
  <c r="K48" i="28"/>
  <c r="L48" i="28" s="1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L46" i="28"/>
  <c r="K46" i="28"/>
  <c r="H46" i="28"/>
  <c r="I46" i="28" s="1"/>
  <c r="F46" i="28"/>
  <c r="E46" i="28"/>
  <c r="O45" i="28"/>
  <c r="N45" i="28"/>
  <c r="K45" i="28"/>
  <c r="L45" i="28" s="1"/>
  <c r="H45" i="28"/>
  <c r="I45" i="28" s="1"/>
  <c r="F45" i="28"/>
  <c r="E45" i="28"/>
  <c r="N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E171" i="27"/>
  <c r="F171" i="27" s="1"/>
  <c r="O170" i="27"/>
  <c r="N170" i="27"/>
  <c r="K170" i="27"/>
  <c r="L170" i="27" s="1"/>
  <c r="H170" i="27"/>
  <c r="I170" i="27" s="1"/>
  <c r="E170" i="27"/>
  <c r="F170" i="27" s="1"/>
  <c r="N169" i="27"/>
  <c r="O169" i="27" s="1"/>
  <c r="L169" i="27"/>
  <c r="K169" i="27"/>
  <c r="H169" i="27"/>
  <c r="I169" i="27" s="1"/>
  <c r="E169" i="27"/>
  <c r="F169" i="27" s="1"/>
  <c r="N168" i="27"/>
  <c r="O168" i="27" s="1"/>
  <c r="K168" i="27"/>
  <c r="L168" i="27" s="1"/>
  <c r="I168" i="27"/>
  <c r="H168" i="27"/>
  <c r="E168" i="27"/>
  <c r="F168" i="27" s="1"/>
  <c r="N167" i="27"/>
  <c r="O167" i="27" s="1"/>
  <c r="K167" i="27"/>
  <c r="L167" i="27" s="1"/>
  <c r="H167" i="27"/>
  <c r="I167" i="27" s="1"/>
  <c r="E167" i="27"/>
  <c r="F167" i="27" s="1"/>
  <c r="O166" i="27"/>
  <c r="N166" i="27"/>
  <c r="K166" i="27"/>
  <c r="L166" i="27" s="1"/>
  <c r="H166" i="27"/>
  <c r="I166" i="27" s="1"/>
  <c r="E166" i="27"/>
  <c r="F166" i="27" s="1"/>
  <c r="N165" i="27"/>
  <c r="O165" i="27" s="1"/>
  <c r="K165" i="27"/>
  <c r="L165" i="27" s="1"/>
  <c r="H165" i="27"/>
  <c r="I165" i="27" s="1"/>
  <c r="E165" i="27"/>
  <c r="F165" i="27" s="1"/>
  <c r="O164" i="27"/>
  <c r="N164" i="27"/>
  <c r="K164" i="27"/>
  <c r="L164" i="27" s="1"/>
  <c r="I164" i="27"/>
  <c r="H164" i="27"/>
  <c r="E164" i="27"/>
  <c r="F164" i="27" s="1"/>
  <c r="O163" i="27"/>
  <c r="N163" i="27"/>
  <c r="K163" i="27"/>
  <c r="L163" i="27" s="1"/>
  <c r="H163" i="27"/>
  <c r="I163" i="27" s="1"/>
  <c r="E163" i="27"/>
  <c r="F163" i="27" s="1"/>
  <c r="N162" i="27"/>
  <c r="O162" i="27" s="1"/>
  <c r="L162" i="27"/>
  <c r="K162" i="27"/>
  <c r="H162" i="27"/>
  <c r="I162" i="27" s="1"/>
  <c r="E162" i="27"/>
  <c r="F162" i="27" s="1"/>
  <c r="N161" i="27"/>
  <c r="O161" i="27" s="1"/>
  <c r="K161" i="27"/>
  <c r="L161" i="27" s="1"/>
  <c r="H161" i="27"/>
  <c r="I161" i="27" s="1"/>
  <c r="E161" i="27"/>
  <c r="F161" i="27" s="1"/>
  <c r="O160" i="27"/>
  <c r="N160" i="27"/>
  <c r="L160" i="27"/>
  <c r="K160" i="27"/>
  <c r="I160" i="27"/>
  <c r="H160" i="27"/>
  <c r="E160" i="27"/>
  <c r="F160" i="27" s="1"/>
  <c r="N159" i="27"/>
  <c r="O159" i="27" s="1"/>
  <c r="K159" i="27"/>
  <c r="L159" i="27" s="1"/>
  <c r="H159" i="27"/>
  <c r="I159" i="27" s="1"/>
  <c r="E159" i="27"/>
  <c r="F159" i="27" s="1"/>
  <c r="O158" i="27"/>
  <c r="N158" i="27"/>
  <c r="L158" i="27"/>
  <c r="K158" i="27"/>
  <c r="H158" i="27"/>
  <c r="I158" i="27" s="1"/>
  <c r="E158" i="27"/>
  <c r="F158" i="27" s="1"/>
  <c r="O157" i="27"/>
  <c r="N157" i="27"/>
  <c r="K157" i="27"/>
  <c r="L157" i="27" s="1"/>
  <c r="H157" i="27"/>
  <c r="I157" i="27" s="1"/>
  <c r="E157" i="27"/>
  <c r="F157" i="27" s="1"/>
  <c r="N156" i="27"/>
  <c r="O156" i="27" s="1"/>
  <c r="L156" i="27"/>
  <c r="K156" i="27"/>
  <c r="I156" i="27"/>
  <c r="H156" i="27"/>
  <c r="E156" i="27"/>
  <c r="F156" i="27" s="1"/>
  <c r="O155" i="27"/>
  <c r="N155" i="27"/>
  <c r="L155" i="27"/>
  <c r="K155" i="27"/>
  <c r="H155" i="27"/>
  <c r="I155" i="27" s="1"/>
  <c r="E155" i="27"/>
  <c r="F155" i="27" s="1"/>
  <c r="O154" i="27"/>
  <c r="N154" i="27"/>
  <c r="K154" i="27"/>
  <c r="L154" i="27" s="1"/>
  <c r="H154" i="27"/>
  <c r="I154" i="27" s="1"/>
  <c r="E154" i="27"/>
  <c r="F154" i="27" s="1"/>
  <c r="N153" i="27"/>
  <c r="O153" i="27" s="1"/>
  <c r="L153" i="27"/>
  <c r="K153" i="27"/>
  <c r="H153" i="27"/>
  <c r="I153" i="27" s="1"/>
  <c r="E153" i="27"/>
  <c r="F153" i="27" s="1"/>
  <c r="N152" i="27"/>
  <c r="K152" i="27"/>
  <c r="I152" i="27"/>
  <c r="I172" i="27" s="1"/>
  <c r="H152" i="27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K143" i="27"/>
  <c r="L143" i="27" s="1"/>
  <c r="H143" i="27"/>
  <c r="I143" i="27" s="1"/>
  <c r="E143" i="27"/>
  <c r="F143" i="27" s="1"/>
  <c r="N142" i="27"/>
  <c r="O142" i="27" s="1"/>
  <c r="K142" i="27"/>
  <c r="L142" i="27" s="1"/>
  <c r="H142" i="27"/>
  <c r="I142" i="27" s="1"/>
  <c r="E142" i="27"/>
  <c r="F142" i="27" s="1"/>
  <c r="O141" i="27"/>
  <c r="N141" i="27"/>
  <c r="K141" i="27"/>
  <c r="L141" i="27" s="1"/>
  <c r="I141" i="27"/>
  <c r="H141" i="27"/>
  <c r="E141" i="27"/>
  <c r="F141" i="27" s="1"/>
  <c r="O140" i="27"/>
  <c r="N140" i="27"/>
  <c r="K140" i="27"/>
  <c r="L140" i="27" s="1"/>
  <c r="H140" i="27"/>
  <c r="I140" i="27" s="1"/>
  <c r="E140" i="27"/>
  <c r="F140" i="27" s="1"/>
  <c r="N139" i="27"/>
  <c r="O139" i="27" s="1"/>
  <c r="L139" i="27"/>
  <c r="K139" i="27"/>
  <c r="H139" i="27"/>
  <c r="I139" i="27" s="1"/>
  <c r="E139" i="27"/>
  <c r="F139" i="27" s="1"/>
  <c r="N138" i="27"/>
  <c r="O138" i="27" s="1"/>
  <c r="K138" i="27"/>
  <c r="L138" i="27" s="1"/>
  <c r="H138" i="27"/>
  <c r="I138" i="27" s="1"/>
  <c r="E138" i="27"/>
  <c r="F138" i="27" s="1"/>
  <c r="O137" i="27"/>
  <c r="N137" i="27"/>
  <c r="L137" i="27"/>
  <c r="K137" i="27"/>
  <c r="I137" i="27"/>
  <c r="H137" i="27"/>
  <c r="E137" i="27"/>
  <c r="F137" i="27" s="1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N134" i="27"/>
  <c r="O134" i="27" s="1"/>
  <c r="K134" i="27"/>
  <c r="L134" i="27" s="1"/>
  <c r="H134" i="27"/>
  <c r="I134" i="27" s="1"/>
  <c r="F134" i="27"/>
  <c r="E134" i="27"/>
  <c r="N133" i="27"/>
  <c r="O133" i="27" s="1"/>
  <c r="L133" i="27"/>
  <c r="K133" i="27"/>
  <c r="H133" i="27"/>
  <c r="I133" i="27" s="1"/>
  <c r="F133" i="27"/>
  <c r="E133" i="27"/>
  <c r="O132" i="27"/>
  <c r="N132" i="27"/>
  <c r="K132" i="27"/>
  <c r="L132" i="27" s="1"/>
  <c r="H132" i="27"/>
  <c r="I132" i="27" s="1"/>
  <c r="F132" i="27"/>
  <c r="E132" i="27"/>
  <c r="O131" i="27"/>
  <c r="N131" i="27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O129" i="27"/>
  <c r="N129" i="27"/>
  <c r="L129" i="27"/>
  <c r="K129" i="27"/>
  <c r="H129" i="27"/>
  <c r="I129" i="27" s="1"/>
  <c r="F129" i="27"/>
  <c r="E129" i="27"/>
  <c r="N128" i="27"/>
  <c r="O128" i="27" s="1"/>
  <c r="K128" i="27"/>
  <c r="L128" i="27" s="1"/>
  <c r="H128" i="27"/>
  <c r="I128" i="27" s="1"/>
  <c r="E128" i="27"/>
  <c r="F128" i="27" s="1"/>
  <c r="O127" i="27"/>
  <c r="N127" i="27"/>
  <c r="K127" i="27"/>
  <c r="L127" i="27" s="1"/>
  <c r="H127" i="27"/>
  <c r="I127" i="27" s="1"/>
  <c r="F127" i="27"/>
  <c r="E127" i="27"/>
  <c r="O126" i="27"/>
  <c r="N126" i="27"/>
  <c r="L126" i="27"/>
  <c r="K126" i="27"/>
  <c r="H126" i="27"/>
  <c r="I126" i="27" s="1"/>
  <c r="E126" i="27"/>
  <c r="F126" i="27" s="1"/>
  <c r="O125" i="27"/>
  <c r="N125" i="27"/>
  <c r="K125" i="27"/>
  <c r="H125" i="27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L115" i="27"/>
  <c r="K115" i="27"/>
  <c r="H115" i="27"/>
  <c r="I115" i="27" s="1"/>
  <c r="E115" i="27"/>
  <c r="F115" i="27" s="1"/>
  <c r="O114" i="27"/>
  <c r="N114" i="27"/>
  <c r="K114" i="27"/>
  <c r="L114" i="27" s="1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L112" i="27"/>
  <c r="K112" i="27"/>
  <c r="H112" i="27"/>
  <c r="I112" i="27" s="1"/>
  <c r="E112" i="27"/>
  <c r="F112" i="27" s="1"/>
  <c r="N111" i="27"/>
  <c r="O111" i="27" s="1"/>
  <c r="K111" i="27"/>
  <c r="L111" i="27" s="1"/>
  <c r="H111" i="27"/>
  <c r="I111" i="27" s="1"/>
  <c r="E111" i="27"/>
  <c r="F111" i="27" s="1"/>
  <c r="O110" i="27"/>
  <c r="N110" i="27"/>
  <c r="L110" i="27"/>
  <c r="K110" i="27"/>
  <c r="H110" i="27"/>
  <c r="I110" i="27" s="1"/>
  <c r="E110" i="27"/>
  <c r="F110" i="27" s="1"/>
  <c r="N109" i="27"/>
  <c r="O109" i="27" s="1"/>
  <c r="K109" i="27"/>
  <c r="L109" i="27" s="1"/>
  <c r="I109" i="27"/>
  <c r="H109" i="27"/>
  <c r="E109" i="27"/>
  <c r="F109" i="27" s="1"/>
  <c r="O108" i="27"/>
  <c r="N108" i="27"/>
  <c r="K108" i="27"/>
  <c r="L108" i="27" s="1"/>
  <c r="H108" i="27"/>
  <c r="I108" i="27" s="1"/>
  <c r="E108" i="27"/>
  <c r="F108" i="27" s="1"/>
  <c r="N107" i="27"/>
  <c r="O107" i="27" s="1"/>
  <c r="K107" i="27"/>
  <c r="L107" i="27" s="1"/>
  <c r="H107" i="27"/>
  <c r="I107" i="27" s="1"/>
  <c r="E107" i="27"/>
  <c r="F107" i="27" s="1"/>
  <c r="N106" i="27"/>
  <c r="O106" i="27" s="1"/>
  <c r="K106" i="27"/>
  <c r="L106" i="27" s="1"/>
  <c r="H106" i="27"/>
  <c r="I106" i="27" s="1"/>
  <c r="E106" i="27"/>
  <c r="F106" i="27" s="1"/>
  <c r="N105" i="27"/>
  <c r="O105" i="27" s="1"/>
  <c r="K105" i="27"/>
  <c r="L105" i="27" s="1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L103" i="27"/>
  <c r="K103" i="27"/>
  <c r="H103" i="27"/>
  <c r="I103" i="27" s="1"/>
  <c r="E103" i="27"/>
  <c r="F103" i="27" s="1"/>
  <c r="O102" i="27"/>
  <c r="N102" i="27"/>
  <c r="K102" i="27"/>
  <c r="L102" i="27" s="1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O100" i="27"/>
  <c r="N100" i="27"/>
  <c r="K100" i="27"/>
  <c r="L100" i="27" s="1"/>
  <c r="H100" i="27"/>
  <c r="I100" i="27" s="1"/>
  <c r="E100" i="27"/>
  <c r="F100" i="27" s="1"/>
  <c r="N99" i="27"/>
  <c r="O99" i="27" s="1"/>
  <c r="K99" i="27"/>
  <c r="L99" i="27" s="1"/>
  <c r="H99" i="27"/>
  <c r="I99" i="27" s="1"/>
  <c r="E99" i="27"/>
  <c r="F99" i="27" s="1"/>
  <c r="N98" i="27"/>
  <c r="K98" i="27"/>
  <c r="K118" i="27" s="1"/>
  <c r="H98" i="27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L89" i="27"/>
  <c r="K89" i="27"/>
  <c r="H89" i="27"/>
  <c r="I89" i="27" s="1"/>
  <c r="E89" i="27"/>
  <c r="F89" i="27" s="1"/>
  <c r="N88" i="27"/>
  <c r="O88" i="27" s="1"/>
  <c r="L88" i="27"/>
  <c r="K88" i="27"/>
  <c r="H88" i="27"/>
  <c r="I88" i="27" s="1"/>
  <c r="E88" i="27"/>
  <c r="F88" i="27" s="1"/>
  <c r="N87" i="27"/>
  <c r="O87" i="27" s="1"/>
  <c r="L87" i="27"/>
  <c r="K87" i="27"/>
  <c r="H87" i="27"/>
  <c r="I87" i="27" s="1"/>
  <c r="F87" i="27"/>
  <c r="E87" i="27"/>
  <c r="O86" i="27"/>
  <c r="N86" i="27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O84" i="27"/>
  <c r="N84" i="27"/>
  <c r="K84" i="27"/>
  <c r="L84" i="27" s="1"/>
  <c r="H84" i="27"/>
  <c r="I84" i="27" s="1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F81" i="27"/>
  <c r="E81" i="27"/>
  <c r="N80" i="27"/>
  <c r="O80" i="27" s="1"/>
  <c r="K80" i="27"/>
  <c r="L80" i="27" s="1"/>
  <c r="H80" i="27"/>
  <c r="I80" i="27" s="1"/>
  <c r="E80" i="27"/>
  <c r="F80" i="27" s="1"/>
  <c r="O79" i="27"/>
  <c r="N79" i="27"/>
  <c r="K79" i="27"/>
  <c r="L79" i="27" s="1"/>
  <c r="H79" i="27"/>
  <c r="I79" i="27" s="1"/>
  <c r="E79" i="27"/>
  <c r="F79" i="27" s="1"/>
  <c r="O78" i="27"/>
  <c r="N78" i="27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O76" i="27"/>
  <c r="N76" i="27"/>
  <c r="L76" i="27"/>
  <c r="K76" i="27"/>
  <c r="H76" i="27"/>
  <c r="I76" i="27" s="1"/>
  <c r="E76" i="27"/>
  <c r="F76" i="27" s="1"/>
  <c r="N75" i="27"/>
  <c r="O75" i="27" s="1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N73" i="27"/>
  <c r="O73" i="27" s="1"/>
  <c r="K73" i="27"/>
  <c r="L73" i="27" s="1"/>
  <c r="H73" i="27"/>
  <c r="I73" i="27" s="1"/>
  <c r="E73" i="27"/>
  <c r="F73" i="27" s="1"/>
  <c r="N72" i="27"/>
  <c r="O72" i="27" s="1"/>
  <c r="L72" i="27"/>
  <c r="K72" i="27"/>
  <c r="H72" i="27"/>
  <c r="I72" i="27" s="1"/>
  <c r="E72" i="27"/>
  <c r="F72" i="27" s="1"/>
  <c r="N71" i="27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I63" i="27"/>
  <c r="H63" i="27"/>
  <c r="E63" i="27"/>
  <c r="F63" i="27" s="1"/>
  <c r="O62" i="27"/>
  <c r="N62" i="27"/>
  <c r="L62" i="27"/>
  <c r="K62" i="27"/>
  <c r="H62" i="27"/>
  <c r="I62" i="27" s="1"/>
  <c r="E62" i="27"/>
  <c r="F62" i="27" s="1"/>
  <c r="N61" i="27"/>
  <c r="O61" i="27" s="1"/>
  <c r="L61" i="27"/>
  <c r="K61" i="27"/>
  <c r="H61" i="27"/>
  <c r="I61" i="27" s="1"/>
  <c r="E61" i="27"/>
  <c r="F61" i="27" s="1"/>
  <c r="O60" i="27"/>
  <c r="N60" i="27"/>
  <c r="L60" i="27"/>
  <c r="K60" i="27"/>
  <c r="I60" i="27"/>
  <c r="H60" i="27"/>
  <c r="E60" i="27"/>
  <c r="F60" i="27" s="1"/>
  <c r="N59" i="27"/>
  <c r="O59" i="27" s="1"/>
  <c r="K59" i="27"/>
  <c r="L59" i="27" s="1"/>
  <c r="I59" i="27"/>
  <c r="H59" i="27"/>
  <c r="E59" i="27"/>
  <c r="F59" i="27" s="1"/>
  <c r="N58" i="27"/>
  <c r="O58" i="27" s="1"/>
  <c r="K58" i="27"/>
  <c r="L58" i="27" s="1"/>
  <c r="H58" i="27"/>
  <c r="I58" i="27" s="1"/>
  <c r="E58" i="27"/>
  <c r="F58" i="27" s="1"/>
  <c r="N57" i="27"/>
  <c r="O57" i="27" s="1"/>
  <c r="L57" i="27"/>
  <c r="K57" i="27"/>
  <c r="H57" i="27"/>
  <c r="I57" i="27" s="1"/>
  <c r="E57" i="27"/>
  <c r="F57" i="27" s="1"/>
  <c r="O56" i="27"/>
  <c r="N56" i="27"/>
  <c r="K56" i="27"/>
  <c r="L56" i="27" s="1"/>
  <c r="H56" i="27"/>
  <c r="I56" i="27" s="1"/>
  <c r="E56" i="27"/>
  <c r="F56" i="27" s="1"/>
  <c r="O55" i="27"/>
  <c r="N55" i="27"/>
  <c r="L55" i="27"/>
  <c r="K55" i="27"/>
  <c r="I55" i="27"/>
  <c r="H55" i="27"/>
  <c r="E55" i="27"/>
  <c r="F55" i="27" s="1"/>
  <c r="O54" i="27"/>
  <c r="N54" i="27"/>
  <c r="K54" i="27"/>
  <c r="L54" i="27" s="1"/>
  <c r="H54" i="27"/>
  <c r="I54" i="27" s="1"/>
  <c r="E54" i="27"/>
  <c r="F54" i="27" s="1"/>
  <c r="O53" i="27"/>
  <c r="N53" i="27"/>
  <c r="K53" i="27"/>
  <c r="L53" i="27" s="1"/>
  <c r="H53" i="27"/>
  <c r="I53" i="27" s="1"/>
  <c r="E53" i="27"/>
  <c r="F53" i="27" s="1"/>
  <c r="O52" i="27"/>
  <c r="N52" i="27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H49" i="27"/>
  <c r="I49" i="27" s="1"/>
  <c r="F49" i="27"/>
  <c r="E49" i="27"/>
  <c r="O48" i="27"/>
  <c r="N48" i="27"/>
  <c r="K48" i="27"/>
  <c r="L48" i="27" s="1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L46" i="27"/>
  <c r="K46" i="27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K44" i="27"/>
  <c r="H44" i="27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O193" i="26"/>
  <c r="N193" i="26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N172" i="26" s="1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N144" i="26"/>
  <c r="O144" i="26" s="1"/>
  <c r="L144" i="26"/>
  <c r="K144" i="26"/>
  <c r="H144" i="26"/>
  <c r="I144" i="26" s="1"/>
  <c r="F144" i="26"/>
  <c r="E144" i="26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O139" i="26"/>
  <c r="N139" i="26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O137" i="26"/>
  <c r="N137" i="26"/>
  <c r="K137" i="26"/>
  <c r="L137" i="26" s="1"/>
  <c r="H137" i="26"/>
  <c r="I137" i="26" s="1"/>
  <c r="F137" i="26"/>
  <c r="E137" i="26"/>
  <c r="N136" i="26"/>
  <c r="O136" i="26" s="1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O134" i="26"/>
  <c r="N134" i="26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O132" i="26"/>
  <c r="N132" i="26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O104" i="26"/>
  <c r="N104" i="26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L82" i="26"/>
  <c r="K82" i="26"/>
  <c r="H82" i="26"/>
  <c r="I82" i="26" s="1"/>
  <c r="F82" i="26"/>
  <c r="E82" i="26"/>
  <c r="O81" i="26"/>
  <c r="N81" i="26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N78" i="26"/>
  <c r="O78" i="26" s="1"/>
  <c r="L78" i="26"/>
  <c r="K78" i="26"/>
  <c r="H78" i="26"/>
  <c r="I78" i="26" s="1"/>
  <c r="F78" i="26"/>
  <c r="E78" i="26"/>
  <c r="O77" i="26"/>
  <c r="N77" i="26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K60" i="26"/>
  <c r="L60" i="26" s="1"/>
  <c r="H60" i="26"/>
  <c r="I60" i="26" s="1"/>
  <c r="F60" i="26"/>
  <c r="E60" i="26"/>
  <c r="O59" i="26"/>
  <c r="N59" i="26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L56" i="26"/>
  <c r="K56" i="26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N51" i="26"/>
  <c r="O51" i="26" s="1"/>
  <c r="L51" i="26"/>
  <c r="K51" i="26"/>
  <c r="H51" i="26"/>
  <c r="I51" i="26" s="1"/>
  <c r="F51" i="26"/>
  <c r="E51" i="26"/>
  <c r="O50" i="26"/>
  <c r="N50" i="26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O48" i="26"/>
  <c r="N48" i="26"/>
  <c r="K48" i="26"/>
  <c r="L48" i="26" s="1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N196" i="25"/>
  <c r="O196" i="25" s="1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O158" i="25"/>
  <c r="N158" i="25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O156" i="25"/>
  <c r="N156" i="25"/>
  <c r="K156" i="25"/>
  <c r="L156" i="25" s="1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O142" i="25"/>
  <c r="N142" i="25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K137" i="25"/>
  <c r="L137" i="25" s="1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K135" i="25"/>
  <c r="L135" i="25" s="1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K133" i="25"/>
  <c r="L133" i="25" s="1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O126" i="25"/>
  <c r="N126" i="25"/>
  <c r="K126" i="25"/>
  <c r="L126" i="25" s="1"/>
  <c r="H126" i="25"/>
  <c r="I126" i="25" s="1"/>
  <c r="F126" i="25"/>
  <c r="E126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K114" i="25"/>
  <c r="L114" i="25" s="1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K106" i="25"/>
  <c r="L106" i="25" s="1"/>
  <c r="H106" i="25"/>
  <c r="I106" i="25" s="1"/>
  <c r="F106" i="25"/>
  <c r="E106" i="25"/>
  <c r="N105" i="25"/>
  <c r="O105" i="25" s="1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O103" i="25"/>
  <c r="N103" i="25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O101" i="25"/>
  <c r="N101" i="25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N98" i="25"/>
  <c r="N118" i="25" s="1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O88" i="25"/>
  <c r="N88" i="25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O75" i="25"/>
  <c r="N75" i="25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O58" i="25"/>
  <c r="N58" i="25"/>
  <c r="K58" i="25"/>
  <c r="L58" i="25" s="1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O51" i="25"/>
  <c r="N51" i="25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N46" i="25"/>
  <c r="O46" i="25" s="1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8" i="24"/>
  <c r="N198" i="24"/>
  <c r="L198" i="24"/>
  <c r="K198" i="24"/>
  <c r="I198" i="24"/>
  <c r="H198" i="24"/>
  <c r="F198" i="24"/>
  <c r="E198" i="24"/>
  <c r="O197" i="24"/>
  <c r="N197" i="24"/>
  <c r="L197" i="24"/>
  <c r="K197" i="24"/>
  <c r="I197" i="24"/>
  <c r="H197" i="24"/>
  <c r="F197" i="24"/>
  <c r="E197" i="24"/>
  <c r="O196" i="24"/>
  <c r="N196" i="24"/>
  <c r="L196" i="24"/>
  <c r="K196" i="24"/>
  <c r="I196" i="24"/>
  <c r="H196" i="24"/>
  <c r="F196" i="24"/>
  <c r="E196" i="24"/>
  <c r="O195" i="24"/>
  <c r="N195" i="24"/>
  <c r="L195" i="24"/>
  <c r="K195" i="24"/>
  <c r="I195" i="24"/>
  <c r="H195" i="24"/>
  <c r="F195" i="24"/>
  <c r="E195" i="24"/>
  <c r="O194" i="24"/>
  <c r="N194" i="24"/>
  <c r="L194" i="24"/>
  <c r="K194" i="24"/>
  <c r="I194" i="24"/>
  <c r="H194" i="24"/>
  <c r="F194" i="24"/>
  <c r="E194" i="24"/>
  <c r="O193" i="24"/>
  <c r="N193" i="24"/>
  <c r="L193" i="24"/>
  <c r="K193" i="24"/>
  <c r="I193" i="24"/>
  <c r="H193" i="24"/>
  <c r="F193" i="24"/>
  <c r="E193" i="24"/>
  <c r="O192" i="24"/>
  <c r="N192" i="24"/>
  <c r="L192" i="24"/>
  <c r="K192" i="24"/>
  <c r="I192" i="24"/>
  <c r="H192" i="24"/>
  <c r="F192" i="24"/>
  <c r="E192" i="24"/>
  <c r="O191" i="24"/>
  <c r="N191" i="24"/>
  <c r="L191" i="24"/>
  <c r="K191" i="24"/>
  <c r="I191" i="24"/>
  <c r="H191" i="24"/>
  <c r="F191" i="24"/>
  <c r="E191" i="24"/>
  <c r="O190" i="24"/>
  <c r="N190" i="24"/>
  <c r="L190" i="24"/>
  <c r="K190" i="24"/>
  <c r="I190" i="24"/>
  <c r="H190" i="24"/>
  <c r="F190" i="24"/>
  <c r="E190" i="24"/>
  <c r="O189" i="24"/>
  <c r="N189" i="24"/>
  <c r="L189" i="24"/>
  <c r="K189" i="24"/>
  <c r="I189" i="24"/>
  <c r="H189" i="24"/>
  <c r="F189" i="24"/>
  <c r="E189" i="24"/>
  <c r="O188" i="24"/>
  <c r="N188" i="24"/>
  <c r="L188" i="24"/>
  <c r="K188" i="24"/>
  <c r="I188" i="24"/>
  <c r="H188" i="24"/>
  <c r="F188" i="24"/>
  <c r="E188" i="24"/>
  <c r="O187" i="24"/>
  <c r="N187" i="24"/>
  <c r="L187" i="24"/>
  <c r="K187" i="24"/>
  <c r="I187" i="24"/>
  <c r="H187" i="24"/>
  <c r="F187" i="24"/>
  <c r="E187" i="24"/>
  <c r="O186" i="24"/>
  <c r="N186" i="24"/>
  <c r="L186" i="24"/>
  <c r="K186" i="24"/>
  <c r="I186" i="24"/>
  <c r="H186" i="24"/>
  <c r="F186" i="24"/>
  <c r="E186" i="24"/>
  <c r="O185" i="24"/>
  <c r="N185" i="24"/>
  <c r="L185" i="24"/>
  <c r="K185" i="24"/>
  <c r="I185" i="24"/>
  <c r="H185" i="24"/>
  <c r="F185" i="24"/>
  <c r="E185" i="24"/>
  <c r="O184" i="24"/>
  <c r="N184" i="24"/>
  <c r="L184" i="24"/>
  <c r="K184" i="24"/>
  <c r="I184" i="24"/>
  <c r="H184" i="24"/>
  <c r="F184" i="24"/>
  <c r="E184" i="24"/>
  <c r="O183" i="24"/>
  <c r="N183" i="24"/>
  <c r="L183" i="24"/>
  <c r="K183" i="24"/>
  <c r="I183" i="24"/>
  <c r="H183" i="24"/>
  <c r="F183" i="24"/>
  <c r="E183" i="24"/>
  <c r="O182" i="24"/>
  <c r="N182" i="24"/>
  <c r="L182" i="24"/>
  <c r="K182" i="24"/>
  <c r="I182" i="24"/>
  <c r="H182" i="24"/>
  <c r="F182" i="24"/>
  <c r="E182" i="24"/>
  <c r="O181" i="24"/>
  <c r="N181" i="24"/>
  <c r="L181" i="24"/>
  <c r="K181" i="24"/>
  <c r="I181" i="24"/>
  <c r="H181" i="24"/>
  <c r="F181" i="24"/>
  <c r="E181" i="24"/>
  <c r="O180" i="24"/>
  <c r="N180" i="24"/>
  <c r="L180" i="24"/>
  <c r="K180" i="24"/>
  <c r="I180" i="24"/>
  <c r="H180" i="24"/>
  <c r="F180" i="24"/>
  <c r="E180" i="24"/>
  <c r="O179" i="24"/>
  <c r="O199" i="24" s="1"/>
  <c r="N179" i="24"/>
  <c r="N199" i="24" s="1"/>
  <c r="L179" i="24"/>
  <c r="L199" i="24" s="1"/>
  <c r="K179" i="24"/>
  <c r="K199" i="24" s="1"/>
  <c r="I179" i="24"/>
  <c r="I199" i="24" s="1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I171" i="24"/>
  <c r="H171" i="24"/>
  <c r="F171" i="24"/>
  <c r="E171" i="24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K145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O140" i="24"/>
  <c r="N140" i="24"/>
  <c r="L140" i="24"/>
  <c r="K140" i="24"/>
  <c r="I140" i="24"/>
  <c r="H140" i="24"/>
  <c r="F140" i="24"/>
  <c r="E140" i="24"/>
  <c r="O139" i="24"/>
  <c r="N139" i="24"/>
  <c r="L139" i="24"/>
  <c r="K139" i="24"/>
  <c r="I139" i="24"/>
  <c r="H139" i="24"/>
  <c r="F139" i="24"/>
  <c r="E139" i="24"/>
  <c r="O138" i="24"/>
  <c r="N138" i="24"/>
  <c r="L138" i="24"/>
  <c r="K138" i="24"/>
  <c r="I138" i="24"/>
  <c r="H138" i="24"/>
  <c r="F138" i="24"/>
  <c r="E138" i="24"/>
  <c r="O137" i="24"/>
  <c r="N137" i="24"/>
  <c r="L137" i="24"/>
  <c r="K137" i="24"/>
  <c r="I137" i="24"/>
  <c r="H137" i="24"/>
  <c r="F137" i="24"/>
  <c r="E137" i="24"/>
  <c r="O136" i="24"/>
  <c r="N136" i="24"/>
  <c r="L136" i="24"/>
  <c r="K136" i="24"/>
  <c r="I136" i="24"/>
  <c r="H136" i="24"/>
  <c r="F136" i="24"/>
  <c r="E136" i="24"/>
  <c r="O135" i="24"/>
  <c r="N135" i="24"/>
  <c r="L135" i="24"/>
  <c r="K135" i="24"/>
  <c r="I135" i="24"/>
  <c r="H135" i="24"/>
  <c r="F135" i="24"/>
  <c r="E135" i="24"/>
  <c r="O134" i="24"/>
  <c r="N134" i="24"/>
  <c r="L134" i="24"/>
  <c r="K134" i="24"/>
  <c r="I134" i="24"/>
  <c r="H134" i="24"/>
  <c r="F134" i="24"/>
  <c r="E134" i="24"/>
  <c r="O133" i="24"/>
  <c r="N133" i="24"/>
  <c r="L133" i="24"/>
  <c r="K133" i="24"/>
  <c r="I133" i="24"/>
  <c r="H133" i="24"/>
  <c r="F133" i="24"/>
  <c r="E133" i="24"/>
  <c r="O132" i="24"/>
  <c r="N132" i="24"/>
  <c r="L132" i="24"/>
  <c r="K132" i="24"/>
  <c r="I132" i="24"/>
  <c r="H132" i="24"/>
  <c r="F132" i="24"/>
  <c r="E132" i="24"/>
  <c r="O131" i="24"/>
  <c r="N131" i="24"/>
  <c r="L131" i="24"/>
  <c r="K131" i="24"/>
  <c r="I131" i="24"/>
  <c r="H131" i="24"/>
  <c r="F131" i="24"/>
  <c r="E131" i="24"/>
  <c r="O130" i="24"/>
  <c r="N130" i="24"/>
  <c r="L130" i="24"/>
  <c r="K130" i="24"/>
  <c r="I130" i="24"/>
  <c r="H130" i="24"/>
  <c r="F130" i="24"/>
  <c r="E130" i="24"/>
  <c r="O129" i="24"/>
  <c r="N129" i="24"/>
  <c r="L129" i="24"/>
  <c r="K129" i="24"/>
  <c r="I129" i="24"/>
  <c r="H129" i="24"/>
  <c r="F129" i="24"/>
  <c r="E129" i="24"/>
  <c r="O128" i="24"/>
  <c r="N128" i="24"/>
  <c r="L128" i="24"/>
  <c r="K128" i="24"/>
  <c r="I128" i="24"/>
  <c r="H128" i="24"/>
  <c r="F128" i="24"/>
  <c r="E128" i="24"/>
  <c r="O127" i="24"/>
  <c r="N127" i="24"/>
  <c r="L127" i="24"/>
  <c r="K127" i="24"/>
  <c r="I127" i="24"/>
  <c r="H127" i="24"/>
  <c r="F127" i="24"/>
  <c r="E127" i="24"/>
  <c r="O126" i="24"/>
  <c r="N126" i="24"/>
  <c r="L126" i="24"/>
  <c r="K126" i="24"/>
  <c r="I126" i="24"/>
  <c r="H126" i="24"/>
  <c r="F126" i="24"/>
  <c r="E126" i="24"/>
  <c r="O125" i="24"/>
  <c r="O145" i="24" s="1"/>
  <c r="N125" i="24"/>
  <c r="N145" i="24" s="1"/>
  <c r="L125" i="24"/>
  <c r="L145" i="24" s="1"/>
  <c r="K125" i="24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F117" i="24"/>
  <c r="E117" i="24"/>
  <c r="O116" i="24"/>
  <c r="N116" i="24"/>
  <c r="L116" i="24"/>
  <c r="K116" i="24"/>
  <c r="I116" i="24"/>
  <c r="H116" i="24"/>
  <c r="F116" i="24"/>
  <c r="E116" i="24"/>
  <c r="O115" i="24"/>
  <c r="N115" i="24"/>
  <c r="L115" i="24"/>
  <c r="K115" i="24"/>
  <c r="I115" i="24"/>
  <c r="H115" i="24"/>
  <c r="F115" i="24"/>
  <c r="E115" i="24"/>
  <c r="O114" i="24"/>
  <c r="N114" i="24"/>
  <c r="L114" i="24"/>
  <c r="K114" i="24"/>
  <c r="I114" i="24"/>
  <c r="H114" i="24"/>
  <c r="F114" i="24"/>
  <c r="E114" i="24"/>
  <c r="O113" i="24"/>
  <c r="N113" i="24"/>
  <c r="L113" i="24"/>
  <c r="K113" i="24"/>
  <c r="I113" i="24"/>
  <c r="H113" i="24"/>
  <c r="F113" i="24"/>
  <c r="E113" i="24"/>
  <c r="O112" i="24"/>
  <c r="N112" i="24"/>
  <c r="L112" i="24"/>
  <c r="K112" i="24"/>
  <c r="I112" i="24"/>
  <c r="H112" i="24"/>
  <c r="F112" i="24"/>
  <c r="E112" i="24"/>
  <c r="O111" i="24"/>
  <c r="N111" i="24"/>
  <c r="L111" i="24"/>
  <c r="K111" i="24"/>
  <c r="I111" i="24"/>
  <c r="H111" i="24"/>
  <c r="F111" i="24"/>
  <c r="E111" i="24"/>
  <c r="O110" i="24"/>
  <c r="N110" i="24"/>
  <c r="L110" i="24"/>
  <c r="K110" i="24"/>
  <c r="I110" i="24"/>
  <c r="H110" i="24"/>
  <c r="F110" i="24"/>
  <c r="E110" i="24"/>
  <c r="O109" i="24"/>
  <c r="N109" i="24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O107" i="24"/>
  <c r="N107" i="24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O105" i="24"/>
  <c r="N105" i="24"/>
  <c r="L105" i="24"/>
  <c r="K105" i="24"/>
  <c r="I105" i="24"/>
  <c r="H105" i="24"/>
  <c r="F105" i="24"/>
  <c r="E105" i="24"/>
  <c r="O104" i="24"/>
  <c r="N104" i="24"/>
  <c r="L104" i="24"/>
  <c r="K104" i="24"/>
  <c r="I104" i="24"/>
  <c r="H104" i="24"/>
  <c r="F104" i="24"/>
  <c r="E104" i="24"/>
  <c r="O103" i="24"/>
  <c r="N103" i="24"/>
  <c r="L103" i="24"/>
  <c r="K103" i="24"/>
  <c r="I103" i="24"/>
  <c r="H103" i="24"/>
  <c r="F103" i="24"/>
  <c r="E103" i="24"/>
  <c r="O102" i="24"/>
  <c r="N102" i="24"/>
  <c r="L102" i="24"/>
  <c r="K102" i="24"/>
  <c r="I102" i="24"/>
  <c r="H102" i="24"/>
  <c r="F102" i="24"/>
  <c r="E102" i="24"/>
  <c r="O101" i="24"/>
  <c r="N101" i="24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O99" i="24"/>
  <c r="N99" i="24"/>
  <c r="L99" i="24"/>
  <c r="K99" i="24"/>
  <c r="I99" i="24"/>
  <c r="H99" i="24"/>
  <c r="F99" i="24"/>
  <c r="E99" i="24"/>
  <c r="O98" i="24"/>
  <c r="O118" i="24" s="1"/>
  <c r="N98" i="24"/>
  <c r="N11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O90" i="24"/>
  <c r="N90" i="24"/>
  <c r="L90" i="24"/>
  <c r="K90" i="24"/>
  <c r="I90" i="24"/>
  <c r="H90" i="24"/>
  <c r="F90" i="24"/>
  <c r="E90" i="24"/>
  <c r="O89" i="24"/>
  <c r="N89" i="24"/>
  <c r="L89" i="24"/>
  <c r="K89" i="24"/>
  <c r="I89" i="24"/>
  <c r="H89" i="24"/>
  <c r="F89" i="24"/>
  <c r="E89" i="24"/>
  <c r="O88" i="24"/>
  <c r="N88" i="24"/>
  <c r="L88" i="24"/>
  <c r="K88" i="24"/>
  <c r="I88" i="24"/>
  <c r="H88" i="24"/>
  <c r="F88" i="24"/>
  <c r="E88" i="24"/>
  <c r="O87" i="24"/>
  <c r="N87" i="24"/>
  <c r="L87" i="24"/>
  <c r="K87" i="24"/>
  <c r="I87" i="24"/>
  <c r="H87" i="24"/>
  <c r="F87" i="24"/>
  <c r="E87" i="24"/>
  <c r="O86" i="24"/>
  <c r="N86" i="24"/>
  <c r="L86" i="24"/>
  <c r="K86" i="24"/>
  <c r="I86" i="24"/>
  <c r="H86" i="24"/>
  <c r="F86" i="24"/>
  <c r="E86" i="24"/>
  <c r="O85" i="24"/>
  <c r="N85" i="24"/>
  <c r="L85" i="24"/>
  <c r="K85" i="24"/>
  <c r="I85" i="24"/>
  <c r="H85" i="24"/>
  <c r="F85" i="24"/>
  <c r="E85" i="24"/>
  <c r="O84" i="24"/>
  <c r="N84" i="24"/>
  <c r="L84" i="24"/>
  <c r="K84" i="24"/>
  <c r="I84" i="24"/>
  <c r="H84" i="24"/>
  <c r="F84" i="24"/>
  <c r="E84" i="24"/>
  <c r="O83" i="24"/>
  <c r="N83" i="24"/>
  <c r="L83" i="24"/>
  <c r="K83" i="24"/>
  <c r="I83" i="24"/>
  <c r="H83" i="24"/>
  <c r="F83" i="24"/>
  <c r="E83" i="24"/>
  <c r="O82" i="24"/>
  <c r="N82" i="24"/>
  <c r="L82" i="24"/>
  <c r="K82" i="24"/>
  <c r="I82" i="24"/>
  <c r="H82" i="24"/>
  <c r="F82" i="24"/>
  <c r="E82" i="24"/>
  <c r="O81" i="24"/>
  <c r="N81" i="24"/>
  <c r="L81" i="24"/>
  <c r="K81" i="24"/>
  <c r="I81" i="24"/>
  <c r="H81" i="24"/>
  <c r="F81" i="24"/>
  <c r="E81" i="24"/>
  <c r="O80" i="24"/>
  <c r="N80" i="24"/>
  <c r="L80" i="24"/>
  <c r="K80" i="24"/>
  <c r="I80" i="24"/>
  <c r="H80" i="24"/>
  <c r="F80" i="24"/>
  <c r="E80" i="24"/>
  <c r="O79" i="24"/>
  <c r="N79" i="24"/>
  <c r="L79" i="24"/>
  <c r="K79" i="24"/>
  <c r="I79" i="24"/>
  <c r="H79" i="24"/>
  <c r="F79" i="24"/>
  <c r="E79" i="24"/>
  <c r="O78" i="24"/>
  <c r="N78" i="24"/>
  <c r="L78" i="24"/>
  <c r="K78" i="24"/>
  <c r="I78" i="24"/>
  <c r="H78" i="24"/>
  <c r="F78" i="24"/>
  <c r="E78" i="24"/>
  <c r="O77" i="24"/>
  <c r="N77" i="24"/>
  <c r="L77" i="24"/>
  <c r="K77" i="24"/>
  <c r="I77" i="24"/>
  <c r="H77" i="24"/>
  <c r="F77" i="24"/>
  <c r="E77" i="24"/>
  <c r="O76" i="24"/>
  <c r="N76" i="24"/>
  <c r="L76" i="24"/>
  <c r="K76" i="24"/>
  <c r="I76" i="24"/>
  <c r="H76" i="24"/>
  <c r="F76" i="24"/>
  <c r="E76" i="24"/>
  <c r="O75" i="24"/>
  <c r="N75" i="24"/>
  <c r="L75" i="24"/>
  <c r="K75" i="24"/>
  <c r="I75" i="24"/>
  <c r="H75" i="24"/>
  <c r="F75" i="24"/>
  <c r="E75" i="24"/>
  <c r="O74" i="24"/>
  <c r="N74" i="24"/>
  <c r="L74" i="24"/>
  <c r="K74" i="24"/>
  <c r="I74" i="24"/>
  <c r="H74" i="24"/>
  <c r="F74" i="24"/>
  <c r="E74" i="24"/>
  <c r="O73" i="24"/>
  <c r="N73" i="24"/>
  <c r="L73" i="24"/>
  <c r="K73" i="24"/>
  <c r="I73" i="24"/>
  <c r="H73" i="24"/>
  <c r="F73" i="24"/>
  <c r="E73" i="24"/>
  <c r="O72" i="24"/>
  <c r="N72" i="24"/>
  <c r="L72" i="24"/>
  <c r="K72" i="24"/>
  <c r="I72" i="24"/>
  <c r="H72" i="24"/>
  <c r="F72" i="24"/>
  <c r="E72" i="24"/>
  <c r="O71" i="24"/>
  <c r="O91" i="24" s="1"/>
  <c r="N71" i="24"/>
  <c r="N91" i="24" s="1"/>
  <c r="L71" i="24"/>
  <c r="L91" i="24" s="1"/>
  <c r="K71" i="24"/>
  <c r="K91" i="24" s="1"/>
  <c r="I71" i="24"/>
  <c r="I91" i="24" s="1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L59" i="24"/>
  <c r="K59" i="24"/>
  <c r="I59" i="24"/>
  <c r="H59" i="24"/>
  <c r="F59" i="24"/>
  <c r="E59" i="24"/>
  <c r="O58" i="24"/>
  <c r="N58" i="24"/>
  <c r="L58" i="24"/>
  <c r="K58" i="24"/>
  <c r="I58" i="24"/>
  <c r="H58" i="24"/>
  <c r="F58" i="24"/>
  <c r="E58" i="24"/>
  <c r="O57" i="24"/>
  <c r="N57" i="24"/>
  <c r="L57" i="24"/>
  <c r="K57" i="24"/>
  <c r="I57" i="24"/>
  <c r="H57" i="24"/>
  <c r="F57" i="24"/>
  <c r="E57" i="24"/>
  <c r="O56" i="24"/>
  <c r="N56" i="24"/>
  <c r="L56" i="24"/>
  <c r="K56" i="24"/>
  <c r="I56" i="24"/>
  <c r="H56" i="24"/>
  <c r="F56" i="24"/>
  <c r="E56" i="24"/>
  <c r="O55" i="24"/>
  <c r="N55" i="24"/>
  <c r="L55" i="24"/>
  <c r="K55" i="24"/>
  <c r="I55" i="24"/>
  <c r="H55" i="24"/>
  <c r="F55" i="24"/>
  <c r="E55" i="24"/>
  <c r="O54" i="24"/>
  <c r="N54" i="24"/>
  <c r="L54" i="24"/>
  <c r="K54" i="24"/>
  <c r="I54" i="24"/>
  <c r="H54" i="24"/>
  <c r="F54" i="24"/>
  <c r="E54" i="24"/>
  <c r="O53" i="24"/>
  <c r="N53" i="24"/>
  <c r="L53" i="24"/>
  <c r="K53" i="24"/>
  <c r="I53" i="24"/>
  <c r="H53" i="24"/>
  <c r="F53" i="24"/>
  <c r="E53" i="24"/>
  <c r="O52" i="24"/>
  <c r="N52" i="24"/>
  <c r="L52" i="24"/>
  <c r="K52" i="24"/>
  <c r="I52" i="24"/>
  <c r="H52" i="24"/>
  <c r="F52" i="24"/>
  <c r="E52" i="24"/>
  <c r="O51" i="24"/>
  <c r="N51" i="24"/>
  <c r="L51" i="24"/>
  <c r="K51" i="24"/>
  <c r="I51" i="24"/>
  <c r="H51" i="24"/>
  <c r="F51" i="24"/>
  <c r="E51" i="24"/>
  <c r="O50" i="24"/>
  <c r="N50" i="24"/>
  <c r="L50" i="24"/>
  <c r="K50" i="24"/>
  <c r="I50" i="24"/>
  <c r="H50" i="24"/>
  <c r="F50" i="24"/>
  <c r="E50" i="24"/>
  <c r="O49" i="24"/>
  <c r="N49" i="24"/>
  <c r="L49" i="24"/>
  <c r="K49" i="24"/>
  <c r="I49" i="24"/>
  <c r="H49" i="24"/>
  <c r="F49" i="24"/>
  <c r="E49" i="24"/>
  <c r="O48" i="24"/>
  <c r="N48" i="24"/>
  <c r="L48" i="24"/>
  <c r="K48" i="24"/>
  <c r="I48" i="24"/>
  <c r="H48" i="24"/>
  <c r="F48" i="24"/>
  <c r="E48" i="24"/>
  <c r="O47" i="24"/>
  <c r="N47" i="24"/>
  <c r="L47" i="24"/>
  <c r="K47" i="24"/>
  <c r="I47" i="24"/>
  <c r="H47" i="24"/>
  <c r="F47" i="24"/>
  <c r="E47" i="24"/>
  <c r="O46" i="24"/>
  <c r="N46" i="24"/>
  <c r="L46" i="24"/>
  <c r="K46" i="24"/>
  <c r="I46" i="24"/>
  <c r="H46" i="24"/>
  <c r="F46" i="24"/>
  <c r="E46" i="24"/>
  <c r="O45" i="24"/>
  <c r="N45" i="24"/>
  <c r="L45" i="24"/>
  <c r="K45" i="24"/>
  <c r="I45" i="24"/>
  <c r="H45" i="24"/>
  <c r="F45" i="24"/>
  <c r="E45" i="24"/>
  <c r="O44" i="24"/>
  <c r="O64" i="24" s="1"/>
  <c r="N44" i="24"/>
  <c r="N64" i="24" s="1"/>
  <c r="L44" i="24"/>
  <c r="L64" i="24" s="1"/>
  <c r="K44" i="24"/>
  <c r="K64" i="24" s="1"/>
  <c r="I44" i="24"/>
  <c r="I64" i="24" s="1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N199" i="34" l="1"/>
  <c r="O199" i="34"/>
  <c r="O172" i="34"/>
  <c r="N172" i="34"/>
  <c r="O145" i="34"/>
  <c r="N145" i="34"/>
  <c r="O118" i="34"/>
  <c r="N118" i="34"/>
  <c r="O71" i="34"/>
  <c r="O91" i="34" s="1"/>
  <c r="N64" i="34"/>
  <c r="O44" i="34"/>
  <c r="O64" i="34" s="1"/>
  <c r="H37" i="35"/>
  <c r="I37" i="35"/>
  <c r="O91" i="35"/>
  <c r="L37" i="35"/>
  <c r="F37" i="35"/>
  <c r="N37" i="35"/>
  <c r="K37" i="35"/>
  <c r="O37" i="35"/>
  <c r="G5" i="35"/>
  <c r="G7" i="35"/>
  <c r="G3" i="35"/>
  <c r="G9" i="35"/>
  <c r="K199" i="34"/>
  <c r="L179" i="34"/>
  <c r="L199" i="34" s="1"/>
  <c r="K172" i="34"/>
  <c r="L152" i="34"/>
  <c r="L172" i="34" s="1"/>
  <c r="L125" i="34"/>
  <c r="L145" i="34" s="1"/>
  <c r="K118" i="34"/>
  <c r="L98" i="34"/>
  <c r="L118" i="34" s="1"/>
  <c r="L71" i="34"/>
  <c r="L91" i="34" s="1"/>
  <c r="L64" i="34"/>
  <c r="K64" i="34"/>
  <c r="I179" i="34"/>
  <c r="I199" i="34" s="1"/>
  <c r="I152" i="34"/>
  <c r="I172" i="34" s="1"/>
  <c r="I125" i="34"/>
  <c r="I145" i="34" s="1"/>
  <c r="I98" i="34"/>
  <c r="I118" i="34" s="1"/>
  <c r="I91" i="34"/>
  <c r="H91" i="34"/>
  <c r="I64" i="34"/>
  <c r="H64" i="34"/>
  <c r="F125" i="34"/>
  <c r="F145" i="34" s="1"/>
  <c r="F98" i="34"/>
  <c r="F118" i="34" s="1"/>
  <c r="F71" i="34"/>
  <c r="F91" i="34" s="1"/>
  <c r="F44" i="34"/>
  <c r="F64" i="34" s="1"/>
  <c r="O179" i="33"/>
  <c r="O199" i="33" s="1"/>
  <c r="O172" i="33"/>
  <c r="N172" i="33"/>
  <c r="N145" i="33"/>
  <c r="O125" i="33"/>
  <c r="O145" i="33" s="1"/>
  <c r="N118" i="33"/>
  <c r="O98" i="33"/>
  <c r="O118" i="33" s="1"/>
  <c r="O91" i="33"/>
  <c r="N91" i="33"/>
  <c r="O44" i="33"/>
  <c r="O64" i="33" s="1"/>
  <c r="O37" i="34"/>
  <c r="F37" i="34"/>
  <c r="N37" i="34"/>
  <c r="E37" i="34"/>
  <c r="I37" i="34"/>
  <c r="K37" i="34"/>
  <c r="H37" i="34"/>
  <c r="L37" i="34"/>
  <c r="G9" i="34"/>
  <c r="G5" i="34"/>
  <c r="G7" i="34"/>
  <c r="G3" i="34"/>
  <c r="K199" i="33"/>
  <c r="L179" i="33"/>
  <c r="L199" i="33" s="1"/>
  <c r="K172" i="33"/>
  <c r="L152" i="33"/>
  <c r="L172" i="33" s="1"/>
  <c r="K145" i="33"/>
  <c r="L125" i="33"/>
  <c r="L145" i="33" s="1"/>
  <c r="K118" i="33"/>
  <c r="L98" i="33"/>
  <c r="L118" i="33" s="1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H64" i="33"/>
  <c r="I44" i="33"/>
  <c r="I64" i="33" s="1"/>
  <c r="F71" i="33"/>
  <c r="F91" i="33" s="1"/>
  <c r="F64" i="33"/>
  <c r="N199" i="32"/>
  <c r="O179" i="32"/>
  <c r="O199" i="32" s="1"/>
  <c r="N172" i="32"/>
  <c r="O152" i="32"/>
  <c r="O172" i="32" s="1"/>
  <c r="N145" i="32"/>
  <c r="O145" i="32"/>
  <c r="N118" i="32"/>
  <c r="O98" i="32"/>
  <c r="O118" i="32" s="1"/>
  <c r="O91" i="32"/>
  <c r="G7" i="32" s="1"/>
  <c r="N64" i="32"/>
  <c r="O64" i="32"/>
  <c r="E37" i="33"/>
  <c r="I37" i="33"/>
  <c r="F37" i="33"/>
  <c r="N37" i="33"/>
  <c r="K37" i="33"/>
  <c r="O37" i="33"/>
  <c r="H37" i="33"/>
  <c r="L37" i="33"/>
  <c r="G9" i="33"/>
  <c r="G5" i="33"/>
  <c r="G7" i="33"/>
  <c r="G3" i="33"/>
  <c r="K199" i="32"/>
  <c r="L179" i="32"/>
  <c r="L199" i="32" s="1"/>
  <c r="K172" i="32"/>
  <c r="L152" i="32"/>
  <c r="L172" i="32" s="1"/>
  <c r="K145" i="32"/>
  <c r="L145" i="32"/>
  <c r="K118" i="32"/>
  <c r="L98" i="32"/>
  <c r="L118" i="32" s="1"/>
  <c r="L91" i="32"/>
  <c r="K64" i="32"/>
  <c r="L44" i="32"/>
  <c r="L64" i="32" s="1"/>
  <c r="I179" i="32"/>
  <c r="I199" i="32" s="1"/>
  <c r="I152" i="32"/>
  <c r="I172" i="32" s="1"/>
  <c r="I125" i="32"/>
  <c r="I145" i="32" s="1"/>
  <c r="I98" i="32"/>
  <c r="I118" i="32" s="1"/>
  <c r="I91" i="32"/>
  <c r="H91" i="32"/>
  <c r="I64" i="32"/>
  <c r="H64" i="32"/>
  <c r="F71" i="32"/>
  <c r="F91" i="32" s="1"/>
  <c r="F64" i="32"/>
  <c r="N199" i="31"/>
  <c r="O179" i="31"/>
  <c r="O199" i="31" s="1"/>
  <c r="G9" i="31" s="1"/>
  <c r="N172" i="31"/>
  <c r="O172" i="31"/>
  <c r="N145" i="31"/>
  <c r="O125" i="31"/>
  <c r="O145" i="31" s="1"/>
  <c r="N118" i="31"/>
  <c r="O98" i="31"/>
  <c r="O118" i="31" s="1"/>
  <c r="N91" i="31"/>
  <c r="O71" i="31"/>
  <c r="O91" i="31" s="1"/>
  <c r="N64" i="31"/>
  <c r="O44" i="31"/>
  <c r="O64" i="31" s="1"/>
  <c r="N91" i="32"/>
  <c r="K37" i="32"/>
  <c r="O37" i="32"/>
  <c r="E37" i="32"/>
  <c r="I37" i="32"/>
  <c r="F37" i="32"/>
  <c r="N37" i="32"/>
  <c r="H37" i="32"/>
  <c r="L37" i="32"/>
  <c r="G9" i="32"/>
  <c r="G5" i="32"/>
  <c r="G3" i="32"/>
  <c r="K199" i="31"/>
  <c r="L179" i="31"/>
  <c r="L199" i="31" s="1"/>
  <c r="K172" i="31"/>
  <c r="L152" i="31"/>
  <c r="L172" i="31" s="1"/>
  <c r="L145" i="31"/>
  <c r="K145" i="31"/>
  <c r="K118" i="31"/>
  <c r="L98" i="31"/>
  <c r="L118" i="31" s="1"/>
  <c r="K91" i="31"/>
  <c r="L71" i="31"/>
  <c r="L91" i="31" s="1"/>
  <c r="K64" i="31"/>
  <c r="L44" i="31"/>
  <c r="L64" i="31" s="1"/>
  <c r="I179" i="31"/>
  <c r="I199" i="31" s="1"/>
  <c r="I152" i="31"/>
  <c r="I172" i="31" s="1"/>
  <c r="I145" i="31"/>
  <c r="I98" i="31"/>
  <c r="I118" i="31" s="1"/>
  <c r="I71" i="31"/>
  <c r="I91" i="31" s="1"/>
  <c r="H64" i="31"/>
  <c r="I44" i="31"/>
  <c r="I64" i="31" s="1"/>
  <c r="F199" i="31"/>
  <c r="F44" i="31"/>
  <c r="F64" i="31" s="1"/>
  <c r="N199" i="30"/>
  <c r="O179" i="30"/>
  <c r="O199" i="30" s="1"/>
  <c r="N172" i="30"/>
  <c r="O172" i="30"/>
  <c r="N145" i="30"/>
  <c r="O125" i="30"/>
  <c r="O145" i="30" s="1"/>
  <c r="O98" i="30"/>
  <c r="O118" i="30" s="1"/>
  <c r="N91" i="30"/>
  <c r="O71" i="30"/>
  <c r="O91" i="30" s="1"/>
  <c r="O44" i="30"/>
  <c r="O64" i="30" s="1"/>
  <c r="E37" i="31"/>
  <c r="I37" i="31"/>
  <c r="K37" i="31"/>
  <c r="H37" i="31"/>
  <c r="L37" i="31"/>
  <c r="F37" i="31"/>
  <c r="N37" i="31"/>
  <c r="O37" i="31"/>
  <c r="G5" i="31"/>
  <c r="G7" i="31"/>
  <c r="G3" i="31"/>
  <c r="K199" i="30"/>
  <c r="L179" i="30"/>
  <c r="L199" i="30" s="1"/>
  <c r="K172" i="30"/>
  <c r="L172" i="30"/>
  <c r="K145" i="30"/>
  <c r="L125" i="30"/>
  <c r="L145" i="30" s="1"/>
  <c r="L98" i="30"/>
  <c r="L118" i="30" s="1"/>
  <c r="L71" i="30"/>
  <c r="L91" i="30" s="1"/>
  <c r="L44" i="30"/>
  <c r="L64" i="30" s="1"/>
  <c r="I179" i="30"/>
  <c r="I199" i="30" s="1"/>
  <c r="I152" i="30"/>
  <c r="I172" i="30" s="1"/>
  <c r="I145" i="30"/>
  <c r="I98" i="30"/>
  <c r="I118" i="30" s="1"/>
  <c r="I71" i="30"/>
  <c r="I91" i="30" s="1"/>
  <c r="I44" i="30"/>
  <c r="I64" i="30" s="1"/>
  <c r="F199" i="30"/>
  <c r="E37" i="30"/>
  <c r="O199" i="29"/>
  <c r="G9" i="29" s="1"/>
  <c r="N199" i="29"/>
  <c r="N172" i="29"/>
  <c r="O152" i="29"/>
  <c r="O172" i="29" s="1"/>
  <c r="N145" i="29"/>
  <c r="O125" i="29"/>
  <c r="O145" i="29" s="1"/>
  <c r="O98" i="29"/>
  <c r="O118" i="29" s="1"/>
  <c r="N91" i="29"/>
  <c r="O71" i="29"/>
  <c r="O91" i="29" s="1"/>
  <c r="O64" i="29"/>
  <c r="N64" i="29"/>
  <c r="K37" i="30"/>
  <c r="O37" i="30"/>
  <c r="H37" i="30"/>
  <c r="L37" i="30"/>
  <c r="I37" i="30"/>
  <c r="F37" i="30"/>
  <c r="N37" i="30"/>
  <c r="G9" i="30"/>
  <c r="G5" i="30"/>
  <c r="G7" i="30"/>
  <c r="G3" i="30"/>
  <c r="K199" i="29"/>
  <c r="L179" i="29"/>
  <c r="L199" i="29" s="1"/>
  <c r="K172" i="29"/>
  <c r="L152" i="29"/>
  <c r="L172" i="29" s="1"/>
  <c r="K145" i="29"/>
  <c r="L125" i="29"/>
  <c r="L145" i="29" s="1"/>
  <c r="K118" i="29"/>
  <c r="L98" i="29"/>
  <c r="L118" i="29" s="1"/>
  <c r="K91" i="29"/>
  <c r="L71" i="29"/>
  <c r="L91" i="29" s="1"/>
  <c r="K64" i="29"/>
  <c r="L44" i="29"/>
  <c r="L64" i="29" s="1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O199" i="28"/>
  <c r="N199" i="28"/>
  <c r="G9" i="28" s="1"/>
  <c r="N172" i="28"/>
  <c r="O152" i="28"/>
  <c r="O172" i="28" s="1"/>
  <c r="N145" i="28"/>
  <c r="O125" i="28"/>
  <c r="O145" i="28" s="1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3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K118" i="28"/>
  <c r="L118" i="28"/>
  <c r="K91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98" i="28"/>
  <c r="I118" i="28" s="1"/>
  <c r="I91" i="28"/>
  <c r="I44" i="28"/>
  <c r="I64" i="28" s="1"/>
  <c r="H37" i="28"/>
  <c r="L37" i="28"/>
  <c r="E37" i="28"/>
  <c r="I37" i="28"/>
  <c r="O199" i="27"/>
  <c r="G9" i="27" s="1"/>
  <c r="N199" i="27"/>
  <c r="N172" i="27"/>
  <c r="O152" i="27"/>
  <c r="O172" i="27" s="1"/>
  <c r="N145" i="27"/>
  <c r="O145" i="27"/>
  <c r="N118" i="27"/>
  <c r="O98" i="27"/>
  <c r="O118" i="27" s="1"/>
  <c r="N91" i="27"/>
  <c r="O71" i="27"/>
  <c r="O91" i="27" s="1"/>
  <c r="N64" i="27"/>
  <c r="O44" i="27"/>
  <c r="O64" i="27" s="1"/>
  <c r="G5" i="27" s="1"/>
  <c r="K37" i="28"/>
  <c r="O37" i="28"/>
  <c r="F37" i="28"/>
  <c r="N37" i="28"/>
  <c r="G5" i="28"/>
  <c r="G7" i="28"/>
  <c r="G3" i="28"/>
  <c r="K199" i="27"/>
  <c r="L179" i="27"/>
  <c r="L199" i="27" s="1"/>
  <c r="K172" i="27"/>
  <c r="L152" i="27"/>
  <c r="L172" i="27" s="1"/>
  <c r="K145" i="27"/>
  <c r="L125" i="27"/>
  <c r="L145" i="27" s="1"/>
  <c r="L98" i="27"/>
  <c r="L118" i="27" s="1"/>
  <c r="L71" i="27"/>
  <c r="L91" i="27" s="1"/>
  <c r="K64" i="27"/>
  <c r="L44" i="27"/>
  <c r="L64" i="27" s="1"/>
  <c r="I179" i="27"/>
  <c r="I199" i="27" s="1"/>
  <c r="H172" i="27"/>
  <c r="H145" i="27"/>
  <c r="I125" i="27"/>
  <c r="I145" i="27" s="1"/>
  <c r="H118" i="27"/>
  <c r="I98" i="27"/>
  <c r="I118" i="27" s="1"/>
  <c r="H91" i="27"/>
  <c r="I71" i="27"/>
  <c r="I91" i="27" s="1"/>
  <c r="H64" i="27"/>
  <c r="I44" i="27"/>
  <c r="I64" i="27" s="1"/>
  <c r="F152" i="27"/>
  <c r="F172" i="27" s="1"/>
  <c r="F125" i="27"/>
  <c r="F145" i="27" s="1"/>
  <c r="F98" i="27"/>
  <c r="F118" i="27" s="1"/>
  <c r="F71" i="27"/>
  <c r="F91" i="27" s="1"/>
  <c r="F64" i="27"/>
  <c r="N199" i="26"/>
  <c r="O179" i="26"/>
  <c r="O199" i="26" s="1"/>
  <c r="O152" i="26"/>
  <c r="O172" i="26" s="1"/>
  <c r="O145" i="26"/>
  <c r="N145" i="26"/>
  <c r="N118" i="26"/>
  <c r="O98" i="26"/>
  <c r="O118" i="26" s="1"/>
  <c r="N91" i="26"/>
  <c r="O71" i="26"/>
  <c r="O91" i="26" s="1"/>
  <c r="N64" i="26"/>
  <c r="O44" i="26"/>
  <c r="O64" i="26" s="1"/>
  <c r="E37" i="27"/>
  <c r="I37" i="27"/>
  <c r="H37" i="27"/>
  <c r="L37" i="27"/>
  <c r="F37" i="27"/>
  <c r="N37" i="27"/>
  <c r="K37" i="27"/>
  <c r="O37" i="27"/>
  <c r="G3" i="27"/>
  <c r="G7" i="27"/>
  <c r="K199" i="26"/>
  <c r="L179" i="26"/>
  <c r="L199" i="26" s="1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N199" i="25"/>
  <c r="O199" i="25"/>
  <c r="G9" i="25" s="1"/>
  <c r="N172" i="25"/>
  <c r="O152" i="25"/>
  <c r="O172" i="25" s="1"/>
  <c r="N145" i="25"/>
  <c r="O125" i="25"/>
  <c r="O145" i="25" s="1"/>
  <c r="O98" i="25"/>
  <c r="O118" i="25" s="1"/>
  <c r="G3" i="25" s="1"/>
  <c r="N91" i="25"/>
  <c r="O71" i="25"/>
  <c r="O91" i="25" s="1"/>
  <c r="G7" i="25" s="1"/>
  <c r="N64" i="25"/>
  <c r="O44" i="25"/>
  <c r="O64" i="25" s="1"/>
  <c r="K37" i="26"/>
  <c r="O37" i="26"/>
  <c r="F37" i="26"/>
  <c r="N37" i="26"/>
  <c r="H37" i="26"/>
  <c r="L37" i="26"/>
  <c r="E37" i="26"/>
  <c r="I37" i="26"/>
  <c r="G9" i="26"/>
  <c r="G5" i="26"/>
  <c r="G7" i="26"/>
  <c r="G3" i="26"/>
  <c r="K199" i="25"/>
  <c r="L179" i="25"/>
  <c r="L199" i="25" s="1"/>
  <c r="K172" i="25"/>
  <c r="L152" i="25"/>
  <c r="L172" i="25" s="1"/>
  <c r="K145" i="25"/>
  <c r="L125" i="25"/>
  <c r="L145" i="25" s="1"/>
  <c r="K118" i="25"/>
  <c r="L98" i="25"/>
  <c r="L118" i="25" s="1"/>
  <c r="K91" i="25"/>
  <c r="L71" i="25"/>
  <c r="L91" i="25" s="1"/>
  <c r="K64" i="25"/>
  <c r="L44" i="25"/>
  <c r="L64" i="25" s="1"/>
  <c r="I179" i="25"/>
  <c r="I199" i="25" s="1"/>
  <c r="I152" i="25"/>
  <c r="I172" i="25" s="1"/>
  <c r="I125" i="25"/>
  <c r="I145" i="25" s="1"/>
  <c r="I98" i="25"/>
  <c r="I118" i="25" s="1"/>
  <c r="I71" i="25"/>
  <c r="I91" i="25" s="1"/>
  <c r="I44" i="25"/>
  <c r="I64" i="25" s="1"/>
  <c r="E37" i="25"/>
  <c r="I37" i="25"/>
  <c r="H37" i="25"/>
  <c r="L37" i="25"/>
  <c r="K37" i="25"/>
  <c r="O37" i="25"/>
  <c r="F37" i="25"/>
  <c r="N37" i="25"/>
  <c r="G5" i="25"/>
  <c r="K37" i="24"/>
  <c r="O37" i="24"/>
  <c r="G9" i="24"/>
  <c r="H37" i="24"/>
  <c r="L37" i="24"/>
  <c r="I37" i="24"/>
  <c r="F37" i="24"/>
  <c r="N37" i="24"/>
  <c r="E37" i="24"/>
  <c r="G5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5" l="1"/>
  <c r="G11" i="34"/>
  <c r="G11" i="33"/>
  <c r="G11" i="32"/>
  <c r="G11" i="31"/>
  <c r="G11" i="30"/>
  <c r="G11" i="29"/>
  <c r="G11" i="28"/>
  <c r="G11" i="27"/>
  <c r="G11" i="26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87" i="9"/>
  <c r="F256" i="9"/>
  <c r="K271" i="9"/>
  <c r="L144" i="9"/>
  <c r="K57" i="3"/>
  <c r="O235" i="9"/>
  <c r="I234" i="9"/>
  <c r="K38" i="3"/>
  <c r="L76" i="9"/>
  <c r="F186" i="9"/>
  <c r="F268" i="9"/>
  <c r="K83" i="9"/>
  <c r="C32" i="9"/>
  <c r="N270" i="9"/>
  <c r="C192" i="9"/>
  <c r="G49" i="3"/>
  <c r="O119" i="9"/>
  <c r="O51" i="9"/>
  <c r="F143" i="9"/>
  <c r="C22" i="9"/>
  <c r="K231" i="9"/>
  <c r="L61" i="9"/>
  <c r="F117" i="9"/>
  <c r="H137" i="9"/>
  <c r="O36" i="9"/>
  <c r="F113" i="9"/>
  <c r="O31" i="3"/>
  <c r="L90" i="9"/>
  <c r="O191" i="9"/>
  <c r="K141" i="9"/>
  <c r="F146" i="9"/>
  <c r="F136" i="9"/>
  <c r="N185" i="9"/>
  <c r="H125" i="9"/>
  <c r="C259" i="9"/>
  <c r="C127" i="9"/>
  <c r="F99" i="9"/>
  <c r="O115" i="9"/>
  <c r="E252" i="9"/>
  <c r="F239" i="9"/>
  <c r="L121" i="9"/>
  <c r="F185" i="9"/>
  <c r="L218" i="9"/>
  <c r="E204" i="9"/>
  <c r="O257" i="9"/>
  <c r="G48" i="3"/>
  <c r="L198" i="9"/>
  <c r="I227" i="9"/>
  <c r="C31" i="9"/>
  <c r="L265" i="9"/>
  <c r="H182" i="9"/>
  <c r="N115" i="9"/>
  <c r="E175" i="9"/>
  <c r="N22" i="9"/>
  <c r="O49" i="3"/>
  <c r="F69" i="9"/>
  <c r="N202" i="9"/>
  <c r="O269" i="9"/>
  <c r="O124" i="9"/>
  <c r="H33" i="9"/>
  <c r="H77" i="9"/>
  <c r="F225" i="9"/>
  <c r="O197" i="9"/>
  <c r="O233" i="9"/>
  <c r="K115" i="9"/>
  <c r="N90" i="9"/>
  <c r="I82" i="9"/>
  <c r="I194" i="9"/>
  <c r="N39" i="9"/>
  <c r="G33" i="3"/>
  <c r="C241" i="9"/>
  <c r="C240" i="9"/>
  <c r="C119" i="9"/>
  <c r="O84" i="9"/>
  <c r="I261" i="9"/>
  <c r="E39" i="9"/>
  <c r="N195" i="9"/>
  <c r="C77" i="9"/>
  <c r="L228" i="9"/>
  <c r="H87" i="9"/>
  <c r="F28" i="9"/>
  <c r="H41" i="9"/>
  <c r="I180" i="9"/>
  <c r="L52" i="9"/>
  <c r="N98" i="9"/>
  <c r="C103" i="9"/>
  <c r="O52" i="9"/>
  <c r="E62" i="9"/>
  <c r="E242" i="9"/>
  <c r="K59" i="3"/>
  <c r="F194" i="9"/>
  <c r="L255" i="9"/>
  <c r="I125" i="9"/>
  <c r="O204" i="9"/>
  <c r="I217" i="9"/>
  <c r="N215" i="9"/>
  <c r="H78" i="9"/>
  <c r="L227" i="9"/>
  <c r="N105" i="9"/>
  <c r="I90" i="9"/>
  <c r="L217" i="9"/>
  <c r="I228" i="9"/>
  <c r="N82" i="9"/>
  <c r="H239" i="9"/>
  <c r="E254" i="9"/>
  <c r="O63" i="3"/>
  <c r="E264" i="9"/>
  <c r="C47" i="9"/>
  <c r="N38" i="9"/>
  <c r="E84" i="9"/>
  <c r="N139" i="9"/>
  <c r="N44" i="9"/>
  <c r="N128" i="9"/>
  <c r="I34" i="9"/>
  <c r="L72" i="9"/>
  <c r="L182" i="9"/>
  <c r="I64" i="9"/>
  <c r="K67" i="3"/>
  <c r="E159" i="9"/>
  <c r="L28" i="9"/>
  <c r="H202" i="9"/>
  <c r="K269" i="9"/>
  <c r="H276" i="9"/>
  <c r="K229" i="9"/>
  <c r="E278" i="9"/>
  <c r="O137" i="9"/>
  <c r="O198" i="9"/>
  <c r="C150" i="9"/>
  <c r="O163" i="9"/>
  <c r="L109" i="9"/>
  <c r="N149" i="9"/>
  <c r="C121" i="9"/>
  <c r="L104" i="9"/>
  <c r="I269" i="9"/>
  <c r="H40" i="9"/>
  <c r="E24" i="9"/>
  <c r="I110" i="9"/>
  <c r="K23" i="5"/>
  <c r="F52" i="9"/>
  <c r="C189" i="9"/>
  <c r="L153" i="9"/>
  <c r="L103" i="9"/>
  <c r="N150" i="9"/>
  <c r="L143" i="9"/>
  <c r="O35" i="3"/>
  <c r="K236" i="9"/>
  <c r="I166" i="9"/>
  <c r="F221" i="9"/>
  <c r="H179" i="9"/>
  <c r="K34" i="3"/>
  <c r="L139" i="9"/>
  <c r="E215" i="9"/>
  <c r="O44" i="3"/>
  <c r="I197" i="9"/>
  <c r="L203" i="9"/>
  <c r="E87" i="9"/>
  <c r="E268" i="9"/>
  <c r="O68" i="9"/>
  <c r="N116" i="9"/>
  <c r="K268" i="9"/>
  <c r="F101" i="9"/>
  <c r="H218" i="9"/>
  <c r="F100" i="9"/>
  <c r="N120" i="9"/>
  <c r="K62" i="9"/>
  <c r="K65" i="3"/>
  <c r="L258" i="9"/>
  <c r="I146" i="9"/>
  <c r="N232" i="9"/>
  <c r="O26" i="9"/>
  <c r="H275" i="9"/>
  <c r="O50" i="9"/>
  <c r="K144" i="9"/>
  <c r="F108" i="9"/>
  <c r="O111" i="9"/>
  <c r="L146" i="9"/>
  <c r="E195" i="9"/>
  <c r="H79" i="9"/>
  <c r="O116" i="9"/>
  <c r="F255" i="9"/>
  <c r="O121" i="9"/>
  <c r="F226" i="9"/>
  <c r="O232" i="9"/>
  <c r="E115" i="9"/>
  <c r="K72" i="9"/>
  <c r="F182" i="9"/>
  <c r="L215" i="9"/>
  <c r="E71" i="9"/>
  <c r="I137" i="9"/>
  <c r="K50" i="3"/>
  <c r="N265" i="9"/>
  <c r="E27" i="9"/>
  <c r="F227" i="9"/>
  <c r="L22" i="9"/>
  <c r="H196" i="9"/>
  <c r="I118" i="9"/>
  <c r="O146" i="9"/>
  <c r="I112" i="9"/>
  <c r="H257" i="9"/>
  <c r="N72" i="9"/>
  <c r="K63" i="3"/>
  <c r="K216" i="9"/>
  <c r="H200" i="9"/>
  <c r="O214" i="9"/>
  <c r="L124" i="9"/>
  <c r="H142" i="9"/>
  <c r="O196" i="9"/>
  <c r="L42" i="9"/>
  <c r="C143" i="9"/>
  <c r="H222" i="9"/>
  <c r="O42" i="3"/>
  <c r="C27" i="9"/>
  <c r="N101" i="9"/>
  <c r="K108" i="9"/>
  <c r="F275" i="9"/>
  <c r="E189" i="9"/>
  <c r="O88" i="9"/>
  <c r="N197" i="9"/>
  <c r="F178" i="9"/>
  <c r="E275" i="9"/>
  <c r="C217" i="9"/>
  <c r="L250" i="9"/>
  <c r="F154" i="9"/>
  <c r="K117" i="9"/>
  <c r="L34" i="9"/>
  <c r="N159" i="9"/>
  <c r="F37" i="9"/>
  <c r="F104" i="9"/>
  <c r="C107" i="9"/>
  <c r="K126" i="9"/>
  <c r="K42" i="3"/>
  <c r="F38" i="9"/>
  <c r="L123" i="9"/>
  <c r="I221" i="9"/>
  <c r="C63" i="9"/>
  <c r="L88" i="9"/>
  <c r="K66" i="9"/>
  <c r="I229" i="9"/>
  <c r="N225" i="9"/>
  <c r="H148" i="9"/>
  <c r="K41" i="9"/>
  <c r="F263" i="9"/>
  <c r="K278" i="9"/>
  <c r="C111" i="9"/>
  <c r="L269" i="9"/>
  <c r="I39" i="9"/>
  <c r="O39" i="3"/>
  <c r="H193" i="9"/>
  <c r="H68" i="9"/>
  <c r="O159" i="9"/>
  <c r="H139" i="9"/>
  <c r="N280" i="9"/>
  <c r="H155" i="9"/>
  <c r="I280" i="9"/>
  <c r="F191" i="9"/>
  <c r="E188" i="9"/>
  <c r="O38" i="3"/>
  <c r="F240" i="9"/>
  <c r="G59" i="3"/>
  <c r="C48" i="9"/>
  <c r="E83" i="9"/>
  <c r="H80" i="9"/>
  <c r="N186" i="9"/>
  <c r="E238" i="9"/>
  <c r="K75" i="9"/>
  <c r="I232" i="9"/>
  <c r="O56" i="3"/>
  <c r="O72" i="3"/>
  <c r="L264" i="9"/>
  <c r="H231" i="9"/>
  <c r="H195" i="9"/>
  <c r="N183" i="9"/>
  <c r="I185" i="9"/>
  <c r="C260" i="9"/>
  <c r="L204" i="9"/>
  <c r="I224" i="9"/>
  <c r="K272" i="9"/>
  <c r="H124" i="9"/>
  <c r="H180" i="9"/>
  <c r="H149" i="9"/>
  <c r="F259" i="9"/>
  <c r="F153" i="9"/>
  <c r="L263" i="9"/>
  <c r="L259" i="9"/>
  <c r="I85" i="9"/>
  <c r="H212" i="9"/>
  <c r="H255" i="9"/>
  <c r="O40" i="3"/>
  <c r="H140" i="9"/>
  <c r="O43" i="3"/>
  <c r="O59" i="3"/>
  <c r="C33" i="9"/>
  <c r="K26" i="9"/>
  <c r="F86" i="9"/>
  <c r="C76" i="9"/>
  <c r="L161" i="9"/>
  <c r="K274" i="9"/>
  <c r="C80" i="9"/>
  <c r="L24" i="9"/>
  <c r="H185" i="9"/>
  <c r="O82" i="9"/>
  <c r="F83" i="9"/>
  <c r="E274" i="9"/>
  <c r="O238" i="9"/>
  <c r="L178" i="9"/>
  <c r="K31" i="9"/>
  <c r="I88" i="9"/>
  <c r="O29" i="9"/>
  <c r="E258" i="9"/>
  <c r="K260" i="9"/>
  <c r="L166" i="9"/>
  <c r="F262" i="9"/>
  <c r="K196" i="9"/>
  <c r="H141" i="9"/>
  <c r="E212" i="9"/>
  <c r="I69" i="9"/>
  <c r="K12" i="3"/>
  <c r="I138" i="9"/>
  <c r="K84" i="9"/>
  <c r="O241" i="9"/>
  <c r="C225" i="9"/>
  <c r="N23" i="9"/>
  <c r="I181" i="9"/>
  <c r="N65" i="9"/>
  <c r="K217" i="9"/>
  <c r="C155" i="9"/>
  <c r="C261" i="9"/>
  <c r="L138" i="9"/>
  <c r="F48" i="9"/>
  <c r="K110" i="9"/>
  <c r="N145" i="9"/>
  <c r="H47" i="9"/>
  <c r="H32" i="9"/>
  <c r="N223" i="9"/>
  <c r="E222" i="9"/>
  <c r="O25" i="9"/>
  <c r="N181" i="9"/>
  <c r="E72" i="9"/>
  <c r="K38" i="9"/>
  <c r="L149" i="9"/>
  <c r="O112" i="9"/>
  <c r="H241" i="9"/>
  <c r="K101" i="9"/>
  <c r="L226" i="9"/>
  <c r="I43" i="9"/>
  <c r="O24" i="9"/>
  <c r="N122" i="9"/>
  <c r="K19" i="5"/>
  <c r="N238" i="9"/>
  <c r="O186" i="9"/>
  <c r="K252" i="9"/>
  <c r="N212" i="9"/>
  <c r="L155" i="9"/>
  <c r="E137" i="9"/>
  <c r="I25" i="9"/>
  <c r="K242" i="9"/>
  <c r="K270" i="9"/>
  <c r="H190" i="9"/>
  <c r="F22" i="9"/>
  <c r="K6" i="3"/>
  <c r="C99" i="9"/>
  <c r="L257" i="9"/>
  <c r="O274" i="9"/>
  <c r="G60" i="3"/>
  <c r="I204" i="9"/>
  <c r="K14" i="5"/>
  <c r="E198" i="9"/>
  <c r="N158" i="9"/>
  <c r="G35" i="3"/>
  <c r="O225" i="9"/>
  <c r="L122" i="9"/>
  <c r="H166" i="9"/>
  <c r="K13" i="5"/>
  <c r="G63" i="3"/>
  <c r="C72" i="9"/>
  <c r="E121" i="9"/>
  <c r="E186" i="9"/>
  <c r="N182" i="9"/>
  <c r="L242" i="9"/>
  <c r="L212" i="9"/>
  <c r="I36" i="9"/>
  <c r="C61" i="9"/>
  <c r="G71" i="3"/>
  <c r="I256" i="9"/>
  <c r="H163" i="9"/>
  <c r="I100" i="9"/>
  <c r="K143" i="9"/>
  <c r="E233" i="9"/>
  <c r="F179" i="9"/>
  <c r="I78" i="9"/>
  <c r="C194" i="9"/>
  <c r="I240" i="9"/>
  <c r="C263" i="9"/>
  <c r="H251" i="9"/>
  <c r="E36" i="9"/>
  <c r="K45" i="3"/>
  <c r="F276" i="9"/>
  <c r="F42" i="9"/>
  <c r="O270" i="9"/>
  <c r="H260" i="9"/>
  <c r="N32" i="9"/>
  <c r="E155" i="9"/>
  <c r="C198" i="9"/>
  <c r="C118" i="9"/>
  <c r="N109" i="9"/>
  <c r="F190" i="9"/>
  <c r="N229" i="9"/>
  <c r="H159" i="9"/>
  <c r="H175" i="9"/>
  <c r="F114" i="9"/>
  <c r="I86" i="9"/>
  <c r="L120" i="9"/>
  <c r="N117" i="9"/>
  <c r="K221" i="9"/>
  <c r="L160" i="9"/>
  <c r="F25" i="9"/>
  <c r="C66" i="9"/>
  <c r="K178" i="9"/>
  <c r="F51" i="9"/>
  <c r="C176" i="9"/>
  <c r="H30" i="9"/>
  <c r="K22" i="9"/>
  <c r="I188" i="9"/>
  <c r="F158" i="9"/>
  <c r="N233" i="9"/>
  <c r="N213" i="9"/>
  <c r="F180" i="9"/>
  <c r="E154" i="9"/>
  <c r="C151" i="9"/>
  <c r="O199" i="9"/>
  <c r="O271" i="9"/>
  <c r="E239" i="9"/>
  <c r="H164" i="9"/>
  <c r="N260" i="9"/>
  <c r="F213" i="9"/>
  <c r="N179" i="9"/>
  <c r="I101" i="9"/>
  <c r="L69" i="9"/>
  <c r="O258" i="9"/>
  <c r="H157" i="9"/>
  <c r="I99" i="9"/>
  <c r="L46" i="9"/>
  <c r="H65" i="9"/>
  <c r="E256" i="9"/>
  <c r="E114" i="9"/>
  <c r="L274" i="9"/>
  <c r="G68" i="3"/>
  <c r="E127" i="9"/>
  <c r="C125" i="9"/>
  <c r="L106" i="9"/>
  <c r="K227" i="9"/>
  <c r="H67" i="9"/>
  <c r="K32" i="9"/>
  <c r="O86" i="9"/>
  <c r="L225" i="9"/>
  <c r="I176" i="9"/>
  <c r="N178" i="9"/>
  <c r="K251" i="9"/>
  <c r="L152" i="9"/>
  <c r="C104" i="9"/>
  <c r="F127" i="9"/>
  <c r="K35" i="3"/>
  <c r="E44" i="9"/>
  <c r="L260" i="9"/>
  <c r="H22" i="9"/>
  <c r="E32" i="9"/>
  <c r="C242" i="9"/>
  <c r="F196" i="9"/>
  <c r="N200" i="9"/>
  <c r="K76" i="9"/>
  <c r="F175" i="9"/>
  <c r="L77" i="9"/>
  <c r="I257" i="9"/>
  <c r="O219" i="9"/>
  <c r="E227" i="9"/>
  <c r="K151" i="9"/>
  <c r="E29" i="9"/>
  <c r="K225" i="9"/>
  <c r="H104" i="9"/>
  <c r="I115" i="9"/>
  <c r="K181" i="9"/>
  <c r="C214" i="9"/>
  <c r="H49" i="9"/>
  <c r="O78" i="9"/>
  <c r="O179" i="9"/>
  <c r="E240" i="9"/>
  <c r="L75" i="9"/>
  <c r="L191" i="9"/>
  <c r="H38" i="9"/>
  <c r="E276" i="9"/>
  <c r="K82" i="9"/>
  <c r="H221" i="9"/>
  <c r="F197" i="9"/>
  <c r="K165" i="9"/>
  <c r="F81" i="9"/>
  <c r="K49" i="3"/>
  <c r="I252" i="9"/>
  <c r="E151" i="9"/>
  <c r="G61" i="3"/>
  <c r="K258" i="9"/>
  <c r="K273" i="9"/>
  <c r="I258" i="9"/>
  <c r="L154" i="9"/>
  <c r="F274" i="9"/>
  <c r="E31" i="9"/>
  <c r="O44" i="9"/>
  <c r="O180" i="9"/>
  <c r="F149" i="9"/>
  <c r="C144" i="9"/>
  <c r="E103" i="9"/>
  <c r="E260" i="9"/>
  <c r="F63" i="9"/>
  <c r="H28" i="9"/>
  <c r="N234" i="9"/>
  <c r="H51" i="9"/>
  <c r="I51" i="9"/>
  <c r="L165" i="9"/>
  <c r="N219" i="9"/>
  <c r="I219" i="9"/>
  <c r="I273" i="9"/>
  <c r="C179" i="9"/>
  <c r="N67" i="9"/>
  <c r="K182" i="9"/>
  <c r="H108" i="9"/>
  <c r="O162" i="9"/>
  <c r="H204" i="9"/>
  <c r="L38" i="9"/>
  <c r="I87" i="9"/>
  <c r="N277" i="9"/>
  <c r="L193" i="9"/>
  <c r="H74" i="9"/>
  <c r="H121" i="9"/>
  <c r="I277" i="9"/>
  <c r="K73" i="3"/>
  <c r="C145" i="9"/>
  <c r="H161" i="9"/>
  <c r="E100" i="9"/>
  <c r="O47" i="3"/>
  <c r="K24" i="5"/>
  <c r="K32" i="3"/>
  <c r="K36" i="9"/>
  <c r="N262" i="9"/>
  <c r="K11" i="5"/>
  <c r="K23" i="9"/>
  <c r="C188" i="9"/>
  <c r="K218" i="9"/>
  <c r="I44" i="9"/>
  <c r="I52" i="9"/>
  <c r="C106" i="9"/>
  <c r="H178" i="9"/>
  <c r="I32" i="9"/>
  <c r="E259" i="9"/>
  <c r="H146" i="9"/>
  <c r="O142" i="9"/>
  <c r="K65" i="9"/>
  <c r="N274" i="9"/>
  <c r="E265" i="9"/>
  <c r="C256" i="9"/>
  <c r="L252" i="9"/>
  <c r="O22" i="9"/>
  <c r="H217" i="9"/>
  <c r="F162" i="9"/>
  <c r="F118" i="9"/>
  <c r="K238" i="9"/>
  <c r="K215" i="9"/>
  <c r="I163" i="9"/>
  <c r="K232" i="9"/>
  <c r="F232" i="9"/>
  <c r="N250" i="9"/>
  <c r="K154" i="9"/>
  <c r="H188" i="9"/>
  <c r="L44" i="9"/>
  <c r="G67" i="3"/>
  <c r="G74" i="3"/>
  <c r="I29" i="9"/>
  <c r="L159" i="9"/>
  <c r="C227" i="9"/>
  <c r="I189" i="9"/>
  <c r="K104" i="9"/>
  <c r="K138" i="9"/>
  <c r="N106" i="9"/>
  <c r="O57" i="3"/>
  <c r="H112" i="9"/>
  <c r="C46" i="9"/>
  <c r="N61" i="9"/>
  <c r="H83" i="9"/>
  <c r="E98" i="9"/>
  <c r="E271" i="9"/>
  <c r="L87" i="9"/>
  <c r="E66" i="9"/>
  <c r="N88" i="9"/>
  <c r="F80" i="9"/>
  <c r="G73" i="3"/>
  <c r="I270" i="9"/>
  <c r="E101" i="9"/>
  <c r="E200" i="9"/>
  <c r="F215" i="9"/>
  <c r="L23" i="9"/>
  <c r="I80" i="9"/>
  <c r="E64" i="9"/>
  <c r="K71" i="3"/>
  <c r="H90" i="9"/>
  <c r="E162" i="9"/>
  <c r="E142" i="9"/>
  <c r="H250" i="9"/>
  <c r="N66" i="9"/>
  <c r="O176" i="9"/>
  <c r="H253" i="9"/>
  <c r="O227" i="9"/>
  <c r="E267" i="9"/>
  <c r="O76" i="9"/>
  <c r="H268" i="9"/>
  <c r="H37" i="9"/>
  <c r="L148" i="9"/>
  <c r="C157" i="9"/>
  <c r="I187" i="9"/>
  <c r="E102" i="9"/>
  <c r="N226" i="9"/>
  <c r="C271" i="9"/>
  <c r="I124" i="9"/>
  <c r="E48" i="9"/>
  <c r="G37" i="3"/>
  <c r="I165" i="9"/>
  <c r="E140" i="9"/>
  <c r="K237" i="9"/>
  <c r="C218" i="9"/>
  <c r="L197" i="9"/>
  <c r="O203" i="9"/>
  <c r="H45" i="9"/>
  <c r="N220" i="9"/>
  <c r="E216" i="9"/>
  <c r="F112" i="9"/>
  <c r="C251" i="9"/>
  <c r="N240" i="9"/>
  <c r="L142" i="9"/>
  <c r="H233" i="9"/>
  <c r="K8" i="5"/>
  <c r="C139" i="9"/>
  <c r="H64" i="9"/>
  <c r="K24" i="9"/>
  <c r="I84" i="9"/>
  <c r="K27" i="9"/>
  <c r="E146" i="9"/>
  <c r="K70" i="9"/>
  <c r="E65" i="9"/>
  <c r="F65" i="9"/>
  <c r="N160" i="9"/>
  <c r="K187" i="9"/>
  <c r="L114" i="9"/>
  <c r="F105" i="9"/>
  <c r="L101" i="9"/>
  <c r="I266" i="9"/>
  <c r="H109" i="9"/>
  <c r="E148" i="9"/>
  <c r="K106" i="9"/>
  <c r="F212" i="9"/>
  <c r="O34" i="3"/>
  <c r="N271" i="9"/>
  <c r="F236" i="9"/>
  <c r="C100" i="9"/>
  <c r="L30" i="9"/>
  <c r="F270" i="9"/>
  <c r="I226" i="9"/>
  <c r="L102" i="9"/>
  <c r="K202" i="9"/>
  <c r="F193" i="9"/>
  <c r="N52" i="9"/>
  <c r="N112" i="9"/>
  <c r="H199" i="9"/>
  <c r="F264" i="9"/>
  <c r="F189" i="9"/>
  <c r="C219" i="9"/>
  <c r="O201" i="9"/>
  <c r="C75" i="9"/>
  <c r="H50" i="9"/>
  <c r="N256" i="9"/>
  <c r="E183" i="9"/>
  <c r="E89" i="9"/>
  <c r="O218" i="9"/>
  <c r="F78" i="9"/>
  <c r="F254" i="9"/>
  <c r="K147" i="9"/>
  <c r="F64" i="9"/>
  <c r="C83" i="9"/>
  <c r="C224" i="9"/>
  <c r="F269" i="9"/>
  <c r="N255" i="9"/>
  <c r="L145" i="9"/>
  <c r="C178" i="9"/>
  <c r="F82" i="9"/>
  <c r="F198" i="9"/>
  <c r="H24" i="9"/>
  <c r="K152" i="9"/>
  <c r="C24" i="9"/>
  <c r="H145" i="9"/>
  <c r="K30" i="9"/>
  <c r="G75" i="3"/>
  <c r="K267" i="9"/>
  <c r="O68" i="3"/>
  <c r="G50" i="3"/>
  <c r="O174" i="9"/>
  <c r="F66" i="9"/>
  <c r="O33" i="3"/>
  <c r="L63" i="9"/>
  <c r="E270" i="9"/>
  <c r="C255" i="9"/>
  <c r="E181" i="9"/>
  <c r="F75" i="9"/>
  <c r="C26" i="9"/>
  <c r="N258" i="9"/>
  <c r="G56" i="3"/>
  <c r="F218" i="9"/>
  <c r="O155" i="9"/>
  <c r="E111" i="9"/>
  <c r="C196" i="9"/>
  <c r="F122" i="9"/>
  <c r="H76" i="9"/>
  <c r="L29" i="9"/>
  <c r="L179" i="9"/>
  <c r="K176" i="9"/>
  <c r="N69" i="9"/>
  <c r="E174" i="9"/>
  <c r="L254" i="9"/>
  <c r="E85" i="9"/>
  <c r="I151" i="9"/>
  <c r="K164" i="9"/>
  <c r="H240" i="9"/>
  <c r="O107" i="9"/>
  <c r="F202" i="9"/>
  <c r="L201" i="9"/>
  <c r="K79" i="9"/>
  <c r="K150" i="9"/>
  <c r="C35" i="9"/>
  <c r="C38" i="9"/>
  <c r="C43" i="9"/>
  <c r="E138" i="9"/>
  <c r="C276" i="9"/>
  <c r="I225" i="9"/>
  <c r="E280" i="9"/>
  <c r="E35" i="9"/>
  <c r="C273" i="9"/>
  <c r="O87" i="9"/>
  <c r="H176" i="9"/>
  <c r="C190" i="9"/>
  <c r="C25" i="9"/>
  <c r="C268" i="9"/>
  <c r="O166" i="9"/>
  <c r="C62" i="9"/>
  <c r="K74" i="3"/>
  <c r="O217" i="9"/>
  <c r="H85" i="9"/>
  <c r="F214" i="9"/>
  <c r="L241" i="9"/>
  <c r="K127" i="9"/>
  <c r="N27" i="9"/>
  <c r="O195" i="9"/>
  <c r="G69" i="3"/>
  <c r="O49" i="9"/>
  <c r="I262" i="9"/>
  <c r="L164" i="9"/>
  <c r="E251" i="9"/>
  <c r="F106" i="9"/>
  <c r="O153" i="9"/>
  <c r="O151" i="9"/>
  <c r="E255" i="9"/>
  <c r="F140" i="9"/>
  <c r="O267" i="9"/>
  <c r="C44" i="9"/>
  <c r="H136" i="9"/>
  <c r="N190" i="9"/>
  <c r="H153" i="9"/>
  <c r="O113" i="9"/>
  <c r="E34" i="9"/>
  <c r="E273" i="9"/>
  <c r="N30" i="9"/>
  <c r="K73" i="9"/>
  <c r="N144" i="9"/>
  <c r="I70" i="9"/>
  <c r="O83" i="9"/>
  <c r="K118" i="9"/>
  <c r="O273" i="9"/>
  <c r="K234" i="9"/>
  <c r="K51" i="9"/>
  <c r="K75" i="3"/>
  <c r="L82" i="9"/>
  <c r="K88" i="9"/>
  <c r="I31" i="9"/>
  <c r="N146" i="9"/>
  <c r="I24" i="9"/>
  <c r="C102" i="9"/>
  <c r="F161" i="9"/>
  <c r="O40" i="9"/>
  <c r="O229" i="9"/>
  <c r="E196" i="9"/>
  <c r="H216" i="9"/>
  <c r="F280" i="9"/>
  <c r="F24" i="9"/>
  <c r="E42" i="9"/>
  <c r="F165" i="9"/>
  <c r="C160" i="9"/>
  <c r="F45" i="9"/>
  <c r="H203" i="9"/>
  <c r="I139" i="9"/>
  <c r="K140" i="9"/>
  <c r="F116" i="9"/>
  <c r="F166" i="9"/>
  <c r="C154" i="9"/>
  <c r="I107" i="9"/>
  <c r="F34" i="9"/>
  <c r="K114" i="9"/>
  <c r="K163" i="9"/>
  <c r="I26" i="9"/>
  <c r="E166" i="9"/>
  <c r="K86" i="9"/>
  <c r="L150" i="9"/>
  <c r="E139" i="9"/>
  <c r="F77" i="9"/>
  <c r="K58" i="3"/>
  <c r="L125" i="9"/>
  <c r="F41" i="9"/>
  <c r="H98" i="9"/>
  <c r="N196" i="9"/>
  <c r="E47" i="9"/>
  <c r="L140" i="9"/>
  <c r="F35" i="9"/>
  <c r="O185" i="9"/>
  <c r="H119" i="9"/>
  <c r="I223" i="9"/>
  <c r="L237" i="9"/>
  <c r="C152" i="9"/>
  <c r="L190" i="9"/>
  <c r="O62" i="9"/>
  <c r="I113" i="9"/>
  <c r="K145" i="9"/>
  <c r="N42" i="9"/>
  <c r="N214" i="9"/>
  <c r="O255" i="9"/>
  <c r="L40" i="9"/>
  <c r="N164" i="9"/>
  <c r="N142" i="9"/>
  <c r="C67" i="9"/>
  <c r="I143" i="9"/>
  <c r="C159" i="9"/>
  <c r="K200" i="9"/>
  <c r="O85" i="9"/>
  <c r="F273" i="9"/>
  <c r="L229" i="9"/>
  <c r="K177" i="9"/>
  <c r="K61" i="9"/>
  <c r="O140" i="9"/>
  <c r="N102" i="9"/>
  <c r="C34" i="9"/>
  <c r="E147" i="9"/>
  <c r="C52" i="9"/>
  <c r="O38" i="9"/>
  <c r="N89" i="9"/>
  <c r="C222" i="9"/>
  <c r="F150" i="9"/>
  <c r="F152" i="9"/>
  <c r="C89" i="9"/>
  <c r="L84" i="9"/>
  <c r="N230" i="9"/>
  <c r="K25" i="9"/>
  <c r="E164" i="9"/>
  <c r="N43" i="9"/>
  <c r="I61" i="9"/>
  <c r="F222" i="9"/>
  <c r="K39" i="9"/>
  <c r="O184" i="9"/>
  <c r="O141" i="9"/>
  <c r="E253" i="9"/>
  <c r="H25" i="9"/>
  <c r="C79" i="9"/>
  <c r="E43" i="9"/>
  <c r="L136" i="9"/>
  <c r="I40" i="9"/>
  <c r="H42" i="9"/>
  <c r="H162" i="9"/>
  <c r="O42" i="9"/>
  <c r="N275" i="9"/>
  <c r="F84" i="9"/>
  <c r="L70" i="9"/>
  <c r="O108" i="9"/>
  <c r="I128" i="9"/>
  <c r="F200" i="9"/>
  <c r="O237" i="9"/>
  <c r="O181" i="9"/>
  <c r="E266" i="9"/>
  <c r="K62" i="3"/>
  <c r="C191" i="9"/>
  <c r="E50" i="9"/>
  <c r="C193" i="9"/>
  <c r="E117" i="9"/>
  <c r="C40" i="9"/>
  <c r="N157" i="9"/>
  <c r="K33" i="3"/>
  <c r="F230" i="9"/>
  <c r="N231" i="9"/>
  <c r="O254" i="9"/>
  <c r="K20" i="5"/>
  <c r="G31" i="3"/>
  <c r="N166" i="9"/>
  <c r="H127" i="9"/>
  <c r="L105" i="9"/>
  <c r="F192" i="9"/>
  <c r="L214" i="9"/>
  <c r="N236" i="9"/>
  <c r="O193" i="9"/>
  <c r="K123" i="9"/>
  <c r="C162" i="9"/>
  <c r="N194" i="9"/>
  <c r="F233" i="9"/>
  <c r="F70" i="9"/>
  <c r="H224" i="9"/>
  <c r="K13" i="3"/>
  <c r="C126" i="9"/>
  <c r="F62" i="9"/>
  <c r="K159" i="9"/>
  <c r="E272" i="9"/>
  <c r="O66" i="3"/>
  <c r="O148" i="9"/>
  <c r="O45" i="3"/>
  <c r="I175" i="9"/>
  <c r="K223" i="9"/>
  <c r="I214" i="9"/>
  <c r="I50" i="9"/>
  <c r="H35" i="9"/>
  <c r="F44" i="9"/>
  <c r="N268" i="9"/>
  <c r="F50" i="9"/>
  <c r="I49" i="9"/>
  <c r="E179" i="9"/>
  <c r="L251" i="9"/>
  <c r="H150" i="9"/>
  <c r="K68" i="9"/>
  <c r="K90" i="9"/>
  <c r="K61" i="3"/>
  <c r="O58" i="3"/>
  <c r="K219" i="9"/>
  <c r="O35" i="9"/>
  <c r="N147" i="9"/>
  <c r="F40" i="9"/>
  <c r="E144" i="9"/>
  <c r="N272" i="9"/>
  <c r="H165" i="9"/>
  <c r="E192" i="9"/>
  <c r="N261" i="9"/>
  <c r="L189" i="9"/>
  <c r="K148" i="9"/>
  <c r="C182" i="9"/>
  <c r="O100" i="9"/>
  <c r="E105" i="9"/>
  <c r="E158" i="9"/>
  <c r="H110" i="9"/>
  <c r="C229" i="9"/>
  <c r="E75" i="9"/>
  <c r="K201" i="9"/>
  <c r="L231" i="9"/>
  <c r="F278" i="9"/>
  <c r="O252" i="9"/>
  <c r="O228" i="9"/>
  <c r="G57" i="3"/>
  <c r="F142" i="9"/>
  <c r="E110" i="9"/>
  <c r="N189" i="9"/>
  <c r="O101" i="9"/>
  <c r="C23" i="9"/>
  <c r="F32" i="9"/>
  <c r="L112" i="9"/>
  <c r="E277" i="9"/>
  <c r="F23" i="9"/>
  <c r="H122" i="9"/>
  <c r="C280" i="9"/>
  <c r="I63" i="9"/>
  <c r="L277" i="9"/>
  <c r="N163" i="9"/>
  <c r="N78" i="9"/>
  <c r="N77" i="9"/>
  <c r="K31" i="3"/>
  <c r="H273" i="9"/>
  <c r="N26" i="9"/>
  <c r="O50" i="3"/>
  <c r="I147" i="9"/>
  <c r="G62" i="3"/>
  <c r="N218" i="9"/>
  <c r="I89" i="9"/>
  <c r="L239" i="9"/>
  <c r="F110" i="9"/>
  <c r="C71" i="9"/>
  <c r="K34" i="9"/>
  <c r="N104" i="9"/>
  <c r="L196" i="9"/>
  <c r="C238" i="9"/>
  <c r="F103" i="9"/>
  <c r="F224" i="9"/>
  <c r="I274" i="9"/>
  <c r="N251" i="9"/>
  <c r="H232" i="9"/>
  <c r="O72" i="9"/>
  <c r="N192" i="9"/>
  <c r="L37" i="9"/>
  <c r="H158" i="9"/>
  <c r="N107" i="9"/>
  <c r="L238" i="9"/>
  <c r="N28" i="9"/>
  <c r="N64" i="9"/>
  <c r="I72" i="9"/>
  <c r="I144" i="9"/>
  <c r="O178" i="9"/>
  <c r="F271" i="9"/>
  <c r="I98" i="9"/>
  <c r="H183" i="9"/>
  <c r="C213" i="9"/>
  <c r="K204" i="9"/>
  <c r="N50" i="9"/>
  <c r="F31" i="9"/>
  <c r="K261" i="9"/>
  <c r="O268" i="9"/>
  <c r="C140" i="9"/>
  <c r="F257" i="9"/>
  <c r="H118" i="9"/>
  <c r="C78" i="9"/>
  <c r="N235" i="9"/>
  <c r="H230" i="9"/>
  <c r="O192" i="9"/>
  <c r="H272" i="9"/>
  <c r="K162" i="9"/>
  <c r="H73" i="9"/>
  <c r="E150" i="9"/>
  <c r="F60" i="9"/>
  <c r="C187" i="9"/>
  <c r="L68" i="9"/>
  <c r="O79" i="9"/>
  <c r="O216" i="9"/>
  <c r="E141" i="9"/>
  <c r="C158" i="9"/>
  <c r="F46" i="9"/>
  <c r="F234" i="9"/>
  <c r="I177" i="9"/>
  <c r="C202" i="9"/>
  <c r="F147" i="9"/>
  <c r="O41" i="9"/>
  <c r="K60" i="3"/>
  <c r="G44" i="3"/>
  <c r="H99" i="9"/>
  <c r="N49" i="9"/>
  <c r="E201" i="9"/>
  <c r="K10" i="3"/>
  <c r="I122" i="9"/>
  <c r="K10" i="5"/>
  <c r="O75" i="9"/>
  <c r="N99" i="9"/>
  <c r="H101" i="9"/>
  <c r="O161" i="9"/>
  <c r="G41" i="3"/>
  <c r="E22" i="9"/>
  <c r="C90" i="9"/>
  <c r="C108" i="9"/>
  <c r="F181" i="9"/>
  <c r="F72" i="9"/>
  <c r="O231" i="9"/>
  <c r="K9" i="3"/>
  <c r="F228" i="9"/>
  <c r="N239" i="9"/>
  <c r="O223" i="9"/>
  <c r="E79" i="9"/>
  <c r="I155" i="9"/>
  <c r="I114" i="9"/>
  <c r="I278" i="9"/>
  <c r="K264" i="9"/>
  <c r="L181" i="9"/>
  <c r="N127" i="9"/>
  <c r="K214" i="9"/>
  <c r="O74" i="3"/>
  <c r="F203" i="9"/>
  <c r="C110" i="9"/>
  <c r="K193" i="9"/>
  <c r="E203" i="9"/>
  <c r="K78" i="9"/>
  <c r="N37" i="9"/>
  <c r="N75" i="9"/>
  <c r="O164" i="9"/>
  <c r="O183" i="9"/>
  <c r="N84" i="9"/>
  <c r="E214" i="9"/>
  <c r="L116" i="9"/>
  <c r="L39" i="9"/>
  <c r="H223" i="9"/>
  <c r="K222" i="9"/>
  <c r="E187" i="9"/>
  <c r="C234" i="9"/>
  <c r="I198" i="9"/>
  <c r="N263" i="9"/>
  <c r="K183" i="9"/>
  <c r="E235" i="9"/>
  <c r="F250" i="9"/>
  <c r="L79" i="9"/>
  <c r="O156" i="9"/>
  <c r="N141" i="9"/>
  <c r="K235" i="9"/>
  <c r="F253" i="9"/>
  <c r="H31" i="9"/>
  <c r="L276" i="9"/>
  <c r="F156" i="9"/>
  <c r="K17" i="5"/>
  <c r="I76" i="9"/>
  <c r="K158" i="9"/>
  <c r="K121" i="9"/>
  <c r="O65" i="3"/>
  <c r="F260" i="9"/>
  <c r="E73" i="9"/>
  <c r="E60" i="9"/>
  <c r="N175" i="9"/>
  <c r="E279" i="9"/>
  <c r="K257" i="9"/>
  <c r="C81" i="9"/>
  <c r="O263" i="9"/>
  <c r="N126" i="9"/>
  <c r="O81" i="9"/>
  <c r="L270" i="9"/>
  <c r="O262" i="9"/>
  <c r="L221" i="9"/>
  <c r="N278" i="9"/>
  <c r="C123" i="9"/>
  <c r="E112" i="9"/>
  <c r="L128" i="9"/>
  <c r="K35" i="9"/>
  <c r="C253" i="9"/>
  <c r="N273" i="9"/>
  <c r="N35" i="9"/>
  <c r="K46" i="9"/>
  <c r="I202" i="9"/>
  <c r="L45" i="9"/>
  <c r="E152" i="9"/>
  <c r="N176" i="9"/>
  <c r="I255" i="9"/>
  <c r="O138" i="9"/>
  <c r="C124" i="9"/>
  <c r="O125" i="9"/>
  <c r="N24" i="9"/>
  <c r="O36" i="3"/>
  <c r="E40" i="9"/>
  <c r="K6" i="5"/>
  <c r="K9" i="5"/>
  <c r="O70" i="3"/>
  <c r="H234" i="9"/>
  <c r="G40" i="3"/>
  <c r="C223" i="9"/>
  <c r="H23" i="9"/>
  <c r="I109" i="9"/>
  <c r="E250" i="9"/>
  <c r="K142" i="9"/>
  <c r="C236" i="9"/>
  <c r="F61" i="9"/>
  <c r="N85" i="9"/>
  <c r="O45" i="9"/>
  <c r="E28" i="9"/>
  <c r="O70" i="9"/>
  <c r="L64" i="9"/>
  <c r="C231" i="9"/>
  <c r="K74" i="9"/>
  <c r="K186" i="9"/>
  <c r="H266" i="9"/>
  <c r="H280" i="9"/>
  <c r="O276" i="9"/>
  <c r="L62" i="9"/>
  <c r="F33" i="9"/>
  <c r="O77" i="9"/>
  <c r="O143" i="9"/>
  <c r="N269" i="9"/>
  <c r="N108" i="9"/>
  <c r="L219" i="9"/>
  <c r="I275" i="9"/>
  <c r="L51" i="9"/>
  <c r="O239" i="9"/>
  <c r="O277" i="9"/>
  <c r="O31" i="9"/>
  <c r="C109" i="9"/>
  <c r="K240" i="9"/>
  <c r="N74" i="9"/>
  <c r="O117" i="9"/>
  <c r="O194" i="9"/>
  <c r="C65" i="9"/>
  <c r="C181" i="9"/>
  <c r="L230" i="9"/>
  <c r="F261" i="9"/>
  <c r="C250" i="9"/>
  <c r="L195" i="9"/>
  <c r="E136" i="9"/>
  <c r="K44" i="3"/>
  <c r="E113" i="9"/>
  <c r="H117" i="9"/>
  <c r="N154" i="9"/>
  <c r="N184" i="9"/>
  <c r="C163" i="9"/>
  <c r="C82" i="9"/>
  <c r="C257" i="9"/>
  <c r="G39" i="3"/>
  <c r="N68" i="9"/>
  <c r="N86" i="9"/>
  <c r="L126" i="9"/>
  <c r="O123" i="9"/>
  <c r="H279" i="9"/>
  <c r="L177" i="9"/>
  <c r="I83" i="9"/>
  <c r="K180" i="9"/>
  <c r="F88" i="9"/>
  <c r="K50" i="9"/>
  <c r="H236" i="9"/>
  <c r="L48" i="9"/>
  <c r="K71" i="9"/>
  <c r="F125" i="9"/>
  <c r="F26" i="9"/>
  <c r="C252" i="9"/>
  <c r="O47" i="9"/>
  <c r="H61" i="9"/>
  <c r="E184" i="9"/>
  <c r="N113" i="9"/>
  <c r="K81" i="9"/>
  <c r="N63" i="9"/>
  <c r="E88" i="9"/>
  <c r="E194" i="9"/>
  <c r="C267" i="9"/>
  <c r="C195" i="9"/>
  <c r="L71" i="9"/>
  <c r="E26" i="9"/>
  <c r="C165" i="9"/>
  <c r="E153" i="9"/>
  <c r="C69" i="9"/>
  <c r="K16" i="5"/>
  <c r="O41" i="3"/>
  <c r="I103" i="9"/>
  <c r="K149" i="9"/>
  <c r="K99" i="9"/>
  <c r="L107" i="9"/>
  <c r="E177" i="9"/>
  <c r="O122" i="9"/>
  <c r="K8" i="3"/>
  <c r="C45" i="9"/>
  <c r="K17" i="3"/>
  <c r="C216" i="9"/>
  <c r="I28" i="9"/>
  <c r="O64" i="9"/>
  <c r="E149" i="9"/>
  <c r="O154" i="9"/>
  <c r="O28" i="9"/>
  <c r="L188" i="9"/>
  <c r="C101" i="9"/>
  <c r="I148" i="9"/>
  <c r="F220" i="9"/>
  <c r="C183" i="9"/>
  <c r="H258" i="9"/>
  <c r="H66" i="9"/>
  <c r="C200" i="9"/>
  <c r="E25" i="9"/>
  <c r="K23" i="3"/>
  <c r="H197" i="9"/>
  <c r="F223" i="9"/>
  <c r="E234" i="9"/>
  <c r="H75" i="9"/>
  <c r="H187" i="9"/>
  <c r="G46" i="3"/>
  <c r="I75" i="9"/>
  <c r="N259" i="9"/>
  <c r="H226" i="9"/>
  <c r="N222" i="9"/>
  <c r="N227" i="9"/>
  <c r="L180" i="9"/>
  <c r="K49" i="9"/>
  <c r="F163" i="9"/>
  <c r="K15" i="3"/>
  <c r="K184" i="9"/>
  <c r="E41" i="9"/>
  <c r="F272" i="9"/>
  <c r="C177" i="9"/>
  <c r="N152" i="9"/>
  <c r="L220" i="9"/>
  <c r="I136" i="9"/>
  <c r="O89" i="9"/>
  <c r="N34" i="9"/>
  <c r="K63" i="9"/>
  <c r="C204" i="9"/>
  <c r="N204" i="9"/>
  <c r="F47" i="9"/>
  <c r="K128" i="9"/>
  <c r="I184" i="9"/>
  <c r="E70" i="9"/>
  <c r="O39" i="9"/>
  <c r="F89" i="9"/>
  <c r="G43" i="3"/>
  <c r="H227" i="9"/>
  <c r="N165" i="9"/>
  <c r="I156" i="9"/>
  <c r="N121" i="9"/>
  <c r="L141" i="9"/>
  <c r="F148" i="9"/>
  <c r="L275" i="9"/>
  <c r="C122" i="9"/>
  <c r="H113" i="9"/>
  <c r="F102" i="9"/>
  <c r="N119" i="9"/>
  <c r="K70" i="3"/>
  <c r="E122" i="9"/>
  <c r="H252" i="9"/>
  <c r="H100" i="9"/>
  <c r="I126" i="9"/>
  <c r="C149" i="9"/>
  <c r="K279" i="9"/>
  <c r="O90" i="9"/>
  <c r="H278" i="9"/>
  <c r="C254" i="9"/>
  <c r="C265" i="9"/>
  <c r="L119" i="9"/>
  <c r="H198" i="9"/>
  <c r="C237" i="9"/>
  <c r="N73" i="9"/>
  <c r="H174" i="9"/>
  <c r="I102" i="9"/>
  <c r="N151" i="9"/>
  <c r="E118" i="9"/>
  <c r="O152" i="9"/>
  <c r="E77" i="9"/>
  <c r="E63" i="9"/>
  <c r="L273" i="9"/>
  <c r="F49" i="9"/>
  <c r="H107" i="9"/>
  <c r="I160" i="9"/>
  <c r="L256" i="9"/>
  <c r="E90" i="9"/>
  <c r="L151" i="9"/>
  <c r="I68" i="9"/>
  <c r="O69" i="9"/>
  <c r="O278" i="9"/>
  <c r="K103" i="9"/>
  <c r="H123" i="9"/>
  <c r="F216" i="9"/>
  <c r="C64" i="9"/>
  <c r="C232" i="9"/>
  <c r="O46" i="3"/>
  <c r="C258" i="9"/>
  <c r="E180" i="9"/>
  <c r="I263" i="9"/>
  <c r="E229" i="9"/>
  <c r="H111" i="9"/>
  <c r="K256" i="9"/>
  <c r="C199" i="9"/>
  <c r="K19" i="3"/>
  <c r="O34" i="9"/>
  <c r="L100" i="9"/>
  <c r="N31" i="9"/>
  <c r="L162" i="9"/>
  <c r="O224" i="9"/>
  <c r="N138" i="9"/>
  <c r="N83" i="9"/>
  <c r="O280" i="9"/>
  <c r="K37" i="9"/>
  <c r="F242" i="9"/>
  <c r="H192" i="9"/>
  <c r="F90" i="9"/>
  <c r="F121" i="9"/>
  <c r="C114" i="9"/>
  <c r="L267" i="9"/>
  <c r="K153" i="9"/>
  <c r="O66" i="9"/>
  <c r="C146" i="9"/>
  <c r="E160" i="9"/>
  <c r="L235" i="9"/>
  <c r="I254" i="9"/>
  <c r="G38" i="3"/>
  <c r="K199" i="9"/>
  <c r="H144" i="9"/>
  <c r="O251" i="9"/>
  <c r="N203" i="9"/>
  <c r="C87" i="9"/>
  <c r="C269" i="9"/>
  <c r="C29" i="9"/>
  <c r="L262" i="9"/>
  <c r="K107" i="9"/>
  <c r="O103" i="9"/>
  <c r="K98" i="9"/>
  <c r="K12" i="5"/>
  <c r="O272" i="9"/>
  <c r="F157" i="9"/>
  <c r="H265" i="9"/>
  <c r="K166" i="9"/>
  <c r="C105" i="9"/>
  <c r="I154" i="9"/>
  <c r="O67" i="9"/>
  <c r="K194" i="9"/>
  <c r="O114" i="9"/>
  <c r="K203" i="9"/>
  <c r="O265" i="9"/>
  <c r="L89" i="9"/>
  <c r="O266" i="9"/>
  <c r="H220" i="9"/>
  <c r="G32" i="3"/>
  <c r="N174" i="9"/>
  <c r="K112" i="9"/>
  <c r="E125" i="9"/>
  <c r="I23" i="9"/>
  <c r="K25" i="3"/>
  <c r="C228" i="9"/>
  <c r="F176" i="9"/>
  <c r="K160" i="9"/>
  <c r="H105" i="9"/>
  <c r="H52" i="9"/>
  <c r="I196" i="9"/>
  <c r="N224" i="9"/>
  <c r="K239" i="9"/>
  <c r="L111" i="9"/>
  <c r="E120" i="9"/>
  <c r="E126" i="9"/>
  <c r="N216" i="9"/>
  <c r="I149" i="9"/>
  <c r="L266" i="9"/>
  <c r="K228" i="9"/>
  <c r="O73" i="3"/>
  <c r="K262" i="9"/>
  <c r="C212" i="9"/>
  <c r="H102" i="9"/>
  <c r="E176" i="9"/>
  <c r="H48" i="9"/>
  <c r="E226" i="9"/>
  <c r="L137" i="9"/>
  <c r="F237" i="9"/>
  <c r="L202" i="9"/>
  <c r="H229" i="9"/>
  <c r="C275" i="9"/>
  <c r="C274" i="9"/>
  <c r="L25" i="9"/>
  <c r="K18" i="5"/>
  <c r="H219" i="9"/>
  <c r="H235" i="9"/>
  <c r="L80" i="9"/>
  <c r="N140" i="9"/>
  <c r="H256" i="9"/>
  <c r="H201" i="9"/>
  <c r="O37" i="3"/>
  <c r="O80" i="9"/>
  <c r="E74" i="9"/>
  <c r="C203" i="9"/>
  <c r="F137" i="9"/>
  <c r="N257" i="9"/>
  <c r="K68" i="3"/>
  <c r="E67" i="9"/>
  <c r="L223" i="9"/>
  <c r="E82" i="9"/>
  <c r="F201" i="9"/>
  <c r="I265" i="9"/>
  <c r="O46" i="9"/>
  <c r="F258" i="9"/>
  <c r="H262" i="9"/>
  <c r="I42" i="9"/>
  <c r="N62" i="9"/>
  <c r="L74" i="9"/>
  <c r="K122" i="9"/>
  <c r="O147" i="9"/>
  <c r="O177" i="9"/>
  <c r="F251" i="9"/>
  <c r="N33" i="9"/>
  <c r="H128" i="9"/>
  <c r="F231" i="9"/>
  <c r="K24" i="3"/>
  <c r="K156" i="9"/>
  <c r="N162" i="9"/>
  <c r="C117" i="9"/>
  <c r="K192" i="9"/>
  <c r="E241" i="9"/>
  <c r="N46" i="9"/>
  <c r="C51" i="9"/>
  <c r="O222" i="9"/>
  <c r="C116" i="9"/>
  <c r="N124" i="9"/>
  <c r="K263" i="9"/>
  <c r="K28" i="9"/>
  <c r="E185" i="9"/>
  <c r="C164" i="9"/>
  <c r="O165" i="9"/>
  <c r="E157" i="9"/>
  <c r="O139" i="9"/>
  <c r="I190" i="9"/>
  <c r="H29" i="9"/>
  <c r="H274" i="9"/>
  <c r="E106" i="9"/>
  <c r="O48" i="9"/>
  <c r="O230" i="9"/>
  <c r="C148" i="9"/>
  <c r="I200" i="9"/>
  <c r="O213" i="9"/>
  <c r="N156" i="9"/>
  <c r="H151" i="9"/>
  <c r="E202" i="9"/>
  <c r="L86" i="9"/>
  <c r="I81" i="9"/>
  <c r="E61" i="9"/>
  <c r="N237" i="9"/>
  <c r="I123" i="9"/>
  <c r="L83" i="9"/>
  <c r="F174" i="9"/>
  <c r="E237" i="9"/>
  <c r="F138" i="9"/>
  <c r="O264" i="9"/>
  <c r="I127" i="9"/>
  <c r="C174" i="9"/>
  <c r="K66" i="3"/>
  <c r="L65" i="9"/>
  <c r="L85" i="9"/>
  <c r="E45" i="9"/>
  <c r="N177" i="9"/>
  <c r="L49" i="9"/>
  <c r="N155" i="9"/>
  <c r="O128" i="9"/>
  <c r="O182" i="9"/>
  <c r="K47" i="9"/>
  <c r="I48" i="9"/>
  <c r="E197" i="9"/>
  <c r="K139" i="9"/>
  <c r="K40" i="9"/>
  <c r="G42" i="3"/>
  <c r="E76" i="9"/>
  <c r="L60" i="9"/>
  <c r="L157" i="9"/>
  <c r="L156" i="9"/>
  <c r="F79" i="9"/>
  <c r="H82" i="9"/>
  <c r="K7" i="5"/>
  <c r="E107" i="9"/>
  <c r="N87" i="9"/>
  <c r="O221" i="9"/>
  <c r="I253" i="9"/>
  <c r="C153" i="9"/>
  <c r="O60" i="3"/>
  <c r="E190" i="9"/>
  <c r="N40" i="9"/>
  <c r="I195" i="9"/>
  <c r="L185" i="9"/>
  <c r="F217" i="9"/>
  <c r="N193" i="9"/>
  <c r="I183" i="9"/>
  <c r="H184" i="9"/>
  <c r="E193" i="9"/>
  <c r="I62" i="9"/>
  <c r="I233" i="9"/>
  <c r="E263" i="9"/>
  <c r="N191" i="9"/>
  <c r="L183" i="9"/>
  <c r="G45" i="3"/>
  <c r="C226" i="9"/>
  <c r="F266" i="9"/>
  <c r="F184" i="9"/>
  <c r="K213" i="9"/>
  <c r="L113" i="9"/>
  <c r="E124" i="9"/>
  <c r="K21" i="5"/>
  <c r="F111" i="9"/>
  <c r="G47" i="3"/>
  <c r="C141" i="9"/>
  <c r="F265" i="9"/>
  <c r="N114" i="9"/>
  <c r="K45" i="9"/>
  <c r="C221" i="9"/>
  <c r="I121" i="9"/>
  <c r="I191" i="9"/>
  <c r="H261" i="9"/>
  <c r="E68" i="9"/>
  <c r="K100" i="9"/>
  <c r="C184" i="9"/>
  <c r="K64" i="9"/>
  <c r="H115" i="9"/>
  <c r="K64" i="3"/>
  <c r="I38" i="9"/>
  <c r="L50" i="9"/>
  <c r="N76" i="9"/>
  <c r="L117" i="9"/>
  <c r="L36" i="9"/>
  <c r="F267" i="9"/>
  <c r="C186" i="9"/>
  <c r="H189" i="9"/>
  <c r="K220" i="9"/>
  <c r="E225" i="9"/>
  <c r="F252" i="9"/>
  <c r="F219" i="9"/>
  <c r="N276" i="9"/>
  <c r="F155" i="9"/>
  <c r="E163" i="9"/>
  <c r="H160" i="9"/>
  <c r="N187" i="9"/>
  <c r="I213" i="9"/>
  <c r="O71" i="3"/>
  <c r="I212" i="9"/>
  <c r="E191" i="9"/>
  <c r="H71" i="9"/>
  <c r="H213" i="9"/>
  <c r="F145" i="9"/>
  <c r="C70" i="9"/>
  <c r="O202" i="9"/>
  <c r="C180" i="9"/>
  <c r="G70" i="3"/>
  <c r="E119" i="9"/>
  <c r="C42" i="9"/>
  <c r="L31" i="9"/>
  <c r="E78" i="9"/>
  <c r="F160" i="9"/>
  <c r="E145" i="9"/>
  <c r="I267" i="9"/>
  <c r="C49" i="9"/>
  <c r="F164" i="9"/>
  <c r="K197" i="9"/>
  <c r="O188" i="9"/>
  <c r="I157" i="9"/>
  <c r="H267" i="9"/>
  <c r="C278" i="9"/>
  <c r="L110" i="9"/>
  <c r="I71" i="9"/>
  <c r="N148" i="9"/>
  <c r="K146" i="9"/>
  <c r="F279" i="9"/>
  <c r="H242" i="9"/>
  <c r="N143" i="9"/>
  <c r="H126" i="9"/>
  <c r="K119" i="9"/>
  <c r="F43" i="9"/>
  <c r="L271" i="9"/>
  <c r="F141" i="9"/>
  <c r="E199" i="9"/>
  <c r="C235" i="9"/>
  <c r="E99" i="9"/>
  <c r="O236" i="9"/>
  <c r="I186" i="9"/>
  <c r="I203" i="9"/>
  <c r="I260" i="9"/>
  <c r="F87" i="9"/>
  <c r="C30" i="9"/>
  <c r="K14" i="3"/>
  <c r="I140" i="9"/>
  <c r="F187" i="9"/>
  <c r="E219" i="9"/>
  <c r="G58" i="3"/>
  <c r="I47" i="9"/>
  <c r="K190" i="9"/>
  <c r="H72" i="9"/>
  <c r="K46" i="3"/>
  <c r="L108" i="9"/>
  <c r="H138" i="9"/>
  <c r="I241" i="9"/>
  <c r="L43" i="9"/>
  <c r="H237" i="9"/>
  <c r="O69" i="3"/>
  <c r="C28" i="9"/>
  <c r="O220" i="9"/>
  <c r="E38" i="9"/>
  <c r="O99" i="9"/>
  <c r="L158" i="9"/>
  <c r="K69" i="9"/>
  <c r="N51" i="9"/>
  <c r="O256" i="9"/>
  <c r="K179" i="9"/>
  <c r="K255" i="9"/>
  <c r="I251" i="9"/>
  <c r="K116" i="9"/>
  <c r="O60" i="9"/>
  <c r="C277" i="9"/>
  <c r="F124" i="9"/>
  <c r="K43" i="9"/>
  <c r="O27" i="9"/>
  <c r="K113" i="9"/>
  <c r="L194" i="9"/>
  <c r="K253" i="9"/>
  <c r="K195" i="9"/>
  <c r="F241" i="9"/>
  <c r="I111" i="9"/>
  <c r="N70" i="9"/>
  <c r="O226" i="9"/>
  <c r="F107" i="9"/>
  <c r="I259" i="9"/>
  <c r="C215" i="9"/>
  <c r="C86" i="9"/>
  <c r="N125" i="9"/>
  <c r="C36" i="9"/>
  <c r="K277" i="9"/>
  <c r="F115" i="9"/>
  <c r="E224" i="9"/>
  <c r="H43" i="9"/>
  <c r="H147" i="9"/>
  <c r="O61" i="3"/>
  <c r="L216" i="9"/>
  <c r="H60" i="9"/>
  <c r="F119" i="9"/>
  <c r="I179" i="9"/>
  <c r="I116" i="9"/>
  <c r="K29" i="9"/>
  <c r="K77" i="9"/>
  <c r="L232" i="9"/>
  <c r="G72" i="3"/>
  <c r="I201" i="9"/>
  <c r="C185" i="9"/>
  <c r="O67" i="3"/>
  <c r="O136" i="9"/>
  <c r="F195" i="9"/>
  <c r="O71" i="9"/>
  <c r="F123" i="9"/>
  <c r="K47" i="3"/>
  <c r="K280" i="9"/>
  <c r="K259" i="9"/>
  <c r="L184" i="9"/>
  <c r="I79" i="9"/>
  <c r="K48" i="9"/>
  <c r="K175" i="9"/>
  <c r="N180" i="9"/>
  <c r="E156" i="9"/>
  <c r="C262" i="9"/>
  <c r="K87" i="9"/>
  <c r="K212" i="9"/>
  <c r="E52" i="9"/>
  <c r="F30" i="9"/>
  <c r="F73" i="9"/>
  <c r="L233" i="9"/>
  <c r="E104" i="9"/>
  <c r="L67" i="9"/>
  <c r="H86" i="9"/>
  <c r="I104" i="9"/>
  <c r="H36" i="9"/>
  <c r="L192" i="9"/>
  <c r="I145" i="9"/>
  <c r="L278" i="9"/>
  <c r="O261" i="9"/>
  <c r="I120" i="9"/>
  <c r="C279" i="9"/>
  <c r="E109" i="9"/>
  <c r="E46" i="9"/>
  <c r="K161" i="9"/>
  <c r="K11" i="3"/>
  <c r="C138" i="9"/>
  <c r="E232" i="9"/>
  <c r="L213" i="9"/>
  <c r="C233" i="9"/>
  <c r="F199" i="9"/>
  <c r="H264" i="9"/>
  <c r="L26" i="9"/>
  <c r="N45" i="9"/>
  <c r="E51" i="9"/>
  <c r="O145" i="9"/>
  <c r="N48" i="9"/>
  <c r="I119" i="9"/>
  <c r="H106" i="9"/>
  <c r="O32" i="9"/>
  <c r="K39" i="3"/>
  <c r="I159" i="9"/>
  <c r="I268" i="9"/>
  <c r="L163" i="9"/>
  <c r="I141" i="9"/>
  <c r="F151" i="9"/>
  <c r="I27" i="9"/>
  <c r="G36" i="3"/>
  <c r="E33" i="9"/>
  <c r="N199" i="9"/>
  <c r="O158" i="9"/>
  <c r="O23" i="9"/>
  <c r="C68" i="9"/>
  <c r="E128" i="9"/>
  <c r="H89" i="9"/>
  <c r="O30" i="9"/>
  <c r="H44" i="9"/>
  <c r="K157" i="9"/>
  <c r="L253" i="9"/>
  <c r="C73" i="9"/>
  <c r="I276" i="9"/>
  <c r="I239" i="9"/>
  <c r="N100" i="9"/>
  <c r="L234" i="9"/>
  <c r="C264" i="9"/>
  <c r="O63" i="9"/>
  <c r="O126" i="9"/>
  <c r="C120" i="9"/>
  <c r="F39" i="9"/>
  <c r="I33" i="9"/>
  <c r="O64" i="3"/>
  <c r="I158" i="9"/>
  <c r="O250" i="9"/>
  <c r="O259" i="9"/>
  <c r="H84" i="9"/>
  <c r="F277" i="9"/>
  <c r="L272" i="9"/>
  <c r="O212" i="9"/>
  <c r="F229" i="9"/>
  <c r="F36" i="9"/>
  <c r="N264" i="9"/>
  <c r="H46" i="9"/>
  <c r="G66" i="3"/>
  <c r="C166" i="9"/>
  <c r="N228" i="9"/>
  <c r="I150" i="9"/>
  <c r="K37" i="3"/>
  <c r="C128" i="9"/>
  <c r="H259" i="9"/>
  <c r="F238" i="9"/>
  <c r="O62" i="3"/>
  <c r="K125" i="9"/>
  <c r="C85" i="9"/>
  <c r="H88" i="9"/>
  <c r="K42" i="9"/>
  <c r="K15" i="5"/>
  <c r="H181" i="9"/>
  <c r="N267" i="9"/>
  <c r="E86" i="9"/>
  <c r="L115" i="9"/>
  <c r="O175" i="9"/>
  <c r="H270" i="9"/>
  <c r="K265" i="9"/>
  <c r="L99" i="9"/>
  <c r="I178" i="9"/>
  <c r="C37" i="9"/>
  <c r="L268" i="9"/>
  <c r="K105" i="9"/>
  <c r="H156" i="9"/>
  <c r="O190" i="9"/>
  <c r="C230" i="9"/>
  <c r="C136" i="9"/>
  <c r="H271" i="9"/>
  <c r="E80" i="9"/>
  <c r="F159" i="9"/>
  <c r="I108" i="9"/>
  <c r="I22" i="9"/>
  <c r="L66" i="9"/>
  <c r="E165" i="9"/>
  <c r="I182" i="9"/>
  <c r="I65" i="9"/>
  <c r="I142" i="9"/>
  <c r="F177" i="9"/>
  <c r="C88" i="9"/>
  <c r="K56" i="3"/>
  <c r="H34" i="9"/>
  <c r="L186" i="9"/>
  <c r="H103" i="9"/>
  <c r="H116" i="9"/>
  <c r="I215" i="9"/>
  <c r="E223" i="9"/>
  <c r="N29" i="9"/>
  <c r="O104" i="9"/>
  <c r="E221" i="9"/>
  <c r="E217" i="9"/>
  <c r="O98" i="9"/>
  <c r="L240" i="9"/>
  <c r="L41" i="9"/>
  <c r="E213" i="9"/>
  <c r="L199" i="9"/>
  <c r="N153" i="9"/>
  <c r="H225" i="9"/>
  <c r="I73" i="9"/>
  <c r="N161" i="9"/>
  <c r="C113" i="9"/>
  <c r="N110" i="9"/>
  <c r="K102" i="9"/>
  <c r="K137" i="9"/>
  <c r="O200" i="9"/>
  <c r="E30" i="9"/>
  <c r="O33" i="9"/>
  <c r="K275" i="9"/>
  <c r="H81" i="9"/>
  <c r="C197" i="9"/>
  <c r="C147" i="9"/>
  <c r="I153" i="9"/>
  <c r="F74" i="9"/>
  <c r="K44" i="9"/>
  <c r="F128" i="9"/>
  <c r="F139" i="9"/>
  <c r="K155" i="9"/>
  <c r="C60" i="9"/>
  <c r="N136" i="9"/>
  <c r="E269" i="9"/>
  <c r="H70" i="9"/>
  <c r="I220" i="9"/>
  <c r="H238" i="9"/>
  <c r="I279" i="9"/>
  <c r="L175" i="9"/>
  <c r="H277" i="9"/>
  <c r="I41" i="9"/>
  <c r="O65" i="9"/>
  <c r="I60" i="9"/>
  <c r="L174" i="9"/>
  <c r="O149" i="9"/>
  <c r="I236" i="9"/>
  <c r="E69" i="9"/>
  <c r="E236" i="9"/>
  <c r="F183" i="9"/>
  <c r="N81" i="9"/>
  <c r="K224" i="9"/>
  <c r="O48" i="3"/>
  <c r="K21" i="3"/>
  <c r="C175" i="9"/>
  <c r="E231" i="9"/>
  <c r="L35" i="9"/>
  <c r="O110" i="9"/>
  <c r="O160" i="9"/>
  <c r="L32" i="9"/>
  <c r="H62" i="9"/>
  <c r="O105" i="9"/>
  <c r="N123" i="9"/>
  <c r="I77" i="9"/>
  <c r="K40" i="3"/>
  <c r="I46" i="9"/>
  <c r="O279" i="9"/>
  <c r="I250" i="9"/>
  <c r="N201" i="9"/>
  <c r="N60" i="9"/>
  <c r="N188" i="9"/>
  <c r="E257" i="9"/>
  <c r="K33" i="9"/>
  <c r="C84" i="9"/>
  <c r="F29" i="9"/>
  <c r="L98" i="9"/>
  <c r="K111" i="9"/>
  <c r="C266" i="9"/>
  <c r="O73" i="9"/>
  <c r="N118" i="9"/>
  <c r="O150" i="9"/>
  <c r="K266" i="9"/>
  <c r="E230" i="9"/>
  <c r="H143" i="9"/>
  <c r="F188" i="9"/>
  <c r="L118" i="9"/>
  <c r="N198" i="9"/>
  <c r="I66" i="9"/>
  <c r="I271" i="9"/>
  <c r="K188" i="9"/>
  <c r="E123" i="9"/>
  <c r="I152" i="9"/>
  <c r="K174" i="9"/>
  <c r="K22" i="3"/>
  <c r="E228" i="9"/>
  <c r="H263" i="9"/>
  <c r="H177" i="9"/>
  <c r="N252" i="9"/>
  <c r="H214" i="9"/>
  <c r="O187" i="9"/>
  <c r="L236" i="9"/>
  <c r="I174" i="9"/>
  <c r="L27" i="9"/>
  <c r="L73" i="9"/>
  <c r="C74" i="9"/>
  <c r="F98" i="9"/>
  <c r="I264" i="9"/>
  <c r="L33" i="9"/>
  <c r="H254" i="9"/>
  <c r="N25" i="9"/>
  <c r="K254" i="9"/>
  <c r="N266" i="9"/>
  <c r="N103" i="9"/>
  <c r="F144" i="9"/>
  <c r="E262" i="9"/>
  <c r="C39" i="9"/>
  <c r="K18" i="3"/>
  <c r="N241" i="9"/>
  <c r="G65" i="3"/>
  <c r="N254" i="9"/>
  <c r="I37" i="9"/>
  <c r="I35" i="9"/>
  <c r="O189" i="9"/>
  <c r="I242" i="9"/>
  <c r="O240" i="9"/>
  <c r="H186" i="9"/>
  <c r="I30" i="9"/>
  <c r="E23" i="9"/>
  <c r="O234" i="9"/>
  <c r="C161" i="9"/>
  <c r="E81" i="9"/>
  <c r="O32" i="3"/>
  <c r="I216" i="9"/>
  <c r="K241" i="9"/>
  <c r="K43" i="3"/>
  <c r="I192" i="9"/>
  <c r="K36" i="3"/>
  <c r="N253" i="9"/>
  <c r="E37" i="9"/>
  <c r="C137" i="9"/>
  <c r="E261" i="9"/>
  <c r="H269" i="9"/>
  <c r="K191" i="9"/>
  <c r="O120" i="9"/>
  <c r="N47" i="9"/>
  <c r="I74" i="9"/>
  <c r="K7" i="3"/>
  <c r="E161" i="9"/>
  <c r="I45" i="9"/>
  <c r="E218" i="9"/>
  <c r="C112" i="9"/>
  <c r="O215" i="9"/>
  <c r="L279" i="9"/>
  <c r="I272" i="9"/>
  <c r="O127" i="9"/>
  <c r="N111" i="9"/>
  <c r="C41" i="9"/>
  <c r="I105" i="9"/>
  <c r="N217" i="9"/>
  <c r="O275" i="9"/>
  <c r="I237" i="9"/>
  <c r="C201" i="9"/>
  <c r="I106" i="9"/>
  <c r="K226" i="9"/>
  <c r="C220" i="9"/>
  <c r="O253" i="9"/>
  <c r="O144" i="9"/>
  <c r="K230" i="9"/>
  <c r="O75" i="3"/>
  <c r="G64" i="3"/>
  <c r="K189" i="9"/>
  <c r="I235" i="9"/>
  <c r="L200" i="9"/>
  <c r="K89" i="9"/>
  <c r="H194" i="9"/>
  <c r="K60" i="9"/>
  <c r="F71" i="9"/>
  <c r="H154" i="9"/>
  <c r="O242" i="9"/>
  <c r="I193" i="9"/>
  <c r="K250" i="9"/>
  <c r="I162" i="9"/>
  <c r="I218" i="9"/>
  <c r="L127" i="9"/>
  <c r="K69" i="3"/>
  <c r="E182" i="9"/>
  <c r="K276" i="9"/>
  <c r="E49" i="9"/>
  <c r="K52" i="9"/>
  <c r="K198" i="9"/>
  <c r="N221" i="9"/>
  <c r="N137" i="9"/>
  <c r="F68" i="9"/>
  <c r="C272" i="9"/>
  <c r="F120" i="9"/>
  <c r="F204" i="9"/>
  <c r="N79" i="9"/>
  <c r="H26" i="9"/>
  <c r="K22" i="5"/>
  <c r="E108" i="9"/>
  <c r="F235" i="9"/>
  <c r="O109" i="9"/>
  <c r="I161" i="9"/>
  <c r="L222" i="9"/>
  <c r="L81" i="9"/>
  <c r="I67" i="9"/>
  <c r="K185" i="9"/>
  <c r="K85" i="9"/>
  <c r="H120" i="9"/>
  <c r="H63" i="9"/>
  <c r="K120" i="9"/>
  <c r="C98" i="9"/>
  <c r="C270" i="9"/>
  <c r="O74" i="9"/>
  <c r="E220" i="9"/>
  <c r="O118" i="9"/>
  <c r="O157" i="9"/>
  <c r="K48" i="3"/>
  <c r="L261" i="9"/>
  <c r="O37" i="9"/>
  <c r="K80" i="9"/>
  <c r="O106" i="9"/>
  <c r="L280" i="9"/>
  <c r="H215" i="9"/>
  <c r="K233" i="9"/>
  <c r="F67" i="9"/>
  <c r="N279" i="9"/>
  <c r="L147" i="9"/>
  <c r="F126" i="9"/>
  <c r="N71" i="9"/>
  <c r="F27" i="9"/>
  <c r="E143" i="9"/>
  <c r="H114" i="9"/>
  <c r="K109" i="9"/>
  <c r="N36" i="9"/>
  <c r="O260" i="9"/>
  <c r="K41" i="3"/>
  <c r="K124" i="9"/>
  <c r="K20" i="3"/>
  <c r="N80" i="9"/>
  <c r="K25" i="5"/>
  <c r="K136" i="9"/>
  <c r="O61" i="9"/>
  <c r="H191" i="9"/>
  <c r="O102" i="9"/>
  <c r="N41" i="9"/>
  <c r="C142" i="9"/>
  <c r="H152" i="9"/>
  <c r="G34" i="3"/>
  <c r="I117" i="9"/>
  <c r="F109" i="9"/>
  <c r="F76" i="9"/>
  <c r="N242" i="9"/>
  <c r="E116" i="9"/>
  <c r="I222" i="9"/>
  <c r="C50" i="9"/>
  <c r="H228" i="9"/>
  <c r="L224" i="9"/>
  <c r="C239" i="9"/>
  <c r="E178" i="9"/>
  <c r="H69" i="9"/>
  <c r="L176" i="9"/>
  <c r="I199" i="9"/>
  <c r="I230" i="9"/>
  <c r="I238" i="9"/>
  <c r="F85" i="9"/>
  <c r="L47" i="9"/>
  <c r="I231" i="9"/>
  <c r="O43" i="9"/>
  <c r="C156" i="9"/>
  <c r="K16" i="3"/>
  <c r="I164" i="9"/>
  <c r="C115" i="9"/>
  <c r="K72" i="3"/>
  <c r="H27" i="9"/>
  <c r="K67" i="9"/>
  <c r="L78" i="9"/>
  <c r="H39" i="9"/>
  <c r="N72" i="3" l="1"/>
  <c r="M72" i="3"/>
  <c r="L72" i="3"/>
  <c r="M115" i="9"/>
  <c r="G115" i="9"/>
  <c r="D115" i="9"/>
  <c r="J115" i="9"/>
  <c r="N16" i="3"/>
  <c r="L16" i="3"/>
  <c r="M16" i="3"/>
  <c r="G156" i="9"/>
  <c r="M156" i="9"/>
  <c r="J156" i="9"/>
  <c r="D156" i="9"/>
  <c r="D239" i="9"/>
  <c r="J239" i="9"/>
  <c r="M239" i="9"/>
  <c r="G239" i="9"/>
  <c r="J50" i="9"/>
  <c r="M50" i="9"/>
  <c r="D50" i="9"/>
  <c r="G50" i="9"/>
  <c r="H34" i="3"/>
  <c r="J34" i="3"/>
  <c r="I34" i="3"/>
  <c r="J142" i="9"/>
  <c r="D142" i="9"/>
  <c r="M142" i="9"/>
  <c r="G142" i="9"/>
  <c r="M25" i="5"/>
  <c r="N25" i="5"/>
  <c r="L25" i="5"/>
  <c r="M20" i="3"/>
  <c r="N20" i="3"/>
  <c r="L20" i="3"/>
  <c r="M41" i="3"/>
  <c r="L41" i="3"/>
  <c r="N41" i="3"/>
  <c r="M48" i="3"/>
  <c r="L48" i="3"/>
  <c r="N48" i="3"/>
  <c r="D270" i="9"/>
  <c r="G270" i="9"/>
  <c r="M270" i="9"/>
  <c r="J270" i="9"/>
  <c r="J98" i="9"/>
  <c r="G98" i="9"/>
  <c r="D98" i="9"/>
  <c r="M98" i="9"/>
  <c r="C130" i="9"/>
  <c r="M22" i="5"/>
  <c r="L22" i="5"/>
  <c r="N22" i="5"/>
  <c r="G272" i="9"/>
  <c r="J272" i="9"/>
  <c r="M272" i="9"/>
  <c r="D272" i="9"/>
  <c r="L69" i="3"/>
  <c r="M69" i="3"/>
  <c r="N69" i="3"/>
  <c r="J64" i="3"/>
  <c r="H64" i="3"/>
  <c r="I64" i="3"/>
  <c r="Q75" i="3"/>
  <c r="R75" i="3"/>
  <c r="P75" i="3"/>
  <c r="D220" i="9"/>
  <c r="J220" i="9"/>
  <c r="M220" i="9"/>
  <c r="G220" i="9"/>
  <c r="M201" i="9"/>
  <c r="D201" i="9"/>
  <c r="G201" i="9"/>
  <c r="J201" i="9"/>
  <c r="D41" i="9"/>
  <c r="J41" i="9"/>
  <c r="M41" i="9"/>
  <c r="G41" i="9"/>
  <c r="J112" i="9"/>
  <c r="G112" i="9"/>
  <c r="M112" i="9"/>
  <c r="D112" i="9"/>
  <c r="M7" i="3"/>
  <c r="N7" i="3"/>
  <c r="L7" i="3"/>
  <c r="J137" i="9"/>
  <c r="M137" i="9"/>
  <c r="G137" i="9"/>
  <c r="D137" i="9"/>
  <c r="L36" i="3"/>
  <c r="N36" i="3"/>
  <c r="M36" i="3"/>
  <c r="N43" i="3"/>
  <c r="M43" i="3"/>
  <c r="L43" i="3"/>
  <c r="Q32" i="3"/>
  <c r="R32" i="3"/>
  <c r="P32" i="3"/>
  <c r="D161" i="9"/>
  <c r="M161" i="9"/>
  <c r="G161" i="9"/>
  <c r="J161" i="9"/>
  <c r="J65" i="3"/>
  <c r="I65" i="3"/>
  <c r="H65" i="3"/>
  <c r="L18" i="3"/>
  <c r="M18" i="3"/>
  <c r="N18" i="3"/>
  <c r="M39" i="9"/>
  <c r="J39" i="9"/>
  <c r="G39" i="9"/>
  <c r="D39" i="9"/>
  <c r="F130" i="9"/>
  <c r="E130" i="9" s="1"/>
  <c r="D6" i="9" s="1"/>
  <c r="D74" i="9"/>
  <c r="J74" i="9"/>
  <c r="G74" i="9"/>
  <c r="M74" i="9"/>
  <c r="I206" i="9"/>
  <c r="H206" i="9" s="1"/>
  <c r="G8" i="9" s="1"/>
  <c r="N22" i="3"/>
  <c r="M22" i="3"/>
  <c r="L22" i="3"/>
  <c r="M266" i="9"/>
  <c r="G266" i="9"/>
  <c r="J266" i="9"/>
  <c r="D266" i="9"/>
  <c r="L130" i="9"/>
  <c r="K130" i="9" s="1"/>
  <c r="J6" i="9" s="1"/>
  <c r="J84" i="9"/>
  <c r="M84" i="9"/>
  <c r="G84" i="9"/>
  <c r="D84" i="9"/>
  <c r="I282" i="9"/>
  <c r="H282" i="9" s="1"/>
  <c r="G14" i="9" s="1"/>
  <c r="L40" i="3"/>
  <c r="M40" i="3"/>
  <c r="N40" i="3"/>
  <c r="M175" i="9"/>
  <c r="G175" i="9"/>
  <c r="J175" i="9"/>
  <c r="D175" i="9"/>
  <c r="L21" i="3"/>
  <c r="N21" i="3"/>
  <c r="M21" i="3"/>
  <c r="P48" i="3"/>
  <c r="Q48" i="3"/>
  <c r="R48" i="3"/>
  <c r="L206" i="9"/>
  <c r="K206" i="9" s="1"/>
  <c r="J8" i="9" s="1"/>
  <c r="I92" i="9"/>
  <c r="H92" i="9" s="1"/>
  <c r="G4" i="9" s="1"/>
  <c r="C92" i="9"/>
  <c r="D60" i="9"/>
  <c r="J60" i="9"/>
  <c r="M60" i="9"/>
  <c r="G60" i="9"/>
  <c r="M147" i="9"/>
  <c r="D147" i="9"/>
  <c r="J147" i="9"/>
  <c r="G147" i="9"/>
  <c r="D197" i="9"/>
  <c r="J197" i="9"/>
  <c r="G197" i="9"/>
  <c r="M197" i="9"/>
  <c r="M113" i="9"/>
  <c r="G113" i="9"/>
  <c r="D113" i="9"/>
  <c r="J113" i="9"/>
  <c r="O130" i="9"/>
  <c r="N130" i="9" s="1"/>
  <c r="M6" i="9" s="1"/>
  <c r="N56" i="3"/>
  <c r="M56" i="3"/>
  <c r="L56" i="3"/>
  <c r="D88" i="9"/>
  <c r="G88" i="9"/>
  <c r="M88" i="9"/>
  <c r="J88" i="9"/>
  <c r="I54" i="9"/>
  <c r="H54" i="9" s="1"/>
  <c r="G16" i="9" s="1"/>
  <c r="C168" i="9"/>
  <c r="G136" i="9"/>
  <c r="D136" i="9"/>
  <c r="M136" i="9"/>
  <c r="J136" i="9"/>
  <c r="J230" i="9"/>
  <c r="M230" i="9"/>
  <c r="G230" i="9"/>
  <c r="D230" i="9"/>
  <c r="J37" i="9"/>
  <c r="D37" i="9"/>
  <c r="M37" i="9"/>
  <c r="G37" i="9"/>
  <c r="L15" i="5"/>
  <c r="N15" i="5"/>
  <c r="M15" i="5"/>
  <c r="D85" i="9"/>
  <c r="M85" i="9"/>
  <c r="J85" i="9"/>
  <c r="G85" i="9"/>
  <c r="Q62" i="3"/>
  <c r="P62" i="3"/>
  <c r="R62" i="3"/>
  <c r="M128" i="9"/>
  <c r="G128" i="9"/>
  <c r="D128" i="9"/>
  <c r="J128" i="9"/>
  <c r="M37" i="3"/>
  <c r="N37" i="3"/>
  <c r="L37" i="3"/>
  <c r="M166" i="9"/>
  <c r="G166" i="9"/>
  <c r="D166" i="9"/>
  <c r="J166" i="9"/>
  <c r="J66" i="3"/>
  <c r="H66" i="3"/>
  <c r="I66" i="3"/>
  <c r="O244" i="9"/>
  <c r="N244" i="9" s="1"/>
  <c r="M10" i="9" s="1"/>
  <c r="O282" i="9"/>
  <c r="N282" i="9" s="1"/>
  <c r="M14" i="9" s="1"/>
  <c r="P64" i="3"/>
  <c r="Q64" i="3"/>
  <c r="R64" i="3"/>
  <c r="J120" i="9"/>
  <c r="G120" i="9"/>
  <c r="D120" i="9"/>
  <c r="M120" i="9"/>
  <c r="M264" i="9"/>
  <c r="J264" i="9"/>
  <c r="G264" i="9"/>
  <c r="D264" i="9"/>
  <c r="G73" i="9"/>
  <c r="D73" i="9"/>
  <c r="M73" i="9"/>
  <c r="J73" i="9"/>
  <c r="D68" i="9"/>
  <c r="M68" i="9"/>
  <c r="J68" i="9"/>
  <c r="G68" i="9"/>
  <c r="J36" i="3"/>
  <c r="I36" i="3"/>
  <c r="H36" i="3"/>
  <c r="L39" i="3"/>
  <c r="M39" i="3"/>
  <c r="N39" i="3"/>
  <c r="J233" i="9"/>
  <c r="D233" i="9"/>
  <c r="M233" i="9"/>
  <c r="G233" i="9"/>
  <c r="M138" i="9"/>
  <c r="G138" i="9"/>
  <c r="D138" i="9"/>
  <c r="J138" i="9"/>
  <c r="L11" i="3"/>
  <c r="N11" i="3"/>
  <c r="M11" i="3"/>
  <c r="M279" i="9"/>
  <c r="J279" i="9"/>
  <c r="D279" i="9"/>
  <c r="G279" i="9"/>
  <c r="M262" i="9"/>
  <c r="G262" i="9"/>
  <c r="J262" i="9"/>
  <c r="D262" i="9"/>
  <c r="L47" i="3"/>
  <c r="M47" i="3"/>
  <c r="N47" i="3"/>
  <c r="O168" i="9"/>
  <c r="N168" i="9" s="1"/>
  <c r="M12" i="9" s="1"/>
  <c r="P67" i="3"/>
  <c r="Q67" i="3"/>
  <c r="R67" i="3"/>
  <c r="J185" i="9"/>
  <c r="M185" i="9"/>
  <c r="G185" i="9"/>
  <c r="D185" i="9"/>
  <c r="H72" i="3"/>
  <c r="I72" i="3"/>
  <c r="J72" i="3"/>
  <c r="P61" i="3"/>
  <c r="R61" i="3"/>
  <c r="Q61" i="3"/>
  <c r="D36" i="9"/>
  <c r="M36" i="9"/>
  <c r="G36" i="9"/>
  <c r="J36" i="9"/>
  <c r="D86" i="9"/>
  <c r="G86" i="9"/>
  <c r="M86" i="9"/>
  <c r="J86" i="9"/>
  <c r="M215" i="9"/>
  <c r="D215" i="9"/>
  <c r="J215" i="9"/>
  <c r="G215" i="9"/>
  <c r="D277" i="9"/>
  <c r="J277" i="9"/>
  <c r="M277" i="9"/>
  <c r="G277" i="9"/>
  <c r="O92" i="9"/>
  <c r="N92" i="9" s="1"/>
  <c r="M4" i="9" s="1"/>
  <c r="M28" i="9"/>
  <c r="G28" i="9"/>
  <c r="J28" i="9"/>
  <c r="D28" i="9"/>
  <c r="Q69" i="3"/>
  <c r="P69" i="3"/>
  <c r="R69" i="3"/>
  <c r="L46" i="3"/>
  <c r="N46" i="3"/>
  <c r="M46" i="3"/>
  <c r="I58" i="3"/>
  <c r="J58" i="3"/>
  <c r="H58" i="3"/>
  <c r="M14" i="3"/>
  <c r="L14" i="3"/>
  <c r="N14" i="3"/>
  <c r="J30" i="9"/>
  <c r="M30" i="9"/>
  <c r="G30" i="9"/>
  <c r="D30" i="9"/>
  <c r="M235" i="9"/>
  <c r="D235" i="9"/>
  <c r="J235" i="9"/>
  <c r="G235" i="9"/>
  <c r="M278" i="9"/>
  <c r="D278" i="9"/>
  <c r="G278" i="9"/>
  <c r="J278" i="9"/>
  <c r="G49" i="9"/>
  <c r="D49" i="9"/>
  <c r="J49" i="9"/>
  <c r="M49" i="9"/>
  <c r="J42" i="9"/>
  <c r="D42" i="9"/>
  <c r="G42" i="9"/>
  <c r="M42" i="9"/>
  <c r="I70" i="3"/>
  <c r="H70" i="3"/>
  <c r="J70" i="3"/>
  <c r="J180" i="9"/>
  <c r="M180" i="9"/>
  <c r="G180" i="9"/>
  <c r="D180" i="9"/>
  <c r="D70" i="9"/>
  <c r="G70" i="9"/>
  <c r="J70" i="9"/>
  <c r="M70" i="9"/>
  <c r="I244" i="9"/>
  <c r="H244" i="9" s="1"/>
  <c r="G10" i="9" s="1"/>
  <c r="P71" i="3"/>
  <c r="Q71" i="3"/>
  <c r="R71" i="3"/>
  <c r="J186" i="9"/>
  <c r="G186" i="9"/>
  <c r="D186" i="9"/>
  <c r="M186" i="9"/>
  <c r="N64" i="3"/>
  <c r="L64" i="3"/>
  <c r="M64" i="3"/>
  <c r="G184" i="9"/>
  <c r="M184" i="9"/>
  <c r="D184" i="9"/>
  <c r="J184" i="9"/>
  <c r="G221" i="9"/>
  <c r="J221" i="9"/>
  <c r="D221" i="9"/>
  <c r="M221" i="9"/>
  <c r="G141" i="9"/>
  <c r="J141" i="9"/>
  <c r="M141" i="9"/>
  <c r="D141" i="9"/>
  <c r="H47" i="3"/>
  <c r="I47" i="3"/>
  <c r="J47" i="3"/>
  <c r="M21" i="5"/>
  <c r="N21" i="5"/>
  <c r="L21" i="5"/>
  <c r="G226" i="9"/>
  <c r="J226" i="9"/>
  <c r="D226" i="9"/>
  <c r="M226" i="9"/>
  <c r="I45" i="3"/>
  <c r="H45" i="3"/>
  <c r="J45" i="3"/>
  <c r="R60" i="3"/>
  <c r="P60" i="3"/>
  <c r="Q60" i="3"/>
  <c r="G153" i="9"/>
  <c r="J153" i="9"/>
  <c r="M153" i="9"/>
  <c r="D153" i="9"/>
  <c r="N7" i="5"/>
  <c r="M7" i="5"/>
  <c r="L7" i="5"/>
  <c r="L92" i="9"/>
  <c r="K92" i="9" s="1"/>
  <c r="J4" i="9" s="1"/>
  <c r="J42" i="3"/>
  <c r="H42" i="3"/>
  <c r="I42" i="3"/>
  <c r="M66" i="3"/>
  <c r="N66" i="3"/>
  <c r="L66" i="3"/>
  <c r="M174" i="9"/>
  <c r="G174" i="9"/>
  <c r="C206" i="9"/>
  <c r="D174" i="9"/>
  <c r="J174" i="9"/>
  <c r="F206" i="9"/>
  <c r="E206" i="9" s="1"/>
  <c r="D8" i="9" s="1"/>
  <c r="D148" i="9"/>
  <c r="G148" i="9"/>
  <c r="J148" i="9"/>
  <c r="M148" i="9"/>
  <c r="J164" i="9"/>
  <c r="D164" i="9"/>
  <c r="G164" i="9"/>
  <c r="M164" i="9"/>
  <c r="D116" i="9"/>
  <c r="J116" i="9"/>
  <c r="G116" i="9"/>
  <c r="M116" i="9"/>
  <c r="G51" i="9"/>
  <c r="D51" i="9"/>
  <c r="J51" i="9"/>
  <c r="M51" i="9"/>
  <c r="G117" i="9"/>
  <c r="D117" i="9"/>
  <c r="M117" i="9"/>
  <c r="J117" i="9"/>
  <c r="L24" i="3"/>
  <c r="N24" i="3"/>
  <c r="M24" i="3"/>
  <c r="N68" i="3"/>
  <c r="L68" i="3"/>
  <c r="M68" i="3"/>
  <c r="D203" i="9"/>
  <c r="M203" i="9"/>
  <c r="G203" i="9"/>
  <c r="J203" i="9"/>
  <c r="P37" i="3"/>
  <c r="R37" i="3"/>
  <c r="Q37" i="3"/>
  <c r="L18" i="5"/>
  <c r="M18" i="5"/>
  <c r="N18" i="5"/>
  <c r="G274" i="9"/>
  <c r="M274" i="9"/>
  <c r="J274" i="9"/>
  <c r="D274" i="9"/>
  <c r="J275" i="9"/>
  <c r="D275" i="9"/>
  <c r="M275" i="9"/>
  <c r="G275" i="9"/>
  <c r="J212" i="9"/>
  <c r="D212" i="9"/>
  <c r="C244" i="9"/>
  <c r="M212" i="9"/>
  <c r="G212" i="9"/>
  <c r="P73" i="3"/>
  <c r="R73" i="3"/>
  <c r="Q73" i="3"/>
  <c r="G228" i="9"/>
  <c r="M228" i="9"/>
  <c r="D228" i="9"/>
  <c r="J228" i="9"/>
  <c r="M25" i="3"/>
  <c r="N25" i="3"/>
  <c r="L25" i="3"/>
  <c r="H32" i="3"/>
  <c r="J32" i="3"/>
  <c r="I32" i="3"/>
  <c r="G105" i="9"/>
  <c r="J105" i="9"/>
  <c r="D105" i="9"/>
  <c r="M105" i="9"/>
  <c r="L12" i="5"/>
  <c r="M12" i="5"/>
  <c r="N12" i="5"/>
  <c r="D29" i="9"/>
  <c r="G29" i="9"/>
  <c r="J29" i="9"/>
  <c r="M29" i="9"/>
  <c r="D269" i="9"/>
  <c r="M269" i="9"/>
  <c r="G269" i="9"/>
  <c r="J269" i="9"/>
  <c r="M87" i="9"/>
  <c r="J87" i="9"/>
  <c r="D87" i="9"/>
  <c r="G87" i="9"/>
  <c r="J38" i="3"/>
  <c r="H38" i="3"/>
  <c r="I38" i="3"/>
  <c r="J146" i="9"/>
  <c r="D146" i="9"/>
  <c r="G146" i="9"/>
  <c r="M146" i="9"/>
  <c r="M114" i="9"/>
  <c r="G114" i="9"/>
  <c r="J114" i="9"/>
  <c r="D114" i="9"/>
  <c r="L19" i="3"/>
  <c r="M19" i="3"/>
  <c r="N19" i="3"/>
  <c r="D199" i="9"/>
  <c r="M199" i="9"/>
  <c r="G199" i="9"/>
  <c r="J199" i="9"/>
  <c r="G258" i="9"/>
  <c r="D258" i="9"/>
  <c r="J258" i="9"/>
  <c r="M258" i="9"/>
  <c r="Q46" i="3"/>
  <c r="R46" i="3"/>
  <c r="P46" i="3"/>
  <c r="M232" i="9"/>
  <c r="D232" i="9"/>
  <c r="G232" i="9"/>
  <c r="J232" i="9"/>
  <c r="D64" i="9"/>
  <c r="J64" i="9"/>
  <c r="G64" i="9"/>
  <c r="M64" i="9"/>
  <c r="D237" i="9"/>
  <c r="G237" i="9"/>
  <c r="J237" i="9"/>
  <c r="M237" i="9"/>
  <c r="D265" i="9"/>
  <c r="M265" i="9"/>
  <c r="J265" i="9"/>
  <c r="G265" i="9"/>
  <c r="G254" i="9"/>
  <c r="M254" i="9"/>
  <c r="J254" i="9"/>
  <c r="D254" i="9"/>
  <c r="J149" i="9"/>
  <c r="G149" i="9"/>
  <c r="D149" i="9"/>
  <c r="M149" i="9"/>
  <c r="M70" i="3"/>
  <c r="N70" i="3"/>
  <c r="L70" i="3"/>
  <c r="D122" i="9"/>
  <c r="J122" i="9"/>
  <c r="G122" i="9"/>
  <c r="M122" i="9"/>
  <c r="I43" i="3"/>
  <c r="H43" i="3"/>
  <c r="J43" i="3"/>
  <c r="M204" i="9"/>
  <c r="D204" i="9"/>
  <c r="J204" i="9"/>
  <c r="G204" i="9"/>
  <c r="I168" i="9"/>
  <c r="H168" i="9" s="1"/>
  <c r="G12" i="9" s="1"/>
  <c r="M177" i="9"/>
  <c r="D177" i="9"/>
  <c r="G177" i="9"/>
  <c r="J177" i="9"/>
  <c r="N15" i="3"/>
  <c r="M15" i="3"/>
  <c r="L15" i="3"/>
  <c r="I46" i="3"/>
  <c r="J46" i="3"/>
  <c r="H46" i="3"/>
  <c r="M23" i="3"/>
  <c r="L23" i="3"/>
  <c r="N23" i="3"/>
  <c r="J200" i="9"/>
  <c r="M200" i="9"/>
  <c r="G200" i="9"/>
  <c r="D200" i="9"/>
  <c r="G183" i="9"/>
  <c r="J183" i="9"/>
  <c r="M183" i="9"/>
  <c r="D183" i="9"/>
  <c r="D101" i="9"/>
  <c r="J101" i="9"/>
  <c r="G101" i="9"/>
  <c r="M101" i="9"/>
  <c r="J216" i="9"/>
  <c r="G216" i="9"/>
  <c r="M216" i="9"/>
  <c r="D216" i="9"/>
  <c r="N17" i="3"/>
  <c r="L17" i="3"/>
  <c r="M17" i="3"/>
  <c r="M45" i="9"/>
  <c r="D45" i="9"/>
  <c r="G45" i="9"/>
  <c r="J45" i="9"/>
  <c r="M8" i="3"/>
  <c r="N8" i="3"/>
  <c r="L8" i="3"/>
  <c r="P41" i="3"/>
  <c r="R41" i="3"/>
  <c r="Q41" i="3"/>
  <c r="M16" i="5"/>
  <c r="L16" i="5"/>
  <c r="N16" i="5"/>
  <c r="D69" i="9"/>
  <c r="J69" i="9"/>
  <c r="G69" i="9"/>
  <c r="M69" i="9"/>
  <c r="G165" i="9"/>
  <c r="J165" i="9"/>
  <c r="D165" i="9"/>
  <c r="M165" i="9"/>
  <c r="M195" i="9"/>
  <c r="D195" i="9"/>
  <c r="G195" i="9"/>
  <c r="J195" i="9"/>
  <c r="M267" i="9"/>
  <c r="G267" i="9"/>
  <c r="J267" i="9"/>
  <c r="D267" i="9"/>
  <c r="G252" i="9"/>
  <c r="D252" i="9"/>
  <c r="J252" i="9"/>
  <c r="M252" i="9"/>
  <c r="I39" i="3"/>
  <c r="J39" i="3"/>
  <c r="H39" i="3"/>
  <c r="D257" i="9"/>
  <c r="J257" i="9"/>
  <c r="M257" i="9"/>
  <c r="G257" i="9"/>
  <c r="D82" i="9"/>
  <c r="J82" i="9"/>
  <c r="M82" i="9"/>
  <c r="G82" i="9"/>
  <c r="J163" i="9"/>
  <c r="G163" i="9"/>
  <c r="M163" i="9"/>
  <c r="D163" i="9"/>
  <c r="M44" i="3"/>
  <c r="L44" i="3"/>
  <c r="N44" i="3"/>
  <c r="J250" i="9"/>
  <c r="D250" i="9"/>
  <c r="G250" i="9"/>
  <c r="C282" i="9"/>
  <c r="M250" i="9"/>
  <c r="M181" i="9"/>
  <c r="J181" i="9"/>
  <c r="G181" i="9"/>
  <c r="D181" i="9"/>
  <c r="M65" i="9"/>
  <c r="J65" i="9"/>
  <c r="G65" i="9"/>
  <c r="D65" i="9"/>
  <c r="J109" i="9"/>
  <c r="M109" i="9"/>
  <c r="G109" i="9"/>
  <c r="D109" i="9"/>
  <c r="J231" i="9"/>
  <c r="M231" i="9"/>
  <c r="G231" i="9"/>
  <c r="D231" i="9"/>
  <c r="G236" i="9"/>
  <c r="J236" i="9"/>
  <c r="D236" i="9"/>
  <c r="M236" i="9"/>
  <c r="M223" i="9"/>
  <c r="D223" i="9"/>
  <c r="G223" i="9"/>
  <c r="J223" i="9"/>
  <c r="J40" i="3"/>
  <c r="H40" i="3"/>
  <c r="I40" i="3"/>
  <c r="R70" i="3"/>
  <c r="P70" i="3"/>
  <c r="Q70" i="3"/>
  <c r="M9" i="5"/>
  <c r="N9" i="5"/>
  <c r="L9" i="5"/>
  <c r="N6" i="5"/>
  <c r="M6" i="5"/>
  <c r="L6" i="5"/>
  <c r="Q36" i="3"/>
  <c r="P36" i="3"/>
  <c r="R36" i="3"/>
  <c r="M124" i="9"/>
  <c r="J124" i="9"/>
  <c r="D124" i="9"/>
  <c r="G124" i="9"/>
  <c r="G253" i="9"/>
  <c r="M253" i="9"/>
  <c r="D253" i="9"/>
  <c r="J253" i="9"/>
  <c r="D123" i="9"/>
  <c r="J123" i="9"/>
  <c r="G123" i="9"/>
  <c r="M123" i="9"/>
  <c r="J81" i="9"/>
  <c r="M81" i="9"/>
  <c r="G81" i="9"/>
  <c r="D81" i="9"/>
  <c r="R65" i="3"/>
  <c r="P65" i="3"/>
  <c r="Q65" i="3"/>
  <c r="M17" i="5"/>
  <c r="L17" i="5"/>
  <c r="N17" i="5"/>
  <c r="F282" i="9"/>
  <c r="E282" i="9" s="1"/>
  <c r="D14" i="9" s="1"/>
  <c r="J234" i="9"/>
  <c r="D234" i="9"/>
  <c r="M234" i="9"/>
  <c r="G234" i="9"/>
  <c r="G110" i="9"/>
  <c r="M110" i="9"/>
  <c r="D110" i="9"/>
  <c r="J110" i="9"/>
  <c r="Q74" i="3"/>
  <c r="P74" i="3"/>
  <c r="R74" i="3"/>
  <c r="M9" i="3"/>
  <c r="N9" i="3"/>
  <c r="L9" i="3"/>
  <c r="G108" i="9"/>
  <c r="J108" i="9"/>
  <c r="M108" i="9"/>
  <c r="D108" i="9"/>
  <c r="J90" i="9"/>
  <c r="M90" i="9"/>
  <c r="D90" i="9"/>
  <c r="G90" i="9"/>
  <c r="J41" i="3"/>
  <c r="I41" i="3"/>
  <c r="H41" i="3"/>
  <c r="N10" i="5"/>
  <c r="M10" i="5"/>
  <c r="L10" i="5"/>
  <c r="M10" i="3"/>
  <c r="L10" i="3"/>
  <c r="N10" i="3"/>
  <c r="H44" i="3"/>
  <c r="J44" i="3"/>
  <c r="I44" i="3"/>
  <c r="L60" i="3"/>
  <c r="N60" i="3"/>
  <c r="M60" i="3"/>
  <c r="D202" i="9"/>
  <c r="G202" i="9"/>
  <c r="J202" i="9"/>
  <c r="M202" i="9"/>
  <c r="J158" i="9"/>
  <c r="M158" i="9"/>
  <c r="G158" i="9"/>
  <c r="D158" i="9"/>
  <c r="G187" i="9"/>
  <c r="M187" i="9"/>
  <c r="D187" i="9"/>
  <c r="J187" i="9"/>
  <c r="F92" i="9"/>
  <c r="E92" i="9" s="1"/>
  <c r="D4" i="9" s="1"/>
  <c r="D78" i="9"/>
  <c r="M78" i="9"/>
  <c r="J78" i="9"/>
  <c r="G78" i="9"/>
  <c r="G140" i="9"/>
  <c r="D140" i="9"/>
  <c r="J140" i="9"/>
  <c r="M140" i="9"/>
  <c r="G213" i="9"/>
  <c r="M213" i="9"/>
  <c r="J213" i="9"/>
  <c r="D213" i="9"/>
  <c r="I130" i="9"/>
  <c r="H130" i="9" s="1"/>
  <c r="G6" i="9" s="1"/>
  <c r="D238" i="9"/>
  <c r="J238" i="9"/>
  <c r="G238" i="9"/>
  <c r="M238" i="9"/>
  <c r="M71" i="9"/>
  <c r="G71" i="9"/>
  <c r="D71" i="9"/>
  <c r="J71" i="9"/>
  <c r="J62" i="3"/>
  <c r="I62" i="3"/>
  <c r="H62" i="3"/>
  <c r="Q50" i="3"/>
  <c r="R50" i="3"/>
  <c r="P50" i="3"/>
  <c r="M31" i="3"/>
  <c r="L31" i="3"/>
  <c r="N31" i="3"/>
  <c r="D280" i="9"/>
  <c r="G280" i="9"/>
  <c r="M280" i="9"/>
  <c r="J280" i="9"/>
  <c r="G23" i="9"/>
  <c r="D23" i="9"/>
  <c r="M23" i="9"/>
  <c r="J23" i="9"/>
  <c r="J57" i="3"/>
  <c r="H57" i="3"/>
  <c r="I57" i="3"/>
  <c r="D229" i="9"/>
  <c r="M229" i="9"/>
  <c r="J229" i="9"/>
  <c r="G229" i="9"/>
  <c r="J182" i="9"/>
  <c r="D182" i="9"/>
  <c r="M182" i="9"/>
  <c r="G182" i="9"/>
  <c r="P58" i="3"/>
  <c r="Q58" i="3"/>
  <c r="R58" i="3"/>
  <c r="M61" i="3"/>
  <c r="L61" i="3"/>
  <c r="N61" i="3"/>
  <c r="R45" i="3"/>
  <c r="P45" i="3"/>
  <c r="Q45" i="3"/>
  <c r="P66" i="3"/>
  <c r="R66" i="3"/>
  <c r="Q66" i="3"/>
  <c r="D126" i="9"/>
  <c r="M126" i="9"/>
  <c r="G126" i="9"/>
  <c r="J126" i="9"/>
  <c r="L13" i="3"/>
  <c r="M13" i="3"/>
  <c r="N13" i="3"/>
  <c r="J162" i="9"/>
  <c r="G162" i="9"/>
  <c r="M162" i="9"/>
  <c r="D162" i="9"/>
  <c r="J31" i="3"/>
  <c r="I31" i="3"/>
  <c r="H31" i="3"/>
  <c r="L20" i="5"/>
  <c r="N20" i="5"/>
  <c r="M20" i="5"/>
  <c r="M33" i="3"/>
  <c r="L33" i="3"/>
  <c r="N33" i="3"/>
  <c r="J40" i="9"/>
  <c r="D40" i="9"/>
  <c r="G40" i="9"/>
  <c r="M40" i="9"/>
  <c r="G193" i="9"/>
  <c r="M193" i="9"/>
  <c r="J193" i="9"/>
  <c r="D193" i="9"/>
  <c r="J191" i="9"/>
  <c r="D191" i="9"/>
  <c r="M191" i="9"/>
  <c r="G191" i="9"/>
  <c r="N62" i="3"/>
  <c r="M62" i="3"/>
  <c r="L62" i="3"/>
  <c r="L168" i="9"/>
  <c r="K168" i="9" s="1"/>
  <c r="J12" i="9" s="1"/>
  <c r="J79" i="9"/>
  <c r="D79" i="9"/>
  <c r="M79" i="9"/>
  <c r="G79" i="9"/>
  <c r="J89" i="9"/>
  <c r="D89" i="9"/>
  <c r="M89" i="9"/>
  <c r="G89" i="9"/>
  <c r="D222" i="9"/>
  <c r="M222" i="9"/>
  <c r="J222" i="9"/>
  <c r="G222" i="9"/>
  <c r="J52" i="9"/>
  <c r="D52" i="9"/>
  <c r="M52" i="9"/>
  <c r="G52" i="9"/>
  <c r="J34" i="9"/>
  <c r="M34" i="9"/>
  <c r="D34" i="9"/>
  <c r="G34" i="9"/>
  <c r="M159" i="9"/>
  <c r="G159" i="9"/>
  <c r="J159" i="9"/>
  <c r="D159" i="9"/>
  <c r="M67" i="9"/>
  <c r="D67" i="9"/>
  <c r="G67" i="9"/>
  <c r="J67" i="9"/>
  <c r="G152" i="9"/>
  <c r="M152" i="9"/>
  <c r="D152" i="9"/>
  <c r="J152" i="9"/>
  <c r="L58" i="3"/>
  <c r="N58" i="3"/>
  <c r="M58" i="3"/>
  <c r="J154" i="9"/>
  <c r="G154" i="9"/>
  <c r="D154" i="9"/>
  <c r="M154" i="9"/>
  <c r="M160" i="9"/>
  <c r="G160" i="9"/>
  <c r="D160" i="9"/>
  <c r="J160" i="9"/>
  <c r="J102" i="9"/>
  <c r="G102" i="9"/>
  <c r="M102" i="9"/>
  <c r="D102" i="9"/>
  <c r="L75" i="3"/>
  <c r="N75" i="3"/>
  <c r="M75" i="3"/>
  <c r="G44" i="9"/>
  <c r="J44" i="9"/>
  <c r="M44" i="9"/>
  <c r="D44" i="9"/>
  <c r="I69" i="3"/>
  <c r="J69" i="3"/>
  <c r="H69" i="3"/>
  <c r="N74" i="3"/>
  <c r="L74" i="3"/>
  <c r="M74" i="3"/>
  <c r="M62" i="9"/>
  <c r="D62" i="9"/>
  <c r="G62" i="9"/>
  <c r="J62" i="9"/>
  <c r="D268" i="9"/>
  <c r="M268" i="9"/>
  <c r="G268" i="9"/>
  <c r="J268" i="9"/>
  <c r="G25" i="9"/>
  <c r="D25" i="9"/>
  <c r="M25" i="9"/>
  <c r="J25" i="9"/>
  <c r="G190" i="9"/>
  <c r="M190" i="9"/>
  <c r="D190" i="9"/>
  <c r="J190" i="9"/>
  <c r="J273" i="9"/>
  <c r="M273" i="9"/>
  <c r="D273" i="9"/>
  <c r="G273" i="9"/>
  <c r="D276" i="9"/>
  <c r="M276" i="9"/>
  <c r="J276" i="9"/>
  <c r="G276" i="9"/>
  <c r="G43" i="9"/>
  <c r="M43" i="9"/>
  <c r="D43" i="9"/>
  <c r="J43" i="9"/>
  <c r="M38" i="9"/>
  <c r="G38" i="9"/>
  <c r="D38" i="9"/>
  <c r="J38" i="9"/>
  <c r="M35" i="9"/>
  <c r="D35" i="9"/>
  <c r="G35" i="9"/>
  <c r="J35" i="9"/>
  <c r="D196" i="9"/>
  <c r="G196" i="9"/>
  <c r="M196" i="9"/>
  <c r="J196" i="9"/>
  <c r="I56" i="3"/>
  <c r="J56" i="3"/>
  <c r="H56" i="3"/>
  <c r="J26" i="9"/>
  <c r="G26" i="9"/>
  <c r="D26" i="9"/>
  <c r="M26" i="9"/>
  <c r="G255" i="9"/>
  <c r="M255" i="9"/>
  <c r="D255" i="9"/>
  <c r="J255" i="9"/>
  <c r="P33" i="3"/>
  <c r="Q33" i="3"/>
  <c r="R33" i="3"/>
  <c r="O206" i="9"/>
  <c r="N206" i="9" s="1"/>
  <c r="M8" i="9" s="1"/>
  <c r="I50" i="3"/>
  <c r="H50" i="3"/>
  <c r="J50" i="3"/>
  <c r="P68" i="3"/>
  <c r="R68" i="3"/>
  <c r="Q68" i="3"/>
  <c r="I75" i="3"/>
  <c r="H75" i="3"/>
  <c r="J75" i="3"/>
  <c r="J24" i="9"/>
  <c r="G24" i="9"/>
  <c r="M24" i="9"/>
  <c r="D24" i="9"/>
  <c r="G178" i="9"/>
  <c r="M178" i="9"/>
  <c r="D178" i="9"/>
  <c r="J178" i="9"/>
  <c r="J224" i="9"/>
  <c r="D224" i="9"/>
  <c r="M224" i="9"/>
  <c r="G224" i="9"/>
  <c r="J83" i="9"/>
  <c r="D83" i="9"/>
  <c r="G83" i="9"/>
  <c r="M83" i="9"/>
  <c r="M75" i="9"/>
  <c r="D75" i="9"/>
  <c r="G75" i="9"/>
  <c r="J75" i="9"/>
  <c r="G219" i="9"/>
  <c r="D219" i="9"/>
  <c r="M219" i="9"/>
  <c r="J219" i="9"/>
  <c r="G100" i="9"/>
  <c r="J100" i="9"/>
  <c r="M100" i="9"/>
  <c r="D100" i="9"/>
  <c r="Q34" i="3"/>
  <c r="P34" i="3"/>
  <c r="R34" i="3"/>
  <c r="F244" i="9"/>
  <c r="E244" i="9" s="1"/>
  <c r="D10" i="9" s="1"/>
  <c r="M139" i="9"/>
  <c r="D139" i="9"/>
  <c r="J139" i="9"/>
  <c r="G139" i="9"/>
  <c r="L8" i="5"/>
  <c r="N8" i="5"/>
  <c r="M8" i="5"/>
  <c r="J251" i="9"/>
  <c r="M251" i="9"/>
  <c r="D251" i="9"/>
  <c r="G251" i="9"/>
  <c r="D218" i="9"/>
  <c r="G218" i="9"/>
  <c r="J218" i="9"/>
  <c r="M218" i="9"/>
  <c r="H37" i="3"/>
  <c r="J37" i="3"/>
  <c r="I37" i="3"/>
  <c r="G271" i="9"/>
  <c r="M271" i="9"/>
  <c r="D271" i="9"/>
  <c r="J271" i="9"/>
  <c r="J157" i="9"/>
  <c r="D157" i="9"/>
  <c r="M157" i="9"/>
  <c r="G157" i="9"/>
  <c r="N71" i="3"/>
  <c r="M71" i="3"/>
  <c r="L71" i="3"/>
  <c r="J73" i="3"/>
  <c r="H73" i="3"/>
  <c r="I73" i="3"/>
  <c r="D46" i="9"/>
  <c r="G46" i="9"/>
  <c r="J46" i="9"/>
  <c r="M46" i="9"/>
  <c r="Q57" i="3"/>
  <c r="P57" i="3"/>
  <c r="R57" i="3"/>
  <c r="G227" i="9"/>
  <c r="D227" i="9"/>
  <c r="M227" i="9"/>
  <c r="J227" i="9"/>
  <c r="J74" i="3"/>
  <c r="H74" i="3"/>
  <c r="I74" i="3"/>
  <c r="J67" i="3"/>
  <c r="I67" i="3"/>
  <c r="H67" i="3"/>
  <c r="O54" i="9"/>
  <c r="N54" i="9" s="1"/>
  <c r="M16" i="9" s="1"/>
  <c r="J256" i="9"/>
  <c r="G256" i="9"/>
  <c r="M256" i="9"/>
  <c r="D256" i="9"/>
  <c r="J106" i="9"/>
  <c r="M106" i="9"/>
  <c r="D106" i="9"/>
  <c r="G106" i="9"/>
  <c r="D188" i="9"/>
  <c r="J188" i="9"/>
  <c r="M188" i="9"/>
  <c r="G188" i="9"/>
  <c r="N11" i="5"/>
  <c r="L11" i="5"/>
  <c r="M11" i="5"/>
  <c r="L32" i="3"/>
  <c r="M32" i="3"/>
  <c r="N32" i="3"/>
  <c r="L24" i="5"/>
  <c r="M24" i="5"/>
  <c r="N24" i="5"/>
  <c r="Q47" i="3"/>
  <c r="R47" i="3"/>
  <c r="P47" i="3"/>
  <c r="D145" i="9"/>
  <c r="G145" i="9"/>
  <c r="J145" i="9"/>
  <c r="M145" i="9"/>
  <c r="L73" i="3"/>
  <c r="M73" i="3"/>
  <c r="N73" i="3"/>
  <c r="J179" i="9"/>
  <c r="G179" i="9"/>
  <c r="D179" i="9"/>
  <c r="M179" i="9"/>
  <c r="G144" i="9"/>
  <c r="D144" i="9"/>
  <c r="J144" i="9"/>
  <c r="M144" i="9"/>
  <c r="I61" i="3"/>
  <c r="H61" i="3"/>
  <c r="J61" i="3"/>
  <c r="M49" i="3"/>
  <c r="L49" i="3"/>
  <c r="N49" i="3"/>
  <c r="J214" i="9"/>
  <c r="M214" i="9"/>
  <c r="D214" i="9"/>
  <c r="G214" i="9"/>
  <c r="M242" i="9"/>
  <c r="G242" i="9"/>
  <c r="D242" i="9"/>
  <c r="J242" i="9"/>
  <c r="M35" i="3"/>
  <c r="N35" i="3"/>
  <c r="L35" i="3"/>
  <c r="J104" i="9"/>
  <c r="M104" i="9"/>
  <c r="D104" i="9"/>
  <c r="G104" i="9"/>
  <c r="J125" i="9"/>
  <c r="M125" i="9"/>
  <c r="G125" i="9"/>
  <c r="D125" i="9"/>
  <c r="J68" i="3"/>
  <c r="I68" i="3"/>
  <c r="H68" i="3"/>
  <c r="J151" i="9"/>
  <c r="G151" i="9"/>
  <c r="M151" i="9"/>
  <c r="D151" i="9"/>
  <c r="D176" i="9"/>
  <c r="M176" i="9"/>
  <c r="G176" i="9"/>
  <c r="J176" i="9"/>
  <c r="J66" i="9"/>
  <c r="D66" i="9"/>
  <c r="M66" i="9"/>
  <c r="G66" i="9"/>
  <c r="G118" i="9"/>
  <c r="D118" i="9"/>
  <c r="M118" i="9"/>
  <c r="J118" i="9"/>
  <c r="D198" i="9"/>
  <c r="G198" i="9"/>
  <c r="M198" i="9"/>
  <c r="J198" i="9"/>
  <c r="N45" i="3"/>
  <c r="M45" i="3"/>
  <c r="L45" i="3"/>
  <c r="M263" i="9"/>
  <c r="J263" i="9"/>
  <c r="D263" i="9"/>
  <c r="G263" i="9"/>
  <c r="J194" i="9"/>
  <c r="G194" i="9"/>
  <c r="D194" i="9"/>
  <c r="M194" i="9"/>
  <c r="H71" i="3"/>
  <c r="I71" i="3"/>
  <c r="J71" i="3"/>
  <c r="G61" i="9"/>
  <c r="D61" i="9"/>
  <c r="J61" i="9"/>
  <c r="M61" i="9"/>
  <c r="L244" i="9"/>
  <c r="K244" i="9" s="1"/>
  <c r="J10" i="9" s="1"/>
  <c r="D72" i="9"/>
  <c r="M72" i="9"/>
  <c r="G72" i="9"/>
  <c r="J72" i="9"/>
  <c r="H63" i="3"/>
  <c r="I63" i="3"/>
  <c r="J63" i="3"/>
  <c r="N13" i="5"/>
  <c r="M13" i="5"/>
  <c r="L13" i="5"/>
  <c r="H35" i="3"/>
  <c r="J35" i="3"/>
  <c r="I35" i="3"/>
  <c r="L14" i="5"/>
  <c r="N14" i="5"/>
  <c r="M14" i="5"/>
  <c r="I60" i="3"/>
  <c r="J60" i="3"/>
  <c r="H60" i="3"/>
  <c r="J99" i="9"/>
  <c r="G99" i="9"/>
  <c r="D99" i="9"/>
  <c r="M99" i="9"/>
  <c r="N6" i="3"/>
  <c r="M6" i="3"/>
  <c r="L6" i="3"/>
  <c r="F54" i="9"/>
  <c r="L19" i="5"/>
  <c r="N19" i="5"/>
  <c r="M19" i="5"/>
  <c r="D261" i="9"/>
  <c r="G261" i="9"/>
  <c r="J261" i="9"/>
  <c r="M261" i="9"/>
  <c r="D155" i="9"/>
  <c r="J155" i="9"/>
  <c r="G155" i="9"/>
  <c r="M155" i="9"/>
  <c r="D225" i="9"/>
  <c r="M225" i="9"/>
  <c r="J225" i="9"/>
  <c r="G225" i="9"/>
  <c r="L12" i="3"/>
  <c r="M12" i="3"/>
  <c r="N12" i="3"/>
  <c r="D80" i="9"/>
  <c r="M80" i="9"/>
  <c r="J80" i="9"/>
  <c r="G80" i="9"/>
  <c r="J76" i="9"/>
  <c r="M76" i="9"/>
  <c r="G76" i="9"/>
  <c r="D76" i="9"/>
  <c r="D33" i="9"/>
  <c r="G33" i="9"/>
  <c r="J33" i="9"/>
  <c r="M33" i="9"/>
  <c r="P59" i="3"/>
  <c r="Q59" i="3"/>
  <c r="R59" i="3"/>
  <c r="Q43" i="3"/>
  <c r="R43" i="3"/>
  <c r="P43" i="3"/>
  <c r="Q40" i="3"/>
  <c r="R40" i="3"/>
  <c r="P40" i="3"/>
  <c r="D260" i="9"/>
  <c r="J260" i="9"/>
  <c r="M260" i="9"/>
  <c r="G260" i="9"/>
  <c r="Q72" i="3"/>
  <c r="R72" i="3"/>
  <c r="P72" i="3"/>
  <c r="R56" i="3"/>
  <c r="P56" i="3"/>
  <c r="Q56" i="3"/>
  <c r="D48" i="9"/>
  <c r="J48" i="9"/>
  <c r="G48" i="9"/>
  <c r="M48" i="9"/>
  <c r="J59" i="3"/>
  <c r="I59" i="3"/>
  <c r="H59" i="3"/>
  <c r="Q38" i="3"/>
  <c r="P38" i="3"/>
  <c r="R38" i="3"/>
  <c r="R39" i="3"/>
  <c r="P39" i="3"/>
  <c r="Q39" i="3"/>
  <c r="G111" i="9"/>
  <c r="M111" i="9"/>
  <c r="J111" i="9"/>
  <c r="D111" i="9"/>
  <c r="G63" i="9"/>
  <c r="J63" i="9"/>
  <c r="D63" i="9"/>
  <c r="M63" i="9"/>
  <c r="L42" i="3"/>
  <c r="N42" i="3"/>
  <c r="M42" i="3"/>
  <c r="G107" i="9"/>
  <c r="D107" i="9"/>
  <c r="M107" i="9"/>
  <c r="J107" i="9"/>
  <c r="L282" i="9"/>
  <c r="K282" i="9" s="1"/>
  <c r="J14" i="9" s="1"/>
  <c r="M217" i="9"/>
  <c r="D217" i="9"/>
  <c r="G217" i="9"/>
  <c r="J217" i="9"/>
  <c r="M27" i="9"/>
  <c r="D27" i="9"/>
  <c r="J27" i="9"/>
  <c r="G27" i="9"/>
  <c r="P42" i="3"/>
  <c r="Q42" i="3"/>
  <c r="R42" i="3"/>
  <c r="M143" i="9"/>
  <c r="J143" i="9"/>
  <c r="G143" i="9"/>
  <c r="D143" i="9"/>
  <c r="L63" i="3"/>
  <c r="M63" i="3"/>
  <c r="N63" i="3"/>
  <c r="L54" i="9"/>
  <c r="K54" i="9" s="1"/>
  <c r="J16" i="9" s="1"/>
  <c r="M50" i="3"/>
  <c r="N50" i="3"/>
  <c r="L50" i="3"/>
  <c r="M65" i="3"/>
  <c r="L65" i="3"/>
  <c r="N65" i="3"/>
  <c r="Q44" i="3"/>
  <c r="P44" i="3"/>
  <c r="R44" i="3"/>
  <c r="N34" i="3"/>
  <c r="M34" i="3"/>
  <c r="L34" i="3"/>
  <c r="P35" i="3"/>
  <c r="R35" i="3"/>
  <c r="Q35" i="3"/>
  <c r="D189" i="9"/>
  <c r="G189" i="9"/>
  <c r="M189" i="9"/>
  <c r="J189" i="9"/>
  <c r="N23" i="5"/>
  <c r="L23" i="5"/>
  <c r="M23" i="5"/>
  <c r="J121" i="9"/>
  <c r="M121" i="9"/>
  <c r="G121" i="9"/>
  <c r="D121" i="9"/>
  <c r="G150" i="9"/>
  <c r="J150" i="9"/>
  <c r="D150" i="9"/>
  <c r="M150" i="9"/>
  <c r="N67" i="3"/>
  <c r="L67" i="3"/>
  <c r="M67" i="3"/>
  <c r="D47" i="9"/>
  <c r="M47" i="9"/>
  <c r="G47" i="9"/>
  <c r="J47" i="9"/>
  <c r="Q63" i="3"/>
  <c r="R63" i="3"/>
  <c r="P63" i="3"/>
  <c r="L59" i="3"/>
  <c r="N59" i="3"/>
  <c r="M59" i="3"/>
  <c r="M103" i="9"/>
  <c r="G103" i="9"/>
  <c r="D103" i="9"/>
  <c r="J103" i="9"/>
  <c r="J77" i="9"/>
  <c r="G77" i="9"/>
  <c r="M77" i="9"/>
  <c r="D77" i="9"/>
  <c r="J119" i="9"/>
  <c r="M119" i="9"/>
  <c r="D119" i="9"/>
  <c r="G119" i="9"/>
  <c r="D240" i="9"/>
  <c r="J240" i="9"/>
  <c r="M240" i="9"/>
  <c r="G240" i="9"/>
  <c r="D241" i="9"/>
  <c r="J241" i="9"/>
  <c r="M241" i="9"/>
  <c r="G241" i="9"/>
  <c r="H33" i="3"/>
  <c r="I33" i="3"/>
  <c r="J33" i="3"/>
  <c r="R49" i="3"/>
  <c r="Q49" i="3"/>
  <c r="P49" i="3"/>
  <c r="M31" i="9"/>
  <c r="G31" i="9"/>
  <c r="D31" i="9"/>
  <c r="J31" i="9"/>
  <c r="I48" i="3"/>
  <c r="J48" i="3"/>
  <c r="H48" i="3"/>
  <c r="G127" i="9"/>
  <c r="J127" i="9"/>
  <c r="M127" i="9"/>
  <c r="D127" i="9"/>
  <c r="J259" i="9"/>
  <c r="M259" i="9"/>
  <c r="D259" i="9"/>
  <c r="G259" i="9"/>
  <c r="F168" i="9"/>
  <c r="E168" i="9" s="1"/>
  <c r="D12" i="9" s="1"/>
  <c r="Q31" i="3"/>
  <c r="P31" i="3"/>
  <c r="R31" i="3"/>
  <c r="G22" i="9"/>
  <c r="C54" i="9"/>
  <c r="M22" i="9"/>
  <c r="D22" i="9"/>
  <c r="J22" i="9"/>
  <c r="H49" i="3"/>
  <c r="I49" i="3"/>
  <c r="J49" i="3"/>
  <c r="J192" i="9"/>
  <c r="G192" i="9"/>
  <c r="M192" i="9"/>
  <c r="D192" i="9"/>
  <c r="D32" i="9"/>
  <c r="G32" i="9"/>
  <c r="J32" i="9"/>
  <c r="M32" i="9"/>
  <c r="L38" i="3"/>
  <c r="M38" i="3"/>
  <c r="N38" i="3"/>
  <c r="L57" i="3"/>
  <c r="M57" i="3"/>
  <c r="N57" i="3"/>
  <c r="J54" i="9" l="1"/>
  <c r="G54" i="9"/>
  <c r="M54" i="9"/>
  <c r="E54" i="9"/>
  <c r="D16" i="9" s="1"/>
  <c r="B12" i="9" s="1"/>
  <c r="M282" i="9"/>
  <c r="J282" i="9"/>
  <c r="G244" i="9"/>
  <c r="J244" i="9"/>
  <c r="M168" i="9"/>
  <c r="D92" i="9"/>
  <c r="D130" i="9"/>
  <c r="M244" i="9"/>
  <c r="G206" i="9"/>
  <c r="D168" i="9"/>
  <c r="G92" i="9"/>
  <c r="G130" i="9"/>
  <c r="G282" i="9"/>
  <c r="J206" i="9"/>
  <c r="M206" i="9"/>
  <c r="G168" i="9"/>
  <c r="M92" i="9"/>
  <c r="J130" i="9"/>
  <c r="D54" i="9"/>
  <c r="D282" i="9"/>
  <c r="D244" i="9"/>
  <c r="D206" i="9"/>
  <c r="J168" i="9"/>
  <c r="J92" i="9"/>
  <c r="M130" i="9"/>
  <c r="B5" i="9" l="1"/>
  <c r="B6" i="9"/>
  <c r="B16" i="9"/>
  <c r="B4" i="9"/>
  <c r="B14" i="9"/>
  <c r="B9" i="9"/>
  <c r="B15" i="9"/>
  <c r="B8" i="9"/>
  <c r="B3" i="9"/>
  <c r="B10" i="9"/>
  <c r="B7" i="9"/>
  <c r="B11" i="9"/>
  <c r="B13" i="9"/>
</calcChain>
</file>

<file path=xl/sharedStrings.xml><?xml version="1.0" encoding="utf-8"?>
<sst xmlns="http://schemas.openxmlformats.org/spreadsheetml/2006/main" count="5553" uniqueCount="357">
  <si>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</si>
  <si>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</si>
  <si>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</si>
  <si>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</si>
  <si>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</si>
  <si>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</si>
  <si>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</si>
  <si>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</si>
  <si>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</si>
  <si>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</si>
  <si>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</si>
  <si>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</si>
  <si>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</si>
  <si>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</si>
  <si>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</si>
  <si>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</si>
  <si>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</si>
  <si>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</si>
  <si>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</si>
  <si>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</si>
  <si>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</si>
  <si>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</si>
  <si>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</si>
  <si>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</si>
  <si>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</si>
  <si>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</si>
  <si>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</si>
  <si>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</si>
  <si>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</si>
  <si>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</si>
  <si>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</si>
  <si>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</si>
  <si>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</si>
  <si>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</si>
  <si>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</si>
  <si>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</si>
  <si>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</si>
  <si>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</si>
  <si>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</si>
  <si>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</si>
  <si>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</si>
  <si>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</si>
  <si>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</si>
  <si>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</si>
  <si>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</si>
  <si>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</si>
  <si>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</si>
  <si>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</si>
  <si>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</si>
  <si>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</si>
  <si>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</si>
  <si>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</si>
  <si>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</si>
  <si>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</si>
  <si>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</si>
  <si>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</si>
  <si>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</si>
  <si>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</si>
  <si>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</si>
  <si>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</si>
  <si>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</si>
  <si>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</si>
  <si>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</si>
  <si>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</si>
  <si>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</si>
  <si>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</si>
  <si>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</si>
  <si>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</si>
  <si>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</si>
  <si>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</si>
  <si>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</si>
  <si>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</si>
  <si>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</si>
  <si>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</si>
  <si>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</si>
  <si>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</si>
  <si>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</si>
  <si>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</si>
  <si>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</si>
  <si>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</si>
  <si>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</si>
  <si>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</si>
  <si>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</si>
  <si>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</si>
  <si>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</si>
  <si>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</si>
  <si>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</si>
  <si>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</si>
  <si>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</si>
  <si>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</si>
  <si>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</si>
  <si>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</si>
  <si>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</si>
  <si>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</si>
  <si>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</si>
  <si>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</si>
  <si>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</si>
  <si>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</si>
  <si>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</si>
  <si>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</si>
  <si>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</si>
  <si>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</si>
  <si>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</si>
  <si>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</si>
  <si>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</si>
  <si>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</si>
  <si>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</si>
  <si>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</si>
  <si>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</si>
  <si>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</si>
  <si>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</si>
  <si>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</si>
  <si>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</si>
  <si>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</si>
  <si>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</si>
  <si>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</si>
  <si>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</si>
  <si>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</si>
  <si>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</si>
  <si>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</si>
  <si>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</si>
  <si>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</si>
  <si>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</si>
  <si>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</si>
  <si>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</si>
  <si>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</si>
  <si>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</si>
  <si>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</si>
  <si>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</si>
  <si>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</si>
  <si>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</si>
  <si>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</si>
  <si>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</si>
  <si>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</si>
  <si>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</si>
  <si>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</si>
  <si>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</si>
  <si>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</si>
  <si>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</si>
  <si>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</si>
  <si>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</si>
  <si>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</si>
  <si>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</si>
  <si>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</si>
  <si>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</si>
  <si>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</si>
  <si>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</si>
  <si>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</si>
  <si>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</si>
  <si>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</si>
  <si>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</si>
  <si>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</si>
  <si>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</si>
  <si>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</si>
  <si>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</si>
  <si>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</si>
  <si>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</si>
  <si>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</si>
  <si>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</si>
  <si>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</si>
  <si>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</si>
  <si>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</si>
  <si>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</si>
  <si>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</si>
  <si>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</si>
  <si>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</si>
  <si>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</si>
  <si>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</si>
  <si>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</si>
  <si>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</si>
  <si>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</si>
  <si>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</si>
  <si>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</si>
  <si>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</si>
  <si>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</si>
  <si>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</si>
  <si>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</si>
  <si>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</si>
  <si>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</si>
  <si>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</si>
  <si>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</si>
  <si>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</si>
  <si>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</si>
  <si>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</si>
  <si>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</si>
  <si>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</si>
  <si>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</si>
  <si>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</si>
  <si>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</si>
  <si>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</si>
  <si>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</si>
  <si>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</si>
  <si>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</si>
  <si>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</si>
  <si>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</si>
  <si>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</si>
  <si>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</si>
  <si>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</si>
  <si>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</si>
  <si>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</si>
  <si>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</si>
  <si>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</si>
  <si>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</si>
  <si>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</si>
  <si>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</si>
  <si>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</si>
  <si>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</si>
  <si>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</si>
  <si>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</si>
  <si>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</si>
  <si>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</si>
  <si>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</si>
  <si>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</si>
  <si>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</si>
  <si>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</si>
  <si>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</si>
  <si>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</si>
  <si>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</si>
  <si>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</si>
  <si>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</si>
  <si>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</si>
  <si>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</si>
  <si>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</si>
  <si>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</si>
  <si>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</si>
  <si>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</si>
  <si>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</si>
  <si>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</si>
  <si>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</si>
  <si>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</si>
  <si>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</si>
  <si>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</si>
  <si>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</si>
  <si>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</si>
  <si>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</si>
  <si>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</si>
  <si>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</si>
  <si>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</si>
  <si>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</si>
  <si>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</si>
  <si>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</si>
  <si>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</si>
  <si>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</si>
  <si>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</si>
  <si>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</si>
  <si>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</si>
  <si>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</si>
  <si>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</si>
  <si>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</si>
  <si>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</si>
  <si>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</si>
  <si>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</si>
  <si>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</si>
  <si>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</si>
  <si>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</si>
  <si>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</si>
  <si>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</si>
  <si>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</si>
  <si>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</si>
  <si>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</si>
  <si>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</si>
  <si>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</si>
  <si>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</si>
  <si>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</si>
  <si>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</si>
  <si>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</si>
  <si>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</si>
  <si>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</si>
  <si>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</si>
  <si>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</si>
  <si>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</si>
  <si>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</si>
  <si>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</si>
  <si>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</si>
  <si>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</si>
  <si>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</si>
  <si>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</si>
  <si>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</si>
  <si>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</si>
  <si>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</si>
  <si>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</si>
  <si>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</si>
  <si>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</si>
  <si>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</si>
  <si>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</si>
  <si>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</si>
  <si>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</si>
  <si>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</si>
  <si>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</si>
  <si>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</si>
  <si>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</si>
  <si>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</si>
  <si>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</si>
  <si>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</si>
  <si>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</si>
  <si>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</si>
  <si>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</si>
  <si>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</si>
  <si>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</si>
  <si>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</si>
  <si>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</si>
  <si>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</si>
  <si>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</si>
  <si>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</si>
  <si>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</si>
  <si>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</si>
  <si>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</si>
  <si>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</si>
  <si>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</si>
  <si>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</si>
  <si>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</si>
  <si>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</si>
  <si>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</si>
  <si>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</si>
  <si>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</si>
  <si>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</si>
  <si>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KRW-SHIB</t>
  </si>
  <si>
    <t>시바이누</t>
  </si>
  <si>
    <t>KRW-POLYX</t>
  </si>
  <si>
    <t>폴리매쉬</t>
  </si>
  <si>
    <t>썬더코어</t>
  </si>
  <si>
    <t>KRW-MATIC</t>
  </si>
  <si>
    <t>폴리곤</t>
  </si>
  <si>
    <t>크로노스</t>
  </si>
  <si>
    <t>KRW-1INCH</t>
  </si>
  <si>
    <t>1인치네트워크</t>
  </si>
  <si>
    <t>KRW-GMT</t>
  </si>
  <si>
    <t>스테픈</t>
  </si>
  <si>
    <t>KRW-HIFI</t>
  </si>
  <si>
    <t>하이파이</t>
  </si>
  <si>
    <t>KRW-SOL</t>
  </si>
  <si>
    <t>솔라나</t>
  </si>
  <si>
    <t>아이큐</t>
  </si>
  <si>
    <t>KRW-T</t>
  </si>
  <si>
    <t>쓰레스홀드</t>
  </si>
  <si>
    <t>헤데라</t>
  </si>
  <si>
    <t>솔라</t>
  </si>
  <si>
    <t>KRW-XEC</t>
  </si>
  <si>
    <t>이캐시</t>
  </si>
  <si>
    <t>KRW-CELO</t>
  </si>
  <si>
    <t>셀로</t>
  </si>
  <si>
    <t>KRW-AAVE</t>
  </si>
  <si>
    <t>에이브</t>
  </si>
  <si>
    <t>KRW-APT</t>
  </si>
  <si>
    <t>앱토스</t>
  </si>
  <si>
    <t>KRW-ALGO</t>
  </si>
  <si>
    <t>알고랜드</t>
  </si>
  <si>
    <t>KRW-AVAX</t>
  </si>
  <si>
    <t>아발란체</t>
  </si>
  <si>
    <t>KRW-NEAR</t>
  </si>
  <si>
    <t>니어프로토콜</t>
  </si>
  <si>
    <t>KRW-NU</t>
  </si>
  <si>
    <t>누사이퍼</t>
  </si>
  <si>
    <t>KRW-MASK</t>
  </si>
  <si>
    <t>마스크네트워크</t>
  </si>
  <si>
    <t>2023.03.16</t>
    <phoneticPr fontId="1" type="noConversion"/>
  </si>
  <si>
    <t>2023.03.17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</si>
</sst>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94F95671-10D3-45C0-B89B-063E661B5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44084DAD-34A6-482C-9B5F-92432B8DD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E30E45F3-2C72-4BDE-A6E8-8F9079BF2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FB3B2FFE-A93F-4002-947E-7978AA072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9307A54A-889C-4F54-BE77-48DA756AC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E9786937-E817-42D0-920E-A9DBBD564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BD7E2DDD-C80C-40AD-B074-4377DD66A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33A6DFEF-33D8-43B4-A900-10552DA2B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CB9263F4-944E-4135-847D-0552245D2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A8308D33-CD49-4891-810A-1A4287C2E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3C10B2C7-1280-49F0-BBF8-BBE562B0D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84040194-19A3-4B74-AEEA-1931877D4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FC523B10-3BDF-4D2B-AEA9-C12A51F06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80BE8DBE-6AA1-4E03-BA14-09B04D2A6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56BB1A2B-15B6-4E72-9D93-2A5004779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39F4D2E-A2FE-4587-A4B3-2B339CF3D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BFAFC76D-1E40-4934-B8FD-1E1057CC0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A03F9DA8-DFBB-4E9E-8D14-432F30346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49D1C900-5206-48E2-AB0B-ED3C15BDC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18D109C4-595E-4225-8935-7F0FC7039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B0AE8115-CB5B-435E-8475-A7417163F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7A64E4E-ED14-4FCD-AFE3-60653C5D2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AA85078A-51C7-40AA-A180-95F6F5FA3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6EA9996-99DF-4629-82DD-280A618DC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B9E674C9-3327-4AF8-A518-630B15C5B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7557F1C8-41E9-4A02-8896-986F9A58C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D9F2B856-8B36-4A8B-AE10-340F731B1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4B712FEC-0E9B-4155-845A-E62F50A7E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12E057AF-81D2-4805-B4D7-B4998621A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48E87099-DBF7-4E52-AB53-0685A48BC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ED3D0EE1-4297-4C04-85F4-E966AC608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789AE9C6-0B3C-4B05-A71C-8C11F28AC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87E49807-8ECE-4501-8D8C-45809E6D3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CDA3828F-D43F-400C-8A2E-5868A6123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591305D1-2F32-46A3-BAD5-9E0C02917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2DEDEA3-EEEC-4B46-8989-AC8A0A39F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BC553DBC-CB71-4C27-A9C4-5A1BEEC39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B12683A8-E92F-47F7-8DB1-4AED73B32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CD0BEFFD-91F8-4189-980F-FCFD012D5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396FF5FC-E021-46C8-851E-75EE6A72C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6D992F02-81DA-4223-AA19-76A5F299D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AC6C77FD-852D-4453-946C-1DDF5CC6F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EC170B26-2E0D-45FA-98E0-7C52F2B0A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C0D40368-6EC4-4E1E-9CD8-BC8AC133F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C5B56AA5-BFA9-40C5-B5A8-E13F4E1F6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5657EFAE-1747-40BF-A9FE-12E3C4E93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A6A9BB6-2933-420A-971F-77EF9B1B5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6E33A7D4-2A74-4C2A-9E1A-2DE5010BD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EAA94387-8B39-41A1-8B93-9B40E3423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D6F40EB3-D61B-4FB7-87D8-D16D95F6E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DCC2EA92-6724-4375-AA29-1FEA13C32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48615206-95C8-4F09-838F-F4D55C1BA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4C83914E-95D5-4DDF-BB06-9CDF6E11B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AE828C9B-4593-448C-9DA2-964FE261F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80E2C83B-CF7E-47CC-A212-DE0A8DCEB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96CCC1E3-7A03-4629-BD65-F1024D1C8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2CA6BFD7-AB61-44B8-874C-6B9F6E3DB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9F6CC778-4449-4690-B732-984AABF53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AC10D349-A2EC-4A3F-BD2E-0C27C6722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F00E673F-BE3E-4D87-81E0-E7F99F05C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C211DCC9-A7B6-49E3-81A2-703B22C34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7381BA2-C52F-439E-8E26-9DAFC146A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35F23910-B62C-467E-9E45-908BEFCDB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E0061EE9-564C-4DBD-8638-B49D79737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1F74B9F-1822-4291-8B97-FAB1DA8CD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311089A4-D362-480A-A9E8-320E4B4A5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2D2BE903-2152-402A-92FF-E0F65E00F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53F3DF2B-412E-4D53-94FC-4C43229D43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36CABB38-ED28-46E1-8D38-9F4B21FAD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AED9E3F5-61F0-414A-B932-11FEB3C00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310B51B9-42F8-47D9-99A6-B13561F80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74B1A68D-2168-4422-921B-3EA419E72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4D06EA1B-906D-4941-9AE9-85AEA3A7D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FC90A10C-CEA8-4F0D-80F8-B47755152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415F10D8-FE86-4332-BBED-0EF429B9D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41249FDB-3616-48B4-96EB-510AC112A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193C79EC-814B-4C51-B7D5-890828CD9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6962EFB5-39C8-4105-8125-8510D0FC2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8B0B5B97-2615-448C-A8BA-184321913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B822E935-80F7-4939-B90C-966B69D68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F37A15F2-3D5D-4A35-9715-221720EA9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F6F3D99A-DCCB-4369-837B-C4AF857F9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45D998E-43B4-4CEA-8EA0-3B9E4E188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6340828A-8585-4436-A8CA-3AF4DA42C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FD35A6EF-C2B5-4C01-9473-8E188C9821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635EC279-11EE-489B-B33B-E3D509EAC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5E45E4DD-88CF-4ADF-BD08-CCDB9E8EF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74103049-B317-4D00-B83A-3A16B4DC6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48B121EB-59CC-4A08-8CA0-6585D13A9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F83278F6-75BC-4B6B-8442-CC85F239F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5A02FAD0-F30B-4CEF-A41A-ED09EC2F9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DA2022E9-A1CC-420A-8327-36E9BD1BD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288E6892-3989-4090-945B-676FEE4A2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84F902BD-5498-4E58-ADEA-EB96C28F1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9B3E5153-0110-470B-927B-CFC1534AC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A0301E32-EA39-4483-8D8D-0958A2689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3A7425C5-F50F-4A6B-BC8D-D03181548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E526CF74-1F53-4558-9A15-B6280F0E6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D9B2A6F4-C4E5-4C56-BDFC-D09BDBB57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2236E50D-2CC2-4EFE-91D1-853511E61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3585BA6E-DE25-47DF-B1C6-40C656737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3AE18BFE-0155-469C-9385-35119E86E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883B1D28-C878-4E61-87FF-BECB6D64A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FE0692AB-694E-47AD-A675-854F7F150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631D9F0E-DFFF-497C-BAB2-57EE2D203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44DAA1BE-F464-42CC-A066-ABDA72065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87092F4-8616-41FA-BCE6-A7C6D32DE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96D56524-EDC5-4725-8B4A-3F50945EE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E5E7F3D0-2BFC-44F9-9BBA-31B3D828F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AFC33F32-0546-4966-8A23-92EDA2BB3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8A20258C-CA75-4C97-879C-0436C2CD2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2FEF48E2-EEFD-4875-AF6E-F1CCB5298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8611E1DA-C471-41EB-A380-779649198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B56F9B09-253B-4245-9DDB-61D7D663A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C0D6134D-CF2D-4928-AE76-3B220DF2F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DBD3655F-1C03-4170-908C-2BDD9C130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D7200D12-807F-4C83-867E-A616E14BA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50851BB4-BB89-4B21-A757-275217A62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9F0AFA69-95E5-4585-A48E-87108DCFA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59D760A3-FEAE-48FB-AC59-974172C8F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4C8E3E09-BA0B-4BF3-8ECA-91F551739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6719D3CA-9AED-4DCB-AB6E-6303BF398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DA8632BB-DFBD-4ED6-8F89-0FB5C0E22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FD66C8D3-929D-4A37-838A-632FD1BBF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25AFF1C-4E4D-465A-A313-F9EEAFCD3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381D4EB4-CB7D-4F40-B601-AB27456564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9EB51E86-81CF-46FD-B77C-D280C93078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B2EB3E48-0291-4076-89BC-5B4F8FD68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5B42C0B1-4E78-493C-AC2C-3687EA7DF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2BA5FD22-F819-495F-9360-08A6BA3D3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F49A93FF-1CF6-48AC-AB7F-8588CED6B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1F69A44F-265B-4C68-AC20-E89C3EC98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86437098-3A66-48B5-808A-E5EA504CE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9D59552A-C111-43A5-81BB-1409CB620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3D5B1276-4085-45CD-8CD1-E79046099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9FF639D4-51EF-401F-AB75-2F30EBDE9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96E32112-6497-497E-863D-6290DF9B6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F7F6D56B-0D3E-4C59-AA99-F4094F2F0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F83B487F-C376-478A-ACBD-DD689032A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206A80B2-6B7B-429C-ABDF-AD7770AA5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5C74EF21-776E-414B-9452-612694E5A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E9383986-68A7-4BCB-AD91-394438EF1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5C18E3C0-2701-43E1-9E33-BA396B8BF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F91E176E-FF4D-47B9-8A32-D893A4699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69E36AD3-EFC0-433C-A368-EB087AFF8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6688267-9784-4177-9030-47E119D56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48EEC8B3-F648-40B4-8272-508ED9586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248148DB-F756-43C5-B5B4-E90845012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A18CB3B3-4CC2-4AE4-9D81-4E8E4A50A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AFD5BE1C-82C7-4FB4-8A25-FFEDE1B94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96A7D9C4-FA07-4014-8E20-1EDFAF75B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98AE4787-F3C3-4241-8262-554E63261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DF833DC1-7180-445E-BCB4-CF3A39993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C20A678D-9CDA-47DA-8EFF-5F87BD1D4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1D97949D-7E54-4658-AD6D-12C6340D0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865BD5B7-3790-4F9E-876D-CBACB6757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B9B1DCC-98AD-4E09-898E-DE3FFBD58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E5FFB811-FC41-4415-A66C-9BB497288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1848B8D1-9CF7-46DE-9FB0-1C3284CE7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9E03B930-CCBE-46ED-A80D-72B3A0B23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3F6042B2-540C-49DE-8D24-6C879CC32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D08CECA8-B61D-4A92-954F-DE5A7D518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1262E17D-327A-4D02-81CE-D5DB45196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F0F3FCC7-1C1D-458F-9927-F62AC80E4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779AD7A-D787-43AB-A920-CEF173E5A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548B751D-2862-4429-8014-645650268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F6A102F2-528A-4C94-AAF1-2D3A87726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99DADED1-2EB5-4C30-A197-0921AC869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F2D27A8E-1756-4DA1-89FF-CDD058C60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E8F8C93D-56E7-4A5E-AEBF-D6A10F2DC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FE57A7D3-9BF6-4180-B45F-19B2E6A3D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7544DB77-F83A-4C26-ADE6-8EFA76F9D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70C7C5A0-B5DE-4C0D-8B39-A6DB4B1F2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D12BB0DC-8BDF-4E20-B24C-2317AC429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9FC5D811-CF52-413E-B5E4-E42C8D784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58E3FF1F-2501-47C5-AF48-E943D5283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EFAFF8BF-1839-4BB7-A0CB-4B63F880D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D13D3F57-5E93-4ED8-BA6C-40CF29845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5E30B6DE-8725-4F70-B036-952D4E7F6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EFFF6EB0-9764-4E4F-B6F8-0588019CB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305E07FA-6C57-4637-A460-96927AF6B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7D7B90DD-87D6-4C63-B001-007824E36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23A686D4-F585-4B41-91F4-D4C50236D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34BA3EF6-8D8B-49E1-B1AF-E8BAC5FEF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4881D1FE-7E77-4EC2-B177-2C90369A0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CDD778F1-766F-4762-A790-BF9F41312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EACC7AC-DE4F-4EC9-A29A-FAB6C11DA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300CCBDB-7987-42C5-B9D1-BDB5A50FB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84F70926-5D68-4EB6-835E-1C1CF4C02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29F0E63A-B074-47A0-A92B-E648D5424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CB79B995-619B-4516-A613-3C318BE50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F4BC1104-72CD-4195-BCFF-53A5D38A0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50B69AF6-ACCC-4672-9724-CB67FF540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32B0649B-AC43-4DE7-AAD9-7F6A3347C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30B40900-D20B-4B34-93BB-5753978D7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F0AF5E90-CEA7-41EB-BD7A-B7A2211F5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9DA31E10-7E87-4D92-B8A1-E4123569E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6586A7-50BD-4C39-8017-AAF236B9A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3D9A794D-BD71-4340-82DC-F643040C1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46CF8445-6B01-487A-8944-EEAA97435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A97F705B-775F-4530-9D29-91829D6A95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D0B0FE47-C64F-4A7B-8C32-818D18A98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2077418F-ADAE-4CFD-8A19-23B3AA54D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DAF6DB59-1D13-4472-A6FF-2AEA600BC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B6E4C2AF-AC65-47F7-A885-D69533D13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EB694884-9B88-4002-B1CB-78877B3F6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53BE7050-CE54-4510-B27A-EB2F5318C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2AF43D39-3EF2-4B01-A1ED-EBD7A1DC5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20833A9D-3162-455C-A9FE-20C8C1543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416D575C-3639-4E6B-9DAF-DD9405AD4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3124F946-A51C-4819-8F58-06AAA6EEF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57363266-7617-43D7-BEA5-47D2F2378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22F64F8-A735-4C7B-9F83-1D94DBF09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6BBA2D0B-455C-4696-B2FE-675F1225F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A426D044-E5C1-461A-9FEF-095ADF679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227DD9AF-2EEB-4E7F-8513-AB9BD6CA1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F62910A9-1B22-4F12-BDDA-75F5B1E2B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B40774C3-7B8F-46FC-A9BA-0DB345100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70C245FC-651C-4E21-AC22-2BB8BDD00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F9203F3B-F802-4BA5-A264-778EDE3AE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2D067F62-EE1C-4616-9F40-3B5F7B500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976FC586-F1CB-41DB-9D3D-E923DD563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4552ED7B-A923-4230-8548-7CA8343E7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ACFC71EC-1815-4120-8473-27B1D11C5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519DDD4F-2B14-454B-BB43-902B24C4F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A642A7EC-85AF-4D4C-8244-F4400D3F1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3110F523-0120-4B90-A87A-0A972A0C7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19445D14-065A-4ECD-A905-3E52A50AF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B702724E-30CE-4587-875C-FC7C4C5F1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D6CFDEA3-1E6E-4FD3-A80C-CA05E9405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1D915F52-199B-4103-BA5F-AFFE4A36F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E36E984C-75F8-4696-8BF0-9391AEC67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5D87417C-3378-40CD-A12B-A6E0F1AD4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48031D31-CC9D-4575-816E-0440BAED7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14A6F581-02B8-42DC-B17E-DA48D6E48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95C53126-037B-4632-A1F7-A9EA0AFD6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F0B14F46-3265-400D-AD78-329D90607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9B210D6E-64B5-4192-9468-56AD05563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7D844B4C-7BFE-41DF-8D06-B30A44B4C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72A2FF66-C5FE-4FAA-9408-447291B5F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D4EA207A-EBD8-4EA0-8296-AC81882B1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FE75AAA3-4B32-4A9D-B92D-FBC0265B0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74A1BD9B-8259-48D2-A960-7794B7490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9BFBB975-FB22-4AB6-A82A-7354C9F72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A98954C8-098E-46AF-80E3-2842D5BBA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B41185C5-4E1F-4EA1-9FBC-3BE414AC3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4695F9E8-A367-40AE-9D40-1522EA668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E31E6639-04C1-46F9-B0CA-ECB6A9F9F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297AF840-43E3-406B-90ED-41CA2CE26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8DD2CB5A-6CB5-4B66-B15F-A24761393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77319C72-F7F4-44D5-A640-9FF7A46A7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1D76E3B4-F0FD-4AD1-A302-878E4E6BE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45423C07-B5BE-4917-9A3F-E9E583832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8035EE03-3551-4B6D-9C2D-27C9FEBD2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2AC9F623-B892-4186-B818-2BFB6A252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68D715A6-ECB6-4D96-A1BB-E211B4A4D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171FAA00-D3FD-4E85-8E85-D7E78E99F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4B7CA58-62D2-4FAA-AFA9-BB13F8441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A668475C-17D8-4F7D-83C5-714F68955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74532521-763D-4C5B-A969-63ADC0BB3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9224AE02-B3D5-450A-A1E1-E7E3CDA3A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24B848AF-A259-49CC-B5E3-C4C9AA611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F9295FE8-50A9-4538-A157-E23ED4E0D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F416F703-C0AF-4E5D-8C70-03B21AF7E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27661FD4-2612-4E1D-AD41-686877866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81422B0E-2157-4A1A-BDC4-E70B0818D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4DC0B23C-C753-4D1E-8658-CDD5BD6E1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B9B682EA-40F5-4094-A54E-B73BD5526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4EFFF667-EB92-497A-8A04-A0051F6F2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33732244-2E60-4BF5-BB70-FA0A62069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D398DB86-273D-46DA-AE2F-517FEFFB9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64A53938-0CC4-4FFF-9C2C-51F49B32C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CA210F58-F314-4463-9030-846AAC538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70505DBA-7244-40BB-8AC6-1AA87F205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900251D4-BF55-43C8-9170-067D15141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89AD485-5117-4B79-A7FB-66AB22D1B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EE0C7BB7-28F0-4E09-B510-F8BF028CA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409D63CC-BBC0-4EE4-9669-40BF4B582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667C1D8F-4EFC-42BB-9BE4-8EA463B7B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410AB070-C20B-4060-AD30-47FB0A513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F87B60F1-DD89-4125-8BA9-171164FEA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956D2FCF-653E-4B45-BBAF-B2D0073A3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DA36CA60-7B3B-4D1D-BE50-D80D527E9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C6E1AD46-E73A-4479-B975-32B235D83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4E725600-C3B8-4426-B46D-37DF8C993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B737406D-546B-4056-8193-EE7AF00BA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B552FBAA-A796-4202-9AEF-AB23EEB7C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4D2EFAD9-4A63-47D6-97D5-0E02D52F7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8A08C78E-8438-4AA5-A7BE-11CD13E75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9FA903E9-F0F5-4087-9916-C7956A99B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8E30BE6D-2F3E-4F45-9F69-B14686F5D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432AFA33-9FBA-41E1-820D-A01C1FE96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17E558F4-DEC8-46E3-8163-87C511AC3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470F076B-D576-402A-A077-B0F7EDDE1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1B8B636A-0C5D-425E-B152-FC20E9885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3D93166A-C6B3-49A4-9461-D8FB83D18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929F30CE-F614-4831-AFA1-2A09CC2E5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65D5675F-FFB0-4250-AF3E-46913C4FE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B1DB1592-1C23-49AB-A151-62082032C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CBD9DB02-C9EC-49A3-A7B0-150D9D99D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B98FFC6E-2DD7-4600-8B1F-02BF66540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6C11C87A-5A2E-421A-8ABA-31D27209C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B31C1C4F-FE4E-4C4A-9842-9C0F03D8A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65B9F102-E844-426A-B315-1BD754656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2F01F445-0D54-471B-B818-B1C0F5B1D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DB3F93F5-F91A-40EC-92CF-BA61D9A43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2D593F4F-717D-483A-8664-284817E95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6CFFA2AC-E116-4386-ABF5-534021F30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B792173E-0490-46CD-83A0-78DA10238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92B79C6C-43E1-49FD-B9FE-AD58229BE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F6D48103-16F6-4FED-87D2-4DC024753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85077B58-B875-4702-9C38-9607EE6C7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89C993E0-85B9-467B-81EA-E195494EA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FE8EBFAF-8447-4B60-BEBB-20E90969F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EBF93638-BD66-4D90-AD51-3F75204CC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B0DC9297-6675-4047-AD8F-1E1B59C8F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8D15DDC5-7255-4DBC-9974-C76F2DACE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3A9D4642-4847-4504-8A63-473D2899C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E4889F44-EE22-4F57-8605-5B3B42867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DE724DE6-45E1-4475-AC85-F6730064B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3133BA90-617C-4A63-B7D9-F1ADF85FF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1285A9FF-8EE3-496D-AA0E-F8B86BBAE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99025790-549E-49C7-9369-F49EEF91DB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1A361F68-FFFD-4BC3-8408-7244F1788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E6EB7EAD-2BC9-4264-92D4-855877D75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B28C4EDB-D555-4020-BCBF-70DFB84B8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F8073A28-5CF7-42E7-9A78-75C6E77AD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1F7C99A7-CC7E-41D8-BA40-E7757197E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4C09F7AE-48DE-4F2C-B521-B4AD66101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3A94F0B6-CD74-445E-A831-D92D5CFB7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D754C056-298E-46D7-8EC1-8DFBBCC89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6C990EF3-F449-4B0A-96AC-0CBF1DFEC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F5E70AFF-1B68-4281-B3C5-044506107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F1C95781-FFA1-4DE9-8AB0-EF616D3F3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832362F6-0457-4A78-8B9A-0326DE5A4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8964A111-B5F9-47A0-A75C-D2A649CB4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A2D310F1-B003-4538-84EF-E37E0D519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459AB3D4-DAF2-4697-B645-29FFE21D9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EF35D2B8-C3CB-4F2C-B7CF-33F5F5148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107CE9B8-2F93-4E95-A3C4-44EC078361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8C7B870A-4400-4BE6-A3C9-2CDBED946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54C31E52-7A76-461B-BE58-616EF3272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21004E55-3987-4BD5-AC64-3786FC9F2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387AEDF6-E015-49B3-A67E-97D057F4D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4C1679B-5C50-4586-B235-CEA2A2E6A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5255CA63-7A4A-4842-8FD6-57882E8D3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41D47FDD-2FF0-4745-AE49-9938C757B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23319F20-E26B-4102-BEB5-8CBFA6D00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8355BEAE-FFAD-4AF3-9A21-B6702025D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99F732EE-DC8B-41AC-8C95-EB3F2B5CC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49F2D6A5-16D3-4CE0-95BB-DADCF53E9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86B19578-B87C-4CF0-A5D9-35CA53481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B91040F3-20C8-40A4-8E44-E38F57B2A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7664E540-E305-4231-9A9D-902B1DABA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BED6BAFF-E98F-4CA9-86F2-F3D7AFBCC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D3292F88-B31A-4F19-9E65-E1F53D8F0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477E7FF0-C804-463A-8FCA-5BFE941BC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D0745E7-9C9E-462F-B3D5-FB725A1E4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E3EA459-22CD-4128-AFC8-3105F6ED7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C31EB4CC-26E7-4D94-9043-A60A4684D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5E1FB571-2C1F-4F9F-92B5-A90C8924A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6C6D27BB-C7BD-42B8-BC96-DAAC241BD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14C1A2A9-3F49-4C71-9FA7-E5DAA5FCC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7C5F4D12-C351-4E17-A9E0-7FED0B41F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66CA5590-29DA-4BEE-BBF0-3AE42DD1D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93A8DA31-ED8F-418E-9A2F-F60C22595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46C98352-A20B-446C-8423-4211A8EEC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D81217FD-0841-4AB2-B581-DFD749114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683C43E8-8B9B-495E-B743-F8F9A3903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DC4A93C6-3C5A-4821-BDC6-8200A06A3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73A7EE79-9A2F-48BE-9244-DAA13006E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132C5142-DC30-4F59-A740-206951DAB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8E493976-CB1B-407C-A888-8A4B21CAC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17B215C2-51F5-4C39-ACBA-7704FFC46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2B9F43B9-BCFC-42CC-8D6B-35FB7433C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20D8E68C-DA41-4021-99E3-703113D29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B3801C2-72E0-41B8-872A-11CE13610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B52443C6-DF04-4B4C-AB44-6F18CEBDF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8DC9A448-417C-43AA-851B-548AEDC86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B40465CF-06D1-4BDB-A7EC-8D40C5E2F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4A4AB34B-C5D7-4D2E-B8AD-C9769B2A4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62EF3085-7DFF-41D5-823C-2D87B971C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FB67E563-EF61-4775-9073-5C96BE8AE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AB1C4C96-D990-4A30-A776-4C0F42982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3F1CDC18-0B4B-484A-B54F-5F580367A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EED6BFCC-22B7-4BE0-83CF-EC1DCB3AC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3D865E6B-5852-4BB4-91AF-ED162A47A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584BFA8B-5A44-4166-8168-A1F18D6B5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112ABCE1-0E0D-4A5C-BD07-CA4C246BD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2E18E8AF-275C-470B-A139-61461F159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3E49E720-4048-40D5-9A2F-79E20A5E1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D7AD0CFA-79EE-4453-86E6-3459521CB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39540D4E-44BA-4B2A-9520-FD01F6A22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B41504FD-968C-4556-9B8A-DC7D352B7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9329BF08-72E4-4666-9222-E9EED7E31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AD1BABDF-590C-45BF-9FA9-9EE36D834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8F668F1E-7D43-40E0-9D2A-B28FA8CC2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5A87E3E3-F3BC-4E9C-ACFE-11C89E989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7B13E4E1-9B50-4E0D-A961-2E2723B5E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132828E8-2473-40A5-BEA3-862E7E646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5061AC55-99C9-4EA0-87CE-C052D2580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25B2DD09-D7FA-45CA-9AB7-FB7EC2E98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64024684-B3B5-4380-9F8A-3C0093D7E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84D06F6C-5B98-46CA-B0E4-F664EFAA6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1091FE0E-48E4-4445-9E9E-71B5EA5DF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F4DA3FA8-13BA-4408-859B-C735182F8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CC53AF2F-5BC7-4EF4-980C-DB45F7556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28C080A-5507-4590-9CD5-BB44EF9E4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34883119-100B-4170-AF2F-FA9BBD698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1C1F7B95-9BA8-4424-B596-70E2424F6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6D601815-3D1E-4928-9D36-B47991D21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1EC8B671-5B8C-4C44-937C-E44646A6A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77062844-A9E7-41FE-83D6-504A268E2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81BDA833-180C-411D-AFE0-D75F9F349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5ABE33F0-9DAB-4660-BEF8-9D82A7EBC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D0D6027C-D4C1-4A2D-936D-1467B350B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19B1A815-97D8-4C59-8C18-F349CF875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1F061AEE-9183-4BF5-9423-0922CE82C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2821BA12-9C00-468B-B5CA-BFC621F2F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84363A58-013A-42A7-96AA-8DDAAE9E1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C3F7983-65AA-4E3C-9152-6C5ECF9AB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9D03DD79-10BC-446C-AA9F-6F2F6793F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9D9A8943-8821-4502-AFD9-12C8E8645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95C33A34-AFC3-48A2-ACC1-B72AC5359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C6932AD-3BA9-4DE1-9437-B37FC56A1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51E3E5A-B6BC-40A7-A99C-1389AE1D0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E9CF346E-138D-492F-B3CA-8B1EE74A2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CE66EEBA-9F0E-4C57-9D8B-16F29FE3A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E607C533-359F-422C-9B2C-22900F8BE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219E6045-AFC0-433C-9983-67B94DC09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DA816AE4-CE16-45D6-A916-E3CC5D191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22C60ED2-B601-482F-A34F-9508894A4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CEBED9E-C82B-40F2-9E7F-68FE067F6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DA180727-82DA-43D3-8A1C-31D063737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DB677299-3A58-4AC1-8036-53C48F0C8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B52F325C-4507-4F6D-A57B-4845870B4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2BF14F06-968F-4A39-8660-B394F86D4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37A1D5B5-629C-4461-BBC1-083130DA3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B20F034D-0EC0-4350-A4A0-170107087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CA8AD4EB-79ED-49A4-9779-DF5599640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D1AD9DDD-2B58-4888-9112-3D559576E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99809BFD-472D-462F-A6B7-A5424AA61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D0E3F542-E589-458B-A4AB-F554945C2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525A44F-BB15-4D72-A608-1488D6993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15EDDBF7-2E8E-4FE1-BEC5-E7143FE16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24BC1145-BEC7-47E8-BF12-19ABAF41F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4DDBB7FD-9002-4C7D-ABCA-0E5CDB1F03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E26F4D78-F027-4CC5-88FE-628AB450D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2B7251C0-9F66-4310-85F1-FDC616FC0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6823BA00-9F8E-46B8-967F-53448043C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12E6B6A5-AAE9-4817-AE45-5928DF19A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76C7A27E-5E13-4A14-8D52-8818F0E08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778BBE27-C599-4CC5-8090-BBEB0D976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C19247F-C545-4542-A573-7EB1859EE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6AA2427A-7DB3-4CAC-8F20-1CAAD2C4B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860DF86B-F64C-4FC0-89B2-E8DDD0F38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535CC8B9-B8E0-4998-A278-BE0645688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93D9619D-AA69-4233-9CAC-C9AC6D4F4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616D2526-1A5E-4B4C-BCAD-C68BA2FB9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3F0BEDDF-BD23-468E-B2B3-353EE1F08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F672116D-CC5B-470F-B0CA-F6360FF10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FEE3AD10-2832-47DF-8032-90C6B3B79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D01F0020-2952-4EDB-89FD-3C52B276B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99D05B59-450C-420A-8A14-89B0EF8EF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BEFA2C3D-DBC3-49E0-BF0F-619EC3C11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14BE8C39-5248-4DE2-B14B-BD5786D8D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29C24797-33DD-408A-AD8B-9B540C06B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5FB7357A-D4F5-4768-93DE-B1797FFD8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3115DA45-1CBD-4066-A734-C3EA13E48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E9C33AAC-DF22-4322-9A6A-212A849A1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644A6B3E-5F58-42DC-8A13-ED3CF7FF97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85A813D-3172-493E-B43C-8D91A5233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ABB62BB0-9C72-4DDF-9F5B-17DF2F888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7DB27032-A88A-463C-BE9C-C48ED49B5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3993A358-2F12-4EBC-BCD6-2A6FB9404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B741E300-D674-4B6B-8A92-61A169DE3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F9CD0DE0-EAAA-43F0-9AED-6263FA07D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3FF9897-11E2-48E6-8AB0-52711C72B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CE7D1843-CBF6-4912-90CB-AADCD0980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3BD9744E-B443-4591-8F7F-7107313AD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80276B26-04C0-49C2-9C2B-7BBC587DD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3C55A695-A573-4D88-B387-5FC5D7B85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962E0D3C-1B5E-4823-943F-53516A046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5D406455-42C8-4518-99C9-B0C640BB6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FAD7D66-7E63-4DE1-856C-63CE115F2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3EA6A047-9358-4855-A7D6-CC6416A59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A2B707F0-0AF4-464D-ACC5-B4AE926B9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80E5AA14-B409-4D4F-AE25-581E7AD9B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A18A0B0F-F655-45C9-A191-8BF2544B5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160BEEEC-9211-4FC6-8C61-20B42A170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BAF31799-C6EE-4860-8403-676E289D8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88E99995-1DC7-4B07-B6BA-C028090B5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BEE11014-90B3-4613-A9BC-E2B3E9580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C03CAF66-38B4-4AF1-892D-6E91DB60B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577FFAF1-9147-4A9F-B734-46D347FE7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C8983A4-1048-478C-A9CF-CBD8F3131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7DC221ED-F4F4-4FD8-8248-FCD1CBFA8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6FCCC596-E41A-4339-8B8A-8ED808E19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F1F0C245-C278-4C22-83AE-EC9869A04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8578468A-E917-44F6-81B3-6BD0F0FD6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FD589C1B-6C27-4BBF-84E6-3B0456F53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4DD9A252-4879-47EB-8C2F-CA9EC88E2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C7DB6211-EA55-4BC8-AFF1-900459C94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5E139FFF-A5F0-45F3-9D11-7338F242D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2A7772ED-11A8-49DC-8394-F83F620F7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6B5F0DF6-E929-4E09-89CC-6D5F6C4B0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41C31824-BC43-410B-A213-50F066F94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E9F67C9F-A028-4403-94AA-5A2090ADA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92CDAE04-2244-45E8-8593-D59D0F734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CD52E414-8141-4444-8637-51E4F4493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F6D0036D-621F-4747-ADB5-09F4D1716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7DBBB010-B370-4B0E-B1D7-5F16C67F4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ECB55A94-2A03-4315-9EB1-9F60B5062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9395330C-C00A-427B-A5F8-032675955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9B43D172-F4F1-4BB7-A2A8-25CAE9071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E34B408-B567-49CA-9A27-258364CED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80374A94-6587-4E59-BDA7-00C6EF54F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74512AA-3342-4003-814A-37C605EA8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58FD8551-4453-423D-8BB5-988E4A3F4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64C820CB-C4F4-4B4B-A9D0-908DD08F5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2CC6A59B-CFF3-4CF7-96B2-2423B49C8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71E43AB6-B341-4B10-A8D1-E51DE828E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FD55151F-F19A-48A0-9E96-BA8CB12DF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D77F1146-9CAB-417C-91D1-17B1A9C3E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BCF776A0-E112-4D6B-8817-898D55485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720A2628-5878-4CD7-8ED9-D7E52FD88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42D0255B-ED9B-4DD5-AA76-A118D3C24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3C03F945-6C30-498F-A2E1-ED5FD0CCF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F4E15652-7ED1-4B31-99DE-D7041CB53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B0D51477-5E5F-40E5-A1FF-9E4F2D7DD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AD666D38-20A7-4D94-88B1-EA5ECFDD5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BF401D0-E2D3-4380-8D4B-733286354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BA9F9D6F-7EA3-4B5B-B8D3-03C6CB595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4D3728DC-73B6-4EB4-82ED-4B5222C1D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8605727F-88F0-43DB-88CA-D9B59C136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DD4B41E7-76A6-4692-B5A7-525CBD6E3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E642E1BC-2D7B-4D3A-BB7C-DCE0CE0F2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FE806227-9F48-4044-8D70-92A3E9606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893AF37-9C45-4213-A33B-FDB852528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AC553430-83DB-43CB-92EC-D6AE933C0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E424E63D-FCE9-4E38-893B-D1E4DEB46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D5DBF28D-6759-4B32-AC06-9975CC13FF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A419C9DF-41E8-4739-BF2C-233DCF8EF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56DCF16E-5F6F-4E4D-88B8-B383694A2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29498EED-03D4-4DB0-9744-8D4700E6E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32A9E9B8-B6B3-486E-BA91-D8C4B5B7C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667EEB91-5B91-4812-9814-317D0819A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1E4E9E51-9954-4F8D-BE91-8E86D85F0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374DB635-12D4-4D32-B650-F0AD4037B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1935565E-12E8-4564-AE71-F16578C9A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642DA18E-0652-41E7-8064-0D7C6E8A4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4C5B2B20-F612-4323-BA8A-BF790CE25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7A41ECF6-ED8A-40B1-9489-CB1DD1208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939E7AD9-1FC7-4DC2-A20C-EB49BED81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10753AD4-AE79-4354-9AE4-B706F3286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E0D358A9-0965-47C7-AA1A-6CB901F26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3100C04F-311D-4F28-A7C1-B3F03A2CD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F07D0290-8042-4B15-A170-FACA911F2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E64805F-2C72-41F5-80AD-58ACDAC20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9362C264-E2D2-4BD3-8B5B-FD86BA323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609D4C3A-5D72-41C4-B9A6-A74B9BBF2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62D01A1C-9365-4476-B3BF-11728628C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EE3B935-1011-4A18-BA71-2B190C175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A4B0C722-E052-4DC5-87DD-51A36BADE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FC327CA8-2DC0-4D2F-82D8-5AAF9C8C15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B071B06A-F2D6-4E4B-ABA6-9D628FB01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9C3DB3A3-B3B6-4BB2-AD38-05C140D1EC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53A9D248-4738-4982-B7E1-139E6C3FB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BD32CFC4-319F-4526-9C4E-904DDECD9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B9063ADC-D936-42DD-B75B-679B41409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BE7282C-0308-40C6-B174-4C1649996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6E79386D-9C17-4A4C-AD77-893B3F541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FDB6A866-2E25-4BAF-B5C5-7DCD61ECF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6E0AE883-1767-4051-9E3B-F8CE2A6A2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153E173-E543-4E84-A690-62AB5F901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D4E623C7-0BE5-4498-9ABD-23E416F2C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A6F060C3-92E3-4850-8DB2-A16CB0447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486B5EB3-5EEA-4439-B8A8-99EF63695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8D6799F3-30CF-493E-83E7-34C97142E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DD4ECD22-438C-4C05-BCFC-8465DAACC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D498783B-94A2-4F92-86C2-0F5937907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BE776D94-E953-44BA-98A2-0B13CE9B0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FC02F5BC-C810-4DD7-BF13-7F793FE23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D0BC199D-03FA-4C7B-B6AB-3D1FCEB1E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C3B15939-0CE1-46EE-97E4-6A556BAAD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5CB8E1C8-6786-47F7-A1FE-D70736837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6379585A-18C4-4AD9-A814-D9270EBC7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BDB58916-0ECB-4EF5-ACC7-52634D887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40FE55D9-3031-4549-9051-D49529531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4A890F79-881F-4922-B0CD-B50E6E960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4AB2111F-71F4-4687-ACC5-6FB3C62C8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FE92191C-11D2-42AF-820D-E8EFCE21F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F42C815E-10D4-4990-BBD2-0413089E0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974F4F28-14C7-4428-9FCE-326406401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53A90EC4-FA0A-4C17-9B2D-7BFCC563F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87F6FCFF-4045-4989-9891-495D14BE0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6A11FE25-F4CB-4F70-8B5C-F2B8D6CC8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6D1097FC-8CD6-49D4-886B-F89CA5EF9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5979922E-F264-4D27-A7EE-CBB698D4C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7816BA17-14B5-40BD-A3A3-B0EB8C2F2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B80B4E3C-3520-421B-ADFB-4F79425D0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44B6CDEA-781F-40E0-9B89-7D37A1ABB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9BD19FF8-7859-4CEC-B6A1-4C759E3EF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6EB4C40F-B0A5-4ACD-9B76-AEDF215FC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71742E25-076C-4DE8-B444-87B769F73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F065CFCC-AF63-4916-B239-4851417F8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2E394E4D-119E-4413-9CF8-52CE5C3CD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622B6B2-A9DE-4211-99A3-E8E3374F9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EADF39AA-AA2B-4F1E-978F-1580B0B59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3B4D4270-7051-4786-A78D-406B6270B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6530C2C8-4934-4515-85B0-E48AA30B0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A1226DB2-D691-46B3-B4F1-DCC768749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54089ADF-5502-417A-A40F-832C1A02F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B2754FC9-D95D-488D-BCC9-9423A2368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CE61F766-DBBC-4329-AAC9-8806FD990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2EFF19CC-164C-470B-9302-A0D7048A0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E6F0CFFF-DB18-43F2-876F-78C92C76F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F853E01B-DD35-4EC0-B012-FFB5022A8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AE889268-8F86-4010-92BE-E6ED07452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4C875278-B823-43B4-BC99-7EF1228E4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EA2EB684-6EE0-4D0D-BBC2-623DE8E50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9A3D9BCB-6CC4-45BA-8310-561490730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9A866B30-CB05-4353-8488-D753B60F6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1784ED70-4634-4A2E-AB6C-48D479A89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7AA231C9-3AFB-4F8B-A33A-207FC0BA5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1B23E50D-F088-4B16-8A5B-66A66B799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6B8A7647-2624-44D4-91BC-CD975F4AF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F864D27E-1476-4F6B-BFBD-BEE81E99F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51D4D308-41AC-4A50-B3ED-B0105C658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4CAEC94D-378E-48F6-8B33-EB0297CDD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4DFE356D-8024-4592-9060-BFC8C495E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39555F16-C045-40E7-92F4-A09917A0E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F7B5E840-F9AA-4106-897C-A972CD13D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B1E7F5DA-5B91-4F0F-BA71-8F09F7957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8C803277-F847-45D3-AAD9-56D9F0AAA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3022FF76-05BA-4B9D-8783-4E0B8346C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BF6335E1-1764-4338-B81F-A815A6DA3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EB44B915-9F82-4C4F-901D-4275A3051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A606A6F3-860D-4460-AEFC-E2006EC67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4D9638B3-CD89-4DBD-A781-6E4AFAF1E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892C54E3-5488-4000-B7BC-20EB758F3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700B9CB7-FD1A-44C6-8417-2F34FD2BE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E11F69CB-A639-42A8-A85F-0FCA60A56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67911A1B-E5B2-459A-B576-0D92F3EFD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E4700DC9-C9D9-4E08-AF10-BDBF1487E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379399D3-253B-4462-A1AD-BDB888674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AFD29737-266F-40A8-9412-342A99FB3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8EF97CE3-54D1-4DF4-99D8-A5C020063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A87CEFB2-7AE7-45BF-9093-42231F98A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F56DF23F-A370-4235-9120-3FFB1DD5D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32DC1DD2-596D-4254-BD4C-0D09DC96B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7565E501-488D-49B8-A521-D003D1981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C729D788-8EF1-479A-933E-8E6FEF4CE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5333980E-DBD1-4F06-8593-5AE776DEB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8A546C34-AA2A-434B-905E-82B1CA2EB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BF27F111-AEF1-4A15-9C42-048007168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50F03EB1-AD62-410D-BA11-82D93DAAA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944ACBA-0EA3-4871-B3CF-A65509078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8A141DE9-C921-4369-B18F-A358465A7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38069C80-7A38-486C-91C1-BFABCBA8E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5CD004DE-B613-40F9-BBAA-958AA4BA6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83668ACF-9CD2-4FCD-A3C1-B1933748A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DA7843E9-5CC4-4DB2-AEB8-4F16A9ABB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AD2F9058-C61D-47ED-BAC3-DCA2370F4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A5389403-C78D-4ED7-AF20-8569DEABF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2F632C09-8E1A-4EDC-AC9B-72E7364F0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76913212-17CB-46B6-B2DC-1C89A9BD1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2F5EF48D-80A3-4B27-B567-8A1500049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1C23B64F-2B1F-40BD-939B-38A0A7885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FE089F06-5ECF-41EB-9656-B1F055EDD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33B955D4-0527-4882-934C-776EB52DD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6E9C7F89-D78F-4528-9B28-5053F1995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814A9980-3A3C-42CD-8AF3-41EEBF040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3AB3B0EB-8114-4968-8E60-5CE51BAEF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1E1B8FB8-BF8E-49F8-922B-F289C2358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4BF60CC2-83B6-4996-9653-8BB2E2C75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17C9BC74-18D7-4BDE-B6C7-A9A6AE82F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5E6B19B0-54E6-409E-936C-37692C849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B66FBD32-6608-4D18-916F-542BD6B5B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D747FABF-CE5F-4CB7-87BD-5228ABC69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6D952AC2-925A-45EA-A05B-F8C1A2352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42550766-2FDF-45AD-8A43-CBD8AF4D9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16356847-2EFD-42D9-838F-AE295BB08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3F3F1A5-AD49-46C5-A729-98F728146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72C62DA6-7AA4-4080-B9C0-246526969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4F00BDCE-174F-4087-B5CE-F0B5220E4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7E016BC5-978D-4548-8E8E-C36624D48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C292C466-3D90-4812-9C7C-48F1FFC21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59B1DBE3-7A83-47B4-86A6-4CE54B799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4F14A4C1-6BFC-41EE-8658-5157ABACB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DECFA30D-C39D-4A26-92A5-7F1F5B508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DB7DF7AD-161F-4C57-9BCD-4394ACEE6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4EF4483A-323F-4436-8DE2-662EA61DF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B9275F46-885D-44FC-84B7-CCBD20197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3240424E-D382-4D3E-AE5D-140911B44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637E064A-E847-44B0-BBD7-8C896FEB9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86015BF7-CB2E-46D7-84F0-F06E358FF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CE9DDB26-BD4A-40A7-8CC0-FD0CB9C1B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7899641E-FE58-4071-9838-D4E18F36E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47B34C4B-B9BC-4051-B45D-CEC55617C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25D34556-A490-443E-81BD-96ACA0FC9C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9D23E89E-2DE1-4017-8940-3A27978A8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30134BA6-4719-4820-A79D-4BD3878BC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687707C7-32EA-4665-841F-8345BB389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25E0B3A5-3F2E-4B50-8AFC-DD3473BFE7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E3737257-BF21-499E-9D83-11EA7BFE1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70D5B576-D22D-4F68-9A63-2C9F0031F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CBBF8ECC-62E9-4E26-AEEC-FD4B63707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5DF85F52-6B69-4D10-9213-1F5DE44F5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AA8960EE-31A9-4755-AFE8-C7ADD9FD6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509839D2-493A-49C2-A410-6A9473508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DA35BCC7-C03B-4167-B4A4-0965B5165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AB2A4519-F6ED-4EBC-858A-5A2BADB53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3DE75A3-485C-42BD-B0B3-7EFECEF16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D991371C-ECC4-48E6-91EA-895500603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23812227-4A42-476C-A40B-AD6A26160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7ADF6EAD-A743-4FCE-BE2E-6369ABEF8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F734BD01-0E47-4168-A765-07D7BD770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17A00828-0D44-4602-91EF-58757CFCB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3D398590-2BC3-449E-93B4-BAD41A750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1984C5F7-C760-4841-B4E6-9C130915F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1D408397-1DAD-4DC5-8370-AD0721792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1905A68F-A6A1-46C4-9242-B6284F365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384A91BB-5102-4A02-A16F-20AFC4DDD1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628586FC-0B55-46DA-9C4A-7B5ED1798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E8504881-588E-4450-8252-7CDA3C544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80CFF9CC-0430-426C-A19F-955FF3247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C5DAD90-0D0F-403C-9B46-CDF55ECB0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63480458-2952-463F-BA21-DCA2A5177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1BD0734B-0FAF-451C-A267-F01B76E28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CC786E4F-CA1B-41F7-A0F0-FE78AB39C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94E81887-17BF-40ED-AB21-0A5A4FBB8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8918CF3B-545C-4B1F-A14F-6B315767F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62CA2828-2935-4829-8C03-5ADDB3302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24642C27-2923-41E1-AF27-006AAE75F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343DFD8E-8494-45C2-BD26-D3FDB9631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E41384F2-4954-41F6-B912-ED0DEF1E6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B73288F7-D16C-4F8C-AB0F-4DD914D34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36EA908E-D2DB-4119-A808-14ABFDC18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FF27AAEF-865B-462C-8D35-C8DBA1C89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B999452F-2EAD-4424-8617-4B84AD39C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946657B6-1209-4890-91ED-F9F16D0B5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3F220BD3-2583-4ADA-9521-7EF1F52A4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E5D94C7E-5916-4603-AD64-FACC17F48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B2325768-0AF3-4E8C-A56D-C6B0BEE3B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2FE3D338-93E9-4251-8ACE-543F2AFE5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5B098EF8-36E9-40BC-9AA3-8EE5C7E70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2C52CB68-958D-425F-B6AE-EA5108DF2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A6DE5B46-4F31-4BA7-96B0-856FA326E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F02D26BC-4BF7-45DA-9C6D-33A5D07B5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37C0BF04-2C2D-4E15-96BF-CDEC27A48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ABDBF08C-33A7-4129-9BB7-6A4802636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536842A4-897B-4788-96C4-DF47396D6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1C690F7C-A7F9-43AB-B91F-3D692F174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6C331D2C-E3F5-486C-B536-801399323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D674F0A0-5FE1-43EB-B20F-8A7732210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58CF6CBA-C01E-4B6A-9250-F4808D1BA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2E03BE07-9FC6-416D-A116-5EE607D5B6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13A036C9-D969-433E-AE37-AB0D07083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CF461566-BB2C-4B75-B305-BACADAE8D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87C9AAF3-6924-4F98-8525-EA1DE7C7E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1BB3AF4D-4A7E-4957-A341-1866B2FF3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DAA711FD-1252-4390-93DE-54E1452B6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BDCD8509-4E11-49C7-B740-BBE026C31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9CC8C05C-0E3E-4C01-B932-30C9F040F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8D56F006-6F48-4001-806E-3B4BF2F6E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C2B3B91F-272C-4E6D-AE60-2C998FB74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7F26BF92-E897-44A3-A652-78F3A8C8F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FF3EAF88-9E55-45C3-B3E3-23378FB6A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603A20DF-4915-4825-A0EC-483470890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2566CBF5-0D77-49CF-961F-11D548B85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DD9E24DD-B127-401E-BC7D-96E2A06D4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626C4CB-3D4E-4768-A9A2-867CFEE31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D72D23D8-B4B5-44C0-9B80-5FD85257A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FAF20CC8-3626-4CD4-B5AD-222374A7C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34DC68AA-ECAA-49BF-BD5E-422744FD6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DECC057D-048A-4B1C-BC03-D491BD607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438B26D7-8F0D-4FFE-B215-05F74EC91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7C5C76CB-C7F9-4A92-9A05-ABB43546F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D39C2ED-CE30-47EE-A1B0-BBFFADDB0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F3AB6B18-B140-4CBA-B569-F5D8A9A3E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D3B7759E-6D09-4680-A2B8-9E0747A7F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B36735E1-2CBF-48EC-8EEC-D211AB819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14869EEA-7D33-4C49-8587-704B795F3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83DB388D-CC9C-4952-8F0D-47DACFC85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B081A982-7E24-45A1-BBEC-4AC421927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9B742DFE-6401-4A82-96E0-8DDFD2666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54098554-324A-4A35-B895-D5C16F90B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13316EB1-7996-4B2F-B5B4-D1FC34BD4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C4A6855D-541A-4EB5-A834-832EBAAD0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ABEE94E4-4B52-45DE-A39C-2747EC5A7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4AE3951F-D20A-434E-AFC1-B93E761C2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B3FE6549-B617-48FD-95F5-C9C8DC984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C55D8181-F70E-41F0-8A8B-B6812F2F5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2A085753-4543-489E-9167-F21DAB271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1575977C-3CCE-4413-9B79-31D2C1A81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AE946BBB-E335-483A-9A4D-FB75C4BD3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ACD40FE7-5BD9-426F-8809-1068AADE9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48E2BC66-6AD2-4839-8357-0777F375A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F81AEFE2-9C19-4C88-9AE9-30789CD04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207F2F22-9920-40A6-8323-6D4FBD32B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9C7318CA-5586-4D68-9797-92065E978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CD35004B-ACF1-4406-A866-16A9EE9CE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733BDB3B-DE3A-41E2-A719-AD58FCF76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51971C0C-37D2-4DFC-8BA0-84BD10C49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52448A86-0E2E-478B-9710-A17038311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D356259B-5B72-48E9-AD6A-A885D809C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FCFB1563-3B71-495D-A331-F519F3828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C6E560EB-26BE-4DA1-9178-94CCE1CAF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3CE34682-3EC7-4B36-AD7A-24120FDA2C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5D0E0A9F-C0DF-47D1-A71E-E6285949D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E7ED768A-54FF-4FFF-97AA-0627E706F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AF8A5271-C0B5-47D9-B53F-F22DAF57E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5802AB44-BC55-41C4-84C8-4623032DA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BB24E9EF-1EC1-4864-84B5-8F6B99FB5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1DBB2425-9AA6-4B46-8AED-2C673AF58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61FCC6B1-FA56-4ECC-8D18-0E6A411011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368524C5-0D39-4065-B84C-C0CB1A214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4AB8CA06-135A-4BD3-ABD8-D94978F83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E2C1E7FB-B061-47F9-889B-0667A740A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C94EDC21-289D-43AA-A661-2A4BD56DB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8A093BED-DF67-4ACD-8685-3A1ECBF63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AB7A6787-79F7-4B29-9989-F53B9735B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91D6F3B6-60F3-4809-B352-3B7F36A2B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8FEAEA90-88F4-43F8-9C1F-CB3DFCEA2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7FAF6D35-9A63-4F0F-895D-B13683E7A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541FDD1D-DB6A-4324-AFCC-4BE19CB2D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A6DB3A06-7679-4F31-9327-E068F6A33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B3F9067E-AC3C-4D6C-845C-1A6A32ED1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C8185D1-7817-422C-81C9-AEC0B4B4B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C99CD9CA-650E-4A08-9864-AFDD3649A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3186D83A-ACE2-4C2D-A1DD-A439402FE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A2CF508A-480B-4CFB-88B4-342121906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9123822B-6189-4ACF-9D0F-2CA9A205E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F7651933-988D-4913-BC18-5B49577C9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E26BC4AF-BAD3-4504-832D-4F8B6851A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BE608DC-45ED-4C2B-9698-22EC8B46A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82AAE6C1-EBF3-4CEB-8983-25CDA1BB1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D46BCDD6-BA27-4EF8-81EC-369FFA3CA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D679B0C7-7283-4ED5-8D96-374F2FCE1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9F1CDC82-2201-4356-AADA-BADEFCEA66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2D6865F5-EEF1-4AD4-AA0B-1A8115CE2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467DE9E4-96FB-4C45-A907-0022703B1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95495B56-EE5D-4154-AA12-F413E60C1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51B48A15-CDC8-47F9-92AA-743FE1430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511BF9F0-E347-4C14-8664-F5702C7BD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E14762BD-0F41-4F7B-97A9-9AEB49906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4A2D2747-7673-4818-BFBC-838062B16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8EFB04AC-609B-423E-99BE-98B992AAC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2903768D-D970-4207-8867-6CBB329A7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57FDB44-A1E6-4340-B124-DE7D5CA85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749C5056-CB75-460B-BF5C-B499273C4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C2E172DE-4528-4C0D-A368-F37DB463D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62B6FA01-A47F-4C4F-8594-BEBF7A9DA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78F910F8-047B-45E6-8C18-02F119019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F1C376CE-22C0-42B0-A485-D5286EEEA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BB2D9EA9-C82B-4B68-81C0-6F17412F0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6B0AC4CD-E0E4-4293-B47C-2E52EF2E1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FED2C1C0-2383-4972-96FA-A2EA04EFA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6F953A7C-B788-4445-822F-5FE18902D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DC1BD155-CB4F-4EE3-B01F-0B73D33A2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80852F2F-1118-450F-A032-571C5A001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4541F85F-72C9-46CF-A5F7-0E461CD7C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F459066C-3B8A-4D81-9F45-CD1D4DC7F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BBC759B8-6F4A-433A-9DC7-C4A404648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2785A0DB-6B02-4CB6-89EE-F9F9459BF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732178F2-F6A9-443D-B3B3-C533B69F5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6508AFA4-B05C-47A5-84ED-C882EFCD2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B7599F3F-C084-40BF-9BEF-B63FCA9FA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CF324A30-479C-47A0-B86F-1CCB2467F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790FEDC3-0E13-469B-9A2A-9248A747C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996CCE45-DCE9-446E-998B-3F85A394D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567556FD-2F5E-425B-89A4-9C07A93D2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52BB7CCE-E761-4E1B-9A9A-284FE9BD2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2597A416-FC9F-4E1B-8637-7B91519FD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3CC2BF2A-05F8-4023-B87A-4871CE7E8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8675121F-FF5F-46AF-A6B0-D9740320A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8D2085A9-F164-42A9-9EE8-6F59C558A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8E563172-23CD-4093-ADC7-381B2FBD5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84853FC7-B638-4DD5-952F-0EAE35955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F0BF2BFB-A094-4CE1-ABA0-04904E64A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ADDD6E2D-2E2C-43FE-A631-C5ECB088B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792683DC-59E5-46FC-940A-1EBA00429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73D314CA-0172-444D-A7E6-6F23BC55D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EC8A1F9B-F14A-4A94-9DC7-664A72CDA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A067DE29-8C87-4CE3-909B-1DEDEBA03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18E5548D-6681-4BA5-925E-5936997A3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33E106E3-EA65-4DE4-BBCD-1E78248D1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A1E90832-342F-4531-AE5F-B5BB1BF7F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98C371D8-2427-4F4F-9375-F8B146EAC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24EFF9F1-97BE-49BF-A059-B7C25757A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81D005B5-79A6-4E53-B96B-A20D85D538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BB55C9D8-3B34-43FB-99A0-E6F66C205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30BC0728-0708-499D-87BC-7A4642694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DAD45519-71AA-4359-822C-91B75A243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FFF9F418-4814-450E-923B-571D418DF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883775A1-EE39-4895-B0BE-57D9622AC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A9D446D2-8A46-4014-A00C-1909A41FD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3F85ED65-5E87-4D50-A808-A01ED4ADE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C95BE3-CDC3-452E-8A46-CAD250D02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1107BC93-1055-42BD-A72C-617988CC7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61A95066-61DB-42F9-AABE-F0A89BF48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BE1CBCB3-1249-4F42-9BBC-9DD0C5776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84B984AF-D0BA-49F7-B468-0D859B06A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58C0B53-D9A8-4C34-97C5-3113949F9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B9ED9FFA-EB2A-46D0-BD3A-121A333F9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FBC29320-15BC-4EF5-8945-514E4E8D9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77B14DD6-0E09-4FF6-9A83-5BFA68046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3219E6E-B813-4159-B277-EE871C3CE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7D63B203-81BA-46ED-8D78-42E38265B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817D4F2A-AEB3-4256-A44F-9F92A71B4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DE8726F-A6F6-4542-88B7-F73E5B403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88570BA1-8086-4D7B-A6BD-25318EABF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15174A9F-ED52-4C90-8E90-21F94E2EB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2FE0ABA3-068F-40AC-BBAB-4EC4ACF47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B1FC2F26-E4CB-4D37-9562-09EF4836F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3BA1FEDC-E62E-4444-A7E9-E276AA1FF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7A568049-F282-49E5-9322-5BF2A449C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44BAF965-2C23-4C29-8227-43E24AD73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46E0650B-B471-4A5D-872A-73E97F234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4209DAD2-E9C0-4316-8276-F88FB8459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11139D13-5317-4EE9-9D1A-28F7CB191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B70EBACD-848B-4224-8FF7-4909CF004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CC3FFB95-9260-40E5-BE63-C36A3AF22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1A603B41-DE44-460E-9C20-F069AEFD6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5FEC76A3-809F-4BFC-B019-CA03C6E25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654403A8-8EDA-4168-B2CF-FA88D77CD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97FC621C-2511-4060-813A-7FDFA7920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1A8F8CA-AC6B-4D41-980A-5E7F3A241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75AEC2AC-6704-4014-AA9E-6AB9F598C4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1582D15F-22BA-4346-A388-CC536C802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19F31E64-3740-45A3-A9E8-B1ABF8C5A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A05570FF-332A-40F6-90C3-E65906D01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D5BD5374-AAE5-4929-BAAB-12A214024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D67ED875-EEEE-410B-BDBC-A67E2AF57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9815F84D-C69C-44D6-8DA5-29E2FFDD5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BB22B0FD-9F92-484F-A08C-7B98E6BF0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C96DF0CA-EBFB-4D68-AF09-189E3B7C2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B198A8D5-4084-4ADF-93FC-389B027C8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419C2866-BDE0-4091-93EC-28F2FBF85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CB650E2E-58A5-4138-AAEF-5A8FDBFBC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57C37DA-26A9-4143-9CC1-60B4274A2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DC28063C-0254-47C4-8DAF-1C49225AE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5DBD5397-00F9-4525-AA6B-3C8F85C1E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9586CD3C-DE0B-4817-9E65-CD1C7481E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936F4134-DF8B-4ADE-98B3-3789DEAF9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566AA52D-3A89-4AE4-8D0A-7CA558A36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456BF14C-53D8-4875-8A98-D92F8A72C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8AFD30C2-E2F9-4701-8F39-35632528F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5AA7F8B2-7618-4312-8150-0006F0D68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35C1886D-F8B5-44DF-A204-7E5DF52CC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6A74357D-A939-499C-B4B1-6B341ADAA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8A6EE26B-209F-48D4-BEAD-4CDF40BAC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3367F56D-291C-4E2D-8D5E-49233A70E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AE4E464A-2ACE-40EB-A56B-58B150F8E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DE9C15F4-5056-4BE6-863E-ABBFFE215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406BCD29-E008-437B-A621-F3B706044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977476AB-EC8E-4846-88DC-45CC86F1D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587EDF10-A537-4EF8-97D7-929D6C8E4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802DCAAA-B429-4D2F-996C-76671D23B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773FC148-EE10-4049-BBB2-B310F220F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19B70E89-5AFA-4205-B15D-DD8764B67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99E76E0B-9803-454E-8A43-F85DC8674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C7AA6336-6DB3-47D9-897F-DC964A586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FCABEF6D-F636-45D2-9584-51F7D1DB7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4D13E7B4-99FD-44D9-B844-6D054A7E4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CB50460C-381B-495F-8C5F-EC8E55CA9C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C30DD1FB-2003-4DE9-81CA-F28E2C7E1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87CA17CF-8A67-4C92-93F9-49C2D431C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A0FC290D-CA75-4234-A2F9-BAAD12D935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2821E217-A86F-42A7-A51A-7931D080F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FB3A96A0-54F3-486A-8293-3ED3D2864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3D3180B7-9B77-48B3-AF9A-594126621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2C7436F7-26BA-4D07-9840-F5F57F75B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7A818B3F-CFF7-4907-BC6D-E4F97AEF2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A1CE623F-CFB4-443F-A59B-C934C5A5C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CF7892CC-D315-4502-BEFD-9312F692D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52B28C39-913D-44F2-BFD8-3DB745550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FC3E5AAA-50B3-4DF9-AFFC-1E775ABE4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12D65979-9EE5-42CE-96DF-8E82B4E29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209D6AD1-EFCD-4FA1-9D76-45A286305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E32733E1-D87E-4478-BD00-A42BF9E1B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DA6D484D-92EB-424F-91FE-5E35654E2D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4CD08A61-A0D2-43A0-8F5D-D63EC290C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FF81B76A-E599-406F-897B-B5EE3D2E7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C3C4B3E3-838E-462A-BCDB-E3B46F3E4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8A1166AD-361F-4385-95FA-3358A8338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ABF34483-047E-4D6D-93AF-7BB673DDB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CD51DC93-1DE8-483E-9CF4-4E403E599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5287FB20-7677-4074-98B5-4C4AB0676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8CCE5404-EE81-4FA5-ABF6-04E77B10C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8A10738-FF1F-46A2-B0D2-6468325E1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2D93334B-AA54-4422-B6E1-0546FD906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64903289-A8DE-4DE7-994C-0FE48B4BD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E02F383E-FEE0-45F7-B636-F062C40E8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DD66C8DA-0061-413F-BE0F-91FDCE289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4D2E70EE-C8AB-4A02-896B-F3DA9696A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46CBF579-5E92-419C-9740-2F4B756D8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2B5A299D-0F7F-4B9D-B5CB-BB10AB9B5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2BBDBBBA-3C6F-4731-AD25-98D908A89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8255C96-1463-4D0D-8F2E-3B9B7734E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376808DD-77FE-40F4-BBF5-91AC975BF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7434474D-60F8-4A91-A1CD-2F6426B89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7831C8F9-6729-4B2F-B534-837953DC5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8BBFDD73-7C79-48EC-8907-590BD06BA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25AA13C8-E8A9-499F-8152-752A11943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64FFE000-5DE0-4A4C-88BF-47C25887B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E71F6EEA-CD62-4EAA-A6A2-ADD368AC5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2F49245-7F0A-4F01-A151-A2D92EB37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161A78E1-77AC-448A-8B51-3B862F705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9EEA7178-972B-4530-B929-A61E30F78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575413E9-C100-4832-9317-872FB2B11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23BEC648-E7F7-4988-AB5A-F256F4DDE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935AAC0D-7099-49FD-8594-C26A92F24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EDDAADA-BEEC-4E68-985C-66D24E9A1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8FFEFDE3-61AD-4A87-8E3C-832CDAAC2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83ECFE81-A37A-4FAF-90B2-635063390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2F8235CD-8BB2-4D49-8242-E526DFCE6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E83A1E23-6BFC-4111-B05B-079BD772C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76E0AAF8-BF9C-4FE5-9C8F-B6A6E28C4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B2A875D8-2987-4999-83CF-49DCFAF43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6D0667A9-1588-45A9-9EEA-3AC110BE6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787EE684-67ED-427B-98EA-D2992041F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B24B3D43-164E-410D-9EA4-7C7CCA752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AF034AE9-E6B8-4BA8-A2A2-ED61B5E72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A99605DF-DB3E-414E-B736-5555F9A3B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B5D41155-09A3-4AD5-ADA4-CAA75168F4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EE0DE5E9-5E5B-4913-9BF0-3E44F019B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BE80BC74-E812-46DC-B79B-716991402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8F47C34-665D-4FDE-BC86-66A103ED8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839D00F-3DFC-4C0A-AF62-303D066AC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90EF7550-F56C-44D3-840A-109C210FF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7097AE21-0A41-49A1-97A3-9D4EEB62D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CF406191-B37C-4FD9-A305-BDE422F41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C24928AF-8582-4915-9827-9618AB881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F1AE2E61-9DB0-47A5-86E7-45DEB7E04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98180E76-3EA9-46E6-8766-C9D8BD6CBD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B94BD8D6-D3DE-4098-86A6-2F6C1BA2D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2D8892A0-DDD7-4547-A2F1-D0C4F9460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AF7B8AC5-A5ED-4B71-A09E-E572BEF8D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2138A5AC-E4CD-4943-B523-E5B6DD28C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65187C48-460D-47C4-A199-892629FAD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444384D5-2524-40E9-A422-3A1BC904B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959DD94A-36AA-4D63-9580-4EC9BD29E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EC926D54-76AF-417D-89BB-13CC7B8D4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9537E4BA-7C83-4AC3-B884-9E0C2DD03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665E244B-8572-4E8C-9A12-5549FD8C1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34DAED79-A4C8-4DEE-9C33-D2E7C6072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45676D0B-0D37-4086-B9DC-502249A48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7E428EF8-343E-49F4-AA9C-FDC203D24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6737409E-1FEC-432A-A0F1-ECC85FC95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F6B64959-B61C-4BA0-ACFD-5F8D6BF5E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5FAB76AB-87BB-4984-A4A9-0BD8A4813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5C79C52F-B490-45C6-A4DB-5EBAAFB45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6E6A4F40-7930-4D75-A4F5-38419A106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610648CC-58AA-45B8-A6BB-D38DE5BF5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41200E78-01DD-4C8A-BF87-7CC877EDA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C34A8E9E-A601-49DB-8B45-C092A0B71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C199F206-8917-4E7D-954B-7C89294B0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68E8BB0E-8783-48CF-86F9-DC91D7B58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7AE46335-764B-41EA-A21C-4A330DA88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7B7EDE28-B492-4FDC-9DFF-404513CB3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94945649-5F16-422B-8A7B-0CAA2B947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EC175A8D-153D-48A3-8C20-0A6192118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722F693-9C40-4855-8E99-3CA531925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B4052BD8-1374-4638-8B0E-86DEF4A83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41A6B13A-4F64-4860-B83C-78DA7052D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CD08DA9B-C8F7-4B94-A212-BF255D992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B60EA876-3724-4832-AE35-BF1328113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F9BF13F7-D184-4ADA-B6B2-B2BCCF2D7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84783C7C-4ED3-41BA-BD65-1D800D4B0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CD3F1125-283C-4951-B3AC-66E913CAF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F7476548-B8FB-479F-8303-0EEFF8D5B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30A468E6-E897-4B63-B925-7F3582ADC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F97FAD6D-E6C2-45AE-98CD-4955A28B3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741BD664-0D96-4DC3-976E-69148D6C2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60D8300B-2904-4BD3-BE44-5C396495E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CBF2CBD2-58D3-42D7-ADF1-363DB6029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9252063E-2B55-422F-90EC-89396BA7D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ABA9427D-0CBE-4431-858C-52254CD15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B6E76F4B-942A-4085-A5D2-79D2D724B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3A4F9579-07B0-4261-AD02-752FD5A26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52C9B940-DB5C-4D07-AF07-E91A78364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D1E51A3-5024-4F1D-9894-6CD657F5A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5FF102F7-524B-4DFB-B570-D44180D06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8EC650F6-EC9D-480D-A7B9-1BB3F551D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FE356AC6-9E5C-4076-AC5B-AE8E0DF3F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FEBACD9-3B8D-4E5D-9B18-700178A42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7AD16AA1-EE0B-4431-B840-0252810F1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775DCA8F-8B7A-483F-A7F3-8F0124FFE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7C528561-18E5-435B-A958-6DC665BC3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96468193-4512-4581-8B1B-76C71F412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CB1B9332-D36B-4760-8110-41EBE9D21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C4368503-04B2-4F27-87A4-53D28B9815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F4CD1DCB-3334-4A44-B21F-C5860CAF9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77524AA5-88A1-41B5-BCE7-F1017F658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2EF37EE1-8810-4D86-9F40-EFAB741CB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73D7F413-57C6-408D-A496-667B81F1D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3D46FCCC-5277-46B9-832C-76EDF5D5D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F0CE0268-80E9-4F27-B739-BA5C8E757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7D9DFF91-736D-41A8-8EC5-18AF5E741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C4675D9D-6DAE-4ABE-9050-A1A2D8ADE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A2984426-88F9-43DB-B198-F87975BFF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617878E0-E0FA-4170-845A-6C9D19369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8B4CF6CA-8A5D-4ACC-A9C9-F5708C7EB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66CB0ABB-67B2-43A7-9CAD-3F018F2B4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CA63E10A-79E5-44D4-9B4A-CE8686659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772A2ED6-B5F1-4678-A6FC-C65C3DDC8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E2EEA36-EAF2-4094-AC10-9687F5A6B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FA45F8B9-E7E6-4FEA-B10B-9C335E8F8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9102D633-C0F9-415A-B548-15B634535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86FD94DF-C09F-45E7-83B8-94F6B50CF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B2938047-AA67-4BEF-801B-A13C47C29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985F999A-7121-42AD-9805-E1B5145E5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8BA89A3C-7F51-4573-A13F-71CB5FA3B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BDD1DE9-EE2E-4BBA-B2D2-FF583E35F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48C0D6D2-5E41-4D67-BDFE-109C9B509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3D647D71-7B8E-4660-9A9F-E64A3DADA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94C3D27-5A42-44C0-B41C-78E775A16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E533804A-9E71-4D93-9347-0507424C6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16EBE7B7-90AB-4B5E-958A-2B619D00E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2FC07969-7081-41AA-A81C-42435F0DE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A22C1D59-6816-4DA4-9328-4436FDAB9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3389C2EB-1F9A-4839-8119-B2EF47391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CA97C4B2-7707-4B50-9A58-819B9064F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AC570427-A385-4F6D-9732-37D9B773C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1713C30A-5B05-4FD8-896F-4C7DC19AC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2E42C4C9-0A2E-4A4C-982D-4954ADDA6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A765779A-2C3D-4C49-9C86-10C69C508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CF6D5B94-7DC3-4F16-A719-B7E90018A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5352C937-473F-4311-B802-4D71D188D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DF36B837-BCCB-49E5-B86B-AC6E085D0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6DC2EA77-1FBA-4E56-91B4-88FDD4EC2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A2BF453A-A634-4687-A272-DAF5DE6AA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9DC8D9D1-068A-447D-8193-E31BC88EF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4448651A-595D-4473-A74E-8C6051BF5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348D020C-29D4-45BB-99BF-62C8F44D4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814B9148-58D3-42CC-A32C-2DFDCE450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788DE386-9D72-4309-9296-D20027A8C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BB4E6B6E-F13C-4E39-929C-59C16E551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9DFDA83B-E544-447B-8518-4C98E0244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4F5B82FF-8FE7-4715-ABAB-7376D920E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3CDD87F5-862A-4192-BCF2-8938ECA4B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10D32E60-63DF-4BD9-9332-D06C18640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DA31F4C4-AE2F-40EC-B863-76E30AE84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6E3AB178-1145-4AA5-9AD8-31BAA2CD1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8ECE4045-AFE0-4FB7-97F3-DAA3F023D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D091D1F9-7959-42EF-BDE8-168963708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A09BF3D8-5E4F-45F1-AE6C-FBFD7F704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FC9F24E9-848E-4945-A522-A6BCCA4DA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F324917C-C069-4910-B6B4-5EE6F2C5C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ECD49A17-CA98-4E3F-ADFF-24812EF33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B10DA319-A0DB-44E1-A4FC-8C3511D07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2F3030A3-A349-44C3-8317-B0A578479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9AD3A5F4-D90B-4474-81E5-1045C2585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2AD6E4FC-CBB7-43CE-A1F1-B7A8F4C74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8A782CE1-1E0D-4AA8-A101-7C967771B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48A20DB2-9627-40B1-B591-E1497560B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7C7CC2D5-4692-4A4A-9F4E-ECAD26DAE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FFB52101-1913-4F08-B46B-A5838C233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FA27341F-6061-4630-86C4-AEF6F2B10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C1A5E3E9-D559-42CE-AB5E-31D21D1417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E5087809-3E82-447F-92D4-E17E7B852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D53B76F-C731-4EAA-8A11-CEF21210A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C4BE2BD4-80EB-4636-AB06-5083B0F52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CC924BB7-2585-4324-A9E1-6C8CBF1C0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BEDE0952-96F4-45EF-9177-7B2D52B1F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9AD6BF90-495A-42A5-BD49-6325740A4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D775B52E-3D1C-473D-8E79-F9DE4591A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8FE19A1C-B3C1-4396-AF50-DA4308416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7302F804-7003-49E6-9E32-5A217C978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D1CA3F82-0D63-411A-B401-B4C61C9F0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9EE3568F-04D2-41A5-97D5-201753834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9C3C18DF-945F-4406-A807-6DF182E35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8672AA5-F57C-439D-B486-857C63869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72D75ABF-9563-48ED-8AE5-A8427F904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F4C7D42F-067E-4231-B2E1-C5F81A870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9074AE1E-4389-4D86-84C7-8FFE32FE2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FCFBB423-8876-4C36-A42A-99DCC7CB8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A5EC64FA-0C4A-430F-98D0-245C67BD5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D5A51FD3-CA1A-4251-88AA-2AA476711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8C275010-5E93-480B-AA20-E04912E51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3D7346E-DE88-4C03-A862-88281CDE0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3A97B690-CF5B-453B-B49C-7912917BB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E74FD434-0C0F-4C77-A49A-33CDDDEDF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67416392-04C3-4266-B533-8BF276777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A61482CD-64EC-4722-829D-E2E740381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92C3F77D-1C44-498A-988E-8C7FBD498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F97B12D1-663F-4F4A-93BF-178AF8BAF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3979C30C-1501-4DC9-8EBE-EE249684A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D26D1D4A-7D11-4D5F-A76D-3A4015B29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1F34563-5C14-4BA9-8338-5AA9261F4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CCB5A9CE-4233-4080-BB96-CACB14012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3B0B5C21-6C5E-4CE7-97D6-D210444D7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95EE73C3-D229-4C95-AE3D-864361324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54C695C2-9766-480E-9097-42CFED262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5DEF5970-832D-4466-A42F-08F5761E7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327DFD55-5BB9-4CE6-A6EB-E42B55151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3A3E34E7-8660-4A5D-AEDA-F8A7D3655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A9728D22-EE7E-45E6-A321-C076856EC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B62A97F7-A307-4420-8414-67166183F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A8D72987-0A5A-4842-AE59-4C0FB57D8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8A54F17-AC26-40C0-BC30-38476219B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D296CB58-427B-4D9C-A867-99B745F97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B6616B97-1667-4AD2-BA50-83632D77C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B95DA5A5-24B6-41D6-9312-67A426767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71DA9565-176A-4DDD-A043-F083075E6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AA37FDD5-F49F-4CE9-98EA-CFE49AB92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333B57EC-39A7-4EC4-AEA3-FD6631429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5D63FF04-7E5E-455E-B333-F86819592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7842EFD4-901E-4DB0-BB3B-FF1A70D6B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5404E155-289B-4491-B50F-12D15664C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77D13AF7-8E30-461B-8D5B-C4BE253A4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F24A8DF-33DA-4F09-A401-4F201A071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6E2C77B7-5285-45F7-A1F1-FE5917C8C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9B17F197-0FB6-4DC7-AC40-E29BF7380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7D41343F-A2EE-4FFC-8C7D-A0D6C64505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E34A2D90-7257-4A71-9BB4-3BE44F674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885FE0FC-4F07-4879-8BB7-C5C2515A8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178ADAA6-E654-44FD-81EF-7C2AD4986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6D89F73A-BC83-4101-BD6F-7C9F257A1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6B96EFE9-7AF1-475C-BD24-8D833546B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F9E3C098-4FFE-4338-87B1-C0B5F3D71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F81C8739-87BA-4EF3-A7B2-4B488381B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6BEF89D3-5A0E-4DE3-9A94-82966E905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2A859F2E-55AF-458A-B4CD-2C643404D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66AE64B9-4759-469B-9B06-98631EA02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95C47226-61F3-4A7C-80A3-C4FE81C3E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E2DA7319-4BAB-4007-B6C5-84FEE031E1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9F69F6ED-0D89-4D58-A02A-F2E218BE51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943928A0-3A20-4005-99BA-C6F2C9D26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F5F7F2CA-D1B2-4EBE-A3AF-9A501975C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6B3FDCF-2A6F-43AB-9A7C-49BBA18FF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467DF75E-836D-436B-809A-E92B0DA2A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8D69FC2B-6115-4462-971F-54D4456EB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7B307D54-9427-4C6D-B406-91803F4DE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4E1EEBCC-B0CD-4948-8788-A8DF16DCF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D9943C18-23DA-4024-A73A-E85A3F468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1F5EC652-3D6D-41FD-AFC7-908E01F59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1A830227-2845-4F91-B2D5-4BCF99E16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C366BD6B-D686-401E-9A89-E656FAB6E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9AEBDFF7-FAC0-4F68-878A-2418430BC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BF5488D6-9A50-41B0-90F7-DBC81E69B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5E1D5605-CDFE-4995-B670-F02DBC7A2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C338C79C-3405-43C3-83EF-E1F27054F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E47E059A-3565-4FC0-9C00-A417B293F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26AF2BA-9439-483E-90F9-BC87B521C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194F7D62-3F3D-423A-B273-BF814AD6D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A802909A-97D6-43B8-8694-A75E3D138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8C1DB1E2-5D2F-45EA-97D6-36E91377A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3465BED-B5C2-4D0D-B0B8-590FBB4D5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8A9323F-5CEB-4AE2-8B80-C4CC69B8A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CB375B45-A298-4CE7-8FDE-9146C6E0D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D235644E-EE03-4449-BBAC-D69DA7122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36F6F8CF-679B-43FF-A1ED-527059DF5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893FE25C-DE8C-4791-8EAF-AEEAE1FAC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4C3446A-883D-4043-A125-77B17BA89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4E4E0F26-0E77-4282-B711-C35319F97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BC155FC4-ABD2-4C33-A6A4-39F4D5CD6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2F0A9C80-12F7-4CC4-A132-FE9C35ED5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3086C230-AA66-4BB0-AA41-8662C2E02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E2B88B2D-6381-4212-BC81-03199AFB9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D93711F5-B352-4022-8B44-8E8587378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8FFB041E-04D8-47EA-A715-84E75000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CD315DB9-2F5B-47A5-B540-DCFE8DA95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7AFB59D5-4FC3-4A84-AB5A-BF202AB16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EA468B73-217C-4005-A9A9-85F3C1531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17D52687-A72D-4708-9D55-9A025E054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432CC24B-F85C-4CB9-80B9-B27973165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B9E67024-4AFE-42E7-B5D3-6AC092A99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6DB2F3B7-C37F-4A2D-A364-23582214B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74F19B58-4A17-4999-94B6-269AE4A6C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291006E6-9750-47E5-821E-91B1039A3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AE6D85C9-9755-49FD-8F18-656316C41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B5BA8520-EF8B-43E1-81F1-0FA75FECF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359D6315-5BB4-4575-BD74-B77AC16AE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DD9CC15D-B7F2-4C9F-BD5F-A276EB635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D6FD5ED1-F540-4979-BCB5-7CAD230D5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15988A9F-DF3E-461E-980C-D7C5D5341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F79C59DD-7DC9-489A-A2E2-F62D18029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C09021DD-E38E-4931-9C59-664840E94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C30F11AE-768C-4A34-B7F3-51ABF5B4D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941D2805-A0D0-41E2-B516-843384FAA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BB9E2948-ECFC-4B90-9004-9685D3BCE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E387D7A5-3A11-48C4-A969-B02913039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25936865-4377-47FF-B981-CF9A66CBF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13EFC6E7-5D3F-4B25-B873-49FC4383F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91C91CAB-BA6E-4F23-9091-75F62202F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1EE6F3E9-EC6E-4F68-9DC4-9704FBC03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A1A0E151-AB72-4739-AF0C-D6A44C37E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99550413-AAEA-4DFC-B2BC-5F6E4F84B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7FA9F251-9493-4913-9EF8-B4781D329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D63D194C-534D-4588-A342-B4032B4B9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CCD80F81-770E-45D7-AEB1-813E3B2ED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B993E073-2571-471B-96F8-27BEF7929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19E1A935-F630-47E7-AB28-D6F37BC1D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C81C6ADC-07D2-44F3-99CA-8E7BA01C8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6C83AC2D-8A42-4F96-8E05-65B195518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EB864A1E-0CFF-4FC8-B045-F3732ED60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C534AE94-21DF-4831-919C-912134B2A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BCA99319-3808-46D5-BA16-AB428E724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EE07DE1F-5096-4298-B165-8E25B9F72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7FC530BF-CCBF-4216-A0E8-F581D8BB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674A59BB-6CA4-4D04-A345-90E00CBAC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EA1C703A-E027-47F3-932C-A7AFD44A1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D1BB1820-8B6A-4295-9FD9-9BAC6D347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A6FF2558-FF46-4FA7-86F9-BC2BA83C1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2099B383-F1B7-410B-BFDD-7C61CCB07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244D3ED8-EC82-45C5-8513-B970CECE2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C49E8085-1587-4D7F-AD0F-8C755A90A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3E25247F-F8F7-4F6C-891F-247F834C7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AD3AC6CF-BB52-4CE8-8C40-E658334E1F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7ACBDE4C-1239-4F9E-940E-9E33E604C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E3D618C5-2051-42EA-B305-C2EC0ECE1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BCFFC240-61B2-4215-88FD-081BDE1AD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D8ACA2F1-5F9A-4CE2-A4D6-AADDE79B7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620C24EF-DD40-44EA-95E7-77CEAA03F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3D811BB-4E0C-4EE8-A38B-99FF98A62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A49D0AD-C1E7-4AF1-AB9C-8291B5F3E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C5381B7-97E8-43E9-B70B-D509DD78F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C73FB61F-859D-4F9A-AD4C-E2353079E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2FC62928-1D74-49F4-A632-8F25F255E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101BC87B-651C-401A-AE6D-6727A023C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5476AAE9-731E-4B7D-8010-949E91216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E3F8A60B-6C45-49E1-B899-E8D526B4F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403BA7B5-B546-4586-A47B-7E366B37C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AC709619-A951-482D-9A55-4A71901C2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4EA7F2C3-0252-46E2-8D3C-ADE384A24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5F5917D3-1B87-40CF-8630-9153D4B4F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779CBE05-88B5-48A3-B3C9-575F0AAA1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C143DCB4-5155-49EC-B240-58AB6182B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6939559-F5AF-446A-8AD0-AF165BD83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A79FD7A5-3658-4F4F-B223-4B2D2B278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9E2494C5-589B-4442-9B47-1A5F2D9DC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10B31F3D-5D66-4235-AD06-B758B4D2B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106B87F9-82AF-4439-8EFC-1D6E08CD3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F184331A-ED70-47AD-9F43-867E5F112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32D55F64-DF74-4A03-BEEB-C922091CC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B02465EC-C3FA-42DB-B6B8-CEC2976AE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D77629E6-5DE0-4F8B-9224-661B45753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1115666F-07EC-4EA9-A598-6A7DDB0C2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54A0A14B-AA64-43AC-B28E-779DF7350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AC3AEA9D-BA7F-4A05-A547-9F615221A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4AAEA2A3-4AFF-425A-B33A-8D28C9B8A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4EC385C4-6014-4645-AAEB-4E857DEBC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1A365422-756F-488C-9F98-93DE5DCF7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D6F3919C-064E-45B8-B66E-963B3A7FB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B4ED3C43-AE8E-40C1-939A-2EC08BD9E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4D35E6E9-EDBC-44CD-900B-6C7B0B194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51AD518B-9D11-4C64-8096-7A8BBA037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908CEA4A-6B2A-4050-AD2A-460F2F33A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8838A1A0-A053-4CD6-B93E-0DB6A5B6E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1D89F936-1DF7-4139-A7C9-690094432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55BB8AEA-D9AC-45D9-9FC1-48B523499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3B71FE80-53CA-4822-88D2-F867B202E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14D61E17-8107-400F-A134-97C71418B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B5E829C2-5497-4D0B-A70B-F19BC6AE3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7A1E1BD2-31A7-49A3-A708-7CF019D6C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F186FE2F-94D1-45C6-A625-5148B9DFC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5A6DACEE-A092-4FA9-BBCD-171B2D6AB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F9B51B84-D70C-4BCE-B039-F59AC5AD9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6F2EBB47-6E19-4D7E-923C-56667EB67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E199A933-4B74-46EA-837B-9DA139874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42487859-7F0C-484D-AF97-83B0EA828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4C843911-6F26-4D97-9D96-B72FF0CA2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DAC7EAEF-3206-4FD5-9D45-63B4CD5E0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EC62B7CE-C289-48F7-95DC-F17FDEB3F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7AB3DB00-5913-4792-B31D-6B79DD713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F328300E-DFF8-4864-B399-705102740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875DF467-996F-4BE2-98FE-582DB32B8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D9FF452-4352-4CB8-9A6F-463A7DE09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EDDF9D81-AA83-4C20-A39C-B20194C61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3BE6837A-6C25-4FA9-A550-E83974CB8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79F71ED6-301D-4CCC-82BD-4C75147B7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2BA6C702-1758-4D9B-9DF9-51583124A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D302ABCF-25C1-49C3-9B39-E3EE8391C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5BAAC392-D7FF-46C8-BEE9-1E1FCFD08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F460BED9-097E-4B5E-9CFC-180E9CBC0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D872C372-7BC7-451C-B16F-BF8BD64E4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BA47F12F-47AA-4C53-8E88-13B5B9148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D8CFE258-D1F3-4A80-9B49-74EE76746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8241A0DA-AE70-477D-801F-E10FCB7F7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AD29005D-9C63-4B2A-AEC8-35663DEDC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549C3D6B-6EA1-48E6-8761-9F607D93E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3AD8073B-3168-4A77-BBA0-F52D0E270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D09A21F5-2FAD-4778-AFD5-8D7D6D76F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A148D84D-6462-4D7D-B8DF-DF2204181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C29B235F-5960-4935-9B3D-CF4A2ED2F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B58DF2AE-588C-4170-8601-9D78E8836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24255A6B-6D54-4A17-AEEA-D5947E12A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B37B3DB7-836B-433D-B511-EB7BC29C8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4FA17F4A-F9B3-466D-813B-5D47574C9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C8D33AFB-A146-4563-AA79-C1DE2EA71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9550FEA9-5461-4FB4-B7CC-A2297647B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54A7B64C-5EC6-4F18-AA93-F3A8F5E8C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B353DE1C-9560-4351-AFDE-33A6CE9EF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9C5105D7-65A9-48AC-A39D-B7D2F5492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73275132-4543-4796-B885-FCFC5F72D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1B95C5A2-0B77-43E0-8D55-EDD6DFD4B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3753C484-4359-4744-9384-DE9D72C4D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1E8F14D1-E234-41D6-82D8-59ED0C934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37A805E1-27D1-408C-A99E-A595C03AA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9DD76732-1B9F-43E8-9293-7FD4A1B58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B6B07E4C-2DF1-44E8-908A-D625CB1B3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B35682F9-883F-43E6-A015-B80BE3EC9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B995FF8A-62E6-4AB4-A63D-7F78C33B0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7CA3B317-BD68-44DA-ACE5-EA5ABBE08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7A5D33AE-DAEA-49D0-827D-4ED938258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50211CA0-2FA3-45A7-8466-0FF25601F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B67C094E-B607-4294-AF5F-B4849C222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C0590720-D698-4B4B-892C-ACA013004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8E94544F-6009-475C-AF82-547D9258B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D01BEE2D-EF62-48E5-935B-C570FCCC6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DA73734C-BFB7-47B5-BA97-ED63CD0EB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2AC9C1AB-81BB-4FC8-AE2F-08429B551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E3D0EABE-7F58-408D-B7F3-03C7233FE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D298B162-8511-4CAA-AD25-E71DC91C9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8D171DA1-4320-4E45-B4EC-A094328C5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E2AFA1E9-5C7F-40E6-AD7E-28219CA2A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4E8F698B-F4BE-4303-BB57-251D6B37B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3BB6C196-3E29-4518-A012-CC2AA4001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3D119CC0-84BD-448B-9464-BD5533E56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5090E096-25BF-4F7E-8885-D15D98B4F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3D196216-AD65-4070-A522-CB7D6C201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BB83CDAC-91F4-48C2-A63B-707E31D18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7000B8F2-FA59-4AAE-9604-C9FD82690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48598389-B722-4D1C-B102-74DC51802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60260A24-52E1-4280-955D-A7A8937BC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C597C9A0-EE34-4A9C-A7C0-93C3361B8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87BB235B-6057-4033-AC10-99609123E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1DF32D68-FBD1-4DCC-B72B-B3100B8D2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C726CBA3-66B8-494D-9A3A-AABD4E6B7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A41C1E6C-1D41-4030-BDE3-AB40F0F2D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BE7A1D47-2176-4768-A0DD-50FFACE8D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C3566A8E-EE51-4CFD-80E4-4A43920B4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9AA3AD25-E5B4-4DA7-9E50-7C666144D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D5EBE692-25D5-4847-97D8-CA3B5565D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86F37B54-A8D5-44AB-ABFE-AC21B5416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199B11A-6C45-41C3-A08F-922C9351F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84AFF0C0-442C-4FA8-83A3-434A9A585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71B2C0BB-8232-4361-B57C-F040F6908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FAD7ADFA-066D-4B49-9622-8EA2C45BC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119EF37-4287-4B03-8D20-BAFC9C193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6F6FB3FB-EA85-4353-BB22-30B40CB33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68442434-78B5-4D3F-A7DF-EBB5F1CA3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643B128A-AB7E-43C5-9BDB-0436AE3CA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2BF50F50-B941-4541-B3E3-476CC8C22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D8718542-E995-4886-A83B-D8FF64E12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6624931D-2CB0-40A8-906C-A5B637B0B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7AC91A27-0A85-4234-81D4-C614FFBAB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27B7709F-A700-4853-9669-76EC432F4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548D00EB-5CA7-4E6E-9520-849045E2E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F169AA4A-A14E-43CB-9516-38C3DEF36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FD1D6B74-9217-4701-8918-59B6A22A7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40A57600-58E6-4D61-9BB3-382CB43B8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4420D4A2-818B-4206-B6C2-5576F5E32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B81DA424-F255-458E-AA27-65C2206B6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75EDE69F-F235-4D65-9C8A-F5CD37CF1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C9606FC7-7B0A-4F15-91E3-57EBFFD0B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E02D749A-95D9-40AC-BD34-8A595A5AF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C36B5D20-3484-458D-BC00-1E3ECE6DB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6A8585EE-A4A7-46F4-8ED4-2881D0FE6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D3F584AD-F3DB-45C6-BA9D-0E452250B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4363B2AD-CFC0-4340-8EED-AA2C9FBC4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5C1DB909-ABA5-42E8-B992-410C329A6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CDB06EDD-3B2B-4744-8236-D8EC5686D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83EDC56D-2BB8-4452-A956-BCD93E8B9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5F257971-2AFE-4590-9413-0507BCCF7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C209072B-24FB-43D5-87E8-4506D9A39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2DC90D0A-43D7-4A83-9730-F57F45E1F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893868D3-ECCD-4924-903A-2893DDB92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C644E320-91DA-4294-AE7A-D68B9D4F5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1E0CE572-C499-4EBB-8267-35B2CE7A4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E6635429-53F0-4E3C-918F-07916ABA0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9032B7CC-8DBC-4438-8323-FD3CC0E00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B0EF312F-A402-44C2-9B9A-08E05215E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8E3FA191-AE7A-40CF-8BEC-467C8D3F6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68D31F6B-AACB-4CFA-B6A0-1358C9837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17922996-9D09-455B-BF3F-3D0D01D38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39AD7565-E624-4AAE-9C23-9D2DC07D6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AE28B960-6FFB-4BB2-83AC-2EB57C7B3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9E468D74-3AD8-4EE4-8895-3B3E5C569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718B871C-8D28-47E9-A48E-3E0376125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480B3D48-C166-4A09-A678-325A91856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4CC641F1-BD02-48D0-9817-0ED2C49AC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95D832E8-1B05-48FE-982D-36376D023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14DB92FB-D3CA-4AA6-B253-117407B95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DA260971-0DD3-4CF4-B9F0-2CCFCDDA7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5F9C8932-BDBE-41B0-B511-646EB3192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FF2DC5EB-F2B7-41D2-A318-3F0254EDB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BFB46F8E-070F-4FAF-980D-405597F80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8F7AF999-5EB5-41A8-87D9-06CC70EB6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E0342CA1-5A7D-4778-8BFC-A7B43EF66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B415F895-3332-4878-A5DD-8A8E6B3DC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4D702890-0EFC-42BA-A578-C05DA4EF2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320179FB-81D7-4AA1-B5B8-3DBF37D3E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ED14940C-675D-418A-80B6-861CFC26B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8AFE79AA-A70D-4D54-A371-A0AC2E370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7B0B163C-EB2F-4055-B7CA-AF885497E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D9E4085E-CE28-417D-B876-354B04D3D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6CF0DADA-4180-435A-80B6-1ABAF6B1C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3E7C143F-65A6-47E0-BA41-479243DD1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56ACBFD0-EBC2-41E6-A7F2-0AB8FC9AD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AC066652-B1B0-4652-8E52-052E73746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6EC6FB71-8DCD-4807-A777-CDED546F8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70263486-5BDC-4102-B005-F40C393DA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9FB3DC4B-EF97-424C-A74A-37DFC2EDFA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603B1F38-19AE-4585-8F8C-013AE5CF8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AADA1D61-19C9-4F07-AEAD-E4B2B4A41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89988090-23AE-463D-A9A5-DBBC489A0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1E115CD2-CFF4-42BA-ABF8-E0D355E37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51EC1066-D0CB-459E-AAD6-B2CA6A6B0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FCFC9D81-F3E5-4423-BDAD-2D75D387F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44F7088A-92E7-47C9-9F4E-C50F04C16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759593F8-3540-4009-92D2-B13A138B3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ED2DB3AD-3D29-4138-8123-5E178C7BF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7D4F78D-9F85-48F2-968C-EAD8504D3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FCEF0EE6-259C-4BAE-ABD2-1C1533ECE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766C5984-775D-4D7F-922B-A317B03B5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623A540A-BFFA-4E20-B4DA-ACEAEE4ED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1292AAC1-EE7B-4F7B-B7DA-B8B63A223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A7039EFC-AA31-428C-AA3B-4259F6C73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186A08F2-7733-4AFE-BAA4-A1954061C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219BECA-F7F8-4379-AE44-35338133F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B3215DB9-046D-4ADF-B1FE-75E53D102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4790791F-D6AE-40C2-9244-5C19EF0D8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3051BE32-76B2-41CC-BC9A-6508ED018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B12E8627-E3A3-4074-B9AE-9942B254DF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5831FCF1-1D9E-4413-8743-1E5B0C28A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89FD0DE5-AFC0-466D-8E89-C16FFED62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8537A5D0-CAE1-4255-ABEE-37E51A3F8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6E836EF4-8619-490F-9979-70E4A76D0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31B56B5-1C81-49BD-A5EC-C692DC091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3EBD884D-3130-4BC4-A573-F32CE7556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C2911094-77E2-4820-9985-81F131BF6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2401CB57-379D-416E-9FBA-B6B36EE97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C5D82046-9AD2-43EA-B106-4EB29BD73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292C3FC1-7FC0-4EDE-8FE0-05F5A5DA6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274B46D3-9DBD-4E9E-B9F1-7B23DE71C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4E6E2276-BE17-4257-88E0-1C984E4F4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44287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" t="s">
        <v>3</v>
      </c>
      <c r="B2" s="191" t="s">
        <v>4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5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4" t="s">
        <v>7</v>
      </c>
      <c r="B3" s="182" t="s">
        <v>8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9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2" t="s">
        <v>12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13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182" t="s">
        <v>16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17</v>
      </c>
      <c r="L5" s="183"/>
      <c r="M5" s="183"/>
      <c r="N5" s="183"/>
      <c r="O5" s="184"/>
    </row>
    <row r="6" spans="1:19">
      <c r="A6" s="4" t="s">
        <v>18</v>
      </c>
      <c r="B6" s="182" t="s">
        <v>19</v>
      </c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20</v>
      </c>
      <c r="L6" s="183"/>
      <c r="M6" s="183"/>
      <c r="N6" s="183"/>
      <c r="O6" s="184"/>
    </row>
    <row r="7" spans="1:19" ht="17.25" thickBot="1">
      <c r="A7" s="4" t="s">
        <v>21</v>
      </c>
      <c r="B7" s="182" t="s">
        <v>22</v>
      </c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23</v>
      </c>
      <c r="L7" s="183"/>
      <c r="M7" s="183"/>
      <c r="N7" s="183"/>
      <c r="O7" s="184"/>
    </row>
    <row r="8" spans="1:19" ht="17.25" thickBot="1">
      <c r="A8" s="4" t="s">
        <v>24</v>
      </c>
      <c r="B8" s="182" t="s">
        <v>25</v>
      </c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 t="s">
        <v>26</v>
      </c>
      <c r="L8" s="183"/>
      <c r="M8" s="183"/>
      <c r="N8" s="183"/>
      <c r="O8" s="184"/>
      <c r="Q8" s="157" t="s">
        <v>27</v>
      </c>
      <c r="R8" s="159"/>
    </row>
    <row r="9" spans="1:19" ht="17.25" thickBot="1">
      <c r="A9" s="4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 t="s">
        <v>250</v>
      </c>
      <c r="L9" s="183"/>
      <c r="M9" s="183"/>
      <c r="N9" s="183"/>
      <c r="O9" s="184"/>
      <c r="Q9" s="2" t="s">
        <v>29</v>
      </c>
      <c r="R9" s="6">
        <v>10</v>
      </c>
    </row>
    <row r="10" spans="1:19">
      <c r="A10" s="4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/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7" t="s">
        <v>32</v>
      </c>
      <c r="B11" s="175"/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/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81" t="s">
        <v>39</v>
      </c>
      <c r="B15" s="173" t="str">
        <f>TEXT($G$1, "[$-ko-KR]yyyy-mm-dd(ddd) ") &amp; "오전 00:00"</f>
        <v>2021-04-01(목) 오전 00:00</v>
      </c>
      <c r="C15" s="174"/>
      <c r="D15" s="170" t="str">
        <f>TEXT($G$1, "[$-ko-KR]yyyy-mm-dd(ddd) ") &amp; "오후 14:00"</f>
        <v>2021-04-01(목) 오후 14:00</v>
      </c>
      <c r="E15" s="171"/>
      <c r="F15" s="172"/>
      <c r="G15" s="170" t="str">
        <f>TEXT($G$1, "[$-ko-KR]yyyy-mm-dd(ddd) ") &amp; "오후 19:00"</f>
        <v>2021-04-01(목) 오후 19:00</v>
      </c>
      <c r="H15" s="171"/>
      <c r="I15" s="172"/>
      <c r="J15" s="170" t="str">
        <f>TEXT($G$1, "[$-ko-KR]yyyy-mm-dd(ddd) ") &amp; "오후 21:00"</f>
        <v>2021-04-01(목) 오후 21:00</v>
      </c>
      <c r="K15" s="171"/>
      <c r="L15" s="172"/>
      <c r="M15" s="170" t="str">
        <f>TEXT($G$1+1, "[$-ko-KR]yyyy-mm-dd(ddd) ") &amp; "오전 00:00"</f>
        <v>2021-04-02(금) 오전 00:00</v>
      </c>
      <c r="N15" s="171"/>
      <c r="O15" s="172"/>
      <c r="Q15" s="156"/>
      <c r="R15" s="156"/>
      <c r="S15" s="156"/>
    </row>
    <row r="16" spans="1:19" ht="17.25" customHeight="1" thickBot="1">
      <c r="A16" s="18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7"/>
      <c r="B22" s="96" t="str">
        <f t="shared" si="0"/>
        <v/>
      </c>
      <c r="C22" s="97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7"/>
      <c r="B32" s="96" t="str">
        <f t="shared" si="0"/>
        <v/>
      </c>
      <c r="C32" s="97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26" t="s">
        <v>42</v>
      </c>
      <c r="B37" s="144">
        <v>300000</v>
      </c>
      <c r="C37" s="14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166" t="s">
        <v>54</v>
      </c>
      <c r="B42" s="168" t="str">
        <f>TEXT($G$1, "[$-ko-KR]yyyy-mm-dd(ddd) ") &amp; "오전 00:00"</f>
        <v>2021-04-01(목) 오전 00:00</v>
      </c>
      <c r="C42" s="169"/>
      <c r="D42" s="170" t="str">
        <f>TEXT($G$1, "[$-ko-KR]yyyy-mm-dd(ddd) ") &amp; "오후 14:00"</f>
        <v>2021-04-01(목) 오후 14:00</v>
      </c>
      <c r="E42" s="171"/>
      <c r="F42" s="172"/>
      <c r="G42" s="170" t="str">
        <f>TEXT($G$1, "[$-ko-KR]yyyy-mm-dd(ddd) ") &amp; "오후 19:00"</f>
        <v>2021-04-01(목) 오후 19:00</v>
      </c>
      <c r="H42" s="171"/>
      <c r="I42" s="172"/>
      <c r="J42" s="170" t="str">
        <f>TEXT($G$1, "[$-ko-KR]yyyy-mm-dd(ddd) ") &amp; "오후 21:00"</f>
        <v>2021-04-01(목) 오후 21:00</v>
      </c>
      <c r="K42" s="171"/>
      <c r="L42" s="172"/>
      <c r="M42" s="170" t="str">
        <f>TEXT($G$1+1, "[$-ko-KR]yyyy-mm-dd(ddd) ") &amp; "오전 00:00"</f>
        <v>2021-04-02(금) 오전 00:00</v>
      </c>
      <c r="N42" s="171"/>
      <c r="O42" s="172"/>
      <c r="Q42" s="156"/>
      <c r="R42" s="156"/>
      <c r="S42" s="156"/>
    </row>
    <row r="43" spans="1:19" ht="17.25" customHeight="1" thickBot="1">
      <c r="A43" s="167"/>
      <c r="B43" s="2" t="s">
        <v>57</v>
      </c>
      <c r="C43" s="10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7"/>
      <c r="B49" s="96"/>
      <c r="C49" s="97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7"/>
      <c r="B59" s="96"/>
      <c r="C59" s="97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26" t="s">
        <v>257</v>
      </c>
      <c r="B64" s="144">
        <f>$B$37</f>
        <v>300000</v>
      </c>
      <c r="C64" s="145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166" t="s">
        <v>54</v>
      </c>
      <c r="B69" s="168" t="str">
        <f>TEXT($G$1, "[$-ko-KR]yyyy-mm-dd(ddd) ") &amp; "오전 00:00"</f>
        <v>2021-04-01(목) 오전 00:00</v>
      </c>
      <c r="C69" s="169"/>
      <c r="D69" s="170" t="str">
        <f>TEXT($G$1, "[$-ko-KR]yyyy-mm-dd(ddd) ") &amp; "오후 14:00"</f>
        <v>2021-04-01(목) 오후 14:00</v>
      </c>
      <c r="E69" s="171"/>
      <c r="F69" s="172"/>
      <c r="G69" s="170" t="str">
        <f>TEXT($G$1, "[$-ko-KR]yyyy-mm-dd(ddd) ") &amp; "오후 19:00"</f>
        <v>2021-04-01(목) 오후 19:00</v>
      </c>
      <c r="H69" s="171"/>
      <c r="I69" s="172"/>
      <c r="J69" s="170" t="str">
        <f>TEXT($G$1, "[$-ko-KR]yyyy-mm-dd(ddd) ") &amp; "오후 21:00"</f>
        <v>2021-04-01(목) 오후 21:00</v>
      </c>
      <c r="K69" s="171"/>
      <c r="L69" s="172"/>
      <c r="M69" s="170" t="str">
        <f>TEXT($G$1+1, "[$-ko-KR]yyyy-mm-dd(ddd) ") &amp; "오전 00:00"</f>
        <v>2021-04-02(금) 오전 00:00</v>
      </c>
      <c r="N69" s="171"/>
      <c r="O69" s="172"/>
      <c r="Q69" s="156"/>
      <c r="R69" s="156"/>
      <c r="S69" s="156"/>
    </row>
    <row r="70" spans="1:19" ht="17.25" thickBot="1">
      <c r="A70" s="167"/>
      <c r="B70" s="2" t="s">
        <v>57</v>
      </c>
      <c r="C70" s="10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7"/>
      <c r="B76" s="96"/>
      <c r="C76" s="97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7"/>
      <c r="B86" s="96"/>
      <c r="C86" s="97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26" t="s">
        <v>257</v>
      </c>
      <c r="B91" s="144">
        <f>$B$37</f>
        <v>300000</v>
      </c>
      <c r="C91" s="145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166" t="s">
        <v>54</v>
      </c>
      <c r="B96" s="168" t="str">
        <f>TEXT($G$1, "[$-ko-KR]yyyy-mm-dd(ddd) ") &amp; "오전 00:00"</f>
        <v>2021-04-01(목) 오전 00:00</v>
      </c>
      <c r="C96" s="169"/>
      <c r="D96" s="170" t="str">
        <f>TEXT($G$1, "[$-ko-KR]yyyy-mm-dd(ddd) ") &amp; "오후 14:00"</f>
        <v>2021-04-01(목) 오후 14:00</v>
      </c>
      <c r="E96" s="171"/>
      <c r="F96" s="172"/>
      <c r="G96" s="170" t="str">
        <f>TEXT($G$1, "[$-ko-KR]yyyy-mm-dd(ddd) ") &amp; "오후 19:00"</f>
        <v>2021-04-01(목) 오후 19:00</v>
      </c>
      <c r="H96" s="171"/>
      <c r="I96" s="172"/>
      <c r="J96" s="170" t="str">
        <f>TEXT($G$1, "[$-ko-KR]yyyy-mm-dd(ddd) ") &amp; "오후 21:00"</f>
        <v>2021-04-01(목) 오후 21:00</v>
      </c>
      <c r="K96" s="171"/>
      <c r="L96" s="172"/>
      <c r="M96" s="170" t="str">
        <f>TEXT($G$1+1, "[$-ko-KR]yyyy-mm-dd(ddd) ") &amp; "오전 00:00"</f>
        <v>2021-04-02(금) 오전 00:00</v>
      </c>
      <c r="N96" s="171"/>
      <c r="O96" s="172"/>
      <c r="Q96" s="156"/>
      <c r="R96" s="156"/>
      <c r="S96" s="156"/>
    </row>
    <row r="97" spans="1:19" ht="17.25" thickBot="1">
      <c r="A97" s="167"/>
      <c r="B97" s="2" t="s">
        <v>57</v>
      </c>
      <c r="C97" s="10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7"/>
      <c r="B103" s="96"/>
      <c r="C103" s="97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7"/>
      <c r="B113" s="96"/>
      <c r="C113" s="97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26" t="s">
        <v>257</v>
      </c>
      <c r="B118" s="144">
        <f>$B$37</f>
        <v>300000</v>
      </c>
      <c r="C118" s="145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166" t="s">
        <v>54</v>
      </c>
      <c r="B123" s="168" t="str">
        <f>TEXT($G$1, "[$-ko-KR]yyyy-mm-dd(ddd) ") &amp; "오전 00:00"</f>
        <v>2021-04-01(목) 오전 00:00</v>
      </c>
      <c r="C123" s="169"/>
      <c r="D123" s="170" t="str">
        <f>TEXT($G$1, "[$-ko-KR]yyyy-mm-dd(ddd) ") &amp; "오후 14:00"</f>
        <v>2021-04-01(목) 오후 14:00</v>
      </c>
      <c r="E123" s="171"/>
      <c r="F123" s="172"/>
      <c r="G123" s="170" t="str">
        <f>TEXT($G$1, "[$-ko-KR]yyyy-mm-dd(ddd) ") &amp; "오후 19:00"</f>
        <v>2021-04-01(목) 오후 19:00</v>
      </c>
      <c r="H123" s="171"/>
      <c r="I123" s="172"/>
      <c r="J123" s="170" t="str">
        <f>TEXT($G$1, "[$-ko-KR]yyyy-mm-dd(ddd) ") &amp; "오후 21:00"</f>
        <v>2021-04-01(목) 오후 21:00</v>
      </c>
      <c r="K123" s="171"/>
      <c r="L123" s="172"/>
      <c r="M123" s="170" t="str">
        <f>TEXT($G$1+1, "[$-ko-KR]yyyy-mm-dd(ddd) ") &amp; "오전 00:00"</f>
        <v>2021-04-02(금) 오전 00:00</v>
      </c>
      <c r="N123" s="171"/>
      <c r="O123" s="172"/>
      <c r="Q123" s="156"/>
      <c r="R123" s="156"/>
      <c r="S123" s="156"/>
    </row>
    <row r="124" spans="1:19" ht="17.25" thickBot="1">
      <c r="A124" s="167"/>
      <c r="B124" s="2" t="s">
        <v>57</v>
      </c>
      <c r="C124" s="10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7"/>
      <c r="B130" s="96"/>
      <c r="C130" s="97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7"/>
      <c r="B140" s="96"/>
      <c r="C140" s="97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26" t="s">
        <v>257</v>
      </c>
      <c r="B145" s="144">
        <f>$B$37</f>
        <v>300000</v>
      </c>
      <c r="C145" s="145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166" t="s">
        <v>54</v>
      </c>
      <c r="B150" s="168" t="str">
        <f>TEXT($G$1, "[$-ko-KR]yyyy-mm-dd(ddd) ") &amp; "오전 00:00"</f>
        <v>2021-04-01(목) 오전 00:00</v>
      </c>
      <c r="C150" s="169"/>
      <c r="D150" s="170" t="str">
        <f>TEXT($G$1, "[$-ko-KR]yyyy-mm-dd(ddd) ") &amp; "오후 14:00"</f>
        <v>2021-04-01(목) 오후 14:00</v>
      </c>
      <c r="E150" s="171"/>
      <c r="F150" s="172"/>
      <c r="G150" s="170" t="str">
        <f>TEXT($G$1, "[$-ko-KR]yyyy-mm-dd(ddd) ") &amp; "오후 19:00"</f>
        <v>2021-04-01(목) 오후 19:00</v>
      </c>
      <c r="H150" s="171"/>
      <c r="I150" s="172"/>
      <c r="J150" s="170" t="str">
        <f>TEXT($G$1, "[$-ko-KR]yyyy-mm-dd(ddd) ") &amp; "오후 21:00"</f>
        <v>2021-04-01(목) 오후 21:00</v>
      </c>
      <c r="K150" s="171"/>
      <c r="L150" s="172"/>
      <c r="M150" s="170" t="str">
        <f>TEXT($G$1+1, "[$-ko-KR]yyyy-mm-dd(ddd) ") &amp; "오전 00:00"</f>
        <v>2021-04-02(금) 오전 00:00</v>
      </c>
      <c r="N150" s="171"/>
      <c r="O150" s="172"/>
      <c r="Q150" s="156"/>
      <c r="R150" s="156"/>
      <c r="S150" s="156"/>
    </row>
    <row r="151" spans="1:19" ht="17.25" thickBot="1">
      <c r="A151" s="167"/>
      <c r="B151" s="2" t="s">
        <v>57</v>
      </c>
      <c r="C151" s="10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7"/>
      <c r="B157" s="96"/>
      <c r="C157" s="97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7"/>
      <c r="B167" s="96"/>
      <c r="C167" s="97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26" t="s">
        <v>257</v>
      </c>
      <c r="B172" s="144">
        <f>$B$37</f>
        <v>300000</v>
      </c>
      <c r="C172" s="145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166" t="s">
        <v>54</v>
      </c>
      <c r="B177" s="168" t="str">
        <f>TEXT($G$1, "[$-ko-KR]yyyy-mm-dd(ddd) ") &amp; "오전 00:00"</f>
        <v>2021-04-01(목) 오전 00:00</v>
      </c>
      <c r="C177" s="169"/>
      <c r="D177" s="170" t="str">
        <f>TEXT($G$1, "[$-ko-KR]yyyy-mm-dd(ddd) ") &amp; "오후 14:00"</f>
        <v>2021-04-01(목) 오후 14:00</v>
      </c>
      <c r="E177" s="171"/>
      <c r="F177" s="172"/>
      <c r="G177" s="170" t="str">
        <f>TEXT($G$1, "[$-ko-KR]yyyy-mm-dd(ddd) ") &amp; "오후 19:00"</f>
        <v>2021-04-01(목) 오후 19:00</v>
      </c>
      <c r="H177" s="171"/>
      <c r="I177" s="172"/>
      <c r="J177" s="170" t="str">
        <f>TEXT($G$1, "[$-ko-KR]yyyy-mm-dd(ddd) ") &amp; "오후 21:00"</f>
        <v>2021-04-01(목) 오후 21:00</v>
      </c>
      <c r="K177" s="171"/>
      <c r="L177" s="172"/>
      <c r="M177" s="170" t="str">
        <f>TEXT($G$1+1, "[$-ko-KR]yyyy-mm-dd(ddd) ") &amp; "오전 00:00"</f>
        <v>2021-04-02(금) 오전 00:00</v>
      </c>
      <c r="N177" s="171"/>
      <c r="O177" s="172"/>
      <c r="Q177" s="156"/>
      <c r="R177" s="156"/>
      <c r="S177" s="156"/>
    </row>
    <row r="178" spans="1:19" ht="17.25" thickBot="1">
      <c r="A178" s="167"/>
      <c r="B178" s="2" t="s">
        <v>57</v>
      </c>
      <c r="C178" s="10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7"/>
      <c r="B184" s="96"/>
      <c r="C184" s="97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7"/>
      <c r="B194" s="96"/>
      <c r="C194" s="97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26" t="s">
        <v>257</v>
      </c>
      <c r="B199" s="144">
        <f>$B$37</f>
        <v>300000</v>
      </c>
      <c r="C199" s="145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44986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2023-03-01(수) 오전 00:00</v>
      </c>
      <c r="C15" s="196"/>
      <c r="D15" s="170" t="str">
        <f>TEXT($G$1, "[$-ko-KR]yyyy-mm-dd(ddd) ") &amp; "오후 14:00"</f>
        <v>2023-03-01(수) 오후 14:00</v>
      </c>
      <c r="E15" s="171"/>
      <c r="F15" s="172"/>
      <c r="G15" s="170" t="str">
        <f>TEXT($G$1, "[$-ko-KR]yyyy-mm-dd(ddd) ") &amp; "오후 19:00"</f>
        <v>2023-03-01(수) 오후 19:00</v>
      </c>
      <c r="H15" s="171"/>
      <c r="I15" s="172"/>
      <c r="J15" s="170" t="str">
        <f>TEXT($G$1, "[$-ko-KR]yyyy-mm-dd(ddd) ") &amp; "오후 21:00"</f>
        <v>2023-03-01(수) 오후 21:00</v>
      </c>
      <c r="K15" s="171"/>
      <c r="L15" s="172"/>
      <c r="M15" s="170" t="str">
        <f>TEXT($G$1+1, "[$-ko-KR]yyyy-mm-dd(ddd) ") &amp; "오전 00:00"</f>
        <v>2023-03-02(목)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2023-03-01(수) 오전 00:00</v>
      </c>
      <c r="C42" s="198"/>
      <c r="D42" s="170" t="str">
        <f>TEXT($G$1, "[$-ko-KR]yyyy-mm-dd(ddd) ") &amp; "오후 14:00"</f>
        <v>2023-03-01(수) 오후 14:00</v>
      </c>
      <c r="E42" s="171"/>
      <c r="F42" s="172"/>
      <c r="G42" s="170" t="str">
        <f>TEXT($G$1, "[$-ko-KR]yyyy-mm-dd(ddd) ") &amp; "오후 19:00"</f>
        <v>2023-03-01(수) 오후 19:00</v>
      </c>
      <c r="H42" s="171"/>
      <c r="I42" s="172"/>
      <c r="J42" s="170" t="str">
        <f>TEXT($G$1, "[$-ko-KR]yyyy-mm-dd(ddd) ") &amp; "오후 21:00"</f>
        <v>2023-03-01(수) 오후 21:00</v>
      </c>
      <c r="K42" s="171"/>
      <c r="L42" s="172"/>
      <c r="M42" s="170" t="str">
        <f>TEXT($G$1+1, "[$-ko-KR]yyyy-mm-dd(ddd) ") &amp; "오전 00:00"</f>
        <v>2023-03-02(목)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/>
      <c r="B44" s="108"/>
      <c r="C44" s="69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/>
      <c r="B45" s="110"/>
      <c r="C45" s="70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/>
      <c r="B46" s="110"/>
      <c r="C46" s="70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09"/>
      <c r="B47" s="110"/>
      <c r="C47" s="70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11"/>
      <c r="B48" s="112"/>
      <c r="C48" s="7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09"/>
      <c r="B49" s="113"/>
      <c r="C49" s="73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09"/>
      <c r="B50" s="110"/>
      <c r="C50" s="70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09"/>
      <c r="B51" s="110"/>
      <c r="C51" s="70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09"/>
      <c r="B52" s="110"/>
      <c r="C52" s="70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/>
      <c r="B53" s="115"/>
      <c r="C53" s="72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07"/>
      <c r="B54" s="108"/>
      <c r="C54" s="69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09"/>
      <c r="B55" s="110"/>
      <c r="C55" s="70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09"/>
      <c r="B56" s="110"/>
      <c r="C56" s="70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09"/>
      <c r="B57" s="110"/>
      <c r="C57" s="70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/>
      <c r="B58" s="112"/>
      <c r="C58" s="7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/>
      <c r="B59" s="113"/>
      <c r="C59" s="73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09"/>
      <c r="B60" s="110"/>
      <c r="C60" s="70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09"/>
      <c r="B61" s="110"/>
      <c r="C61" s="70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09"/>
      <c r="B62" s="110"/>
      <c r="C62" s="70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114"/>
      <c r="B63" s="115"/>
      <c r="C63" s="72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2023-03-01(수) 오전 00:00</v>
      </c>
      <c r="C69" s="198"/>
      <c r="D69" s="170" t="str">
        <f>TEXT($G$1, "[$-ko-KR]yyyy-mm-dd(ddd) ") &amp; "오후 14:00"</f>
        <v>2023-03-01(수) 오후 14:00</v>
      </c>
      <c r="E69" s="171"/>
      <c r="F69" s="172"/>
      <c r="G69" s="170" t="str">
        <f>TEXT($G$1, "[$-ko-KR]yyyy-mm-dd(ddd) ") &amp; "오후 19:00"</f>
        <v>2023-03-01(수) 오후 19:00</v>
      </c>
      <c r="H69" s="171"/>
      <c r="I69" s="172"/>
      <c r="J69" s="170" t="str">
        <f>TEXT($G$1, "[$-ko-KR]yyyy-mm-dd(ddd) ") &amp; "오후 21:00"</f>
        <v>2023-03-01(수) 오후 21:00</v>
      </c>
      <c r="K69" s="171"/>
      <c r="L69" s="172"/>
      <c r="M69" s="170" t="str">
        <f>TEXT($G$1+1, "[$-ko-KR]yyyy-mm-dd(ddd) ") &amp; "오전 00:00"</f>
        <v>2023-03-02(목)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/>
      <c r="B71" s="108"/>
      <c r="C71" s="69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/>
      <c r="B72" s="110"/>
      <c r="C72" s="70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/>
      <c r="B73" s="110"/>
      <c r="C73" s="70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09"/>
      <c r="B74" s="110"/>
      <c r="C74" s="70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11"/>
      <c r="B75" s="112"/>
      <c r="C75" s="7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09"/>
      <c r="B76" s="113"/>
      <c r="C76" s="73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09"/>
      <c r="B77" s="110"/>
      <c r="C77" s="70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09"/>
      <c r="B78" s="110"/>
      <c r="C78" s="70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09"/>
      <c r="B79" s="110"/>
      <c r="C79" s="70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/>
      <c r="B80" s="115"/>
      <c r="C80" s="72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07"/>
      <c r="B81" s="108"/>
      <c r="C81" s="69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09"/>
      <c r="B82" s="110"/>
      <c r="C82" s="70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09"/>
      <c r="B83" s="110"/>
      <c r="C83" s="70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09"/>
      <c r="B84" s="110"/>
      <c r="C84" s="70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/>
      <c r="B85" s="112"/>
      <c r="C85" s="7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/>
      <c r="B86" s="113"/>
      <c r="C86" s="73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09"/>
      <c r="B87" s="110"/>
      <c r="C87" s="70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09"/>
      <c r="B88" s="110"/>
      <c r="C88" s="70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09"/>
      <c r="B89" s="110"/>
      <c r="C89" s="70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114"/>
      <c r="B90" s="115"/>
      <c r="C90" s="72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2023-03-01(수) 오전 00:00</v>
      </c>
      <c r="C96" s="198"/>
      <c r="D96" s="170" t="str">
        <f>TEXT($G$1, "[$-ko-KR]yyyy-mm-dd(ddd) ") &amp; "오후 14:00"</f>
        <v>2023-03-01(수) 오후 14:00</v>
      </c>
      <c r="E96" s="171"/>
      <c r="F96" s="172"/>
      <c r="G96" s="170" t="str">
        <f>TEXT($G$1, "[$-ko-KR]yyyy-mm-dd(ddd) ") &amp; "오후 19:00"</f>
        <v>2023-03-01(수) 오후 19:00</v>
      </c>
      <c r="H96" s="171"/>
      <c r="I96" s="172"/>
      <c r="J96" s="170" t="str">
        <f>TEXT($G$1, "[$-ko-KR]yyyy-mm-dd(ddd) ") &amp; "오후 21:00"</f>
        <v>2023-03-01(수) 오후 21:00</v>
      </c>
      <c r="K96" s="171"/>
      <c r="L96" s="172"/>
      <c r="M96" s="170" t="str">
        <f>TEXT($G$1+1, "[$-ko-KR]yyyy-mm-dd(ddd) ") &amp; "오전 00:00"</f>
        <v>2023-03-02(목)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/>
      <c r="B98" s="108"/>
      <c r="C98" s="69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/>
      <c r="B99" s="110"/>
      <c r="C99" s="70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/>
      <c r="B100" s="110"/>
      <c r="C100" s="70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09"/>
      <c r="B101" s="110"/>
      <c r="C101" s="70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11"/>
      <c r="B102" s="112"/>
      <c r="C102" s="7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09"/>
      <c r="B103" s="113"/>
      <c r="C103" s="73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09"/>
      <c r="B104" s="110"/>
      <c r="C104" s="70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09"/>
      <c r="B105" s="110"/>
      <c r="C105" s="70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09"/>
      <c r="B106" s="110"/>
      <c r="C106" s="70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/>
      <c r="B107" s="115"/>
      <c r="C107" s="72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07"/>
      <c r="B108" s="108"/>
      <c r="C108" s="69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09"/>
      <c r="B109" s="110"/>
      <c r="C109" s="70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09"/>
      <c r="B110" s="110"/>
      <c r="C110" s="70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09"/>
      <c r="B111" s="110"/>
      <c r="C111" s="70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/>
      <c r="B112" s="112"/>
      <c r="C112" s="7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/>
      <c r="B113" s="113"/>
      <c r="C113" s="73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09"/>
      <c r="B114" s="110"/>
      <c r="C114" s="70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09"/>
      <c r="B115" s="110"/>
      <c r="C115" s="70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09"/>
      <c r="B116" s="110"/>
      <c r="C116" s="70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114"/>
      <c r="B117" s="115"/>
      <c r="C117" s="72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2023-03-01(수) 오전 00:00</v>
      </c>
      <c r="C123" s="198"/>
      <c r="D123" s="170" t="str">
        <f>TEXT($G$1, "[$-ko-KR]yyyy-mm-dd(ddd) ") &amp; "오후 14:00"</f>
        <v>2023-03-01(수) 오후 14:00</v>
      </c>
      <c r="E123" s="171"/>
      <c r="F123" s="172"/>
      <c r="G123" s="170" t="str">
        <f>TEXT($G$1, "[$-ko-KR]yyyy-mm-dd(ddd) ") &amp; "오후 19:00"</f>
        <v>2023-03-01(수) 오후 19:00</v>
      </c>
      <c r="H123" s="171"/>
      <c r="I123" s="172"/>
      <c r="J123" s="170" t="str">
        <f>TEXT($G$1, "[$-ko-KR]yyyy-mm-dd(ddd) ") &amp; "오후 21:00"</f>
        <v>2023-03-01(수) 오후 21:00</v>
      </c>
      <c r="K123" s="171"/>
      <c r="L123" s="172"/>
      <c r="M123" s="170" t="str">
        <f>TEXT($G$1+1, "[$-ko-KR]yyyy-mm-dd(ddd) ") &amp; "오전 00:00"</f>
        <v>2023-03-02(목)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/>
      <c r="B125" s="108"/>
      <c r="C125" s="69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/>
      <c r="B126" s="110"/>
      <c r="C126" s="70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/>
      <c r="B127" s="110"/>
      <c r="C127" s="70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09"/>
      <c r="B128" s="110"/>
      <c r="C128" s="70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11"/>
      <c r="B129" s="112"/>
      <c r="C129" s="7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09"/>
      <c r="B130" s="113"/>
      <c r="C130" s="73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09"/>
      <c r="B131" s="110"/>
      <c r="C131" s="70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09"/>
      <c r="B132" s="110"/>
      <c r="C132" s="70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09"/>
      <c r="B133" s="110"/>
      <c r="C133" s="70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/>
      <c r="B134" s="115"/>
      <c r="C134" s="72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07"/>
      <c r="B135" s="108"/>
      <c r="C135" s="69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09"/>
      <c r="B136" s="110"/>
      <c r="C136" s="70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09"/>
      <c r="B137" s="110"/>
      <c r="C137" s="70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09"/>
      <c r="B138" s="110"/>
      <c r="C138" s="70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/>
      <c r="B139" s="112"/>
      <c r="C139" s="7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/>
      <c r="B140" s="113"/>
      <c r="C140" s="73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09"/>
      <c r="B141" s="110"/>
      <c r="C141" s="70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09"/>
      <c r="B142" s="110"/>
      <c r="C142" s="70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09"/>
      <c r="B143" s="110"/>
      <c r="C143" s="70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114"/>
      <c r="B144" s="115"/>
      <c r="C144" s="72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2023-03-01(수) 오전 00:00</v>
      </c>
      <c r="C150" s="198"/>
      <c r="D150" s="170" t="str">
        <f>TEXT($G$1, "[$-ko-KR]yyyy-mm-dd(ddd) ") &amp; "오후 14:00"</f>
        <v>2023-03-01(수) 오후 14:00</v>
      </c>
      <c r="E150" s="171"/>
      <c r="F150" s="172"/>
      <c r="G150" s="170" t="str">
        <f>TEXT($G$1, "[$-ko-KR]yyyy-mm-dd(ddd) ") &amp; "오후 19:00"</f>
        <v>2023-03-01(수) 오후 19:00</v>
      </c>
      <c r="H150" s="171"/>
      <c r="I150" s="172"/>
      <c r="J150" s="170" t="str">
        <f>TEXT($G$1, "[$-ko-KR]yyyy-mm-dd(ddd) ") &amp; "오후 21:00"</f>
        <v>2023-03-01(수) 오후 21:00</v>
      </c>
      <c r="K150" s="171"/>
      <c r="L150" s="172"/>
      <c r="M150" s="170" t="str">
        <f>TEXT($G$1+1, "[$-ko-KR]yyyy-mm-dd(ddd) ") &amp; "오전 00:00"</f>
        <v>2023-03-02(목)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/>
      <c r="B152" s="108"/>
      <c r="C152" s="69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/>
      <c r="B153" s="110"/>
      <c r="C153" s="70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/>
      <c r="B154" s="110"/>
      <c r="C154" s="70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09"/>
      <c r="B155" s="110"/>
      <c r="C155" s="70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11"/>
      <c r="B156" s="112"/>
      <c r="C156" s="7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09"/>
      <c r="B157" s="113"/>
      <c r="C157" s="73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09"/>
      <c r="B158" s="110"/>
      <c r="C158" s="70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09"/>
      <c r="B159" s="110"/>
      <c r="C159" s="70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09"/>
      <c r="B160" s="110"/>
      <c r="C160" s="70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/>
      <c r="B161" s="115"/>
      <c r="C161" s="72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07"/>
      <c r="B162" s="108"/>
      <c r="C162" s="69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09"/>
      <c r="B163" s="110"/>
      <c r="C163" s="70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09"/>
      <c r="B164" s="110"/>
      <c r="C164" s="70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09"/>
      <c r="B165" s="110"/>
      <c r="C165" s="70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/>
      <c r="B166" s="112"/>
      <c r="C166" s="7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/>
      <c r="B167" s="113"/>
      <c r="C167" s="73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09"/>
      <c r="B168" s="110"/>
      <c r="C168" s="70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09"/>
      <c r="B169" s="110"/>
      <c r="C169" s="70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09"/>
      <c r="B170" s="110"/>
      <c r="C170" s="70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114"/>
      <c r="B171" s="115"/>
      <c r="C171" s="72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2023-03-01(수) 오전 00:00</v>
      </c>
      <c r="C177" s="198"/>
      <c r="D177" s="170" t="str">
        <f>TEXT($G$1, "[$-ko-KR]yyyy-mm-dd(ddd) ") &amp; "오후 14:00"</f>
        <v>2023-03-01(수) 오후 14:00</v>
      </c>
      <c r="E177" s="171"/>
      <c r="F177" s="172"/>
      <c r="G177" s="170" t="str">
        <f>TEXT($G$1, "[$-ko-KR]yyyy-mm-dd(ddd) ") &amp; "오후 19:00"</f>
        <v>2023-03-01(수) 오후 19:00</v>
      </c>
      <c r="H177" s="171"/>
      <c r="I177" s="172"/>
      <c r="J177" s="170" t="str">
        <f>TEXT($G$1, "[$-ko-KR]yyyy-mm-dd(ddd) ") &amp; "오후 21:00"</f>
        <v>2023-03-01(수) 오후 21:00</v>
      </c>
      <c r="K177" s="171"/>
      <c r="L177" s="172"/>
      <c r="M177" s="170" t="str">
        <f>TEXT($G$1+1, "[$-ko-KR]yyyy-mm-dd(ddd) ") &amp; "오전 00:00"</f>
        <v>2023-03-02(목)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/>
      <c r="B179" s="108"/>
      <c r="C179" s="69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/>
      <c r="B180" s="110"/>
      <c r="C180" s="70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/>
      <c r="B181" s="110"/>
      <c r="C181" s="70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09"/>
      <c r="B182" s="110"/>
      <c r="C182" s="70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11"/>
      <c r="B183" s="112"/>
      <c r="C183" s="7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09"/>
      <c r="B184" s="113"/>
      <c r="C184" s="73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09"/>
      <c r="B185" s="110"/>
      <c r="C185" s="70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09"/>
      <c r="B186" s="110"/>
      <c r="C186" s="70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09"/>
      <c r="B187" s="110"/>
      <c r="C187" s="70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/>
      <c r="B188" s="115"/>
      <c r="C188" s="72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07"/>
      <c r="B189" s="108"/>
      <c r="C189" s="69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09"/>
      <c r="B190" s="110"/>
      <c r="C190" s="70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09"/>
      <c r="B191" s="110"/>
      <c r="C191" s="70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09"/>
      <c r="B192" s="110"/>
      <c r="C192" s="70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/>
      <c r="B193" s="112"/>
      <c r="C193" s="7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/>
      <c r="B194" s="113"/>
      <c r="C194" s="73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09"/>
      <c r="B195" s="110"/>
      <c r="C195" s="70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09"/>
      <c r="B196" s="110"/>
      <c r="C196" s="70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09"/>
      <c r="B197" s="110"/>
      <c r="C197" s="70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114"/>
      <c r="B198" s="115"/>
      <c r="C198" s="72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160</v>
      </c>
      <c r="B2" s="11" t="s">
        <v>161</v>
      </c>
      <c r="C2" s="86">
        <v>1335</v>
      </c>
      <c r="D2" s="34">
        <v>9.8765432099999995E-2</v>
      </c>
      <c r="E2" s="84">
        <v>71693318.45102866</v>
      </c>
      <c r="F2" s="35"/>
      <c r="G2" s="50"/>
      <c r="H2" s="35"/>
      <c r="I2" s="35"/>
    </row>
    <row r="3" spans="1:18" ht="17.25" thickBot="1">
      <c r="A3" s="40" t="s">
        <v>353</v>
      </c>
      <c r="B3" s="11" t="s">
        <v>354</v>
      </c>
      <c r="C3" s="86">
        <v>5665</v>
      </c>
      <c r="D3" s="34">
        <v>8.2139446000000005E-2</v>
      </c>
      <c r="E3" s="84">
        <v>19037765.06446081</v>
      </c>
      <c r="F3" s="35"/>
      <c r="G3" s="201" t="s">
        <v>247</v>
      </c>
      <c r="H3" s="213" t="s">
        <v>355</v>
      </c>
      <c r="I3" s="213"/>
      <c r="K3" s="157" t="s">
        <v>34</v>
      </c>
      <c r="L3" s="158"/>
      <c r="M3" s="158"/>
      <c r="N3" s="159"/>
      <c r="O3" s="157" t="s">
        <v>249</v>
      </c>
      <c r="P3" s="158"/>
      <c r="Q3" s="158"/>
      <c r="R3" s="159"/>
    </row>
    <row r="4" spans="1:18" ht="17.25" thickBot="1">
      <c r="A4" s="40" t="s">
        <v>140</v>
      </c>
      <c r="B4" s="11" t="s">
        <v>141</v>
      </c>
      <c r="C4" s="86">
        <v>5.68</v>
      </c>
      <c r="D4" s="34">
        <v>6.3670411999999996E-2</v>
      </c>
      <c r="E4" s="84">
        <v>2563555896.7490916</v>
      </c>
      <c r="F4" s="35"/>
      <c r="G4" s="202"/>
      <c r="H4" s="214"/>
      <c r="I4" s="214"/>
      <c r="K4" s="194" t="s">
        <v>54</v>
      </c>
      <c r="L4" s="210">
        <f ca="1">NOW()</f>
        <v>45002.583756481479</v>
      </c>
      <c r="M4" s="211"/>
      <c r="N4" s="212"/>
      <c r="O4" s="209" t="s">
        <v>54</v>
      </c>
      <c r="P4" s="210">
        <f ca="1">NOW()</f>
        <v>45002.583756481479</v>
      </c>
      <c r="Q4" s="211"/>
      <c r="R4" s="212"/>
    </row>
    <row r="5" spans="1:18" ht="17.25" thickBot="1">
      <c r="A5" s="40" t="s">
        <v>190</v>
      </c>
      <c r="B5" s="11" t="s">
        <v>191</v>
      </c>
      <c r="C5" s="86">
        <v>99.6</v>
      </c>
      <c r="D5" s="34">
        <v>5.1742344199999998E-2</v>
      </c>
      <c r="E5" s="84">
        <v>212299259.829135</v>
      </c>
      <c r="F5" s="35"/>
      <c r="K5" s="202"/>
      <c r="L5" s="36" t="s">
        <v>57</v>
      </c>
      <c r="M5" s="36" t="s">
        <v>58</v>
      </c>
      <c r="N5" s="64" t="s">
        <v>251</v>
      </c>
      <c r="O5" s="202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135</v>
      </c>
      <c r="B6" s="11" t="s">
        <v>136</v>
      </c>
      <c r="C6" s="86">
        <v>5005</v>
      </c>
      <c r="D6" s="34">
        <v>5.14705882E-2</v>
      </c>
      <c r="E6" s="84">
        <v>9928430.3082965091</v>
      </c>
      <c r="F6" s="35"/>
      <c r="G6" s="157" t="s">
        <v>52</v>
      </c>
      <c r="H6" s="158"/>
      <c r="I6" s="159"/>
      <c r="K6" s="51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69" t="str">
        <f t="shared" ref="M6:M25" ca="1" si="1">_xlfn.IFNA(VLOOKUP(K6, $B$2:$E$200, 3, FALSE), "")</f>
        <v/>
      </c>
      <c r="N6" s="78" t="str">
        <f ca="1">_xlfn.IFNA(VLOOKUP(K6, $B$2:$E$200, 4, FALSE), "")</f>
        <v/>
      </c>
      <c r="O6" s="46" t="str">
        <f>INDEX($A$2:$D$200, MATCH(LARGE($D$2:$D$200, 1), $D$2:$D$200, 0), 2)</f>
        <v>스택스</v>
      </c>
      <c r="P6" s="38">
        <f t="shared" ref="P6:P25" si="2">_xlfn.IFNA(VLOOKUP(O6, $B$2:$D$200, 2, FALSE), "")</f>
        <v>1335</v>
      </c>
      <c r="Q6" s="69">
        <f t="shared" ref="Q6:Q25" si="3">_xlfn.IFNA(VLOOKUP(O6, $B$2:$D$200, 3, FALSE), "")</f>
        <v>9.8765432099999995E-2</v>
      </c>
      <c r="R6" s="78">
        <f>_xlfn.IFNA(VLOOKUP(O6, $B$2:$E$200, 4, FALSE), "")</f>
        <v>71693318.45102866</v>
      </c>
    </row>
    <row r="7" spans="1:18">
      <c r="A7" s="40" t="s">
        <v>61</v>
      </c>
      <c r="B7" s="11" t="s">
        <v>62</v>
      </c>
      <c r="C7" s="86">
        <v>15200</v>
      </c>
      <c r="D7" s="34">
        <v>5.1175656999999999E-2</v>
      </c>
      <c r="E7" s="84">
        <v>1213800.18618399</v>
      </c>
      <c r="F7" s="35"/>
      <c r="G7" s="185" t="s">
        <v>36</v>
      </c>
      <c r="H7" s="186"/>
      <c r="I7" s="187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47" t="str">
        <f>INDEX($A$2:$D$200, MATCH(LARGE($D$2:$D$200, 2), $D$2:$D$200, 0), 2)</f>
        <v>마스크네트워크</v>
      </c>
      <c r="P7" s="39">
        <f t="shared" si="2"/>
        <v>5665</v>
      </c>
      <c r="Q7" s="70">
        <f t="shared" si="3"/>
        <v>8.2139446000000005E-2</v>
      </c>
      <c r="R7" s="79">
        <f t="shared" ref="R7:R25" si="5">_xlfn.IFNA(VLOOKUP(O7, $B$2:$E$200, 4, FALSE), "")</f>
        <v>19037765.06446081</v>
      </c>
    </row>
    <row r="8" spans="1:18" ht="17.25" thickBot="1">
      <c r="A8" s="40" t="s">
        <v>343</v>
      </c>
      <c r="B8" s="11" t="s">
        <v>344</v>
      </c>
      <c r="C8" s="86">
        <v>17100</v>
      </c>
      <c r="D8" s="34">
        <v>4.01459854E-2</v>
      </c>
      <c r="E8" s="84">
        <v>2286348.2627766598</v>
      </c>
      <c r="F8" s="35"/>
      <c r="G8" s="178"/>
      <c r="H8" s="179"/>
      <c r="I8" s="180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47" t="str">
        <f>INDEX($A$2:$D$200, MATCH(LARGE($D$2:$D$200, 3), $D$2:$D$200, 0), 2)</f>
        <v>시아코인</v>
      </c>
      <c r="P8" s="39">
        <f t="shared" si="2"/>
        <v>5.68</v>
      </c>
      <c r="Q8" s="70">
        <f t="shared" si="3"/>
        <v>6.3670411999999996E-2</v>
      </c>
      <c r="R8" s="79">
        <f t="shared" si="5"/>
        <v>2563555896.7490916</v>
      </c>
    </row>
    <row r="9" spans="1:18" ht="17.25" thickBot="1">
      <c r="A9" s="40" t="s">
        <v>333</v>
      </c>
      <c r="B9" s="11" t="s">
        <v>334</v>
      </c>
      <c r="C9" s="86">
        <v>57</v>
      </c>
      <c r="D9" s="34">
        <v>4.01459854E-2</v>
      </c>
      <c r="E9" s="84">
        <v>275314587.21186882</v>
      </c>
      <c r="F9" s="35"/>
      <c r="G9" s="9" t="s">
        <v>38</v>
      </c>
      <c r="H9" s="158" t="s">
        <v>37</v>
      </c>
      <c r="I9" s="159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47" t="str">
        <f>INDEX($A$2:$D$200, MATCH(LARGE($D$2:$D$200, 4), $D$2:$D$200, 0), 2)</f>
        <v>피르마체인</v>
      </c>
      <c r="P9" s="39">
        <f t="shared" si="2"/>
        <v>99.6</v>
      </c>
      <c r="Q9" s="70">
        <f t="shared" si="3"/>
        <v>5.1742344199999998E-2</v>
      </c>
      <c r="R9" s="79">
        <f t="shared" si="5"/>
        <v>212299259.829135</v>
      </c>
    </row>
    <row r="10" spans="1:18">
      <c r="A10" s="40" t="s">
        <v>154</v>
      </c>
      <c r="B10" s="11" t="s">
        <v>155</v>
      </c>
      <c r="C10" s="86">
        <v>36.1</v>
      </c>
      <c r="D10" s="34">
        <v>3.7356321800000002E-2</v>
      </c>
      <c r="E10" s="84">
        <v>110057091.17338319</v>
      </c>
      <c r="F10" s="35"/>
      <c r="G10" s="203">
        <f>_xlfn.IFNA(VLOOKUP(G7, $B$2:$D$200, 3, FALSE), "-")</f>
        <v>2.8648567600000001E-2</v>
      </c>
      <c r="H10" s="205">
        <f>_xlfn.IFNA(VLOOKUP(G7, $B$2:$D$200, 2, FALSE), "-")</f>
        <v>34290000</v>
      </c>
      <c r="I10" s="206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47" t="str">
        <f>INDEX($A$2:$D$200, MATCH(LARGE($D$2:$D$200, 5), $D$2:$D$200, 0), 2)</f>
        <v>가스</v>
      </c>
      <c r="P10" s="39">
        <f t="shared" si="2"/>
        <v>5005</v>
      </c>
      <c r="Q10" s="70">
        <f t="shared" si="3"/>
        <v>5.14705882E-2</v>
      </c>
      <c r="R10" s="83">
        <f t="shared" si="5"/>
        <v>9928430.3082965091</v>
      </c>
    </row>
    <row r="11" spans="1:18" ht="17.25" thickBot="1">
      <c r="A11" s="40" t="s">
        <v>70</v>
      </c>
      <c r="B11" s="11" t="s">
        <v>71</v>
      </c>
      <c r="C11" s="86">
        <v>16</v>
      </c>
      <c r="D11" s="34">
        <v>3.2258064500000003E-2</v>
      </c>
      <c r="E11" s="84">
        <v>520512070.12656581</v>
      </c>
      <c r="F11" s="35"/>
      <c r="G11" s="204"/>
      <c r="H11" s="207"/>
      <c r="I11" s="208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49" t="str">
        <f>INDEX($A$2:$D$200, MATCH(LARGE($D$2:$D$200, 6), $D$2:$D$200, 0), 2)</f>
        <v>네오</v>
      </c>
      <c r="P11" s="45">
        <f t="shared" si="2"/>
        <v>15200</v>
      </c>
      <c r="Q11" s="73">
        <f t="shared" si="3"/>
        <v>5.1175656999999999E-2</v>
      </c>
      <c r="R11" s="89">
        <f t="shared" si="5"/>
        <v>1213800.18618399</v>
      </c>
    </row>
    <row r="12" spans="1:18" ht="17.25" thickBot="1">
      <c r="A12" s="40" t="s">
        <v>100</v>
      </c>
      <c r="B12" s="11" t="s">
        <v>101</v>
      </c>
      <c r="C12" s="86">
        <v>291</v>
      </c>
      <c r="D12" s="34">
        <v>3.1914893600000001E-2</v>
      </c>
      <c r="E12" s="84">
        <v>2587210.6837357501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47" t="str">
        <f>INDEX($A$2:$D$200, MATCH(LARGE($D$2:$D$200, 7), $D$2:$D$200, 0), 2)</f>
        <v>앱토스</v>
      </c>
      <c r="P12" s="39">
        <f t="shared" si="2"/>
        <v>17100</v>
      </c>
      <c r="Q12" s="70">
        <f t="shared" si="3"/>
        <v>4.01459854E-2</v>
      </c>
      <c r="R12" s="79">
        <f t="shared" si="5"/>
        <v>2286348.2627766598</v>
      </c>
    </row>
    <row r="13" spans="1:18" ht="17.25" thickBot="1">
      <c r="A13" s="40" t="s">
        <v>188</v>
      </c>
      <c r="B13" s="11" t="s">
        <v>189</v>
      </c>
      <c r="C13" s="86">
        <v>1365</v>
      </c>
      <c r="D13" s="34">
        <v>3.0188679199999999E-2</v>
      </c>
      <c r="E13" s="84">
        <v>2497036.0220657499</v>
      </c>
      <c r="F13" s="35"/>
      <c r="G13" s="157" t="s">
        <v>69</v>
      </c>
      <c r="H13" s="158"/>
      <c r="I13" s="159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47" t="str">
        <f>INDEX($A$2:$D$200, MATCH(LARGE($D$2:$D$200, 8), $D$2:$D$200, 0), 2)</f>
        <v>앱토스</v>
      </c>
      <c r="P13" s="39">
        <f t="shared" si="2"/>
        <v>17100</v>
      </c>
      <c r="Q13" s="70">
        <f t="shared" si="3"/>
        <v>4.01459854E-2</v>
      </c>
      <c r="R13" s="79">
        <f t="shared" si="5"/>
        <v>2286348.2627766598</v>
      </c>
    </row>
    <row r="14" spans="1:18">
      <c r="A14" s="40" t="s">
        <v>74</v>
      </c>
      <c r="B14" s="11" t="s">
        <v>75</v>
      </c>
      <c r="C14" s="86">
        <v>9145</v>
      </c>
      <c r="D14" s="34">
        <v>2.9842342300000001E-2</v>
      </c>
      <c r="E14" s="84">
        <v>117544.36740653</v>
      </c>
      <c r="F14" s="35"/>
      <c r="G14" s="185" t="s">
        <v>36</v>
      </c>
      <c r="H14" s="186"/>
      <c r="I14" s="187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47" t="str">
        <f>INDEX($A$2:$D$200, MATCH(LARGE($D$2:$D$200, 9), $D$2:$D$200, 0), 2)</f>
        <v>스테이터스네트워크토큰</v>
      </c>
      <c r="P14" s="39">
        <f t="shared" si="2"/>
        <v>36.1</v>
      </c>
      <c r="Q14" s="70">
        <f t="shared" si="3"/>
        <v>3.7356321800000002E-2</v>
      </c>
      <c r="R14" s="79">
        <f t="shared" si="5"/>
        <v>110057091.17338319</v>
      </c>
    </row>
    <row r="15" spans="1:18" ht="17.25" thickBot="1">
      <c r="A15" s="40" t="s">
        <v>78</v>
      </c>
      <c r="B15" s="11" t="s">
        <v>79</v>
      </c>
      <c r="C15" s="86">
        <v>322</v>
      </c>
      <c r="D15" s="34">
        <v>2.87539936E-2</v>
      </c>
      <c r="E15" s="84">
        <v>3131398.68684171</v>
      </c>
      <c r="F15" s="35"/>
      <c r="G15" s="178"/>
      <c r="H15" s="179"/>
      <c r="I15" s="180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48" t="str">
        <f>INDEX($A$2:$D$200, MATCH(LARGE($D$2:$D$200, 10), $D$2:$D$200, 0), 2)</f>
        <v>쿼크체인</v>
      </c>
      <c r="P15" s="37">
        <f t="shared" si="2"/>
        <v>16</v>
      </c>
      <c r="Q15" s="72">
        <f t="shared" si="3"/>
        <v>3.2258064500000003E-2</v>
      </c>
      <c r="R15" s="80">
        <f t="shared" si="5"/>
        <v>520512070.12656581</v>
      </c>
    </row>
    <row r="16" spans="1:18" ht="17.25" thickBot="1">
      <c r="A16" s="40" t="s">
        <v>48</v>
      </c>
      <c r="B16" s="11" t="s">
        <v>49</v>
      </c>
      <c r="C16" s="86">
        <v>34290000</v>
      </c>
      <c r="D16" s="34">
        <v>2.8648567600000001E-2</v>
      </c>
      <c r="E16" s="84">
        <v>3557.8732976900001</v>
      </c>
      <c r="F16" s="35"/>
      <c r="G16" s="9" t="s">
        <v>38</v>
      </c>
      <c r="H16" s="158" t="s">
        <v>37</v>
      </c>
      <c r="I16" s="159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46" t="str">
        <f>INDEX($A$2:$D$200, MATCH(LARGE($D$2:$D$200, 11), $D$2:$D$200, 0), 2)</f>
        <v>온톨로지</v>
      </c>
      <c r="P16" s="38">
        <f t="shared" si="2"/>
        <v>291</v>
      </c>
      <c r="Q16" s="69">
        <f t="shared" si="3"/>
        <v>3.1914893600000001E-2</v>
      </c>
      <c r="R16" s="78">
        <f t="shared" si="5"/>
        <v>2587210.6837357501</v>
      </c>
    </row>
    <row r="17" spans="1:18">
      <c r="A17" s="40" t="s">
        <v>171</v>
      </c>
      <c r="B17" s="11" t="s">
        <v>172</v>
      </c>
      <c r="C17" s="86">
        <v>3860</v>
      </c>
      <c r="D17" s="34">
        <v>2.79627164E-2</v>
      </c>
      <c r="E17" s="84">
        <v>563676.013423</v>
      </c>
      <c r="F17" s="35"/>
      <c r="G17" s="203">
        <f>_xlfn.IFNA(VLOOKUP(G14, $B$2:$D$200, 3, FALSE), "-")</f>
        <v>2.8648567600000001E-2</v>
      </c>
      <c r="H17" s="205">
        <f>_xlfn.IFNA(VLOOKUP(G14, $B$2:$D$200, 2, FALSE), "-")</f>
        <v>34290000</v>
      </c>
      <c r="I17" s="206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47" t="str">
        <f>INDEX($A$2:$D$200, MATCH(LARGE($D$2:$D$200, 12), $D$2:$D$200, 0), 2)</f>
        <v>플로우</v>
      </c>
      <c r="P17" s="39">
        <f t="shared" si="2"/>
        <v>1365</v>
      </c>
      <c r="Q17" s="70">
        <f t="shared" si="3"/>
        <v>3.0188679199999999E-2</v>
      </c>
      <c r="R17" s="79">
        <f t="shared" si="5"/>
        <v>2497036.0220657499</v>
      </c>
    </row>
    <row r="18" spans="1:18" ht="17.25" thickBot="1">
      <c r="A18" s="40" t="s">
        <v>114</v>
      </c>
      <c r="B18" s="11" t="s">
        <v>323</v>
      </c>
      <c r="C18" s="86">
        <v>95.6</v>
      </c>
      <c r="D18" s="34">
        <v>2.4651661299999999E-2</v>
      </c>
      <c r="E18" s="84">
        <v>45887371.363177814</v>
      </c>
      <c r="F18" s="35"/>
      <c r="G18" s="204"/>
      <c r="H18" s="207"/>
      <c r="I18" s="208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47" t="str">
        <f>INDEX($A$2:$D$200, MATCH(LARGE($D$2:$D$200, 13), $D$2:$D$200, 0), 2)</f>
        <v>체인링크</v>
      </c>
      <c r="P18" s="39">
        <f t="shared" si="2"/>
        <v>9145</v>
      </c>
      <c r="Q18" s="70">
        <f t="shared" si="3"/>
        <v>2.9842342300000001E-2</v>
      </c>
      <c r="R18" s="79">
        <f t="shared" si="5"/>
        <v>117544.36740653</v>
      </c>
    </row>
    <row r="19" spans="1:18" ht="17.25" thickBot="1">
      <c r="A19" s="40" t="s">
        <v>210</v>
      </c>
      <c r="B19" s="11" t="s">
        <v>211</v>
      </c>
      <c r="C19" s="86">
        <v>1480</v>
      </c>
      <c r="D19" s="34">
        <v>2.4221453300000001E-2</v>
      </c>
      <c r="E19" s="84">
        <v>3525879.59189888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47" t="str">
        <f>INDEX($A$2:$D$200, MATCH(LARGE($D$2:$D$200, 14), $D$2:$D$200, 0), 2)</f>
        <v>베이직어텐션토큰</v>
      </c>
      <c r="P19" s="39">
        <f t="shared" si="2"/>
        <v>322</v>
      </c>
      <c r="Q19" s="70">
        <f t="shared" si="3"/>
        <v>2.87539936E-2</v>
      </c>
      <c r="R19" s="79">
        <f t="shared" si="5"/>
        <v>3131398.68684171</v>
      </c>
    </row>
    <row r="20" spans="1:18" ht="17.25" thickBot="1">
      <c r="A20" s="40" t="s">
        <v>326</v>
      </c>
      <c r="B20" s="11" t="s">
        <v>327</v>
      </c>
      <c r="C20" s="86">
        <v>508</v>
      </c>
      <c r="D20" s="34">
        <v>2.4193548400000001E-2</v>
      </c>
      <c r="E20" s="84">
        <v>14243344.33415593</v>
      </c>
      <c r="F20" s="35"/>
      <c r="G20" s="157" t="s">
        <v>243</v>
      </c>
      <c r="H20" s="158"/>
      <c r="I20" s="159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47" t="str">
        <f>INDEX($A$2:$D$200, MATCH(LARGE($D$2:$D$200, 15), $D$2:$D$200, 0), 2)</f>
        <v>비트코인</v>
      </c>
      <c r="P20" s="39">
        <f t="shared" si="2"/>
        <v>34290000</v>
      </c>
      <c r="Q20" s="70">
        <f t="shared" si="3"/>
        <v>2.8648567600000001E-2</v>
      </c>
      <c r="R20" s="83">
        <f t="shared" si="5"/>
        <v>3557.8732976900001</v>
      </c>
    </row>
    <row r="21" spans="1:18">
      <c r="A21" s="40" t="s">
        <v>339</v>
      </c>
      <c r="B21" s="11" t="s">
        <v>340</v>
      </c>
      <c r="C21" s="86">
        <v>835</v>
      </c>
      <c r="D21" s="34">
        <v>2.32843137E-2</v>
      </c>
      <c r="E21" s="84">
        <v>2788835.0263326601</v>
      </c>
      <c r="F21" s="35"/>
      <c r="G21" s="185" t="s">
        <v>36</v>
      </c>
      <c r="H21" s="186"/>
      <c r="I21" s="187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49" t="str">
        <f>INDEX($A$2:$D$200, MATCH(LARGE($D$2:$D$200, 16), $D$2:$D$200, 0), 2)</f>
        <v>퀀텀</v>
      </c>
      <c r="P21" s="45">
        <f t="shared" si="2"/>
        <v>3860</v>
      </c>
      <c r="Q21" s="73">
        <f t="shared" si="3"/>
        <v>2.79627164E-2</v>
      </c>
      <c r="R21" s="89">
        <f t="shared" si="5"/>
        <v>563676.013423</v>
      </c>
    </row>
    <row r="22" spans="1:18" ht="17.25" thickBot="1">
      <c r="A22" s="40" t="s">
        <v>162</v>
      </c>
      <c r="B22" s="11" t="s">
        <v>163</v>
      </c>
      <c r="C22" s="86">
        <v>11660</v>
      </c>
      <c r="D22" s="34">
        <v>2.2807017499999999E-2</v>
      </c>
      <c r="E22" s="84">
        <v>972897.22943633003</v>
      </c>
      <c r="F22" s="35"/>
      <c r="G22" s="178"/>
      <c r="H22" s="179"/>
      <c r="I22" s="180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47" t="str">
        <f>INDEX($A$2:$D$200, MATCH(LARGE($D$2:$D$200, 17), $D$2:$D$200, 0), 2)</f>
        <v>크로노스</v>
      </c>
      <c r="P22" s="39">
        <f t="shared" si="2"/>
        <v>95.6</v>
      </c>
      <c r="Q22" s="70">
        <f t="shared" si="3"/>
        <v>2.4651661299999999E-2</v>
      </c>
      <c r="R22" s="79">
        <f t="shared" si="5"/>
        <v>45887371.363177814</v>
      </c>
    </row>
    <row r="23" spans="1:18" ht="17.25" thickBot="1">
      <c r="A23" s="40" t="s">
        <v>63</v>
      </c>
      <c r="B23" s="11" t="s">
        <v>64</v>
      </c>
      <c r="C23" s="86">
        <v>13.6</v>
      </c>
      <c r="D23" s="34">
        <v>2.2556390999999999E-2</v>
      </c>
      <c r="E23" s="84">
        <v>59291516.425804853</v>
      </c>
      <c r="F23" s="35"/>
      <c r="G23" s="9" t="s">
        <v>38</v>
      </c>
      <c r="H23" s="158" t="s">
        <v>37</v>
      </c>
      <c r="I23" s="159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47" t="str">
        <f>INDEX($A$2:$D$200, MATCH(LARGE($D$2:$D$200, 18), $D$2:$D$200, 0), 2)</f>
        <v>리스크</v>
      </c>
      <c r="P23" s="39">
        <f t="shared" si="2"/>
        <v>1480</v>
      </c>
      <c r="Q23" s="70">
        <f t="shared" si="3"/>
        <v>2.4221453300000001E-2</v>
      </c>
      <c r="R23" s="79">
        <f t="shared" si="5"/>
        <v>3525879.59189888</v>
      </c>
    </row>
    <row r="24" spans="1:18">
      <c r="A24" s="40" t="s">
        <v>139</v>
      </c>
      <c r="B24" s="11" t="s">
        <v>336</v>
      </c>
      <c r="C24" s="86">
        <v>364</v>
      </c>
      <c r="D24" s="34">
        <v>2.2471910099999999E-2</v>
      </c>
      <c r="E24" s="84">
        <v>2895681.0100526698</v>
      </c>
      <c r="F24" s="35"/>
      <c r="G24" s="203">
        <f>_xlfn.IFNA(VLOOKUP(G21, $B$2:$D$200, 3, FALSE), "-")</f>
        <v>2.8648567600000001E-2</v>
      </c>
      <c r="H24" s="205">
        <f>_xlfn.IFNA(VLOOKUP(G21, $B$2:$D$200, 2, FALSE), "-")</f>
        <v>34290000</v>
      </c>
      <c r="I24" s="206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47" t="str">
        <f>INDEX($A$2:$D$200, MATCH(LARGE($D$2:$D$200, 19), $D$2:$D$200, 0), 2)</f>
        <v>스테픈</v>
      </c>
      <c r="P24" s="39">
        <f t="shared" si="2"/>
        <v>508</v>
      </c>
      <c r="Q24" s="70">
        <f t="shared" si="3"/>
        <v>2.4193548400000001E-2</v>
      </c>
      <c r="R24" s="79">
        <f t="shared" si="5"/>
        <v>14243344.33415593</v>
      </c>
    </row>
    <row r="25" spans="1:18" ht="17.25" thickBot="1">
      <c r="A25" s="40" t="s">
        <v>104</v>
      </c>
      <c r="B25" s="11" t="s">
        <v>105</v>
      </c>
      <c r="C25" s="86">
        <v>281</v>
      </c>
      <c r="D25" s="34">
        <v>2.1818181799999999E-2</v>
      </c>
      <c r="E25" s="84">
        <v>3107182.4866730301</v>
      </c>
      <c r="F25" s="35"/>
      <c r="G25" s="204"/>
      <c r="H25" s="207"/>
      <c r="I25" s="208"/>
      <c r="K25" s="53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2" t="str">
        <f t="shared" ca="1" si="1"/>
        <v/>
      </c>
      <c r="N25" s="80" t="str">
        <f t="shared" ca="1" si="4"/>
        <v/>
      </c>
      <c r="O25" s="48" t="str">
        <f>INDEX($A$2:$D$200, MATCH(LARGE($D$2:$D$200, 20), $D$2:$D$200, 0), 2)</f>
        <v>셀로</v>
      </c>
      <c r="P25" s="37">
        <f t="shared" si="2"/>
        <v>835</v>
      </c>
      <c r="Q25" s="72">
        <f t="shared" si="3"/>
        <v>2.32843137E-2</v>
      </c>
      <c r="R25" s="80">
        <f t="shared" si="5"/>
        <v>2788835.0263326601</v>
      </c>
    </row>
    <row r="26" spans="1:18">
      <c r="A26" s="40" t="s">
        <v>152</v>
      </c>
      <c r="B26" s="11" t="s">
        <v>153</v>
      </c>
      <c r="C26" s="86">
        <v>475</v>
      </c>
      <c r="D26" s="34">
        <v>2.15053763E-2</v>
      </c>
      <c r="E26" s="84">
        <v>4111722.7840936999</v>
      </c>
      <c r="F26" s="35"/>
    </row>
    <row r="27" spans="1:18" ht="17.25" thickBot="1">
      <c r="A27" s="40" t="s">
        <v>110</v>
      </c>
      <c r="B27" s="11" t="s">
        <v>111</v>
      </c>
      <c r="C27" s="86">
        <v>814</v>
      </c>
      <c r="D27" s="34">
        <v>2.1329987500000001E-2</v>
      </c>
      <c r="E27" s="84">
        <v>13025724.8949163</v>
      </c>
      <c r="F27" s="35"/>
    </row>
    <row r="28" spans="1:18" ht="17.25" thickBot="1">
      <c r="A28" s="40" t="s">
        <v>168</v>
      </c>
      <c r="B28" s="11" t="s">
        <v>169</v>
      </c>
      <c r="C28" s="86">
        <v>289</v>
      </c>
      <c r="D28" s="34">
        <v>2.1201413400000001E-2</v>
      </c>
      <c r="E28" s="84">
        <v>1329178.5438361999</v>
      </c>
      <c r="F28" s="35"/>
      <c r="G28" s="157" t="s">
        <v>46</v>
      </c>
      <c r="H28" s="158"/>
      <c r="I28" s="158"/>
      <c r="J28" s="159"/>
      <c r="K28" s="157" t="s">
        <v>44</v>
      </c>
      <c r="L28" s="158"/>
      <c r="M28" s="158"/>
      <c r="N28" s="159"/>
      <c r="O28" s="157" t="s">
        <v>45</v>
      </c>
      <c r="P28" s="158"/>
      <c r="Q28" s="158"/>
      <c r="R28" s="159"/>
    </row>
    <row r="29" spans="1:18" ht="17.25" thickBot="1">
      <c r="A29" s="40" t="s">
        <v>82</v>
      </c>
      <c r="B29" s="11" t="s">
        <v>83</v>
      </c>
      <c r="C29" s="86">
        <v>1470</v>
      </c>
      <c r="D29" s="34">
        <v>2.08333333E-2</v>
      </c>
      <c r="E29" s="84">
        <v>1709093.60021932</v>
      </c>
      <c r="F29" s="35"/>
      <c r="G29" s="194" t="s">
        <v>54</v>
      </c>
      <c r="H29" s="210">
        <f ca="1">NOW()</f>
        <v>45002.583756481479</v>
      </c>
      <c r="I29" s="211"/>
      <c r="J29" s="212"/>
      <c r="K29" s="209" t="s">
        <v>54</v>
      </c>
      <c r="L29" s="210">
        <f ca="1">NOW()</f>
        <v>45002.583756481479</v>
      </c>
      <c r="M29" s="211"/>
      <c r="N29" s="212"/>
      <c r="O29" s="209" t="s">
        <v>54</v>
      </c>
      <c r="P29" s="210">
        <f ca="1">NOW()</f>
        <v>45002.583756481479</v>
      </c>
      <c r="Q29" s="211"/>
      <c r="R29" s="212"/>
    </row>
    <row r="30" spans="1:18" ht="17.25" thickBot="1">
      <c r="A30" s="40" t="s">
        <v>321</v>
      </c>
      <c r="B30" s="11" t="s">
        <v>322</v>
      </c>
      <c r="C30" s="86">
        <v>1560</v>
      </c>
      <c r="D30" s="34">
        <v>1.9607843100000001E-2</v>
      </c>
      <c r="E30" s="84">
        <v>3221315.0348011898</v>
      </c>
      <c r="F30" s="35"/>
      <c r="G30" s="202"/>
      <c r="H30" s="36" t="s">
        <v>57</v>
      </c>
      <c r="I30" s="36" t="s">
        <v>58</v>
      </c>
      <c r="J30" s="64" t="s">
        <v>251</v>
      </c>
      <c r="K30" s="202"/>
      <c r="L30" s="36" t="s">
        <v>57</v>
      </c>
      <c r="M30" s="36" t="s">
        <v>58</v>
      </c>
      <c r="N30" s="64" t="s">
        <v>251</v>
      </c>
      <c r="O30" s="202"/>
      <c r="P30" s="36" t="s">
        <v>57</v>
      </c>
      <c r="Q30" s="36" t="s">
        <v>58</v>
      </c>
      <c r="R30" s="64" t="s">
        <v>251</v>
      </c>
    </row>
    <row r="31" spans="1:18">
      <c r="A31" s="40" t="s">
        <v>347</v>
      </c>
      <c r="B31" s="11" t="s">
        <v>348</v>
      </c>
      <c r="C31" s="86">
        <v>21480</v>
      </c>
      <c r="D31" s="34">
        <v>1.8009478700000001E-2</v>
      </c>
      <c r="E31" s="84">
        <v>64713.192949030003</v>
      </c>
      <c r="F31" s="35"/>
      <c r="G31" s="51" t="str">
        <f ca="1">IFERROR(OFFSET(INDIRECT($H$3 &amp; "!A98"), 0, 0), "")</f>
        <v>마스크네트워크</v>
      </c>
      <c r="H31" s="38">
        <f t="shared" ref="H31:H50" ca="1" si="7">_xlfn.IFNA(VLOOKUP(G31, $B$2:$D$200, 2, FALSE), "")</f>
        <v>5665</v>
      </c>
      <c r="I31" s="69">
        <f t="shared" ref="I31:I50" ca="1" si="8">_xlfn.IFNA(VLOOKUP(G31, $B$2:$D$200, 3, FALSE), "")</f>
        <v>8.2139446000000005E-2</v>
      </c>
      <c r="J31" s="78">
        <f ca="1">_xlfn.IFNA(VLOOKUP(G31, $B$2:$E$200, 4, FALSE), "")</f>
        <v>19037765.06446081</v>
      </c>
      <c r="K31" s="51" t="str">
        <f ca="1">IFERROR(OFFSET(INDIRECT($H$3 &amp; "!A44"), 0, 0), "")</f>
        <v>아이큐</v>
      </c>
      <c r="L31" s="38">
        <f t="shared" ref="L31:L50" ca="1" si="9">_xlfn.IFNA(VLOOKUP(K31, $B$2:$D$200, 2, FALSE), "")</f>
        <v>8.82</v>
      </c>
      <c r="M31" s="69">
        <f t="shared" ref="M31:M50" ca="1" si="10">_xlfn.IFNA(VLOOKUP(K31, $B$2:$D$200, 3, FALSE), "")</f>
        <v>-6.7567568000000003E-3</v>
      </c>
      <c r="N31" s="78">
        <f ca="1">_xlfn.IFNA(VLOOKUP(K31, $B$2:$E$200, 4, FALSE), "")</f>
        <v>648201148.77427471</v>
      </c>
      <c r="O31" s="51" t="str">
        <f ca="1">IFERROR(OFFSET(INDIRECT($H$3 &amp; "!A71"), 0, 0), "")</f>
        <v>그로스톨코인</v>
      </c>
      <c r="P31" s="38">
        <f t="shared" ref="P31:P50" ca="1" si="11">_xlfn.IFNA(VLOOKUP(O31, $B$2:$D$200, 2, FALSE), "")</f>
        <v>582</v>
      </c>
      <c r="Q31" s="69">
        <f t="shared" ref="Q31:Q50" ca="1" si="12">_xlfn.IFNA(VLOOKUP(O31, $B$2:$D$200, 3, FALSE), "")</f>
        <v>-2.34899329E-2</v>
      </c>
      <c r="R31" s="78">
        <f ca="1">_xlfn.IFNA(VLOOKUP(O31, $B$2:$E$200, 4, FALSE), "")</f>
        <v>16310456.12417206</v>
      </c>
    </row>
    <row r="32" spans="1:18">
      <c r="A32" s="40" t="s">
        <v>192</v>
      </c>
      <c r="B32" s="11" t="s">
        <v>193</v>
      </c>
      <c r="C32" s="86">
        <v>23</v>
      </c>
      <c r="D32" s="34">
        <v>1.7699115000000001E-2</v>
      </c>
      <c r="E32" s="84">
        <v>27063541.39960324</v>
      </c>
      <c r="F32" s="35"/>
      <c r="G32" s="52" t="str">
        <f ca="1">IFERROR(OFFSET(INDIRECT($H$3 &amp; "!A98"), 1, 0), "")</f>
        <v>아이큐</v>
      </c>
      <c r="H32" s="39">
        <f t="shared" ca="1" si="7"/>
        <v>8.82</v>
      </c>
      <c r="I32" s="70">
        <f t="shared" ca="1" si="8"/>
        <v>-6.7567568000000003E-3</v>
      </c>
      <c r="J32" s="79">
        <f t="shared" ref="J32:J50" ca="1" si="13">_xlfn.IFNA(VLOOKUP(G32, $B$2:$E$200, 4, FALSE), "")</f>
        <v>648201148.77427471</v>
      </c>
      <c r="K32" s="52" t="str">
        <f ca="1">IFERROR(OFFSET(INDIRECT($H$3 &amp; "!A44"), 1, 0), "")</f>
        <v>비트토렌트</v>
      </c>
      <c r="L32" s="39">
        <f t="shared" ca="1" si="9"/>
        <v>8.9999999999999998E-4</v>
      </c>
      <c r="M32" s="70">
        <f t="shared" ca="1" si="10"/>
        <v>0</v>
      </c>
      <c r="N32" s="79">
        <f t="shared" ref="N32:N50" ca="1" si="14">_xlfn.IFNA(VLOOKUP(K32, $B$2:$E$200, 4, FALSE), "")</f>
        <v>322224695783.72076</v>
      </c>
      <c r="O32" s="52" t="str">
        <f ca="1">IFERROR(OFFSET(INDIRECT($H$3 &amp; "!A71"), 1, 0), "")</f>
        <v>하이파이</v>
      </c>
      <c r="P32" s="39">
        <f t="shared" ca="1" si="11"/>
        <v>582</v>
      </c>
      <c r="Q32" s="70">
        <f t="shared" ca="1" si="12"/>
        <v>0</v>
      </c>
      <c r="R32" s="79">
        <f t="shared" ref="R32:R50" ca="1" si="15">_xlfn.IFNA(VLOOKUP(O32, $B$2:$E$200, 4, FALSE), "")</f>
        <v>2759803.0804108498</v>
      </c>
    </row>
    <row r="33" spans="1:18">
      <c r="A33" s="40" t="s">
        <v>341</v>
      </c>
      <c r="B33" s="11" t="s">
        <v>342</v>
      </c>
      <c r="C33" s="86">
        <v>101650</v>
      </c>
      <c r="D33" s="34">
        <v>1.76193813E-2</v>
      </c>
      <c r="E33" s="84">
        <v>8263.8509005399992</v>
      </c>
      <c r="F33" s="35"/>
      <c r="G33" s="52" t="str">
        <f ca="1">IFERROR(OFFSET(INDIRECT($H$3 &amp; "!A98"), 2, 0), "")</f>
        <v>비트토렌트</v>
      </c>
      <c r="H33" s="39">
        <f t="shared" ca="1" si="7"/>
        <v>8.9999999999999998E-4</v>
      </c>
      <c r="I33" s="70">
        <f t="shared" ca="1" si="8"/>
        <v>0</v>
      </c>
      <c r="J33" s="79">
        <f t="shared" ca="1" si="13"/>
        <v>322224695783.72076</v>
      </c>
      <c r="K33" s="52" t="str">
        <f ca="1">IFERROR(OFFSET(INDIRECT($H$3 &amp; "!A44"), 2, 0), "")</f>
        <v>시아코인</v>
      </c>
      <c r="L33" s="39">
        <f t="shared" ca="1" si="9"/>
        <v>5.68</v>
      </c>
      <c r="M33" s="70">
        <f t="shared" ca="1" si="10"/>
        <v>6.3670411999999996E-2</v>
      </c>
      <c r="N33" s="79">
        <f t="shared" ca="1" si="14"/>
        <v>2563555896.7490916</v>
      </c>
      <c r="O33" s="52" t="str">
        <f ca="1">IFERROR(OFFSET(INDIRECT($H$3 &amp; "!A71"), 2, 0), "")</f>
        <v>아크</v>
      </c>
      <c r="P33" s="39">
        <f t="shared" ca="1" si="11"/>
        <v>458</v>
      </c>
      <c r="Q33" s="70">
        <f t="shared" ca="1" si="12"/>
        <v>1.1037527599999999E-2</v>
      </c>
      <c r="R33" s="79">
        <f t="shared" ca="1" si="15"/>
        <v>19948307.510635741</v>
      </c>
    </row>
    <row r="34" spans="1:18">
      <c r="A34" s="40" t="s">
        <v>98</v>
      </c>
      <c r="B34" s="11" t="s">
        <v>99</v>
      </c>
      <c r="C34" s="86">
        <v>25430</v>
      </c>
      <c r="D34" s="34">
        <v>1.76070428E-2</v>
      </c>
      <c r="E34" s="84">
        <v>332229.55325579998</v>
      </c>
      <c r="F34" s="35"/>
      <c r="G34" s="52" t="str">
        <f ca="1">IFERROR(OFFSET(INDIRECT($H$3 &amp; "!A98"), 3, 0), "")</f>
        <v>그로스톨코인</v>
      </c>
      <c r="H34" s="39">
        <f t="shared" ca="1" si="7"/>
        <v>582</v>
      </c>
      <c r="I34" s="70">
        <f t="shared" ca="1" si="8"/>
        <v>-2.34899329E-2</v>
      </c>
      <c r="J34" s="79">
        <f t="shared" ca="1" si="13"/>
        <v>16310456.12417206</v>
      </c>
      <c r="K34" s="52" t="str">
        <f ca="1">IFERROR(OFFSET(INDIRECT($H$3 &amp; "!A44"), 3, 0), "")</f>
        <v>리퍼리움</v>
      </c>
      <c r="L34" s="39">
        <f t="shared" ca="1" si="9"/>
        <v>8.93</v>
      </c>
      <c r="M34" s="70">
        <f t="shared" ca="1" si="10"/>
        <v>0</v>
      </c>
      <c r="N34" s="79">
        <f t="shared" ca="1" si="14"/>
        <v>155507269.04727131</v>
      </c>
      <c r="O34" s="52" t="str">
        <f ca="1">IFERROR(OFFSET(INDIRECT($H$3 &amp; "!A71"), 3, 0), "")</f>
        <v>온톨로지가스</v>
      </c>
      <c r="P34" s="39">
        <f t="shared" ca="1" si="11"/>
        <v>390</v>
      </c>
      <c r="Q34" s="70">
        <f t="shared" ca="1" si="12"/>
        <v>2.5706941000000001E-3</v>
      </c>
      <c r="R34" s="79">
        <f t="shared" ca="1" si="15"/>
        <v>3320953.3565916899</v>
      </c>
    </row>
    <row r="35" spans="1:18">
      <c r="A35" s="40" t="s">
        <v>349</v>
      </c>
      <c r="B35" s="11" t="s">
        <v>350</v>
      </c>
      <c r="C35" s="86">
        <v>2665</v>
      </c>
      <c r="D35" s="34">
        <v>1.71755725E-2</v>
      </c>
      <c r="E35" s="84">
        <v>724029.63280595001</v>
      </c>
      <c r="F35" s="35"/>
      <c r="G35" s="54" t="str">
        <f ca="1">IFERROR(OFFSET(INDIRECT($H$3 &amp; "!A98"), 4, 0), "")</f>
        <v>시아코인</v>
      </c>
      <c r="H35" s="44">
        <f t="shared" ca="1" si="7"/>
        <v>5.68</v>
      </c>
      <c r="I35" s="71">
        <f t="shared" ca="1" si="8"/>
        <v>6.3670411999999996E-2</v>
      </c>
      <c r="J35" s="83">
        <f t="shared" ca="1" si="13"/>
        <v>2563555896.7490916</v>
      </c>
      <c r="K35" s="54" t="str">
        <f ca="1">IFERROR(OFFSET(INDIRECT($H$3 &amp; "!A44"), 4, 0), "")</f>
        <v>아하토큰</v>
      </c>
      <c r="L35" s="44">
        <f t="shared" ca="1" si="9"/>
        <v>12.7</v>
      </c>
      <c r="M35" s="71">
        <f t="shared" ca="1" si="10"/>
        <v>0</v>
      </c>
      <c r="N35" s="83">
        <f t="shared" ca="1" si="14"/>
        <v>185784079.51819316</v>
      </c>
      <c r="O35" s="54" t="str">
        <f ca="1">IFERROR(OFFSET(INDIRECT($H$3 &amp; "!A71"), 4, 0), "")</f>
        <v>아이콘</v>
      </c>
      <c r="P35" s="44">
        <f t="shared" ca="1" si="11"/>
        <v>281</v>
      </c>
      <c r="Q35" s="71">
        <f t="shared" ca="1" si="12"/>
        <v>2.1818181799999999E-2</v>
      </c>
      <c r="R35" s="83">
        <f t="shared" ca="1" si="15"/>
        <v>3107182.4866730301</v>
      </c>
    </row>
    <row r="36" spans="1:18">
      <c r="A36" s="40" t="s">
        <v>92</v>
      </c>
      <c r="B36" s="11" t="s">
        <v>93</v>
      </c>
      <c r="C36" s="86">
        <v>2268000</v>
      </c>
      <c r="D36" s="34">
        <v>1.7040358700000001E-2</v>
      </c>
      <c r="E36" s="84">
        <v>8476.1001453600002</v>
      </c>
      <c r="F36" s="35"/>
      <c r="G36" s="52" t="str">
        <f ca="1">IFERROR(OFFSET(INDIRECT($H$3 &amp; "!A98"), 5, 0), "")</f>
        <v>하이파이</v>
      </c>
      <c r="H36" s="39">
        <f t="shared" ca="1" si="7"/>
        <v>582</v>
      </c>
      <c r="I36" s="70">
        <f t="shared" ca="1" si="8"/>
        <v>0</v>
      </c>
      <c r="J36" s="89">
        <f t="shared" ca="1" si="13"/>
        <v>2759803.0804108498</v>
      </c>
      <c r="K36" s="52" t="str">
        <f ca="1">IFERROR(OFFSET(INDIRECT($H$3 &amp; "!A44"), 5, 0), "")</f>
        <v>질리카</v>
      </c>
      <c r="L36" s="39">
        <f t="shared" ca="1" si="9"/>
        <v>37</v>
      </c>
      <c r="M36" s="70">
        <f t="shared" ca="1" si="10"/>
        <v>1.64835165E-2</v>
      </c>
      <c r="N36" s="89">
        <f t="shared" ca="1" si="14"/>
        <v>57231146.730847873</v>
      </c>
      <c r="O36" s="52" t="str">
        <f ca="1">IFERROR(OFFSET(INDIRECT($H$3 &amp; "!A71"), 5, 0), "")</f>
        <v>리플</v>
      </c>
      <c r="P36" s="39">
        <f t="shared" ca="1" si="11"/>
        <v>490</v>
      </c>
      <c r="Q36" s="70">
        <f t="shared" ca="1" si="12"/>
        <v>1.03092784E-2</v>
      </c>
      <c r="R36" s="89">
        <f t="shared" ca="1" si="15"/>
        <v>56349249.367101759</v>
      </c>
    </row>
    <row r="37" spans="1:18">
      <c r="A37" s="40" t="s">
        <v>158</v>
      </c>
      <c r="B37" s="11" t="s">
        <v>159</v>
      </c>
      <c r="C37" s="86">
        <v>239</v>
      </c>
      <c r="D37" s="34">
        <v>1.7021276599999999E-2</v>
      </c>
      <c r="E37" s="84">
        <v>6310727.1436487902</v>
      </c>
      <c r="F37" s="35"/>
      <c r="G37" s="52" t="str">
        <f ca="1">IFERROR(OFFSET(INDIRECT($H$3 &amp; "!A98"), 6, 0), "")</f>
        <v>리퍼리움</v>
      </c>
      <c r="H37" s="39">
        <f t="shared" ca="1" si="7"/>
        <v>8.93</v>
      </c>
      <c r="I37" s="70">
        <f t="shared" ca="1" si="8"/>
        <v>0</v>
      </c>
      <c r="J37" s="79">
        <f t="shared" ca="1" si="13"/>
        <v>155507269.04727131</v>
      </c>
      <c r="K37" s="52" t="str">
        <f ca="1">IFERROR(OFFSET(INDIRECT($H$3 &amp; "!A44"), 6, 0), "")</f>
        <v>스테이터스네트워크토큰</v>
      </c>
      <c r="L37" s="39">
        <f t="shared" ca="1" si="9"/>
        <v>36.1</v>
      </c>
      <c r="M37" s="70">
        <f t="shared" ca="1" si="10"/>
        <v>3.7356321800000002E-2</v>
      </c>
      <c r="N37" s="79">
        <f t="shared" ca="1" si="14"/>
        <v>110057091.17338319</v>
      </c>
      <c r="O37" s="52" t="str">
        <f ca="1">IFERROR(OFFSET(INDIRECT($H$3 &amp; "!A71"), 6, 0), "")</f>
        <v>코박토큰</v>
      </c>
      <c r="P37" s="39">
        <f t="shared" ca="1" si="11"/>
        <v>972</v>
      </c>
      <c r="Q37" s="70">
        <f t="shared" ca="1" si="12"/>
        <v>5.1706308000000001E-3</v>
      </c>
      <c r="R37" s="79">
        <f t="shared" ca="1" si="15"/>
        <v>999753.87835536001</v>
      </c>
    </row>
    <row r="38" spans="1:18">
      <c r="A38" s="40" t="s">
        <v>59</v>
      </c>
      <c r="B38" s="11" t="s">
        <v>60</v>
      </c>
      <c r="C38" s="86">
        <v>777</v>
      </c>
      <c r="D38" s="34">
        <v>1.7015706799999999E-2</v>
      </c>
      <c r="E38" s="84">
        <v>4050084.6519984901</v>
      </c>
      <c r="F38" s="35"/>
      <c r="G38" s="52" t="str">
        <f ca="1">IFERROR(OFFSET(INDIRECT($H$3 &amp; "!A98"), 7, 0), "")</f>
        <v>비트코인</v>
      </c>
      <c r="H38" s="39">
        <f t="shared" ca="1" si="7"/>
        <v>34290000</v>
      </c>
      <c r="I38" s="70">
        <f t="shared" ca="1" si="8"/>
        <v>2.8648567600000001E-2</v>
      </c>
      <c r="J38" s="79">
        <f t="shared" ca="1" si="13"/>
        <v>3557.8732976900001</v>
      </c>
      <c r="K38" s="52" t="str">
        <f ca="1">IFERROR(OFFSET(INDIRECT($H$3 &amp; "!A44"), 7, 0), "")</f>
        <v>무비블록</v>
      </c>
      <c r="L38" s="39">
        <f t="shared" ca="1" si="9"/>
        <v>4.42</v>
      </c>
      <c r="M38" s="70">
        <f t="shared" ca="1" si="10"/>
        <v>1.3761467899999999E-2</v>
      </c>
      <c r="N38" s="79">
        <f t="shared" ca="1" si="14"/>
        <v>189759449.29953375</v>
      </c>
      <c r="O38" s="52" t="str">
        <f ca="1">IFERROR(OFFSET(INDIRECT($H$3 &amp; "!A71"), 7, 0), "")</f>
        <v>솔라</v>
      </c>
      <c r="P38" s="39">
        <f t="shared" ca="1" si="11"/>
        <v>364</v>
      </c>
      <c r="Q38" s="70">
        <f t="shared" ca="1" si="12"/>
        <v>2.2471910099999999E-2</v>
      </c>
      <c r="R38" s="79">
        <f t="shared" ca="1" si="15"/>
        <v>2895681.0100526698</v>
      </c>
    </row>
    <row r="39" spans="1:18">
      <c r="A39" s="40" t="s">
        <v>102</v>
      </c>
      <c r="B39" s="11" t="s">
        <v>103</v>
      </c>
      <c r="C39" s="86">
        <v>302</v>
      </c>
      <c r="D39" s="34">
        <v>1.6835016800000002E-2</v>
      </c>
      <c r="E39" s="84">
        <v>3588787.0277424799</v>
      </c>
      <c r="F39" s="35"/>
      <c r="G39" s="52" t="str">
        <f ca="1">IFERROR(OFFSET(INDIRECT($H$3 &amp; "!A98"), 8, 0), "")</f>
        <v>테조스</v>
      </c>
      <c r="H39" s="39">
        <f t="shared" ca="1" si="7"/>
        <v>1605</v>
      </c>
      <c r="I39" s="70">
        <f t="shared" ca="1" si="8"/>
        <v>1.2618296500000001E-2</v>
      </c>
      <c r="J39" s="79">
        <f t="shared" ca="1" si="13"/>
        <v>384567.36235046003</v>
      </c>
      <c r="K39" s="52" t="str">
        <f ca="1">IFERROR(OFFSET(INDIRECT($H$3 &amp; "!A44"), 8, 0), "")</f>
        <v>오브스</v>
      </c>
      <c r="L39" s="39">
        <f t="shared" ca="1" si="9"/>
        <v>43.5</v>
      </c>
      <c r="M39" s="70">
        <f t="shared" ca="1" si="10"/>
        <v>6.9444444000000003E-3</v>
      </c>
      <c r="N39" s="79">
        <f t="shared" ca="1" si="14"/>
        <v>15981753.58661638</v>
      </c>
      <c r="O39" s="52" t="str">
        <f ca="1">IFERROR(OFFSET(INDIRECT($H$3 &amp; "!A71"), 8, 0), "")</f>
        <v>던프로토콜</v>
      </c>
      <c r="P39" s="39">
        <f t="shared" ca="1" si="11"/>
        <v>977</v>
      </c>
      <c r="Q39" s="70">
        <f t="shared" ca="1" si="12"/>
        <v>6.1791967000000003E-3</v>
      </c>
      <c r="R39" s="79">
        <f t="shared" ca="1" si="15"/>
        <v>2171444.1772344401</v>
      </c>
    </row>
    <row r="40" spans="1:18" ht="17.25" thickBot="1">
      <c r="A40" s="40" t="s">
        <v>125</v>
      </c>
      <c r="B40" s="11" t="s">
        <v>126</v>
      </c>
      <c r="C40" s="86">
        <v>37</v>
      </c>
      <c r="D40" s="34">
        <v>1.64835165E-2</v>
      </c>
      <c r="E40" s="84">
        <v>57231146.730847873</v>
      </c>
      <c r="F40" s="35"/>
      <c r="G40" s="53" t="str">
        <f ca="1">IFERROR(OFFSET(INDIRECT($H$3 &amp; "!A98"), 9, 0), "")</f>
        <v>어거</v>
      </c>
      <c r="H40" s="37">
        <f t="shared" ca="1" si="7"/>
        <v>11660</v>
      </c>
      <c r="I40" s="72">
        <f t="shared" ca="1" si="8"/>
        <v>2.2807017499999999E-2</v>
      </c>
      <c r="J40" s="80">
        <f t="shared" ca="1" si="13"/>
        <v>972897.22943633003</v>
      </c>
      <c r="K40" s="53" t="str">
        <f ca="1">IFERROR(OFFSET(INDIRECT($H$3 &amp; "!A44"), 9, 0), "")</f>
        <v>스톰엑스</v>
      </c>
      <c r="L40" s="37">
        <f t="shared" ca="1" si="9"/>
        <v>8.0299999999999994</v>
      </c>
      <c r="M40" s="72">
        <f t="shared" ca="1" si="10"/>
        <v>1.6455696200000001E-2</v>
      </c>
      <c r="N40" s="80">
        <f t="shared" ca="1" si="14"/>
        <v>104069803.72656468</v>
      </c>
      <c r="O40" s="53" t="str">
        <f ca="1">IFERROR(OFFSET(INDIRECT($H$3 &amp; "!A71"), 9, 0), "")</f>
        <v>아르고</v>
      </c>
      <c r="P40" s="37">
        <f t="shared" ca="1" si="11"/>
        <v>171</v>
      </c>
      <c r="Q40" s="72">
        <f t="shared" ca="1" si="12"/>
        <v>-1.7241379300000002E-2</v>
      </c>
      <c r="R40" s="80">
        <f t="shared" ca="1" si="15"/>
        <v>11955464.267435569</v>
      </c>
    </row>
    <row r="41" spans="1:18">
      <c r="A41" s="40" t="s">
        <v>117</v>
      </c>
      <c r="B41" s="11" t="s">
        <v>118</v>
      </c>
      <c r="C41" s="86">
        <v>8.0299999999999994</v>
      </c>
      <c r="D41" s="34">
        <v>1.6455696200000001E-2</v>
      </c>
      <c r="E41" s="84">
        <v>104069803.72656468</v>
      </c>
      <c r="F41" s="35"/>
      <c r="G41" s="55" t="str">
        <f ca="1">IFERROR(OFFSET(INDIRECT($H$3 &amp; "!A98"), 10, 0), "")</f>
        <v>아하토큰</v>
      </c>
      <c r="H41" s="38">
        <f t="shared" ca="1" si="7"/>
        <v>12.7</v>
      </c>
      <c r="I41" s="69">
        <f t="shared" ca="1" si="8"/>
        <v>0</v>
      </c>
      <c r="J41" s="78">
        <f t="shared" ca="1" si="13"/>
        <v>185784079.51819316</v>
      </c>
      <c r="K41" s="51" t="str">
        <f ca="1">IFERROR(OFFSET(INDIRECT($H$3 &amp; "!A44"), 10, 0), "")</f>
        <v>저스트</v>
      </c>
      <c r="L41" s="38">
        <f t="shared" ca="1" si="9"/>
        <v>35.6</v>
      </c>
      <c r="M41" s="69">
        <f t="shared" ca="1" si="10"/>
        <v>8.4985835999999999E-3</v>
      </c>
      <c r="N41" s="78">
        <f t="shared" ca="1" si="14"/>
        <v>16116832.91495979</v>
      </c>
      <c r="O41" s="51" t="str">
        <f ca="1">IFERROR(OFFSET(INDIRECT($H$3 &amp; "!A71"), 10, 0), "")</f>
        <v>골렘</v>
      </c>
      <c r="P41" s="38">
        <f t="shared" ca="1" si="11"/>
        <v>338</v>
      </c>
      <c r="Q41" s="69">
        <f t="shared" ca="1" si="12"/>
        <v>2.9673591000000002E-3</v>
      </c>
      <c r="R41" s="78">
        <f t="shared" ca="1" si="15"/>
        <v>12133259.81880931</v>
      </c>
    </row>
    <row r="42" spans="1:18">
      <c r="A42" s="40" t="s">
        <v>133</v>
      </c>
      <c r="B42" s="11" t="s">
        <v>134</v>
      </c>
      <c r="C42" s="86">
        <v>1860</v>
      </c>
      <c r="D42" s="34">
        <v>1.6393442599999999E-2</v>
      </c>
      <c r="E42" s="84">
        <v>561253.92567390995</v>
      </c>
      <c r="F42" s="35"/>
      <c r="G42" s="52" t="str">
        <f ca="1">IFERROR(OFFSET(INDIRECT($H$3 &amp; "!A98"), 11, 0), "")</f>
        <v>아크</v>
      </c>
      <c r="H42" s="39">
        <f t="shared" ca="1" si="7"/>
        <v>458</v>
      </c>
      <c r="I42" s="70">
        <f t="shared" ca="1" si="8"/>
        <v>1.1037527599999999E-2</v>
      </c>
      <c r="J42" s="79">
        <f t="shared" ca="1" si="13"/>
        <v>19948307.510635741</v>
      </c>
      <c r="K42" s="52" t="str">
        <f ca="1">IFERROR(OFFSET(INDIRECT($H$3 &amp; "!A44"), 11, 0), "")</f>
        <v>트론</v>
      </c>
      <c r="L42" s="39">
        <f t="shared" ca="1" si="9"/>
        <v>87.9</v>
      </c>
      <c r="M42" s="70">
        <f t="shared" ca="1" si="10"/>
        <v>1.1507479899999999E-2</v>
      </c>
      <c r="N42" s="79">
        <f t="shared" ca="1" si="14"/>
        <v>38786805.334826753</v>
      </c>
      <c r="O42" s="52" t="str">
        <f ca="1">IFERROR(OFFSET(INDIRECT($H$3 &amp; "!A71"), 11, 0), "")</f>
        <v>칠리즈</v>
      </c>
      <c r="P42" s="39">
        <f t="shared" ca="1" si="11"/>
        <v>157</v>
      </c>
      <c r="Q42" s="70">
        <f t="shared" ca="1" si="12"/>
        <v>6.4102563999999997E-3</v>
      </c>
      <c r="R42" s="79">
        <f t="shared" ca="1" si="15"/>
        <v>9923695.6092006806</v>
      </c>
    </row>
    <row r="43" spans="1:18">
      <c r="A43" s="40" t="s">
        <v>129</v>
      </c>
      <c r="B43" s="11" t="s">
        <v>130</v>
      </c>
      <c r="C43" s="86">
        <v>931</v>
      </c>
      <c r="D43" s="34">
        <v>1.63755459E-2</v>
      </c>
      <c r="E43" s="84">
        <v>2319002.5745510799</v>
      </c>
      <c r="F43" s="35"/>
      <c r="G43" s="52" t="str">
        <f ca="1">IFERROR(OFFSET(INDIRECT($H$3 &amp; "!A98"), 12, 0), "")</f>
        <v>질리카</v>
      </c>
      <c r="H43" s="39">
        <f t="shared" ca="1" si="7"/>
        <v>37</v>
      </c>
      <c r="I43" s="70">
        <f t="shared" ca="1" si="8"/>
        <v>1.64835165E-2</v>
      </c>
      <c r="J43" s="79">
        <f t="shared" ca="1" si="13"/>
        <v>57231146.730847873</v>
      </c>
      <c r="K43" s="52" t="str">
        <f ca="1">IFERROR(OFFSET(INDIRECT($H$3 &amp; "!A44"), 12, 0), "")</f>
        <v>쿼크체인</v>
      </c>
      <c r="L43" s="39">
        <f t="shared" ca="1" si="9"/>
        <v>16</v>
      </c>
      <c r="M43" s="70">
        <f t="shared" ca="1" si="10"/>
        <v>3.2258064500000003E-2</v>
      </c>
      <c r="N43" s="79">
        <f t="shared" ca="1" si="14"/>
        <v>520512070.12656581</v>
      </c>
      <c r="O43" s="52" t="str">
        <f ca="1">IFERROR(OFFSET(INDIRECT($H$3 &amp; "!A71"), 12, 0), "")</f>
        <v>스트라티스</v>
      </c>
      <c r="P43" s="39">
        <f t="shared" ca="1" si="11"/>
        <v>728</v>
      </c>
      <c r="Q43" s="70">
        <f t="shared" ca="1" si="12"/>
        <v>-6.8212823999999998E-3</v>
      </c>
      <c r="R43" s="79">
        <f t="shared" ca="1" si="15"/>
        <v>3452029.6607014402</v>
      </c>
    </row>
    <row r="44" spans="1:18">
      <c r="A44" s="40" t="s">
        <v>76</v>
      </c>
      <c r="B44" s="11" t="s">
        <v>77</v>
      </c>
      <c r="C44" s="86">
        <v>170400</v>
      </c>
      <c r="D44" s="34">
        <v>1.6100178900000001E-2</v>
      </c>
      <c r="E44" s="84">
        <v>4835.7814577400004</v>
      </c>
      <c r="F44" s="35"/>
      <c r="G44" s="52" t="str">
        <f ca="1">IFERROR(OFFSET(INDIRECT($H$3 &amp; "!A98"), 13, 0), "")</f>
        <v>스테이터스네트워크토큰</v>
      </c>
      <c r="H44" s="39">
        <f t="shared" ca="1" si="7"/>
        <v>36.1</v>
      </c>
      <c r="I44" s="70">
        <f t="shared" ca="1" si="8"/>
        <v>3.7356321800000002E-2</v>
      </c>
      <c r="J44" s="79">
        <f t="shared" ca="1" si="13"/>
        <v>110057091.17338319</v>
      </c>
      <c r="K44" s="52" t="str">
        <f ca="1">IFERROR(OFFSET(INDIRECT($H$3 &amp; "!A44"), 13, 0), "")</f>
        <v>썸씽</v>
      </c>
      <c r="L44" s="39">
        <f t="shared" ca="1" si="9"/>
        <v>25.8</v>
      </c>
      <c r="M44" s="70">
        <f t="shared" ca="1" si="10"/>
        <v>3.8910505999999998E-3</v>
      </c>
      <c r="N44" s="79">
        <f t="shared" ca="1" si="14"/>
        <v>27498840.31254768</v>
      </c>
      <c r="O44" s="52" t="str">
        <f ca="1">IFERROR(OFFSET(INDIRECT($H$3 &amp; "!A71"), 13, 0), "")</f>
        <v>휴먼스케이프</v>
      </c>
      <c r="P44" s="39">
        <f t="shared" ca="1" si="11"/>
        <v>139</v>
      </c>
      <c r="Q44" s="70">
        <f t="shared" ca="1" si="12"/>
        <v>7.2463768E-3</v>
      </c>
      <c r="R44" s="79">
        <f t="shared" ca="1" si="15"/>
        <v>3525165.87201417</v>
      </c>
    </row>
    <row r="45" spans="1:18">
      <c r="A45" s="40" t="s">
        <v>53</v>
      </c>
      <c r="B45" s="11" t="s">
        <v>335</v>
      </c>
      <c r="C45" s="86">
        <v>82.7</v>
      </c>
      <c r="D45" s="34">
        <v>1.5970516000000001E-2</v>
      </c>
      <c r="E45" s="84">
        <v>16824749.772497859</v>
      </c>
      <c r="F45" s="35"/>
      <c r="G45" s="54" t="str">
        <f ca="1">IFERROR(OFFSET(INDIRECT($H$3 &amp; "!A98"), 14, 0), "")</f>
        <v>카바</v>
      </c>
      <c r="H45" s="44">
        <f t="shared" ca="1" si="7"/>
        <v>1670</v>
      </c>
      <c r="I45" s="71">
        <f t="shared" ca="1" si="8"/>
        <v>-1.1834319500000001E-2</v>
      </c>
      <c r="J45" s="83">
        <f t="shared" ca="1" si="13"/>
        <v>1308721.78465334</v>
      </c>
      <c r="K45" s="54" t="str">
        <f ca="1">IFERROR(OFFSET(INDIRECT($H$3 &amp; "!A44"), 14, 0), "")</f>
        <v>썬더코어</v>
      </c>
      <c r="L45" s="44">
        <f t="shared" ca="1" si="9"/>
        <v>6.18</v>
      </c>
      <c r="M45" s="71">
        <f t="shared" ca="1" si="10"/>
        <v>4.8780487999999997E-3</v>
      </c>
      <c r="N45" s="83">
        <f t="shared" ca="1" si="14"/>
        <v>97077611.118712202</v>
      </c>
      <c r="O45" s="54" t="str">
        <f ca="1">IFERROR(OFFSET(INDIRECT($H$3 &amp; "!A71"), 14, 0), "")</f>
        <v>엔진코인</v>
      </c>
      <c r="P45" s="44">
        <f t="shared" ca="1" si="11"/>
        <v>528</v>
      </c>
      <c r="Q45" s="71">
        <f t="shared" ca="1" si="12"/>
        <v>1.3435700599999999E-2</v>
      </c>
      <c r="R45" s="83">
        <f t="shared" ca="1" si="15"/>
        <v>6600223.3739504004</v>
      </c>
    </row>
    <row r="46" spans="1:18">
      <c r="A46" s="40" t="s">
        <v>337</v>
      </c>
      <c r="B46" s="11" t="s">
        <v>338</v>
      </c>
      <c r="C46" s="86">
        <v>4.0899999999999999E-2</v>
      </c>
      <c r="D46" s="34">
        <v>1.4888337499999999E-2</v>
      </c>
      <c r="E46" s="84">
        <v>35874728447.859268</v>
      </c>
      <c r="F46" s="35"/>
      <c r="G46" s="52" t="str">
        <f ca="1">IFERROR(OFFSET(INDIRECT($H$3 &amp; "!A98"), 15, 0), "")</f>
        <v>무비블록</v>
      </c>
      <c r="H46" s="39">
        <f t="shared" ca="1" si="7"/>
        <v>4.42</v>
      </c>
      <c r="I46" s="70">
        <f t="shared" ca="1" si="8"/>
        <v>1.3761467899999999E-2</v>
      </c>
      <c r="J46" s="89">
        <f t="shared" ca="1" si="13"/>
        <v>189759449.29953375</v>
      </c>
      <c r="K46" s="52" t="str">
        <f ca="1">IFERROR(OFFSET(INDIRECT($H$3 &amp; "!A44"), 15, 0), "")</f>
        <v>엠블</v>
      </c>
      <c r="L46" s="39">
        <f t="shared" ca="1" si="9"/>
        <v>5.45</v>
      </c>
      <c r="M46" s="70">
        <f t="shared" ca="1" si="10"/>
        <v>1.30111524E-2</v>
      </c>
      <c r="N46" s="89">
        <f t="shared" ca="1" si="14"/>
        <v>99124568.039008826</v>
      </c>
      <c r="O46" s="52" t="str">
        <f ca="1">IFERROR(OFFSET(INDIRECT($H$3 &amp; "!A71"), 15, 0), "")</f>
        <v>셀로</v>
      </c>
      <c r="P46" s="39">
        <f t="shared" ca="1" si="11"/>
        <v>835</v>
      </c>
      <c r="Q46" s="70">
        <f t="shared" ca="1" si="12"/>
        <v>2.32843137E-2</v>
      </c>
      <c r="R46" s="89">
        <f t="shared" ca="1" si="15"/>
        <v>2788835.0263326601</v>
      </c>
    </row>
    <row r="47" spans="1:18">
      <c r="A47" s="40" t="s">
        <v>127</v>
      </c>
      <c r="B47" s="11" t="s">
        <v>128</v>
      </c>
      <c r="C47" s="86">
        <v>8240</v>
      </c>
      <c r="D47" s="34">
        <v>1.47783251E-2</v>
      </c>
      <c r="E47" s="84">
        <v>65996.889977810002</v>
      </c>
      <c r="F47" s="35"/>
      <c r="G47" s="52" t="str">
        <f ca="1">IFERROR(OFFSET(INDIRECT($H$3 &amp; "!A98"), 16, 0), "")</f>
        <v>스트라이크</v>
      </c>
      <c r="H47" s="39">
        <f t="shared" ca="1" si="7"/>
        <v>18180</v>
      </c>
      <c r="I47" s="70">
        <f t="shared" ca="1" si="8"/>
        <v>-1.0989011E-3</v>
      </c>
      <c r="J47" s="79">
        <f t="shared" ca="1" si="13"/>
        <v>123195.332883</v>
      </c>
      <c r="K47" s="52" t="str">
        <f ca="1">IFERROR(OFFSET(INDIRECT($H$3 &amp; "!A44"), 16, 0), "")</f>
        <v>넴</v>
      </c>
      <c r="L47" s="39">
        <f t="shared" ca="1" si="9"/>
        <v>50.9</v>
      </c>
      <c r="M47" s="70">
        <f t="shared" ca="1" si="10"/>
        <v>1.1928429399999999E-2</v>
      </c>
      <c r="N47" s="79">
        <f t="shared" ca="1" si="14"/>
        <v>15669391.59418714</v>
      </c>
      <c r="O47" s="52" t="str">
        <f ca="1">IFERROR(OFFSET(INDIRECT($H$3 &amp; "!A71"), 16, 0), "")</f>
        <v>1인치네트워크</v>
      </c>
      <c r="P47" s="39">
        <f t="shared" ca="1" si="11"/>
        <v>668</v>
      </c>
      <c r="Q47" s="70">
        <f t="shared" ca="1" si="12"/>
        <v>1.36570561E-2</v>
      </c>
      <c r="R47" s="79">
        <f t="shared" ca="1" si="15"/>
        <v>1327649.7610899601</v>
      </c>
    </row>
    <row r="48" spans="1:18">
      <c r="A48" s="40" t="s">
        <v>108</v>
      </c>
      <c r="B48" s="11" t="s">
        <v>109</v>
      </c>
      <c r="C48" s="86">
        <v>1380</v>
      </c>
      <c r="D48" s="34">
        <v>1.47058824E-2</v>
      </c>
      <c r="E48" s="84">
        <v>472857.49476283998</v>
      </c>
      <c r="F48" s="35"/>
      <c r="G48" s="52" t="str">
        <f ca="1">IFERROR(OFFSET(INDIRECT($H$3 &amp; "!A98"), 17, 0), "")</f>
        <v>오브스</v>
      </c>
      <c r="H48" s="39">
        <f t="shared" ca="1" si="7"/>
        <v>43.5</v>
      </c>
      <c r="I48" s="70">
        <f t="shared" ca="1" si="8"/>
        <v>6.9444444000000003E-3</v>
      </c>
      <c r="J48" s="79">
        <f t="shared" ca="1" si="13"/>
        <v>15981753.58661638</v>
      </c>
      <c r="K48" s="52" t="str">
        <f ca="1">IFERROR(OFFSET(INDIRECT($H$3 &amp; "!A44"), 17, 0), "")</f>
        <v>이캐시</v>
      </c>
      <c r="L48" s="39">
        <f t="shared" ca="1" si="9"/>
        <v>4.0899999999999999E-2</v>
      </c>
      <c r="M48" s="70">
        <f t="shared" ca="1" si="10"/>
        <v>1.4888337499999999E-2</v>
      </c>
      <c r="N48" s="79">
        <f t="shared" ca="1" si="14"/>
        <v>35874728447.859268</v>
      </c>
      <c r="O48" s="52" t="str">
        <f ca="1">IFERROR(OFFSET(INDIRECT($H$3 &amp; "!A71"), 17, 0), "")</f>
        <v>제로엑스</v>
      </c>
      <c r="P48" s="39">
        <f t="shared" ca="1" si="11"/>
        <v>302</v>
      </c>
      <c r="Q48" s="70">
        <f t="shared" ca="1" si="12"/>
        <v>1.6835016800000002E-2</v>
      </c>
      <c r="R48" s="79">
        <f t="shared" ca="1" si="15"/>
        <v>3588787.0277424799</v>
      </c>
    </row>
    <row r="49" spans="1:18">
      <c r="A49" s="40" t="s">
        <v>208</v>
      </c>
      <c r="B49" s="11" t="s">
        <v>209</v>
      </c>
      <c r="C49" s="86">
        <v>139</v>
      </c>
      <c r="D49" s="34">
        <v>1.45985401E-2</v>
      </c>
      <c r="E49" s="84">
        <v>8599262.0820312891</v>
      </c>
      <c r="F49" s="35"/>
      <c r="G49" s="52" t="str">
        <f ca="1">IFERROR(OFFSET(INDIRECT($H$3 &amp; "!A98"), 18, 0), "")</f>
        <v>폴카닷</v>
      </c>
      <c r="H49" s="39">
        <f t="shared" ca="1" si="7"/>
        <v>8240</v>
      </c>
      <c r="I49" s="70">
        <f t="shared" ca="1" si="8"/>
        <v>1.47783251E-2</v>
      </c>
      <c r="J49" s="79">
        <f t="shared" ca="1" si="13"/>
        <v>65996.889977810002</v>
      </c>
      <c r="K49" s="52" t="str">
        <f ca="1">IFERROR(OFFSET(INDIRECT($H$3 &amp; "!A44"), 18, 0), "")</f>
        <v>크로노스</v>
      </c>
      <c r="L49" s="39">
        <f t="shared" ca="1" si="9"/>
        <v>95.6</v>
      </c>
      <c r="M49" s="70">
        <f t="shared" ca="1" si="10"/>
        <v>2.4651661299999999E-2</v>
      </c>
      <c r="N49" s="79">
        <f t="shared" ca="1" si="14"/>
        <v>45887371.363177814</v>
      </c>
      <c r="O49" s="52" t="str">
        <f ca="1">IFERROR(OFFSET(INDIRECT($H$3 &amp; "!A71"), 18, 0), "")</f>
        <v>스팀</v>
      </c>
      <c r="P49" s="39">
        <f t="shared" ca="1" si="11"/>
        <v>275</v>
      </c>
      <c r="Q49" s="70">
        <f t="shared" ca="1" si="12"/>
        <v>7.3260073000000004E-3</v>
      </c>
      <c r="R49" s="79">
        <f t="shared" ca="1" si="15"/>
        <v>2016514.0283174401</v>
      </c>
    </row>
    <row r="50" spans="1:18" ht="17.25" thickBot="1">
      <c r="A50" s="40" t="s">
        <v>119</v>
      </c>
      <c r="B50" s="11" t="s">
        <v>120</v>
      </c>
      <c r="C50" s="86">
        <v>142</v>
      </c>
      <c r="D50" s="34">
        <v>1.42857143E-2</v>
      </c>
      <c r="E50" s="84">
        <v>5374742.95068458</v>
      </c>
      <c r="F50" s="35"/>
      <c r="G50" s="53" t="str">
        <f ca="1">IFERROR(OFFSET(INDIRECT($H$3 &amp; "!A98"), 19, 0), "")</f>
        <v>스톰엑스</v>
      </c>
      <c r="H50" s="37">
        <f t="shared" ca="1" si="7"/>
        <v>8.0299999999999994</v>
      </c>
      <c r="I50" s="72">
        <f t="shared" ca="1" si="8"/>
        <v>1.6455696200000001E-2</v>
      </c>
      <c r="J50" s="80">
        <f t="shared" ca="1" si="13"/>
        <v>104069803.72656468</v>
      </c>
      <c r="K50" s="53" t="str">
        <f ca="1">IFERROR(OFFSET(INDIRECT($H$3 &amp; "!A44"), 19, 0), "")</f>
        <v>메디블록</v>
      </c>
      <c r="L50" s="37">
        <f t="shared" ca="1" si="9"/>
        <v>23</v>
      </c>
      <c r="M50" s="72">
        <f t="shared" ca="1" si="10"/>
        <v>1.7699115000000001E-2</v>
      </c>
      <c r="N50" s="80">
        <f t="shared" ca="1" si="14"/>
        <v>27063541.39960324</v>
      </c>
      <c r="O50" s="53" t="str">
        <f ca="1">IFERROR(OFFSET(INDIRECT($H$3 &amp; "!A71"), 19, 0), "")</f>
        <v>펀디엑스</v>
      </c>
      <c r="P50" s="37">
        <f t="shared" ca="1" si="11"/>
        <v>621</v>
      </c>
      <c r="Q50" s="72">
        <f t="shared" ca="1" si="12"/>
        <v>1.1400651499999999E-2</v>
      </c>
      <c r="R50" s="80">
        <f t="shared" ca="1" si="15"/>
        <v>1469867.82506498</v>
      </c>
    </row>
    <row r="51" spans="1:18">
      <c r="A51" s="40" t="s">
        <v>316</v>
      </c>
      <c r="B51" s="11" t="s">
        <v>317</v>
      </c>
      <c r="C51" s="86">
        <v>1.4200000000000001E-2</v>
      </c>
      <c r="D51" s="34">
        <v>1.42857143E-2</v>
      </c>
      <c r="E51" s="84">
        <v>182577780681.55792</v>
      </c>
      <c r="F51" s="35"/>
    </row>
    <row r="52" spans="1:18" ht="17.25" thickBot="1">
      <c r="A52" s="40" t="s">
        <v>202</v>
      </c>
      <c r="B52" s="11" t="s">
        <v>203</v>
      </c>
      <c r="C52" s="86">
        <v>4.42</v>
      </c>
      <c r="D52" s="34">
        <v>1.3761467899999999E-2</v>
      </c>
      <c r="E52" s="84">
        <v>189759449.29953375</v>
      </c>
      <c r="F52" s="35"/>
    </row>
    <row r="53" spans="1:18" ht="17.25" thickBot="1">
      <c r="A53" s="40" t="s">
        <v>318</v>
      </c>
      <c r="B53" s="11" t="s">
        <v>319</v>
      </c>
      <c r="C53" s="86">
        <v>222</v>
      </c>
      <c r="D53" s="34">
        <v>1.3698630099999999E-2</v>
      </c>
      <c r="E53" s="84">
        <v>2892171.4301601001</v>
      </c>
      <c r="F53" s="35"/>
      <c r="G53" s="157" t="s">
        <v>242</v>
      </c>
      <c r="H53" s="158"/>
      <c r="I53" s="158"/>
      <c r="J53" s="159"/>
      <c r="K53" s="157" t="s">
        <v>245</v>
      </c>
      <c r="L53" s="158"/>
      <c r="M53" s="158"/>
      <c r="N53" s="159"/>
      <c r="O53" s="157" t="s">
        <v>246</v>
      </c>
      <c r="P53" s="158"/>
      <c r="Q53" s="158"/>
      <c r="R53" s="159"/>
    </row>
    <row r="54" spans="1:18" ht="17.25" thickBot="1">
      <c r="A54" s="40" t="s">
        <v>324</v>
      </c>
      <c r="B54" s="11" t="s">
        <v>325</v>
      </c>
      <c r="C54" s="86">
        <v>668</v>
      </c>
      <c r="D54" s="34">
        <v>1.36570561E-2</v>
      </c>
      <c r="E54" s="84">
        <v>1327649.7610899601</v>
      </c>
      <c r="F54" s="35"/>
      <c r="G54" s="194" t="s">
        <v>54</v>
      </c>
      <c r="H54" s="210">
        <f ca="1">NOW()</f>
        <v>45002.583756481479</v>
      </c>
      <c r="I54" s="211"/>
      <c r="J54" s="212"/>
      <c r="K54" s="209" t="s">
        <v>54</v>
      </c>
      <c r="L54" s="210">
        <f ca="1">NOW()</f>
        <v>45002.583756481479</v>
      </c>
      <c r="M54" s="211"/>
      <c r="N54" s="212"/>
      <c r="O54" s="209" t="s">
        <v>54</v>
      </c>
      <c r="P54" s="210">
        <f ca="1">NOW()</f>
        <v>45002.583756481479</v>
      </c>
      <c r="Q54" s="211"/>
      <c r="R54" s="212"/>
    </row>
    <row r="55" spans="1:18" ht="17.25" thickBot="1">
      <c r="A55" s="40" t="s">
        <v>148</v>
      </c>
      <c r="B55" s="11" t="s">
        <v>149</v>
      </c>
      <c r="C55" s="86">
        <v>528</v>
      </c>
      <c r="D55" s="34">
        <v>1.3435700599999999E-2</v>
      </c>
      <c r="E55" s="84">
        <v>6600223.3739504004</v>
      </c>
      <c r="F55" s="35"/>
      <c r="G55" s="202"/>
      <c r="H55" s="36" t="s">
        <v>57</v>
      </c>
      <c r="I55" s="36" t="s">
        <v>58</v>
      </c>
      <c r="J55" s="64" t="s">
        <v>251</v>
      </c>
      <c r="K55" s="202"/>
      <c r="L55" s="36" t="s">
        <v>57</v>
      </c>
      <c r="M55" s="36" t="s">
        <v>58</v>
      </c>
      <c r="N55" s="64" t="s">
        <v>251</v>
      </c>
      <c r="O55" s="202"/>
      <c r="P55" s="36" t="s">
        <v>57</v>
      </c>
      <c r="Q55" s="36" t="s">
        <v>58</v>
      </c>
      <c r="R55" s="64" t="s">
        <v>251</v>
      </c>
    </row>
    <row r="56" spans="1:18">
      <c r="A56" s="40" t="s">
        <v>180</v>
      </c>
      <c r="B56" s="11" t="s">
        <v>181</v>
      </c>
      <c r="C56" s="86">
        <v>5.45</v>
      </c>
      <c r="D56" s="34">
        <v>1.30111524E-2</v>
      </c>
      <c r="E56" s="84">
        <v>99124568.039008826</v>
      </c>
      <c r="F56" s="35"/>
      <c r="G56" s="51" t="str">
        <f ca="1">IFERROR(OFFSET(INDIRECT($H$3 &amp; "!A179"), 0, 0), "")</f>
        <v>모스코인</v>
      </c>
      <c r="H56" s="38">
        <f t="shared" ref="H56:H65" ca="1" si="16">_xlfn.IFNA(VLOOKUP(G56, $B$2:$D$200, 2, FALSE), "")</f>
        <v>139</v>
      </c>
      <c r="I56" s="69">
        <f t="shared" ref="I56:I65" ca="1" si="17">_xlfn.IFNA(VLOOKUP(G56, $B$2:$D$200, 3, FALSE), "")</f>
        <v>1.45985401E-2</v>
      </c>
      <c r="J56" s="78">
        <f ca="1">_xlfn.IFNA(VLOOKUP(G56, $B$2:$E$200, 4, FALSE), "")</f>
        <v>8599262.0820312891</v>
      </c>
      <c r="K56" s="51" t="str">
        <f ca="1">IFERROR(OFFSET(INDIRECT($H$3 &amp; "!A125"), 0, 0), "")</f>
        <v>넴</v>
      </c>
      <c r="L56" s="38">
        <f t="shared" ref="L56:L75" ca="1" si="18">_xlfn.IFNA(VLOOKUP(K56, $B$2:$D$200, 2, FALSE), "")</f>
        <v>50.9</v>
      </c>
      <c r="M56" s="69">
        <f t="shared" ref="M56:M75" ca="1" si="19">_xlfn.IFNA(VLOOKUP(K56, $B$2:$D$200, 3, FALSE), "")</f>
        <v>1.1928429399999999E-2</v>
      </c>
      <c r="N56" s="78">
        <f ca="1">_xlfn.IFNA(VLOOKUP(K56, $B$2:$E$200, 4, FALSE), "")</f>
        <v>15669391.59418714</v>
      </c>
      <c r="O56" s="51" t="str">
        <f ca="1">IFERROR(OFFSET(INDIRECT($H$3 &amp; "!A152"), 0, 0), "")</f>
        <v>하이브</v>
      </c>
      <c r="P56" s="38">
        <f t="shared" ref="P56:P75" ca="1" si="20">_xlfn.IFNA(VLOOKUP(O56, $B$2:$D$200, 2, FALSE), "")</f>
        <v>551</v>
      </c>
      <c r="Q56" s="69">
        <f t="shared" ref="Q56:Q75" ca="1" si="21">_xlfn.IFNA(VLOOKUP(O56, $B$2:$D$200, 3, FALSE), "")</f>
        <v>7.3126142999999999E-3</v>
      </c>
      <c r="R56" s="78">
        <f ca="1">_xlfn.IFNA(VLOOKUP(O56, $B$2:$E$200, 4, FALSE), "")</f>
        <v>2906146.7715725601</v>
      </c>
    </row>
    <row r="57" spans="1:18">
      <c r="A57" s="40" t="s">
        <v>330</v>
      </c>
      <c r="B57" s="11" t="s">
        <v>331</v>
      </c>
      <c r="C57" s="86">
        <v>26560</v>
      </c>
      <c r="D57" s="34">
        <v>1.2967200599999999E-2</v>
      </c>
      <c r="E57" s="84">
        <v>341794.95136114</v>
      </c>
      <c r="F57" s="35"/>
      <c r="G57" s="52" t="str">
        <f ca="1">IFERROR(OFFSET(INDIRECT($H$3 &amp; "!A179"), 1, 0), "")</f>
        <v>보라</v>
      </c>
      <c r="H57" s="39">
        <f t="shared" ca="1" si="16"/>
        <v>239</v>
      </c>
      <c r="I57" s="70">
        <f t="shared" ca="1" si="17"/>
        <v>1.7021276599999999E-2</v>
      </c>
      <c r="J57" s="79">
        <f t="shared" ref="J57:J75" ca="1" si="22">_xlfn.IFNA(VLOOKUP(G57, $B$2:$E$200, 4, FALSE), "")</f>
        <v>6310727.1436487902</v>
      </c>
      <c r="K57" s="52" t="str">
        <f ca="1">IFERROR(OFFSET(INDIRECT($H$3 &amp; "!A125"), 1, 0), "")</f>
        <v>이캐시</v>
      </c>
      <c r="L57" s="39">
        <f t="shared" ca="1" si="18"/>
        <v>4.0899999999999999E-2</v>
      </c>
      <c r="M57" s="70">
        <f t="shared" ca="1" si="19"/>
        <v>1.4888337499999999E-2</v>
      </c>
      <c r="N57" s="79">
        <f t="shared" ref="N57:N75" ca="1" si="23">_xlfn.IFNA(VLOOKUP(K57, $B$2:$E$200, 4, FALSE), "")</f>
        <v>35874728447.859268</v>
      </c>
      <c r="O57" s="52" t="str">
        <f ca="1">IFERROR(OFFSET(INDIRECT($H$3 &amp; "!A152"), 1, 0), "")</f>
        <v>폴리매쉬</v>
      </c>
      <c r="P57" s="39">
        <f t="shared" ca="1" si="20"/>
        <v>222</v>
      </c>
      <c r="Q57" s="70">
        <f t="shared" ca="1" si="21"/>
        <v>1.3698630099999999E-2</v>
      </c>
      <c r="R57" s="79">
        <f t="shared" ref="R57:R75" ca="1" si="24">_xlfn.IFNA(VLOOKUP(O57, $B$2:$E$200, 4, FALSE), "")</f>
        <v>2892171.4301601001</v>
      </c>
    </row>
    <row r="58" spans="1:18">
      <c r="A58" s="40" t="s">
        <v>94</v>
      </c>
      <c r="B58" s="11" t="s">
        <v>95</v>
      </c>
      <c r="C58" s="86">
        <v>1605</v>
      </c>
      <c r="D58" s="34">
        <v>1.2618296500000001E-2</v>
      </c>
      <c r="E58" s="84">
        <v>384567.36235046003</v>
      </c>
      <c r="F58" s="35"/>
      <c r="G58" s="52" t="str">
        <f ca="1">IFERROR(OFFSET(INDIRECT($H$3 &amp; "!A179"), 2, 0), "")</f>
        <v>아이오에스티</v>
      </c>
      <c r="H58" s="39">
        <f t="shared" ca="1" si="16"/>
        <v>13.6</v>
      </c>
      <c r="I58" s="70">
        <f t="shared" ca="1" si="17"/>
        <v>2.2556390999999999E-2</v>
      </c>
      <c r="J58" s="79">
        <f t="shared" ca="1" si="22"/>
        <v>59291516.425804853</v>
      </c>
      <c r="K58" s="52" t="str">
        <f ca="1">IFERROR(OFFSET(INDIRECT($H$3 &amp; "!A125"), 2, 0), "")</f>
        <v>크로노스</v>
      </c>
      <c r="L58" s="39">
        <f t="shared" ca="1" si="18"/>
        <v>95.6</v>
      </c>
      <c r="M58" s="70">
        <f t="shared" ca="1" si="19"/>
        <v>2.4651661299999999E-2</v>
      </c>
      <c r="N58" s="79">
        <f t="shared" ca="1" si="23"/>
        <v>45887371.363177814</v>
      </c>
      <c r="O58" s="52" t="str">
        <f ca="1">IFERROR(OFFSET(INDIRECT($H$3 &amp; "!A152"), 2, 0), "")</f>
        <v>헌트</v>
      </c>
      <c r="P58" s="39">
        <f t="shared" ca="1" si="20"/>
        <v>531</v>
      </c>
      <c r="Q58" s="70">
        <f t="shared" ca="1" si="21"/>
        <v>-1.48423006E-2</v>
      </c>
      <c r="R58" s="79">
        <f t="shared" ca="1" si="24"/>
        <v>11368362.18785804</v>
      </c>
    </row>
    <row r="59" spans="1:18">
      <c r="A59" s="40" t="s">
        <v>67</v>
      </c>
      <c r="B59" s="11" t="s">
        <v>68</v>
      </c>
      <c r="C59" s="86">
        <v>569</v>
      </c>
      <c r="D59" s="34">
        <v>1.2455516E-2</v>
      </c>
      <c r="E59" s="84">
        <v>16206208.766507261</v>
      </c>
      <c r="F59" s="35"/>
      <c r="G59" s="52" t="str">
        <f ca="1">IFERROR(OFFSET(INDIRECT($H$3 &amp; "!A179"), 3, 0), "")</f>
        <v>에이브</v>
      </c>
      <c r="H59" s="39">
        <f t="shared" ca="1" si="16"/>
        <v>101650</v>
      </c>
      <c r="I59" s="70">
        <f t="shared" ca="1" si="17"/>
        <v>1.76193813E-2</v>
      </c>
      <c r="J59" s="79">
        <f t="shared" ca="1" si="22"/>
        <v>8263.8509005399992</v>
      </c>
      <c r="K59" s="52" t="str">
        <f ca="1">IFERROR(OFFSET(INDIRECT($H$3 &amp; "!A125"), 3, 0), "")</f>
        <v>메디블록</v>
      </c>
      <c r="L59" s="39">
        <f t="shared" ca="1" si="18"/>
        <v>23</v>
      </c>
      <c r="M59" s="70">
        <f t="shared" ca="1" si="19"/>
        <v>1.7699115000000001E-2</v>
      </c>
      <c r="N59" s="79">
        <f t="shared" ca="1" si="23"/>
        <v>27063541.39960324</v>
      </c>
      <c r="O59" s="52" t="str">
        <f ca="1">IFERROR(OFFSET(INDIRECT($H$3 &amp; "!A152"), 3, 0), "")</f>
        <v>아더</v>
      </c>
      <c r="P59" s="39">
        <f t="shared" ca="1" si="20"/>
        <v>122</v>
      </c>
      <c r="Q59" s="70">
        <f t="shared" ca="1" si="21"/>
        <v>8.2644628000000005E-3</v>
      </c>
      <c r="R59" s="79">
        <f t="shared" ca="1" si="24"/>
        <v>2777523.1730704498</v>
      </c>
    </row>
    <row r="60" spans="1:18">
      <c r="A60" s="40" t="s">
        <v>72</v>
      </c>
      <c r="B60" s="11" t="s">
        <v>73</v>
      </c>
      <c r="C60" s="86">
        <v>17310</v>
      </c>
      <c r="D60" s="34">
        <v>1.22807018E-2</v>
      </c>
      <c r="E60" s="84">
        <v>149871.02897761</v>
      </c>
      <c r="F60" s="35"/>
      <c r="G60" s="52" t="str">
        <f ca="1">IFERROR(OFFSET(INDIRECT($H$3 &amp; "!A179"), 4, 0), "")</f>
        <v>샌드박스</v>
      </c>
      <c r="H60" s="39">
        <f t="shared" ca="1" si="16"/>
        <v>814</v>
      </c>
      <c r="I60" s="70">
        <f t="shared" ca="1" si="17"/>
        <v>2.1329987500000001E-2</v>
      </c>
      <c r="J60" s="83">
        <f t="shared" ca="1" si="22"/>
        <v>13025724.8949163</v>
      </c>
      <c r="K60" s="54" t="str">
        <f ca="1">IFERROR(OFFSET(INDIRECT($H$3 &amp; "!A125"), 4, 0), "")</f>
        <v>쎄타퓨엘</v>
      </c>
      <c r="L60" s="44">
        <f t="shared" ca="1" si="18"/>
        <v>75.2</v>
      </c>
      <c r="M60" s="71">
        <f t="shared" ca="1" si="19"/>
        <v>4.0053405000000002E-3</v>
      </c>
      <c r="N60" s="83">
        <f t="shared" ca="1" si="23"/>
        <v>37034183.292981103</v>
      </c>
      <c r="O60" s="54" t="str">
        <f ca="1">IFERROR(OFFSET(INDIRECT($H$3 &amp; "!A152"), 4, 0), "")</f>
        <v>스토리지</v>
      </c>
      <c r="P60" s="44">
        <f t="shared" ca="1" si="20"/>
        <v>475</v>
      </c>
      <c r="Q60" s="71">
        <f t="shared" ca="1" si="21"/>
        <v>2.15053763E-2</v>
      </c>
      <c r="R60" s="83">
        <f t="shared" ca="1" si="24"/>
        <v>4111722.7840936999</v>
      </c>
    </row>
    <row r="61" spans="1:18">
      <c r="A61" s="40" t="s">
        <v>146</v>
      </c>
      <c r="B61" s="11" t="s">
        <v>147</v>
      </c>
      <c r="C61" s="86">
        <v>10820</v>
      </c>
      <c r="D61" s="34">
        <v>1.2160898E-2</v>
      </c>
      <c r="E61" s="84">
        <v>476715.68223764998</v>
      </c>
      <c r="F61" s="35"/>
      <c r="G61" s="56" t="str">
        <f ca="1">IFERROR(OFFSET(INDIRECT($H$3 &amp; "!A179"), 5, 0), "")</f>
        <v>알고랜드</v>
      </c>
      <c r="H61" s="45">
        <f t="shared" ca="1" si="16"/>
        <v>282</v>
      </c>
      <c r="I61" s="73">
        <f t="shared" ca="1" si="17"/>
        <v>1.0752688200000001E-2</v>
      </c>
      <c r="J61" s="89">
        <f t="shared" ca="1" si="22"/>
        <v>4485792.2492351402</v>
      </c>
      <c r="K61" s="52" t="str">
        <f ca="1">IFERROR(OFFSET(INDIRECT($H$3 &amp; "!A125"), 5, 0), "")</f>
        <v>메타디움</v>
      </c>
      <c r="L61" s="39">
        <f t="shared" ca="1" si="18"/>
        <v>42.4</v>
      </c>
      <c r="M61" s="70">
        <f t="shared" ca="1" si="19"/>
        <v>7.1258907E-3</v>
      </c>
      <c r="N61" s="89">
        <f t="shared" ca="1" si="23"/>
        <v>47642508.262611248</v>
      </c>
      <c r="O61" s="52" t="str">
        <f ca="1">IFERROR(OFFSET(INDIRECT($H$3 &amp; "!A152"), 5, 0), "")</f>
        <v>디센트럴랜드</v>
      </c>
      <c r="P61" s="39">
        <f t="shared" ca="1" si="20"/>
        <v>777</v>
      </c>
      <c r="Q61" s="70">
        <f t="shared" ca="1" si="21"/>
        <v>1.7015706799999999E-2</v>
      </c>
      <c r="R61" s="89">
        <f t="shared" ca="1" si="24"/>
        <v>4050084.6519984901</v>
      </c>
    </row>
    <row r="62" spans="1:18">
      <c r="A62" s="40" t="s">
        <v>55</v>
      </c>
      <c r="B62" s="11" t="s">
        <v>56</v>
      </c>
      <c r="C62" s="86">
        <v>50.9</v>
      </c>
      <c r="D62" s="34">
        <v>1.1928429399999999E-2</v>
      </c>
      <c r="E62" s="84">
        <v>15669391.59418714</v>
      </c>
      <c r="F62" s="35"/>
      <c r="G62" s="52" t="str">
        <f ca="1">IFERROR(OFFSET(INDIRECT($H$3 &amp; "!A179"), 6, 0), "")</f>
        <v>스택스</v>
      </c>
      <c r="H62" s="39">
        <f t="shared" ca="1" si="16"/>
        <v>1335</v>
      </c>
      <c r="I62" s="70">
        <f t="shared" ca="1" si="17"/>
        <v>9.8765432099999995E-2</v>
      </c>
      <c r="J62" s="79">
        <f t="shared" ca="1" si="22"/>
        <v>71693318.45102866</v>
      </c>
      <c r="K62" s="52" t="str">
        <f ca="1">IFERROR(OFFSET(INDIRECT($H$3 &amp; "!A125"), 6, 0), "")</f>
        <v>도지코인</v>
      </c>
      <c r="L62" s="39">
        <f t="shared" ca="1" si="18"/>
        <v>97.7</v>
      </c>
      <c r="M62" s="70">
        <f t="shared" ca="1" si="19"/>
        <v>1.13871636E-2</v>
      </c>
      <c r="N62" s="79">
        <f t="shared" ca="1" si="23"/>
        <v>109195499.22109433</v>
      </c>
      <c r="O62" s="52" t="str">
        <f ca="1">IFERROR(OFFSET(INDIRECT($H$3 &amp; "!A152"), 6, 0), "")</f>
        <v>온톨로지</v>
      </c>
      <c r="P62" s="39">
        <f t="shared" ca="1" si="20"/>
        <v>291</v>
      </c>
      <c r="Q62" s="70">
        <f t="shared" ca="1" si="21"/>
        <v>3.1914893600000001E-2</v>
      </c>
      <c r="R62" s="79">
        <f t="shared" ca="1" si="24"/>
        <v>2587210.6837357501</v>
      </c>
    </row>
    <row r="63" spans="1:18">
      <c r="A63" s="40" t="s">
        <v>150</v>
      </c>
      <c r="B63" s="11" t="s">
        <v>151</v>
      </c>
      <c r="C63" s="86">
        <v>3010</v>
      </c>
      <c r="D63" s="34">
        <v>1.17647059E-2</v>
      </c>
      <c r="E63" s="84">
        <v>586187.95909658005</v>
      </c>
      <c r="F63" s="35"/>
      <c r="G63" s="52" t="str">
        <f ca="1">IFERROR(OFFSET(INDIRECT($H$3 &amp; "!A179"), 7, 0), "")</f>
        <v>헤데라</v>
      </c>
      <c r="H63" s="39">
        <f t="shared" ca="1" si="16"/>
        <v>82.7</v>
      </c>
      <c r="I63" s="70">
        <f t="shared" ca="1" si="17"/>
        <v>1.5970516000000001E-2</v>
      </c>
      <c r="J63" s="79">
        <f t="shared" ca="1" si="22"/>
        <v>16824749.772497859</v>
      </c>
      <c r="K63" s="52" t="str">
        <f ca="1">IFERROR(OFFSET(INDIRECT($H$3 &amp; "!A125"), 7, 0), "")</f>
        <v>에스티피</v>
      </c>
      <c r="L63" s="39">
        <f t="shared" ca="1" si="18"/>
        <v>65.8</v>
      </c>
      <c r="M63" s="70">
        <f t="shared" ca="1" si="19"/>
        <v>-1.34932534E-2</v>
      </c>
      <c r="N63" s="79">
        <f t="shared" ca="1" si="23"/>
        <v>29004512.453436229</v>
      </c>
      <c r="O63" s="52" t="str">
        <f ca="1">IFERROR(OFFSET(INDIRECT($H$3 &amp; "!A152"), 7, 0), "")</f>
        <v>플레이댑</v>
      </c>
      <c r="P63" s="39">
        <f t="shared" ca="1" si="20"/>
        <v>283</v>
      </c>
      <c r="Q63" s="70">
        <f t="shared" ca="1" si="21"/>
        <v>3.5460993000000001E-3</v>
      </c>
      <c r="R63" s="79">
        <f t="shared" ca="1" si="24"/>
        <v>5258905.3422648301</v>
      </c>
    </row>
    <row r="64" spans="1:18">
      <c r="A64" s="40" t="s">
        <v>80</v>
      </c>
      <c r="B64" s="11" t="s">
        <v>81</v>
      </c>
      <c r="C64" s="86">
        <v>439</v>
      </c>
      <c r="D64" s="34">
        <v>1.15207373E-2</v>
      </c>
      <c r="E64" s="84">
        <v>9208937.8916976992</v>
      </c>
      <c r="F64" s="35"/>
      <c r="G64" s="52" t="str">
        <f ca="1">IFERROR(OFFSET(INDIRECT($H$3 &amp; "!A179"), 8, 0), "")</f>
        <v>엑시인피니티</v>
      </c>
      <c r="H64" s="39">
        <f t="shared" ca="1" si="16"/>
        <v>10820</v>
      </c>
      <c r="I64" s="70">
        <f t="shared" ca="1" si="17"/>
        <v>1.2160898E-2</v>
      </c>
      <c r="J64" s="79">
        <f t="shared" ca="1" si="22"/>
        <v>476715.68223764998</v>
      </c>
      <c r="K64" s="52" t="str">
        <f ca="1">IFERROR(OFFSET(INDIRECT($H$3 &amp; "!A125"), 8, 0), "")</f>
        <v>비체인</v>
      </c>
      <c r="L64" s="39">
        <f t="shared" ca="1" si="18"/>
        <v>30</v>
      </c>
      <c r="M64" s="70">
        <f t="shared" ca="1" si="19"/>
        <v>6.7114093999999999E-3</v>
      </c>
      <c r="N64" s="79">
        <f t="shared" ca="1" si="23"/>
        <v>83207081.940574735</v>
      </c>
      <c r="O64" s="52" t="str">
        <f ca="1">IFERROR(OFFSET(INDIRECT($H$3 &amp; "!A152"), 8, 0), "")</f>
        <v>베이직어텐션토큰</v>
      </c>
      <c r="P64" s="39">
        <f t="shared" ca="1" si="20"/>
        <v>322</v>
      </c>
      <c r="Q64" s="70">
        <f t="shared" ca="1" si="21"/>
        <v>2.87539936E-2</v>
      </c>
      <c r="R64" s="79">
        <f t="shared" ca="1" si="24"/>
        <v>3131398.68684171</v>
      </c>
    </row>
    <row r="65" spans="1:18" ht="17.25" thickBot="1">
      <c r="A65" s="40" t="s">
        <v>144</v>
      </c>
      <c r="B65" s="11" t="s">
        <v>145</v>
      </c>
      <c r="C65" s="86">
        <v>87.9</v>
      </c>
      <c r="D65" s="34">
        <v>1.1507479899999999E-2</v>
      </c>
      <c r="E65" s="84">
        <v>38786805.334826753</v>
      </c>
      <c r="F65" s="35"/>
      <c r="G65" s="53" t="str">
        <f ca="1">IFERROR(OFFSET(INDIRECT($H$3 &amp; "!A179"), 9, 0), "")</f>
        <v>스테픈</v>
      </c>
      <c r="H65" s="37">
        <f t="shared" ca="1" si="16"/>
        <v>508</v>
      </c>
      <c r="I65" s="72">
        <f t="shared" ca="1" si="17"/>
        <v>2.4193548400000001E-2</v>
      </c>
      <c r="J65" s="80">
        <f t="shared" ca="1" si="22"/>
        <v>14243344.33415593</v>
      </c>
      <c r="K65" s="53" t="str">
        <f ca="1">IFERROR(OFFSET(INDIRECT($H$3 &amp; "!A125"), 9, 0), "")</f>
        <v>디카르고</v>
      </c>
      <c r="L65" s="37">
        <f t="shared" ca="1" si="18"/>
        <v>49.3</v>
      </c>
      <c r="M65" s="72">
        <f t="shared" ca="1" si="19"/>
        <v>1.0245901599999999E-2</v>
      </c>
      <c r="N65" s="80">
        <f t="shared" ca="1" si="23"/>
        <v>20770161.181235451</v>
      </c>
      <c r="O65" s="53" t="str">
        <f ca="1">IFERROR(OFFSET(INDIRECT($H$3 &amp; "!A152"), 9, 0), "")</f>
        <v>세럼</v>
      </c>
      <c r="P65" s="37">
        <f t="shared" ca="1" si="20"/>
        <v>569</v>
      </c>
      <c r="Q65" s="72">
        <f t="shared" ca="1" si="21"/>
        <v>1.2455516E-2</v>
      </c>
      <c r="R65" s="80">
        <f t="shared" ca="1" si="24"/>
        <v>16206208.766507261</v>
      </c>
    </row>
    <row r="66" spans="1:18">
      <c r="A66" s="40" t="s">
        <v>212</v>
      </c>
      <c r="B66" s="11" t="s">
        <v>213</v>
      </c>
      <c r="C66" s="86">
        <v>621</v>
      </c>
      <c r="D66" s="34">
        <v>1.1400651499999999E-2</v>
      </c>
      <c r="E66" s="84">
        <v>1469867.82506498</v>
      </c>
      <c r="F66" s="35"/>
      <c r="G66" s="52" t="str">
        <f ca="1">IFERROR(OFFSET(INDIRECT($H$3 &amp; "!A179"), 10, 0), "")</f>
        <v>앵커</v>
      </c>
      <c r="H66" s="38">
        <f t="shared" ref="H66:H75" ca="1" si="25">_xlfn.IFNA(VLOOKUP(G66, $B$2:$D$200, 2, FALSE), "")</f>
        <v>47.4</v>
      </c>
      <c r="I66" s="69">
        <f t="shared" ref="I66:I75" ca="1" si="26">_xlfn.IFNA(VLOOKUP(G66, $B$2:$D$200, 3, FALSE), "")</f>
        <v>6.3694268000000004E-3</v>
      </c>
      <c r="J66" s="78">
        <f t="shared" ca="1" si="22"/>
        <v>107170973.19951589</v>
      </c>
      <c r="K66" s="51" t="str">
        <f ca="1">IFERROR(OFFSET(INDIRECT($H$3 &amp; "!A125"), 10, 0), "")</f>
        <v>쓰레스홀드</v>
      </c>
      <c r="L66" s="38">
        <f t="shared" ca="1" si="18"/>
        <v>57</v>
      </c>
      <c r="M66" s="69">
        <f t="shared" ca="1" si="19"/>
        <v>4.01459854E-2</v>
      </c>
      <c r="N66" s="78">
        <f t="shared" ca="1" si="23"/>
        <v>275314587.21186882</v>
      </c>
      <c r="O66" s="51" t="str">
        <f ca="1">IFERROR(OFFSET(INDIRECT($H$3 &amp; "!A152"), 10, 0), "")</f>
        <v>아이오타</v>
      </c>
      <c r="P66" s="38">
        <f t="shared" ca="1" si="20"/>
        <v>289</v>
      </c>
      <c r="Q66" s="69">
        <f t="shared" ca="1" si="21"/>
        <v>2.1201413400000001E-2</v>
      </c>
      <c r="R66" s="78">
        <f t="shared" ca="1" si="24"/>
        <v>1329178.5438361999</v>
      </c>
    </row>
    <row r="67" spans="1:18">
      <c r="A67" s="40" t="s">
        <v>252</v>
      </c>
      <c r="B67" s="11" t="s">
        <v>253</v>
      </c>
      <c r="C67" s="86">
        <v>97.7</v>
      </c>
      <c r="D67" s="34">
        <v>1.13871636E-2</v>
      </c>
      <c r="E67" s="84">
        <v>109195499.22109433</v>
      </c>
      <c r="F67" s="35"/>
      <c r="G67" s="52" t="str">
        <f ca="1">IFERROR(OFFSET(INDIRECT($H$3 &amp; "!A179"), 11, 0), "")</f>
        <v>스텔라루멘</v>
      </c>
      <c r="H67" s="39">
        <f t="shared" ca="1" si="25"/>
        <v>113</v>
      </c>
      <c r="I67" s="70">
        <f t="shared" ca="1" si="26"/>
        <v>0</v>
      </c>
      <c r="J67" s="79">
        <f t="shared" ca="1" si="22"/>
        <v>5707741.5225241799</v>
      </c>
      <c r="K67" s="52" t="str">
        <f ca="1">IFERROR(OFFSET(INDIRECT($H$3 &amp; "!A125"), 11, 0), "")</f>
        <v>캐리프로토콜</v>
      </c>
      <c r="L67" s="39">
        <f t="shared" ca="1" si="18"/>
        <v>6.35</v>
      </c>
      <c r="M67" s="70">
        <f t="shared" ca="1" si="19"/>
        <v>0</v>
      </c>
      <c r="N67" s="79">
        <f t="shared" ca="1" si="23"/>
        <v>187188407.32801723</v>
      </c>
      <c r="O67" s="52" t="str">
        <f ca="1">IFERROR(OFFSET(INDIRECT($H$3 &amp; "!A152"), 11, 0), "")</f>
        <v>카이버네트워크</v>
      </c>
      <c r="P67" s="39">
        <f t="shared" ca="1" si="20"/>
        <v>931</v>
      </c>
      <c r="Q67" s="70">
        <f t="shared" ca="1" si="21"/>
        <v>1.63755459E-2</v>
      </c>
      <c r="R67" s="79">
        <f t="shared" ca="1" si="24"/>
        <v>2319002.5745510799</v>
      </c>
    </row>
    <row r="68" spans="1:18">
      <c r="A68" s="40" t="s">
        <v>206</v>
      </c>
      <c r="B68" s="11" t="s">
        <v>207</v>
      </c>
      <c r="C68" s="86">
        <v>98.2</v>
      </c>
      <c r="D68" s="34">
        <v>1.13285273E-2</v>
      </c>
      <c r="E68" s="84">
        <v>40242715.913730629</v>
      </c>
      <c r="F68" s="35"/>
      <c r="G68" s="52" t="str">
        <f ca="1">IFERROR(OFFSET(INDIRECT($H$3 &amp; "!A179"), 12, 0), "")</f>
        <v>니어프로토콜</v>
      </c>
      <c r="H68" s="39">
        <f t="shared" ca="1" si="25"/>
        <v>2665</v>
      </c>
      <c r="I68" s="70">
        <f t="shared" ca="1" si="26"/>
        <v>1.71755725E-2</v>
      </c>
      <c r="J68" s="79">
        <f t="shared" ca="1" si="22"/>
        <v>724029.63280595001</v>
      </c>
      <c r="K68" s="52" t="str">
        <f ca="1">IFERROR(OFFSET(INDIRECT($H$3 &amp; "!A125"), 12, 0), "")</f>
        <v>시바이누</v>
      </c>
      <c r="L68" s="39">
        <f t="shared" ca="1" si="18"/>
        <v>1.4200000000000001E-2</v>
      </c>
      <c r="M68" s="70">
        <f t="shared" ca="1" si="19"/>
        <v>1.42857143E-2</v>
      </c>
      <c r="N68" s="79">
        <f t="shared" ca="1" si="23"/>
        <v>182577780681.55792</v>
      </c>
      <c r="O68" s="52" t="str">
        <f ca="1">IFERROR(OFFSET(INDIRECT($H$3 &amp; "!A152"), 12, 0), "")</f>
        <v>모스코인</v>
      </c>
      <c r="P68" s="39">
        <f t="shared" ca="1" si="20"/>
        <v>139</v>
      </c>
      <c r="Q68" s="70">
        <f t="shared" ca="1" si="21"/>
        <v>1.45985401E-2</v>
      </c>
      <c r="R68" s="79">
        <f t="shared" ca="1" si="24"/>
        <v>8599262.0820312891</v>
      </c>
    </row>
    <row r="69" spans="1:18">
      <c r="A69" s="40" t="s">
        <v>230</v>
      </c>
      <c r="B69" s="11" t="s">
        <v>231</v>
      </c>
      <c r="C69" s="86">
        <v>458</v>
      </c>
      <c r="D69" s="34">
        <v>1.1037527599999999E-2</v>
      </c>
      <c r="E69" s="84">
        <v>19948307.510635741</v>
      </c>
      <c r="F69" s="35"/>
      <c r="G69" s="52" t="str">
        <f ca="1">IFERROR(OFFSET(INDIRECT($H$3 &amp; "!A179"), 13, 0), "")</f>
        <v>웨이브</v>
      </c>
      <c r="H69" s="39">
        <f t="shared" ca="1" si="25"/>
        <v>3010</v>
      </c>
      <c r="I69" s="70">
        <f t="shared" ca="1" si="26"/>
        <v>1.17647059E-2</v>
      </c>
      <c r="J69" s="79">
        <f t="shared" ca="1" si="22"/>
        <v>586187.95909658005</v>
      </c>
      <c r="K69" s="52" t="str">
        <f ca="1">IFERROR(OFFSET(INDIRECT($H$3 &amp; "!A125"), 13, 0), "")</f>
        <v>왁스</v>
      </c>
      <c r="L69" s="39">
        <f t="shared" ca="1" si="18"/>
        <v>91.6</v>
      </c>
      <c r="M69" s="70">
        <f t="shared" ca="1" si="19"/>
        <v>9.9228224999999993E-3</v>
      </c>
      <c r="N69" s="79">
        <f t="shared" ca="1" si="23"/>
        <v>14137344.941386269</v>
      </c>
      <c r="O69" s="52" t="str">
        <f ca="1">IFERROR(OFFSET(INDIRECT($H$3 &amp; "!A152"), 13, 0), "")</f>
        <v>보라</v>
      </c>
      <c r="P69" s="39">
        <f t="shared" ca="1" si="20"/>
        <v>239</v>
      </c>
      <c r="Q69" s="70">
        <f t="shared" ca="1" si="21"/>
        <v>1.7021276599999999E-2</v>
      </c>
      <c r="R69" s="79">
        <f t="shared" ca="1" si="24"/>
        <v>6310727.1436487902</v>
      </c>
    </row>
    <row r="70" spans="1:18">
      <c r="A70" s="40" t="s">
        <v>345</v>
      </c>
      <c r="B70" s="11" t="s">
        <v>346</v>
      </c>
      <c r="C70" s="86">
        <v>282</v>
      </c>
      <c r="D70" s="34">
        <v>1.0752688200000001E-2</v>
      </c>
      <c r="E70" s="84">
        <v>4485792.2492351402</v>
      </c>
      <c r="F70" s="35"/>
      <c r="G70" s="52" t="str">
        <f ca="1">IFERROR(OFFSET(INDIRECT($H$3 &amp; "!A179"), 14, 0), "")</f>
        <v>코스모스</v>
      </c>
      <c r="H70" s="39">
        <f t="shared" ca="1" si="25"/>
        <v>17310</v>
      </c>
      <c r="I70" s="70">
        <f t="shared" ca="1" si="26"/>
        <v>1.22807018E-2</v>
      </c>
      <c r="J70" s="83">
        <f t="shared" ca="1" si="22"/>
        <v>149871.02897761</v>
      </c>
      <c r="K70" s="54" t="str">
        <f ca="1">IFERROR(OFFSET(INDIRECT($H$3 &amp; "!A125"), 14, 0), "")</f>
        <v>아이오에스티</v>
      </c>
      <c r="L70" s="44">
        <f t="shared" ca="1" si="18"/>
        <v>13.6</v>
      </c>
      <c r="M70" s="71">
        <f t="shared" ca="1" si="19"/>
        <v>2.2556390999999999E-2</v>
      </c>
      <c r="N70" s="83">
        <f t="shared" ca="1" si="23"/>
        <v>59291516.425804853</v>
      </c>
      <c r="O70" s="54" t="str">
        <f ca="1">IFERROR(OFFSET(INDIRECT($H$3 &amp; "!A152"), 14, 0), "")</f>
        <v>샌드박스</v>
      </c>
      <c r="P70" s="44">
        <f t="shared" ca="1" si="20"/>
        <v>814</v>
      </c>
      <c r="Q70" s="71">
        <f t="shared" ca="1" si="21"/>
        <v>2.1329987500000001E-2</v>
      </c>
      <c r="R70" s="83">
        <f t="shared" ca="1" si="24"/>
        <v>13025724.8949163</v>
      </c>
    </row>
    <row r="71" spans="1:18">
      <c r="A71" s="40" t="s">
        <v>90</v>
      </c>
      <c r="B71" s="11" t="s">
        <v>91</v>
      </c>
      <c r="C71" s="86">
        <v>20780</v>
      </c>
      <c r="D71" s="34">
        <v>1.0700389100000001E-2</v>
      </c>
      <c r="E71" s="84">
        <v>126063.94193984001</v>
      </c>
      <c r="F71" s="35"/>
      <c r="G71" s="56" t="str">
        <f ca="1">IFERROR(OFFSET(INDIRECT($H$3 &amp; "!A179"), 15, 0), "")</f>
        <v>센티넬프로토콜</v>
      </c>
      <c r="H71" s="45">
        <f t="shared" ca="1" si="25"/>
        <v>98.2</v>
      </c>
      <c r="I71" s="73">
        <f t="shared" ca="1" si="26"/>
        <v>1.13285273E-2</v>
      </c>
      <c r="J71" s="89">
        <f t="shared" ca="1" si="22"/>
        <v>40242715.913730629</v>
      </c>
      <c r="K71" s="52" t="str">
        <f ca="1">IFERROR(OFFSET(INDIRECT($H$3 &amp; "!A125"), 15, 0), "")</f>
        <v>헤데라</v>
      </c>
      <c r="L71" s="39">
        <f t="shared" ca="1" si="18"/>
        <v>82.7</v>
      </c>
      <c r="M71" s="70">
        <f t="shared" ca="1" si="19"/>
        <v>1.5970516000000001E-2</v>
      </c>
      <c r="N71" s="89">
        <f t="shared" ca="1" si="23"/>
        <v>16824749.772497859</v>
      </c>
      <c r="O71" s="52" t="str">
        <f ca="1">IFERROR(OFFSET(INDIRECT($H$3 &amp; "!A152"), 15, 0), "")</f>
        <v>알고랜드</v>
      </c>
      <c r="P71" s="39">
        <f t="shared" ca="1" si="20"/>
        <v>282</v>
      </c>
      <c r="Q71" s="70">
        <f t="shared" ca="1" si="21"/>
        <v>1.0752688200000001E-2</v>
      </c>
      <c r="R71" s="89">
        <f t="shared" ca="1" si="24"/>
        <v>4485792.2492351402</v>
      </c>
    </row>
    <row r="72" spans="1:18">
      <c r="A72" s="40" t="s">
        <v>88</v>
      </c>
      <c r="B72" s="11" t="s">
        <v>89</v>
      </c>
      <c r="C72" s="86">
        <v>490</v>
      </c>
      <c r="D72" s="34">
        <v>1.03092784E-2</v>
      </c>
      <c r="E72" s="84">
        <v>56349249.367101759</v>
      </c>
      <c r="F72" s="35"/>
      <c r="G72" s="52" t="str">
        <f ca="1">IFERROR(OFFSET(INDIRECT($H$3 &amp; "!A179"), 16, 0), "")</f>
        <v>누사이퍼</v>
      </c>
      <c r="H72" s="39">
        <f t="shared" ca="1" si="25"/>
        <v>247</v>
      </c>
      <c r="I72" s="70">
        <f t="shared" ca="1" si="26"/>
        <v>8.1632652999999999E-3</v>
      </c>
      <c r="J72" s="79">
        <f t="shared" ca="1" si="22"/>
        <v>92156218.933080077</v>
      </c>
      <c r="K72" s="52" t="str">
        <f ca="1">IFERROR(OFFSET(INDIRECT($H$3 &amp; "!A125"), 16, 0), "")</f>
        <v>앵커</v>
      </c>
      <c r="L72" s="39">
        <f t="shared" ca="1" si="18"/>
        <v>47.4</v>
      </c>
      <c r="M72" s="70">
        <f t="shared" ca="1" si="19"/>
        <v>6.3694268000000004E-3</v>
      </c>
      <c r="N72" s="79">
        <f t="shared" ca="1" si="23"/>
        <v>107170973.19951589</v>
      </c>
      <c r="O72" s="52" t="str">
        <f ca="1">IFERROR(OFFSET(INDIRECT($H$3 &amp; "!A152"), 16, 0), "")</f>
        <v>스테픈</v>
      </c>
      <c r="P72" s="39">
        <f t="shared" ca="1" si="20"/>
        <v>508</v>
      </c>
      <c r="Q72" s="70">
        <f t="shared" ca="1" si="21"/>
        <v>2.4193548400000001E-2</v>
      </c>
      <c r="R72" s="79">
        <f t="shared" ca="1" si="24"/>
        <v>14243344.33415593</v>
      </c>
    </row>
    <row r="73" spans="1:18">
      <c r="A73" s="40" t="s">
        <v>106</v>
      </c>
      <c r="B73" s="11" t="s">
        <v>107</v>
      </c>
      <c r="C73" s="86">
        <v>49.3</v>
      </c>
      <c r="D73" s="34">
        <v>1.0245901599999999E-2</v>
      </c>
      <c r="E73" s="84">
        <v>20770161.181235451</v>
      </c>
      <c r="F73" s="35"/>
      <c r="G73" s="52" t="str">
        <f ca="1">IFERROR(OFFSET(INDIRECT($H$3 &amp; "!A179"), 17, 0), "")</f>
        <v>엘프</v>
      </c>
      <c r="H73" s="39">
        <f t="shared" ca="1" si="25"/>
        <v>423</v>
      </c>
      <c r="I73" s="70">
        <f t="shared" ca="1" si="26"/>
        <v>2.3696682000000002E-3</v>
      </c>
      <c r="J73" s="79">
        <f t="shared" ca="1" si="22"/>
        <v>3965278.22324199</v>
      </c>
      <c r="K73" s="52" t="str">
        <f ca="1">IFERROR(OFFSET(INDIRECT($H$3 &amp; "!A125"), 17, 0), "")</f>
        <v>센티넬프로토콜</v>
      </c>
      <c r="L73" s="39">
        <f t="shared" ca="1" si="18"/>
        <v>98.2</v>
      </c>
      <c r="M73" s="70">
        <f t="shared" ca="1" si="19"/>
        <v>1.13285273E-2</v>
      </c>
      <c r="N73" s="79">
        <f t="shared" ca="1" si="23"/>
        <v>40242715.913730629</v>
      </c>
      <c r="O73" s="52" t="str">
        <f ca="1">IFERROR(OFFSET(INDIRECT($H$3 &amp; "!A152"), 17, 0), "")</f>
        <v>스텔라루멘</v>
      </c>
      <c r="P73" s="39">
        <f t="shared" ca="1" si="20"/>
        <v>113</v>
      </c>
      <c r="Q73" s="70">
        <f t="shared" ca="1" si="21"/>
        <v>0</v>
      </c>
      <c r="R73" s="79">
        <f t="shared" ca="1" si="24"/>
        <v>5707741.5225241799</v>
      </c>
    </row>
    <row r="74" spans="1:18">
      <c r="A74" s="40" t="s">
        <v>216</v>
      </c>
      <c r="B74" s="11" t="s">
        <v>217</v>
      </c>
      <c r="C74" s="86">
        <v>91.6</v>
      </c>
      <c r="D74" s="34">
        <v>9.9228224999999993E-3</v>
      </c>
      <c r="E74" s="84">
        <v>14137344.941386269</v>
      </c>
      <c r="F74" s="35"/>
      <c r="G74" s="52" t="str">
        <f ca="1">IFERROR(OFFSET(INDIRECT($H$3 &amp; "!A179"), 18, 0), "")</f>
        <v>피르마체인</v>
      </c>
      <c r="H74" s="39">
        <f t="shared" ca="1" si="25"/>
        <v>99.6</v>
      </c>
      <c r="I74" s="70">
        <f t="shared" ca="1" si="26"/>
        <v>5.1742344199999998E-2</v>
      </c>
      <c r="J74" s="79">
        <f t="shared" ca="1" si="22"/>
        <v>212299259.829135</v>
      </c>
      <c r="K74" s="52" t="str">
        <f ca="1">IFERROR(OFFSET(INDIRECT($H$3 &amp; "!A125"), 18, 0), "")</f>
        <v>피르마체인</v>
      </c>
      <c r="L74" s="39">
        <f t="shared" ca="1" si="18"/>
        <v>99.6</v>
      </c>
      <c r="M74" s="70">
        <f t="shared" ca="1" si="19"/>
        <v>5.1742344199999998E-2</v>
      </c>
      <c r="N74" s="79">
        <f t="shared" ca="1" si="23"/>
        <v>212299259.829135</v>
      </c>
      <c r="O74" s="52" t="str">
        <f ca="1">IFERROR(OFFSET(INDIRECT($H$3 &amp; "!A152"), 18, 0), "")</f>
        <v>누사이퍼</v>
      </c>
      <c r="P74" s="39">
        <f t="shared" ca="1" si="20"/>
        <v>247</v>
      </c>
      <c r="Q74" s="70">
        <f t="shared" ca="1" si="21"/>
        <v>8.1632652999999999E-3</v>
      </c>
      <c r="R74" s="79">
        <f t="shared" ca="1" si="24"/>
        <v>92156218.933080077</v>
      </c>
    </row>
    <row r="75" spans="1:18" ht="17.25" thickBot="1">
      <c r="A75" s="40" t="s">
        <v>236</v>
      </c>
      <c r="B75" s="11" t="s">
        <v>237</v>
      </c>
      <c r="C75" s="86">
        <v>35.6</v>
      </c>
      <c r="D75" s="34">
        <v>8.4985835999999999E-3</v>
      </c>
      <c r="E75" s="84">
        <v>16116832.91495979</v>
      </c>
      <c r="F75" s="35"/>
      <c r="G75" s="53" t="str">
        <f ca="1">IFERROR(OFFSET(INDIRECT($H$3 &amp; "!A179"), 19, 0), "")</f>
        <v>룸네트워크</v>
      </c>
      <c r="H75" s="37">
        <f t="shared" ca="1" si="25"/>
        <v>98.3</v>
      </c>
      <c r="I75" s="72">
        <f t="shared" ca="1" si="26"/>
        <v>5.1124743999999998E-3</v>
      </c>
      <c r="J75" s="80">
        <f t="shared" ca="1" si="22"/>
        <v>163971961.209005</v>
      </c>
      <c r="K75" s="53" t="str">
        <f ca="1">IFERROR(OFFSET(INDIRECT($H$3 &amp; "!A125"), 19, 0), "")</f>
        <v>룸네트워크</v>
      </c>
      <c r="L75" s="37">
        <f t="shared" ca="1" si="18"/>
        <v>98.3</v>
      </c>
      <c r="M75" s="72">
        <f t="shared" ca="1" si="19"/>
        <v>5.1124743999999998E-3</v>
      </c>
      <c r="N75" s="80">
        <f t="shared" ca="1" si="23"/>
        <v>163971961.209005</v>
      </c>
      <c r="O75" s="53" t="str">
        <f ca="1">IFERROR(OFFSET(INDIRECT($H$3 &amp; "!A152"), 19, 0), "")</f>
        <v>엘프</v>
      </c>
      <c r="P75" s="37">
        <f t="shared" ca="1" si="20"/>
        <v>423</v>
      </c>
      <c r="Q75" s="72">
        <f t="shared" ca="1" si="21"/>
        <v>2.3696682000000002E-3</v>
      </c>
      <c r="R75" s="80">
        <f t="shared" ca="1" si="24"/>
        <v>3965278.22324199</v>
      </c>
    </row>
    <row r="76" spans="1:18">
      <c r="A76" s="40" t="s">
        <v>198</v>
      </c>
      <c r="B76" s="11" t="s">
        <v>199</v>
      </c>
      <c r="C76" s="86">
        <v>357</v>
      </c>
      <c r="D76" s="34">
        <v>8.4745762999999998E-3</v>
      </c>
      <c r="E76" s="84">
        <v>3343476.0297046299</v>
      </c>
      <c r="F76" s="35"/>
      <c r="G76" s="35"/>
      <c r="H76" s="35"/>
      <c r="I76" s="35"/>
    </row>
    <row r="77" spans="1:18">
      <c r="A77" s="40" t="s">
        <v>166</v>
      </c>
      <c r="B77" s="11" t="s">
        <v>167</v>
      </c>
      <c r="C77" s="86">
        <v>242</v>
      </c>
      <c r="D77" s="34">
        <v>8.3333333000000006E-3</v>
      </c>
      <c r="E77" s="84">
        <v>3673235.7100260099</v>
      </c>
      <c r="F77" s="35"/>
      <c r="G77" s="35"/>
      <c r="H77" s="35"/>
      <c r="I77" s="35"/>
    </row>
    <row r="78" spans="1:18">
      <c r="A78" s="40" t="s">
        <v>240</v>
      </c>
      <c r="B78" s="11" t="s">
        <v>241</v>
      </c>
      <c r="C78" s="86">
        <v>122</v>
      </c>
      <c r="D78" s="34">
        <v>8.2644628000000005E-3</v>
      </c>
      <c r="E78" s="84">
        <v>2777523.1730704498</v>
      </c>
      <c r="F78" s="35"/>
      <c r="G78" s="35"/>
      <c r="H78" s="35"/>
      <c r="I78" s="35"/>
    </row>
    <row r="79" spans="1:18">
      <c r="A79" s="40" t="s">
        <v>351</v>
      </c>
      <c r="B79" s="11" t="s">
        <v>352</v>
      </c>
      <c r="C79" s="86">
        <v>247</v>
      </c>
      <c r="D79" s="34">
        <v>8.1632652999999999E-3</v>
      </c>
      <c r="E79" s="84">
        <v>92156218.933080077</v>
      </c>
      <c r="F79" s="35"/>
      <c r="G79" s="35"/>
      <c r="H79" s="35"/>
      <c r="I79" s="35"/>
    </row>
    <row r="80" spans="1:18">
      <c r="A80" s="40" t="s">
        <v>177</v>
      </c>
      <c r="B80" s="11" t="s">
        <v>178</v>
      </c>
      <c r="C80" s="86">
        <v>2490</v>
      </c>
      <c r="D80" s="34">
        <v>8.0971659999999994E-3</v>
      </c>
      <c r="E80" s="84">
        <v>886016.06726338004</v>
      </c>
      <c r="F80" s="35"/>
      <c r="G80" s="35"/>
      <c r="H80" s="35"/>
      <c r="I80" s="35"/>
    </row>
    <row r="81" spans="1:9">
      <c r="A81" s="40" t="s">
        <v>222</v>
      </c>
      <c r="B81" s="11" t="s">
        <v>223</v>
      </c>
      <c r="C81" s="86">
        <v>275</v>
      </c>
      <c r="D81" s="34">
        <v>7.3260073000000004E-3</v>
      </c>
      <c r="E81" s="84">
        <v>2016514.0283174401</v>
      </c>
      <c r="F81" s="35"/>
      <c r="G81" s="35"/>
      <c r="H81" s="35"/>
      <c r="I81" s="35"/>
    </row>
    <row r="82" spans="1:9">
      <c r="A82" s="40" t="s">
        <v>218</v>
      </c>
      <c r="B82" s="11" t="s">
        <v>219</v>
      </c>
      <c r="C82" s="86">
        <v>551</v>
      </c>
      <c r="D82" s="34">
        <v>7.3126142999999999E-3</v>
      </c>
      <c r="E82" s="84">
        <v>2906146.7715725601</v>
      </c>
      <c r="F82" s="35"/>
      <c r="G82" s="35"/>
      <c r="H82" s="35"/>
      <c r="I82" s="35"/>
    </row>
    <row r="83" spans="1:9">
      <c r="A83" s="40" t="s">
        <v>204</v>
      </c>
      <c r="B83" s="11" t="s">
        <v>205</v>
      </c>
      <c r="C83" s="86">
        <v>139</v>
      </c>
      <c r="D83" s="34">
        <v>7.2463768E-3</v>
      </c>
      <c r="E83" s="84">
        <v>3525165.87201417</v>
      </c>
      <c r="F83" s="35"/>
      <c r="G83" s="35"/>
      <c r="H83" s="35"/>
      <c r="I83" s="35"/>
    </row>
    <row r="84" spans="1:9">
      <c r="A84" s="40" t="s">
        <v>184</v>
      </c>
      <c r="B84" s="11" t="s">
        <v>185</v>
      </c>
      <c r="C84" s="86">
        <v>42.4</v>
      </c>
      <c r="D84" s="34">
        <v>7.1258907E-3</v>
      </c>
      <c r="E84" s="84">
        <v>47642508.262611248</v>
      </c>
      <c r="F84" s="35"/>
      <c r="G84" s="35"/>
      <c r="H84" s="35"/>
      <c r="I84" s="35"/>
    </row>
    <row r="85" spans="1:9">
      <c r="A85" s="40" t="s">
        <v>123</v>
      </c>
      <c r="B85" s="11" t="s">
        <v>124</v>
      </c>
      <c r="C85" s="86">
        <v>43.5</v>
      </c>
      <c r="D85" s="34">
        <v>6.9444444000000003E-3</v>
      </c>
      <c r="E85" s="84">
        <v>15981753.58661638</v>
      </c>
      <c r="F85" s="35"/>
      <c r="G85" s="35"/>
      <c r="H85" s="35"/>
      <c r="I85" s="35"/>
    </row>
    <row r="86" spans="1:9">
      <c r="A86" s="40" t="s">
        <v>121</v>
      </c>
      <c r="B86" s="11" t="s">
        <v>122</v>
      </c>
      <c r="C86" s="86">
        <v>30</v>
      </c>
      <c r="D86" s="34">
        <v>6.7114093999999999E-3</v>
      </c>
      <c r="E86" s="84">
        <v>83207081.940574735</v>
      </c>
      <c r="F86" s="35"/>
      <c r="G86" s="35"/>
      <c r="H86" s="35"/>
      <c r="I86" s="35"/>
    </row>
    <row r="87" spans="1:9">
      <c r="A87" s="40" t="s">
        <v>84</v>
      </c>
      <c r="B87" s="11" t="s">
        <v>85</v>
      </c>
      <c r="C87" s="86">
        <v>157</v>
      </c>
      <c r="D87" s="34">
        <v>6.4102563999999997E-3</v>
      </c>
      <c r="E87" s="84">
        <v>9923695.6092006806</v>
      </c>
      <c r="F87" s="35"/>
      <c r="G87" s="35"/>
      <c r="H87" s="35"/>
      <c r="I87" s="35"/>
    </row>
    <row r="88" spans="1:9">
      <c r="A88" s="40" t="s">
        <v>86</v>
      </c>
      <c r="B88" s="11" t="s">
        <v>87</v>
      </c>
      <c r="C88" s="86">
        <v>47260</v>
      </c>
      <c r="D88" s="34">
        <v>6.3884157000000004E-3</v>
      </c>
      <c r="E88" s="84">
        <v>22998.33268942</v>
      </c>
      <c r="F88" s="35"/>
      <c r="G88" s="35"/>
      <c r="H88" s="35"/>
      <c r="I88" s="35"/>
    </row>
    <row r="89" spans="1:9">
      <c r="A89" s="40" t="s">
        <v>137</v>
      </c>
      <c r="B89" s="11" t="s">
        <v>138</v>
      </c>
      <c r="C89" s="86">
        <v>47.4</v>
      </c>
      <c r="D89" s="34">
        <v>6.3694268000000004E-3</v>
      </c>
      <c r="E89" s="84">
        <v>107170973.19951589</v>
      </c>
      <c r="F89" s="35"/>
      <c r="G89" s="35"/>
      <c r="H89" s="35"/>
      <c r="I89" s="35"/>
    </row>
    <row r="90" spans="1:9">
      <c r="A90" s="40" t="s">
        <v>186</v>
      </c>
      <c r="B90" s="11" t="s">
        <v>187</v>
      </c>
      <c r="C90" s="86">
        <v>977</v>
      </c>
      <c r="D90" s="34">
        <v>6.1791967000000003E-3</v>
      </c>
      <c r="E90" s="84">
        <v>2171444.1772344401</v>
      </c>
      <c r="F90" s="35"/>
      <c r="G90" s="35"/>
      <c r="H90" s="35"/>
      <c r="I90" s="35"/>
    </row>
    <row r="91" spans="1:9">
      <c r="A91" s="40" t="s">
        <v>115</v>
      </c>
      <c r="B91" s="11" t="s">
        <v>116</v>
      </c>
      <c r="C91" s="86">
        <v>1740</v>
      </c>
      <c r="D91" s="34">
        <v>5.7803467999999998E-3</v>
      </c>
      <c r="E91" s="84">
        <v>798535.98105597997</v>
      </c>
      <c r="F91" s="35"/>
      <c r="G91" s="35"/>
      <c r="H91" s="35"/>
      <c r="I91" s="35"/>
    </row>
    <row r="92" spans="1:9">
      <c r="A92" s="40" t="s">
        <v>65</v>
      </c>
      <c r="B92" s="11" t="s">
        <v>66</v>
      </c>
      <c r="C92" s="86">
        <v>972</v>
      </c>
      <c r="D92" s="34">
        <v>5.1706308000000001E-3</v>
      </c>
      <c r="E92" s="84">
        <v>999753.87835536001</v>
      </c>
      <c r="F92" s="35"/>
      <c r="G92" s="35"/>
      <c r="H92" s="35"/>
      <c r="I92" s="35"/>
    </row>
    <row r="93" spans="1:9">
      <c r="A93" s="40" t="s">
        <v>224</v>
      </c>
      <c r="B93" s="11" t="s">
        <v>225</v>
      </c>
      <c r="C93" s="86">
        <v>98.3</v>
      </c>
      <c r="D93" s="34">
        <v>5.1124743999999998E-3</v>
      </c>
      <c r="E93" s="84">
        <v>163971961.209005</v>
      </c>
      <c r="F93" s="35"/>
      <c r="G93" s="35"/>
      <c r="H93" s="35"/>
      <c r="I93" s="35"/>
    </row>
    <row r="94" spans="1:9">
      <c r="A94" s="40" t="s">
        <v>179</v>
      </c>
      <c r="B94" s="11" t="s">
        <v>320</v>
      </c>
      <c r="C94" s="86">
        <v>6.18</v>
      </c>
      <c r="D94" s="34">
        <v>4.8780487999999997E-3</v>
      </c>
      <c r="E94" s="84">
        <v>97077611.118712202</v>
      </c>
      <c r="F94" s="35"/>
      <c r="G94" s="35"/>
      <c r="H94" s="35"/>
      <c r="I94" s="35"/>
    </row>
    <row r="95" spans="1:9">
      <c r="A95" s="40" t="s">
        <v>131</v>
      </c>
      <c r="B95" s="11" t="s">
        <v>132</v>
      </c>
      <c r="C95" s="86">
        <v>75.2</v>
      </c>
      <c r="D95" s="34">
        <v>4.0053405000000002E-3</v>
      </c>
      <c r="E95" s="84">
        <v>37034183.292981103</v>
      </c>
      <c r="F95" s="35"/>
      <c r="G95" s="35"/>
      <c r="H95" s="35"/>
      <c r="I95" s="35"/>
    </row>
    <row r="96" spans="1:9">
      <c r="A96" s="40" t="s">
        <v>220</v>
      </c>
      <c r="B96" s="11" t="s">
        <v>221</v>
      </c>
      <c r="C96" s="86">
        <v>25.8</v>
      </c>
      <c r="D96" s="34">
        <v>3.8910505999999998E-3</v>
      </c>
      <c r="E96" s="84">
        <v>27498840.31254768</v>
      </c>
      <c r="F96" s="35"/>
      <c r="G96" s="35"/>
      <c r="H96" s="35"/>
      <c r="I96" s="35"/>
    </row>
    <row r="97" spans="1:9">
      <c r="A97" s="40" t="s">
        <v>200</v>
      </c>
      <c r="B97" s="11" t="s">
        <v>201</v>
      </c>
      <c r="C97" s="86">
        <v>283</v>
      </c>
      <c r="D97" s="34">
        <v>3.5460993000000001E-3</v>
      </c>
      <c r="E97" s="84">
        <v>5258905.3422648301</v>
      </c>
      <c r="F97" s="35"/>
      <c r="G97" s="35"/>
      <c r="H97" s="35"/>
      <c r="I97" s="35"/>
    </row>
    <row r="98" spans="1:9">
      <c r="A98" s="40" t="s">
        <v>228</v>
      </c>
      <c r="B98" s="11" t="s">
        <v>229</v>
      </c>
      <c r="C98" s="86">
        <v>338</v>
      </c>
      <c r="D98" s="34">
        <v>2.9673591000000002E-3</v>
      </c>
      <c r="E98" s="84">
        <v>12133259.81880931</v>
      </c>
      <c r="F98" s="35"/>
      <c r="G98" s="35"/>
      <c r="H98" s="35"/>
      <c r="I98" s="35"/>
    </row>
    <row r="99" spans="1:9">
      <c r="A99" s="40" t="s">
        <v>175</v>
      </c>
      <c r="B99" s="11" t="s">
        <v>176</v>
      </c>
      <c r="C99" s="86">
        <v>390</v>
      </c>
      <c r="D99" s="34">
        <v>2.5706941000000001E-3</v>
      </c>
      <c r="E99" s="84">
        <v>3320953.3565916899</v>
      </c>
      <c r="F99" s="35"/>
      <c r="G99" s="35"/>
      <c r="H99" s="35"/>
      <c r="I99" s="35"/>
    </row>
    <row r="100" spans="1:9">
      <c r="A100" s="40" t="s">
        <v>156</v>
      </c>
      <c r="B100" s="11" t="s">
        <v>157</v>
      </c>
      <c r="C100" s="86">
        <v>423</v>
      </c>
      <c r="D100" s="34">
        <v>2.3696682000000002E-3</v>
      </c>
      <c r="E100" s="84">
        <v>3965278.22324199</v>
      </c>
      <c r="F100" s="35"/>
      <c r="G100" s="35"/>
      <c r="H100" s="35"/>
      <c r="I100" s="35"/>
    </row>
    <row r="101" spans="1:9">
      <c r="A101" s="40" t="s">
        <v>196</v>
      </c>
      <c r="B101" s="11" t="s">
        <v>197</v>
      </c>
      <c r="C101" s="86">
        <v>12.7</v>
      </c>
      <c r="D101" s="34">
        <v>0</v>
      </c>
      <c r="E101" s="84">
        <v>185784079.51819316</v>
      </c>
      <c r="F101" s="35"/>
      <c r="G101" s="35"/>
      <c r="H101" s="35"/>
      <c r="I101" s="35"/>
    </row>
    <row r="102" spans="1:9">
      <c r="A102" s="40" t="s">
        <v>96</v>
      </c>
      <c r="B102" s="11" t="s">
        <v>97</v>
      </c>
      <c r="C102" s="86">
        <v>8.9999999999999998E-4</v>
      </c>
      <c r="D102" s="34">
        <v>0</v>
      </c>
      <c r="E102" s="84">
        <v>322224695783.72076</v>
      </c>
      <c r="F102" s="35"/>
      <c r="G102" s="35"/>
      <c r="H102" s="35"/>
      <c r="I102" s="35"/>
    </row>
    <row r="103" spans="1:9">
      <c r="A103" s="40" t="s">
        <v>142</v>
      </c>
      <c r="B103" s="11" t="s">
        <v>143</v>
      </c>
      <c r="C103" s="86">
        <v>6.35</v>
      </c>
      <c r="D103" s="34">
        <v>0</v>
      </c>
      <c r="E103" s="84">
        <v>187188407.32801723</v>
      </c>
      <c r="F103" s="35"/>
      <c r="G103" s="35"/>
      <c r="H103" s="35"/>
      <c r="I103" s="35"/>
    </row>
    <row r="104" spans="1:9">
      <c r="A104" s="40" t="s">
        <v>328</v>
      </c>
      <c r="B104" s="11" t="s">
        <v>329</v>
      </c>
      <c r="C104" s="86">
        <v>582</v>
      </c>
      <c r="D104" s="34">
        <v>0</v>
      </c>
      <c r="E104" s="84">
        <v>2759803.0804108498</v>
      </c>
      <c r="F104" s="35"/>
      <c r="G104" s="35"/>
      <c r="H104" s="35"/>
      <c r="I104" s="35"/>
    </row>
    <row r="105" spans="1:9">
      <c r="A105" s="40" t="s">
        <v>194</v>
      </c>
      <c r="B105" s="11" t="s">
        <v>195</v>
      </c>
      <c r="C105" s="86">
        <v>8.93</v>
      </c>
      <c r="D105" s="34">
        <v>0</v>
      </c>
      <c r="E105" s="84">
        <v>155507269.04727131</v>
      </c>
      <c r="F105" s="35"/>
      <c r="G105" s="35"/>
      <c r="H105" s="35"/>
      <c r="I105" s="35"/>
    </row>
    <row r="106" spans="1:9">
      <c r="A106" s="40" t="s">
        <v>50</v>
      </c>
      <c r="B106" s="11" t="s">
        <v>51</v>
      </c>
      <c r="C106" s="86">
        <v>113</v>
      </c>
      <c r="D106" s="34">
        <v>0</v>
      </c>
      <c r="E106" s="84">
        <v>5707741.5225241799</v>
      </c>
      <c r="F106" s="35"/>
      <c r="G106" s="35"/>
      <c r="H106" s="35"/>
      <c r="I106" s="35"/>
    </row>
    <row r="107" spans="1:9">
      <c r="A107" s="40" t="s">
        <v>173</v>
      </c>
      <c r="B107" s="11" t="s">
        <v>174</v>
      </c>
      <c r="C107" s="86">
        <v>18180</v>
      </c>
      <c r="D107" s="34">
        <v>-1.0989011E-3</v>
      </c>
      <c r="E107" s="84">
        <v>123195.332883</v>
      </c>
      <c r="F107" s="35"/>
      <c r="G107" s="35"/>
      <c r="H107" s="35"/>
      <c r="I107" s="35"/>
    </row>
    <row r="108" spans="1:9">
      <c r="A108" s="40" t="s">
        <v>232</v>
      </c>
      <c r="B108" s="11" t="s">
        <v>233</v>
      </c>
      <c r="C108" s="86">
        <v>3885</v>
      </c>
      <c r="D108" s="34">
        <v>-3.8461538E-3</v>
      </c>
      <c r="E108" s="84">
        <v>348910.19130493997</v>
      </c>
      <c r="F108" s="35"/>
      <c r="G108" s="35"/>
      <c r="H108" s="35"/>
      <c r="I108" s="35"/>
    </row>
    <row r="109" spans="1:9">
      <c r="A109" s="40" t="s">
        <v>170</v>
      </c>
      <c r="B109" s="11" t="s">
        <v>332</v>
      </c>
      <c r="C109" s="86">
        <v>8.82</v>
      </c>
      <c r="D109" s="34">
        <v>-6.7567568000000003E-3</v>
      </c>
      <c r="E109" s="41">
        <v>648201148.77427471</v>
      </c>
    </row>
    <row r="110" spans="1:9">
      <c r="A110" s="40" t="s">
        <v>234</v>
      </c>
      <c r="B110" s="11" t="s">
        <v>235</v>
      </c>
      <c r="C110" s="86">
        <v>728</v>
      </c>
      <c r="D110" s="34">
        <v>-6.8212823999999998E-3</v>
      </c>
      <c r="E110" s="41">
        <v>3452029.6607014402</v>
      </c>
    </row>
    <row r="111" spans="1:9">
      <c r="A111" s="40" t="s">
        <v>164</v>
      </c>
      <c r="B111" s="11" t="s">
        <v>165</v>
      </c>
      <c r="C111" s="86">
        <v>1625</v>
      </c>
      <c r="D111" s="34">
        <v>-9.1463415000000003E-3</v>
      </c>
      <c r="E111" s="41">
        <v>2713678.6825716598</v>
      </c>
    </row>
    <row r="112" spans="1:9">
      <c r="A112" s="40" t="s">
        <v>112</v>
      </c>
      <c r="B112" s="11" t="s">
        <v>113</v>
      </c>
      <c r="C112" s="86">
        <v>1670</v>
      </c>
      <c r="D112" s="34">
        <v>-1.1834319500000001E-2</v>
      </c>
      <c r="E112" s="41">
        <v>1308721.78465334</v>
      </c>
    </row>
    <row r="113" spans="1:5">
      <c r="A113" s="40" t="s">
        <v>226</v>
      </c>
      <c r="B113" s="11" t="s">
        <v>227</v>
      </c>
      <c r="C113" s="86">
        <v>65.8</v>
      </c>
      <c r="D113" s="34">
        <v>-1.34932534E-2</v>
      </c>
      <c r="E113" s="41">
        <v>29004512.453436229</v>
      </c>
    </row>
    <row r="114" spans="1:5">
      <c r="A114" s="40" t="s">
        <v>214</v>
      </c>
      <c r="B114" s="11" t="s">
        <v>215</v>
      </c>
      <c r="C114" s="86">
        <v>531</v>
      </c>
      <c r="D114" s="34">
        <v>-1.48423006E-2</v>
      </c>
      <c r="E114" s="41">
        <v>11368362.18785804</v>
      </c>
    </row>
    <row r="115" spans="1:5">
      <c r="A115" s="40" t="s">
        <v>182</v>
      </c>
      <c r="B115" s="11" t="s">
        <v>183</v>
      </c>
      <c r="C115" s="86">
        <v>171</v>
      </c>
      <c r="D115" s="34">
        <v>-1.7241379300000002E-2</v>
      </c>
      <c r="E115" s="41">
        <v>11955464.267435569</v>
      </c>
    </row>
    <row r="116" spans="1:5">
      <c r="A116" s="40" t="s">
        <v>238</v>
      </c>
      <c r="B116" s="11" t="s">
        <v>239</v>
      </c>
      <c r="C116" s="86">
        <v>582</v>
      </c>
      <c r="D116" s="34">
        <v>-2.34899329E-2</v>
      </c>
      <c r="E116" s="41">
        <v>16310456.12417206</v>
      </c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B199" s="1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68"/>
    <col min="11" max="11" width="17.375" customWidth="1"/>
    <col min="12" max="12" width="17.5" bestFit="1" customWidth="1"/>
    <col min="14" max="14" width="9" style="68"/>
    <col min="15" max="15" width="17.375" customWidth="1"/>
    <col min="16" max="16" width="17.5" bestFit="1" customWidth="1"/>
    <col min="18" max="18" width="9" style="68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160</v>
      </c>
      <c r="B2" s="11" t="s">
        <v>161</v>
      </c>
      <c r="C2" s="86">
        <v>1335</v>
      </c>
      <c r="D2" s="34">
        <v>9.8765432099999995E-2</v>
      </c>
      <c r="E2" s="84">
        <v>71693318.45102866</v>
      </c>
      <c r="F2" s="35"/>
      <c r="G2" s="50"/>
      <c r="H2" s="35"/>
      <c r="I2" s="35"/>
    </row>
    <row r="3" spans="1:18" ht="17.25" thickBot="1">
      <c r="A3" s="40" t="s">
        <v>353</v>
      </c>
      <c r="B3" s="11" t="s">
        <v>354</v>
      </c>
      <c r="C3" s="86">
        <v>5665</v>
      </c>
      <c r="D3" s="34">
        <v>8.2139446000000005E-2</v>
      </c>
      <c r="E3" s="84">
        <v>19037765.06446081</v>
      </c>
      <c r="F3" s="35"/>
      <c r="G3" s="201" t="s">
        <v>247</v>
      </c>
      <c r="H3" s="213" t="s">
        <v>356</v>
      </c>
      <c r="I3" s="213"/>
      <c r="K3" s="157" t="s">
        <v>34</v>
      </c>
      <c r="L3" s="158"/>
      <c r="M3" s="158"/>
      <c r="N3" s="159"/>
      <c r="O3" s="157" t="s">
        <v>248</v>
      </c>
      <c r="P3" s="158"/>
      <c r="Q3" s="158"/>
      <c r="R3" s="159"/>
    </row>
    <row r="4" spans="1:18" ht="17.25" thickBot="1">
      <c r="A4" s="40" t="s">
        <v>140</v>
      </c>
      <c r="B4" s="11" t="s">
        <v>141</v>
      </c>
      <c r="C4" s="86">
        <v>5.68</v>
      </c>
      <c r="D4" s="34">
        <v>6.3670411999999996E-2</v>
      </c>
      <c r="E4" s="84">
        <v>2563555896.7490916</v>
      </c>
      <c r="F4" s="35"/>
      <c r="G4" s="202"/>
      <c r="H4" s="214"/>
      <c r="I4" s="214"/>
      <c r="K4" s="194" t="s">
        <v>54</v>
      </c>
      <c r="L4" s="210">
        <f ca="1">NOW()</f>
        <v>45002.583756481479</v>
      </c>
      <c r="M4" s="211"/>
      <c r="N4" s="212"/>
      <c r="O4" s="209" t="s">
        <v>54</v>
      </c>
      <c r="P4" s="210">
        <f ca="1">NOW()</f>
        <v>45002.583756481479</v>
      </c>
      <c r="Q4" s="211"/>
      <c r="R4" s="212"/>
    </row>
    <row r="5" spans="1:18" ht="17.25" thickBot="1">
      <c r="A5" s="40" t="s">
        <v>190</v>
      </c>
      <c r="B5" s="11" t="s">
        <v>191</v>
      </c>
      <c r="C5" s="86">
        <v>99.6</v>
      </c>
      <c r="D5" s="34">
        <v>5.1742344199999998E-2</v>
      </c>
      <c r="E5" s="84">
        <v>212299259.829135</v>
      </c>
      <c r="F5" s="35"/>
      <c r="K5" s="202"/>
      <c r="L5" s="36" t="s">
        <v>57</v>
      </c>
      <c r="M5" s="36" t="s">
        <v>58</v>
      </c>
      <c r="N5" s="64" t="s">
        <v>251</v>
      </c>
      <c r="O5" s="180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135</v>
      </c>
      <c r="B6" s="11" t="s">
        <v>136</v>
      </c>
      <c r="C6" s="86">
        <v>5005</v>
      </c>
      <c r="D6" s="34">
        <v>5.14705882E-2</v>
      </c>
      <c r="E6" s="84">
        <v>9928430.3082965091</v>
      </c>
      <c r="F6" s="35"/>
      <c r="G6" s="157" t="s">
        <v>52</v>
      </c>
      <c r="H6" s="158"/>
      <c r="I6" s="159"/>
      <c r="K6" s="51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69" t="str">
        <f t="shared" ref="M6:M25" ca="1" si="1">_xlfn.IFNA(VLOOKUP(K6, $B$2:$D$200, 3, FALSE), "")</f>
        <v/>
      </c>
      <c r="N6" s="78" t="str">
        <f ca="1">_xlfn.IFNA(VLOOKUP(K6, $B$2:$E$200, 4, FALSE), "")</f>
        <v/>
      </c>
      <c r="O6" s="66" t="s">
        <v>161</v>
      </c>
      <c r="P6" s="38">
        <f t="shared" ref="P6:P25" si="2">_xlfn.IFNA(VLOOKUP(O6, $B$2:$D$200, 2, FALSE), "")</f>
        <v>1335</v>
      </c>
      <c r="Q6" s="69">
        <f t="shared" ref="Q6:Q25" si="3">_xlfn.IFNA(VLOOKUP(O6, $B$2:$D$200, 3, FALSE), "")</f>
        <v>9.8765432099999995E-2</v>
      </c>
      <c r="R6" s="78">
        <f>_xlfn.IFNA(VLOOKUP(O6, $B$2:$E$200, 4, FALSE), "")</f>
        <v>71693318.45102866</v>
      </c>
    </row>
    <row r="7" spans="1:18">
      <c r="A7" s="40" t="s">
        <v>61</v>
      </c>
      <c r="B7" s="11" t="s">
        <v>62</v>
      </c>
      <c r="C7" s="86">
        <v>15200</v>
      </c>
      <c r="D7" s="34">
        <v>5.1175656999999999E-2</v>
      </c>
      <c r="E7" s="84">
        <v>1213800.18618399</v>
      </c>
      <c r="F7" s="35"/>
      <c r="G7" s="185" t="s">
        <v>36</v>
      </c>
      <c r="H7" s="186"/>
      <c r="I7" s="187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81" t="s">
        <v>354</v>
      </c>
      <c r="P7" s="39">
        <f t="shared" si="2"/>
        <v>5665</v>
      </c>
      <c r="Q7" s="70">
        <f t="shared" si="3"/>
        <v>8.2139446000000005E-2</v>
      </c>
      <c r="R7" s="79">
        <f t="shared" ref="R7:R25" si="5">_xlfn.IFNA(VLOOKUP(O7, $B$2:$E$200, 4, FALSE), "")</f>
        <v>19037765.06446081</v>
      </c>
    </row>
    <row r="8" spans="1:18" ht="17.25" thickBot="1">
      <c r="A8" s="40" t="s">
        <v>343</v>
      </c>
      <c r="B8" s="11" t="s">
        <v>344</v>
      </c>
      <c r="C8" s="86">
        <v>17100</v>
      </c>
      <c r="D8" s="34">
        <v>4.01459854E-2</v>
      </c>
      <c r="E8" s="84">
        <v>2286348.2627766598</v>
      </c>
      <c r="F8" s="35"/>
      <c r="G8" s="178"/>
      <c r="H8" s="179"/>
      <c r="I8" s="180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81" t="s">
        <v>141</v>
      </c>
      <c r="P8" s="39">
        <f t="shared" si="2"/>
        <v>5.68</v>
      </c>
      <c r="Q8" s="70">
        <f t="shared" si="3"/>
        <v>6.3670411999999996E-2</v>
      </c>
      <c r="R8" s="79">
        <f t="shared" si="5"/>
        <v>2563555896.7490916</v>
      </c>
    </row>
    <row r="9" spans="1:18" ht="17.25" thickBot="1">
      <c r="A9" s="40" t="s">
        <v>333</v>
      </c>
      <c r="B9" s="11" t="s">
        <v>334</v>
      </c>
      <c r="C9" s="86">
        <v>57</v>
      </c>
      <c r="D9" s="34">
        <v>4.01459854E-2</v>
      </c>
      <c r="E9" s="84">
        <v>275314587.21186882</v>
      </c>
      <c r="F9" s="35"/>
      <c r="G9" s="9" t="s">
        <v>38</v>
      </c>
      <c r="H9" s="158" t="s">
        <v>37</v>
      </c>
      <c r="I9" s="159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81" t="s">
        <v>191</v>
      </c>
      <c r="P9" s="39">
        <f t="shared" si="2"/>
        <v>99.6</v>
      </c>
      <c r="Q9" s="70">
        <f t="shared" si="3"/>
        <v>5.1742344199999998E-2</v>
      </c>
      <c r="R9" s="79">
        <f t="shared" si="5"/>
        <v>212299259.829135</v>
      </c>
    </row>
    <row r="10" spans="1:18">
      <c r="A10" s="40" t="s">
        <v>154</v>
      </c>
      <c r="B10" s="11" t="s">
        <v>155</v>
      </c>
      <c r="C10" s="86">
        <v>36.1</v>
      </c>
      <c r="D10" s="34">
        <v>3.7356321800000002E-2</v>
      </c>
      <c r="E10" s="84">
        <v>110057091.17338319</v>
      </c>
      <c r="F10" s="35"/>
      <c r="G10" s="203">
        <f>_xlfn.IFNA(VLOOKUP(G7, $B$2:$D$200, 3, FALSE), "-")</f>
        <v>2.8648567600000001E-2</v>
      </c>
      <c r="H10" s="205">
        <f>_xlfn.IFNA(VLOOKUP(G7, $B$2:$D$200, 2, FALSE), "-")</f>
        <v>34290000</v>
      </c>
      <c r="I10" s="206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81" t="s">
        <v>136</v>
      </c>
      <c r="P10" s="39">
        <f t="shared" si="2"/>
        <v>5005</v>
      </c>
      <c r="Q10" s="70">
        <f t="shared" si="3"/>
        <v>5.14705882E-2</v>
      </c>
      <c r="R10" s="83">
        <f t="shared" si="5"/>
        <v>9928430.3082965091</v>
      </c>
    </row>
    <row r="11" spans="1:18" ht="17.25" thickBot="1">
      <c r="A11" s="40" t="s">
        <v>70</v>
      </c>
      <c r="B11" s="11" t="s">
        <v>71</v>
      </c>
      <c r="C11" s="86">
        <v>16</v>
      </c>
      <c r="D11" s="34">
        <v>3.2258064500000003E-2</v>
      </c>
      <c r="E11" s="84">
        <v>520512070.12656581</v>
      </c>
      <c r="F11" s="35"/>
      <c r="G11" s="204"/>
      <c r="H11" s="207"/>
      <c r="I11" s="208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82" t="s">
        <v>62</v>
      </c>
      <c r="P11" s="45">
        <f t="shared" si="2"/>
        <v>15200</v>
      </c>
      <c r="Q11" s="73">
        <f t="shared" si="3"/>
        <v>5.1175656999999999E-2</v>
      </c>
      <c r="R11" s="89">
        <f t="shared" si="5"/>
        <v>1213800.18618399</v>
      </c>
    </row>
    <row r="12" spans="1:18" ht="17.25" thickBot="1">
      <c r="A12" s="40" t="s">
        <v>100</v>
      </c>
      <c r="B12" s="11" t="s">
        <v>101</v>
      </c>
      <c r="C12" s="86">
        <v>291</v>
      </c>
      <c r="D12" s="34">
        <v>3.1914893600000001E-2</v>
      </c>
      <c r="E12" s="84">
        <v>2587210.6837357501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81" t="s">
        <v>344</v>
      </c>
      <c r="P12" s="39">
        <f t="shared" si="2"/>
        <v>17100</v>
      </c>
      <c r="Q12" s="70">
        <f t="shared" si="3"/>
        <v>4.01459854E-2</v>
      </c>
      <c r="R12" s="79">
        <f t="shared" si="5"/>
        <v>2286348.2627766598</v>
      </c>
    </row>
    <row r="13" spans="1:18" ht="17.25" thickBot="1">
      <c r="A13" s="40" t="s">
        <v>188</v>
      </c>
      <c r="B13" s="11" t="s">
        <v>189</v>
      </c>
      <c r="C13" s="86">
        <v>1365</v>
      </c>
      <c r="D13" s="34">
        <v>3.0188679199999999E-2</v>
      </c>
      <c r="E13" s="84">
        <v>2497036.0220657499</v>
      </c>
      <c r="F13" s="35"/>
      <c r="G13" s="157" t="s">
        <v>69</v>
      </c>
      <c r="H13" s="158"/>
      <c r="I13" s="159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81" t="s">
        <v>334</v>
      </c>
      <c r="P13" s="39">
        <f t="shared" si="2"/>
        <v>57</v>
      </c>
      <c r="Q13" s="70">
        <f t="shared" si="3"/>
        <v>4.01459854E-2</v>
      </c>
      <c r="R13" s="79">
        <f t="shared" si="5"/>
        <v>275314587.21186882</v>
      </c>
    </row>
    <row r="14" spans="1:18">
      <c r="A14" s="40" t="s">
        <v>74</v>
      </c>
      <c r="B14" s="11" t="s">
        <v>75</v>
      </c>
      <c r="C14" s="86">
        <v>9145</v>
      </c>
      <c r="D14" s="34">
        <v>2.9842342300000001E-2</v>
      </c>
      <c r="E14" s="84">
        <v>117544.36740653</v>
      </c>
      <c r="F14" s="35"/>
      <c r="G14" s="185" t="s">
        <v>36</v>
      </c>
      <c r="H14" s="186"/>
      <c r="I14" s="187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81" t="s">
        <v>155</v>
      </c>
      <c r="P14" s="39">
        <f t="shared" si="2"/>
        <v>36.1</v>
      </c>
      <c r="Q14" s="70">
        <f t="shared" si="3"/>
        <v>3.7356321800000002E-2</v>
      </c>
      <c r="R14" s="79">
        <f t="shared" si="5"/>
        <v>110057091.17338319</v>
      </c>
    </row>
    <row r="15" spans="1:18" ht="17.25" thickBot="1">
      <c r="A15" s="40" t="s">
        <v>78</v>
      </c>
      <c r="B15" s="11" t="s">
        <v>79</v>
      </c>
      <c r="C15" s="86">
        <v>322</v>
      </c>
      <c r="D15" s="34">
        <v>2.87539936E-2</v>
      </c>
      <c r="E15" s="84">
        <v>3131398.68684171</v>
      </c>
      <c r="F15" s="35"/>
      <c r="G15" s="178"/>
      <c r="H15" s="179"/>
      <c r="I15" s="180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67" t="s">
        <v>71</v>
      </c>
      <c r="P15" s="37">
        <f t="shared" si="2"/>
        <v>16</v>
      </c>
      <c r="Q15" s="72">
        <f t="shared" si="3"/>
        <v>3.2258064500000003E-2</v>
      </c>
      <c r="R15" s="80">
        <f t="shared" si="5"/>
        <v>520512070.12656581</v>
      </c>
    </row>
    <row r="16" spans="1:18" ht="17.25" thickBot="1">
      <c r="A16" s="40" t="s">
        <v>48</v>
      </c>
      <c r="B16" s="11" t="s">
        <v>49</v>
      </c>
      <c r="C16" s="86">
        <v>34290000</v>
      </c>
      <c r="D16" s="34">
        <v>2.8648567600000001E-2</v>
      </c>
      <c r="E16" s="84">
        <v>3557.8732976900001</v>
      </c>
      <c r="F16" s="35"/>
      <c r="G16" s="9" t="s">
        <v>38</v>
      </c>
      <c r="H16" s="158" t="s">
        <v>37</v>
      </c>
      <c r="I16" s="159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66" t="s">
        <v>101</v>
      </c>
      <c r="P16" s="38">
        <f t="shared" si="2"/>
        <v>291</v>
      </c>
      <c r="Q16" s="69">
        <f t="shared" si="3"/>
        <v>3.1914893600000001E-2</v>
      </c>
      <c r="R16" s="78">
        <f t="shared" si="5"/>
        <v>2587210.6837357501</v>
      </c>
    </row>
    <row r="17" spans="1:18">
      <c r="A17" s="40" t="s">
        <v>171</v>
      </c>
      <c r="B17" s="11" t="s">
        <v>172</v>
      </c>
      <c r="C17" s="86">
        <v>3860</v>
      </c>
      <c r="D17" s="34">
        <v>2.79627164E-2</v>
      </c>
      <c r="E17" s="84">
        <v>563676.013423</v>
      </c>
      <c r="F17" s="35"/>
      <c r="G17" s="203">
        <f>_xlfn.IFNA(VLOOKUP(G14, $B$2:$D$200, 3, FALSE), "-")</f>
        <v>2.8648567600000001E-2</v>
      </c>
      <c r="H17" s="205">
        <f>_xlfn.IFNA(VLOOKUP(G14, $B$2:$D$200, 2, FALSE), "-")</f>
        <v>34290000</v>
      </c>
      <c r="I17" s="206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81" t="s">
        <v>189</v>
      </c>
      <c r="P17" s="39">
        <f t="shared" si="2"/>
        <v>1365</v>
      </c>
      <c r="Q17" s="70">
        <f t="shared" si="3"/>
        <v>3.0188679199999999E-2</v>
      </c>
      <c r="R17" s="79">
        <f t="shared" si="5"/>
        <v>2497036.0220657499</v>
      </c>
    </row>
    <row r="18" spans="1:18" ht="17.25" thickBot="1">
      <c r="A18" s="40" t="s">
        <v>114</v>
      </c>
      <c r="B18" s="11" t="s">
        <v>323</v>
      </c>
      <c r="C18" s="86">
        <v>95.6</v>
      </c>
      <c r="D18" s="34">
        <v>2.4651661299999999E-2</v>
      </c>
      <c r="E18" s="84">
        <v>45887371.363177814</v>
      </c>
      <c r="F18" s="35"/>
      <c r="G18" s="204"/>
      <c r="H18" s="207"/>
      <c r="I18" s="208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81" t="s">
        <v>75</v>
      </c>
      <c r="P18" s="39">
        <f t="shared" si="2"/>
        <v>9145</v>
      </c>
      <c r="Q18" s="70">
        <f t="shared" si="3"/>
        <v>2.9842342300000001E-2</v>
      </c>
      <c r="R18" s="79">
        <f t="shared" si="5"/>
        <v>117544.36740653</v>
      </c>
    </row>
    <row r="19" spans="1:18" ht="17.25" thickBot="1">
      <c r="A19" s="40" t="s">
        <v>210</v>
      </c>
      <c r="B19" s="11" t="s">
        <v>211</v>
      </c>
      <c r="C19" s="86">
        <v>1480</v>
      </c>
      <c r="D19" s="34">
        <v>2.4221453300000001E-2</v>
      </c>
      <c r="E19" s="84">
        <v>3525879.59189888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81" t="s">
        <v>79</v>
      </c>
      <c r="P19" s="39">
        <f t="shared" si="2"/>
        <v>322</v>
      </c>
      <c r="Q19" s="70">
        <f t="shared" si="3"/>
        <v>2.87539936E-2</v>
      </c>
      <c r="R19" s="79">
        <f t="shared" si="5"/>
        <v>3131398.68684171</v>
      </c>
    </row>
    <row r="20" spans="1:18" ht="17.25" thickBot="1">
      <c r="A20" s="40" t="s">
        <v>326</v>
      </c>
      <c r="B20" s="11" t="s">
        <v>327</v>
      </c>
      <c r="C20" s="86">
        <v>508</v>
      </c>
      <c r="D20" s="34">
        <v>2.4193548400000001E-2</v>
      </c>
      <c r="E20" s="84">
        <v>14243344.33415593</v>
      </c>
      <c r="F20" s="35"/>
      <c r="G20" s="157" t="s">
        <v>243</v>
      </c>
      <c r="H20" s="158"/>
      <c r="I20" s="159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81" t="s">
        <v>49</v>
      </c>
      <c r="P20" s="39">
        <f t="shared" si="2"/>
        <v>34290000</v>
      </c>
      <c r="Q20" s="70">
        <f t="shared" si="3"/>
        <v>2.8648567600000001E-2</v>
      </c>
      <c r="R20" s="83">
        <f t="shared" si="5"/>
        <v>3557.8732976900001</v>
      </c>
    </row>
    <row r="21" spans="1:18">
      <c r="A21" s="40" t="s">
        <v>339</v>
      </c>
      <c r="B21" s="11" t="s">
        <v>340</v>
      </c>
      <c r="C21" s="86">
        <v>835</v>
      </c>
      <c r="D21" s="34">
        <v>2.32843137E-2</v>
      </c>
      <c r="E21" s="84">
        <v>2788835.0263326601</v>
      </c>
      <c r="F21" s="35"/>
      <c r="G21" s="185" t="s">
        <v>36</v>
      </c>
      <c r="H21" s="186"/>
      <c r="I21" s="187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82" t="s">
        <v>172</v>
      </c>
      <c r="P21" s="45">
        <f t="shared" si="2"/>
        <v>3860</v>
      </c>
      <c r="Q21" s="73">
        <f t="shared" si="3"/>
        <v>2.79627164E-2</v>
      </c>
      <c r="R21" s="89">
        <f t="shared" si="5"/>
        <v>563676.013423</v>
      </c>
    </row>
    <row r="22" spans="1:18" ht="17.25" thickBot="1">
      <c r="A22" s="40" t="s">
        <v>162</v>
      </c>
      <c r="B22" s="11" t="s">
        <v>163</v>
      </c>
      <c r="C22" s="86">
        <v>11660</v>
      </c>
      <c r="D22" s="34">
        <v>2.2807017499999999E-2</v>
      </c>
      <c r="E22" s="84">
        <v>972897.22943633003</v>
      </c>
      <c r="F22" s="35"/>
      <c r="G22" s="178"/>
      <c r="H22" s="179"/>
      <c r="I22" s="180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81" t="s">
        <v>323</v>
      </c>
      <c r="P22" s="39">
        <f t="shared" si="2"/>
        <v>95.6</v>
      </c>
      <c r="Q22" s="70">
        <f t="shared" si="3"/>
        <v>2.4651661299999999E-2</v>
      </c>
      <c r="R22" s="79">
        <f t="shared" si="5"/>
        <v>45887371.363177814</v>
      </c>
    </row>
    <row r="23" spans="1:18" ht="17.25" thickBot="1">
      <c r="A23" s="40" t="s">
        <v>63</v>
      </c>
      <c r="B23" s="11" t="s">
        <v>64</v>
      </c>
      <c r="C23" s="86">
        <v>13.6</v>
      </c>
      <c r="D23" s="34">
        <v>2.2556390999999999E-2</v>
      </c>
      <c r="E23" s="84">
        <v>59291516.425804853</v>
      </c>
      <c r="F23" s="35"/>
      <c r="G23" s="9" t="s">
        <v>38</v>
      </c>
      <c r="H23" s="158" t="s">
        <v>37</v>
      </c>
      <c r="I23" s="159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81" t="s">
        <v>211</v>
      </c>
      <c r="P23" s="39">
        <f t="shared" si="2"/>
        <v>1480</v>
      </c>
      <c r="Q23" s="70">
        <f t="shared" si="3"/>
        <v>2.4221453300000001E-2</v>
      </c>
      <c r="R23" s="79">
        <f t="shared" si="5"/>
        <v>3525879.59189888</v>
      </c>
    </row>
    <row r="24" spans="1:18">
      <c r="A24" s="40" t="s">
        <v>139</v>
      </c>
      <c r="B24" s="11" t="s">
        <v>336</v>
      </c>
      <c r="C24" s="86">
        <v>364</v>
      </c>
      <c r="D24" s="34">
        <v>2.2471910099999999E-2</v>
      </c>
      <c r="E24" s="84">
        <v>2895681.0100526698</v>
      </c>
      <c r="F24" s="35"/>
      <c r="G24" s="203">
        <f>_xlfn.IFNA(VLOOKUP(G21, $B$2:$D$200, 3, FALSE), "-")</f>
        <v>2.8648567600000001E-2</v>
      </c>
      <c r="H24" s="205">
        <f>_xlfn.IFNA(VLOOKUP(G21, $B$2:$D$200, 2, FALSE), "-")</f>
        <v>34290000</v>
      </c>
      <c r="I24" s="206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81" t="s">
        <v>327</v>
      </c>
      <c r="P24" s="39">
        <f t="shared" si="2"/>
        <v>508</v>
      </c>
      <c r="Q24" s="70">
        <f t="shared" si="3"/>
        <v>2.4193548400000001E-2</v>
      </c>
      <c r="R24" s="79">
        <f t="shared" si="5"/>
        <v>14243344.33415593</v>
      </c>
    </row>
    <row r="25" spans="1:18" ht="17.25" thickBot="1">
      <c r="A25" s="40" t="s">
        <v>104</v>
      </c>
      <c r="B25" s="11" t="s">
        <v>105</v>
      </c>
      <c r="C25" s="86">
        <v>281</v>
      </c>
      <c r="D25" s="34">
        <v>2.1818181799999999E-2</v>
      </c>
      <c r="E25" s="84">
        <v>3107182.4866730301</v>
      </c>
      <c r="F25" s="35"/>
      <c r="G25" s="204"/>
      <c r="H25" s="207"/>
      <c r="I25" s="208"/>
      <c r="K25" s="53">
        <f ca="1">IFERROR(OFFSET(INDIRECT($H$3 &amp; "!A17"), 19, 0), "")</f>
        <v>0</v>
      </c>
      <c r="L25" s="37" t="str">
        <f t="shared" ca="1" si="0"/>
        <v/>
      </c>
      <c r="M25" s="72" t="str">
        <f t="shared" ca="1" si="1"/>
        <v/>
      </c>
      <c r="N25" s="80" t="str">
        <f t="shared" ca="1" si="4"/>
        <v/>
      </c>
      <c r="O25" s="67" t="s">
        <v>340</v>
      </c>
      <c r="P25" s="37">
        <f t="shared" si="2"/>
        <v>835</v>
      </c>
      <c r="Q25" s="72">
        <f t="shared" si="3"/>
        <v>2.32843137E-2</v>
      </c>
      <c r="R25" s="80">
        <f t="shared" si="5"/>
        <v>2788835.0263326601</v>
      </c>
    </row>
    <row r="26" spans="1:18">
      <c r="A26" s="40" t="s">
        <v>152</v>
      </c>
      <c r="B26" s="11" t="s">
        <v>153</v>
      </c>
      <c r="C26" s="86">
        <v>475</v>
      </c>
      <c r="D26" s="34">
        <v>2.15053763E-2</v>
      </c>
      <c r="E26" s="84">
        <v>4111722.7840936999</v>
      </c>
      <c r="F26" s="35"/>
    </row>
    <row r="27" spans="1:18" ht="17.25" thickBot="1">
      <c r="A27" s="40" t="s">
        <v>110</v>
      </c>
      <c r="B27" s="11" t="s">
        <v>111</v>
      </c>
      <c r="C27" s="86">
        <v>814</v>
      </c>
      <c r="D27" s="34">
        <v>2.1329987500000001E-2</v>
      </c>
      <c r="E27" s="84">
        <v>13025724.8949163</v>
      </c>
      <c r="F27" s="35"/>
    </row>
    <row r="28" spans="1:18" ht="17.25" thickBot="1">
      <c r="A28" s="40" t="s">
        <v>168</v>
      </c>
      <c r="B28" s="11" t="s">
        <v>169</v>
      </c>
      <c r="C28" s="86">
        <v>289</v>
      </c>
      <c r="D28" s="34">
        <v>2.1201413400000001E-2</v>
      </c>
      <c r="E28" s="84">
        <v>1329178.5438361999</v>
      </c>
      <c r="F28" s="35"/>
      <c r="G28" s="157" t="s">
        <v>46</v>
      </c>
      <c r="H28" s="158"/>
      <c r="I28" s="158"/>
      <c r="J28" s="159"/>
      <c r="K28" s="157" t="s">
        <v>44</v>
      </c>
      <c r="L28" s="158"/>
      <c r="M28" s="158"/>
      <c r="N28" s="159"/>
      <c r="O28" s="157" t="s">
        <v>45</v>
      </c>
      <c r="P28" s="158"/>
      <c r="Q28" s="158"/>
      <c r="R28" s="159"/>
    </row>
    <row r="29" spans="1:18" ht="17.25" thickBot="1">
      <c r="A29" s="40" t="s">
        <v>82</v>
      </c>
      <c r="B29" s="11" t="s">
        <v>83</v>
      </c>
      <c r="C29" s="86">
        <v>1470</v>
      </c>
      <c r="D29" s="34">
        <v>2.08333333E-2</v>
      </c>
      <c r="E29" s="84">
        <v>1709093.60021932</v>
      </c>
      <c r="F29" s="35"/>
      <c r="G29" s="194" t="s">
        <v>54</v>
      </c>
      <c r="H29" s="210">
        <f ca="1">NOW()</f>
        <v>45002.583756481479</v>
      </c>
      <c r="I29" s="211"/>
      <c r="J29" s="212"/>
      <c r="K29" s="209" t="s">
        <v>54</v>
      </c>
      <c r="L29" s="210">
        <f ca="1">NOW()</f>
        <v>45002.583756481479</v>
      </c>
      <c r="M29" s="211"/>
      <c r="N29" s="212"/>
      <c r="O29" s="209" t="s">
        <v>54</v>
      </c>
      <c r="P29" s="210">
        <f ca="1">NOW()</f>
        <v>45002.583756481479</v>
      </c>
      <c r="Q29" s="211"/>
      <c r="R29" s="212"/>
    </row>
    <row r="30" spans="1:18" ht="17.25" thickBot="1">
      <c r="A30" s="40" t="s">
        <v>321</v>
      </c>
      <c r="B30" s="11" t="s">
        <v>322</v>
      </c>
      <c r="C30" s="86">
        <v>1560</v>
      </c>
      <c r="D30" s="34">
        <v>1.9607843100000001E-2</v>
      </c>
      <c r="E30" s="84">
        <v>3221315.0348011898</v>
      </c>
      <c r="F30" s="35"/>
      <c r="G30" s="202"/>
      <c r="H30" s="36" t="s">
        <v>57</v>
      </c>
      <c r="I30" s="36" t="s">
        <v>58</v>
      </c>
      <c r="J30" s="64" t="s">
        <v>251</v>
      </c>
      <c r="K30" s="180"/>
      <c r="L30" s="36" t="s">
        <v>57</v>
      </c>
      <c r="M30" s="36" t="s">
        <v>58</v>
      </c>
      <c r="N30" s="64" t="s">
        <v>251</v>
      </c>
      <c r="O30" s="180"/>
      <c r="P30" s="36" t="s">
        <v>57</v>
      </c>
      <c r="Q30" s="36" t="s">
        <v>58</v>
      </c>
      <c r="R30" s="64" t="s">
        <v>251</v>
      </c>
    </row>
    <row r="31" spans="1:18">
      <c r="A31" s="40" t="s">
        <v>347</v>
      </c>
      <c r="B31" s="11" t="s">
        <v>348</v>
      </c>
      <c r="C31" s="86">
        <v>21480</v>
      </c>
      <c r="D31" s="34">
        <v>1.8009478700000001E-2</v>
      </c>
      <c r="E31" s="84">
        <v>64713.192949030003</v>
      </c>
      <c r="F31" s="35"/>
      <c r="G31" s="46" t="s">
        <v>161</v>
      </c>
      <c r="H31" s="38">
        <f t="shared" ref="H31:H50" si="6">_xlfn.IFNA(VLOOKUP(G31, $B$2:$D$200, 2, FALSE), "")</f>
        <v>1335</v>
      </c>
      <c r="I31" s="69">
        <f t="shared" ref="I31:I50" si="7">_xlfn.IFNA(VLOOKUP(G31, $B$2:$D$200, 3, FALSE), "")</f>
        <v>9.8765432099999995E-2</v>
      </c>
      <c r="J31" s="78">
        <f>_xlfn.IFNA(VLOOKUP(G31, $B$2:$E$200, 4, FALSE), "")</f>
        <v>71693318.45102866</v>
      </c>
      <c r="K31" s="74" t="s">
        <v>141</v>
      </c>
      <c r="L31" s="38">
        <f t="shared" ref="L31:L50" si="8">_xlfn.IFNA(VLOOKUP(K31, $B$2:$D$200, 2, FALSE), "")</f>
        <v>5.68</v>
      </c>
      <c r="M31" s="69">
        <f t="shared" ref="M31:M50" si="9">_xlfn.IFNA(VLOOKUP(K31, $B$2:$D$200, 3, FALSE), "")</f>
        <v>6.3670411999999996E-2</v>
      </c>
      <c r="N31" s="78">
        <f>_xlfn.IFNA(VLOOKUP(K31, $B$2:$E$200, 4, FALSE), "")</f>
        <v>2563555896.7490916</v>
      </c>
      <c r="O31" s="74" t="s">
        <v>101</v>
      </c>
      <c r="P31" s="38">
        <f t="shared" ref="P31:P50" si="10">_xlfn.IFNA(VLOOKUP(O31, $B$2:$D$200, 2, FALSE), "")</f>
        <v>291</v>
      </c>
      <c r="Q31" s="69">
        <f t="shared" ref="Q31:Q50" si="11">_xlfn.IFNA(VLOOKUP(O31, $B$2:$D$200, 3, FALSE), "")</f>
        <v>3.1914893600000001E-2</v>
      </c>
      <c r="R31" s="78">
        <f>_xlfn.IFNA(VLOOKUP(O31, $B$2:$E$200, 4, FALSE), "")</f>
        <v>2587210.6837357501</v>
      </c>
    </row>
    <row r="32" spans="1:18">
      <c r="A32" s="40" t="s">
        <v>192</v>
      </c>
      <c r="B32" s="11" t="s">
        <v>193</v>
      </c>
      <c r="C32" s="86">
        <v>23</v>
      </c>
      <c r="D32" s="34">
        <v>1.7699115000000001E-2</v>
      </c>
      <c r="E32" s="84">
        <v>27063541.39960324</v>
      </c>
      <c r="F32" s="35"/>
      <c r="G32" s="47" t="s">
        <v>354</v>
      </c>
      <c r="H32" s="39">
        <f t="shared" si="6"/>
        <v>5665</v>
      </c>
      <c r="I32" s="70">
        <f t="shared" si="7"/>
        <v>8.2139446000000005E-2</v>
      </c>
      <c r="J32" s="79">
        <f t="shared" ref="J32:J50" si="12">_xlfn.IFNA(VLOOKUP(G32, $B$2:$E$200, 4, FALSE), "")</f>
        <v>19037765.06446081</v>
      </c>
      <c r="K32" s="75" t="s">
        <v>191</v>
      </c>
      <c r="L32" s="39">
        <f t="shared" si="8"/>
        <v>99.6</v>
      </c>
      <c r="M32" s="70">
        <f t="shared" si="9"/>
        <v>5.1742344199999998E-2</v>
      </c>
      <c r="N32" s="79">
        <f t="shared" ref="N32:N50" si="13">_xlfn.IFNA(VLOOKUP(K32, $B$2:$E$200, 4, FALSE), "")</f>
        <v>212299259.829135</v>
      </c>
      <c r="O32" s="75" t="s">
        <v>79</v>
      </c>
      <c r="P32" s="39">
        <f t="shared" si="10"/>
        <v>322</v>
      </c>
      <c r="Q32" s="70">
        <f t="shared" si="11"/>
        <v>2.87539936E-2</v>
      </c>
      <c r="R32" s="79">
        <f t="shared" ref="R32:R50" si="14">_xlfn.IFNA(VLOOKUP(O32, $B$2:$E$200, 4, FALSE), "")</f>
        <v>3131398.68684171</v>
      </c>
    </row>
    <row r="33" spans="1:18">
      <c r="A33" s="40" t="s">
        <v>341</v>
      </c>
      <c r="B33" s="11" t="s">
        <v>342</v>
      </c>
      <c r="C33" s="86">
        <v>101650</v>
      </c>
      <c r="D33" s="34">
        <v>1.76193813E-2</v>
      </c>
      <c r="E33" s="84">
        <v>8263.8509005399992</v>
      </c>
      <c r="F33" s="35"/>
      <c r="G33" s="47" t="s">
        <v>141</v>
      </c>
      <c r="H33" s="39">
        <f t="shared" si="6"/>
        <v>5.68</v>
      </c>
      <c r="I33" s="70">
        <f t="shared" si="7"/>
        <v>6.3670411999999996E-2</v>
      </c>
      <c r="J33" s="79">
        <f t="shared" si="12"/>
        <v>2563555896.7490916</v>
      </c>
      <c r="K33" s="75" t="s">
        <v>334</v>
      </c>
      <c r="L33" s="39">
        <f t="shared" si="8"/>
        <v>57</v>
      </c>
      <c r="M33" s="70">
        <f t="shared" si="9"/>
        <v>4.01459854E-2</v>
      </c>
      <c r="N33" s="79">
        <f t="shared" si="13"/>
        <v>275314587.21186882</v>
      </c>
      <c r="O33" s="75" t="s">
        <v>327</v>
      </c>
      <c r="P33" s="39">
        <f t="shared" si="10"/>
        <v>508</v>
      </c>
      <c r="Q33" s="70">
        <f t="shared" si="11"/>
        <v>2.4193548400000001E-2</v>
      </c>
      <c r="R33" s="79">
        <f t="shared" si="14"/>
        <v>14243344.33415593</v>
      </c>
    </row>
    <row r="34" spans="1:18">
      <c r="A34" s="40" t="s">
        <v>98</v>
      </c>
      <c r="B34" s="11" t="s">
        <v>99</v>
      </c>
      <c r="C34" s="86">
        <v>25430</v>
      </c>
      <c r="D34" s="34">
        <v>1.76070428E-2</v>
      </c>
      <c r="E34" s="84">
        <v>332229.55325579998</v>
      </c>
      <c r="F34" s="35"/>
      <c r="G34" s="47" t="s">
        <v>191</v>
      </c>
      <c r="H34" s="39">
        <f t="shared" si="6"/>
        <v>99.6</v>
      </c>
      <c r="I34" s="70">
        <f t="shared" si="7"/>
        <v>5.1742344199999998E-2</v>
      </c>
      <c r="J34" s="79">
        <f t="shared" si="12"/>
        <v>212299259.829135</v>
      </c>
      <c r="K34" s="75" t="s">
        <v>155</v>
      </c>
      <c r="L34" s="39">
        <f t="shared" si="8"/>
        <v>36.1</v>
      </c>
      <c r="M34" s="70">
        <f t="shared" si="9"/>
        <v>3.7356321800000002E-2</v>
      </c>
      <c r="N34" s="79">
        <f t="shared" si="13"/>
        <v>110057091.17338319</v>
      </c>
      <c r="O34" s="75" t="s">
        <v>340</v>
      </c>
      <c r="P34" s="39">
        <f t="shared" si="10"/>
        <v>835</v>
      </c>
      <c r="Q34" s="70">
        <f t="shared" si="11"/>
        <v>2.32843137E-2</v>
      </c>
      <c r="R34" s="79">
        <f t="shared" si="14"/>
        <v>2788835.0263326601</v>
      </c>
    </row>
    <row r="35" spans="1:18">
      <c r="A35" s="40" t="s">
        <v>349</v>
      </c>
      <c r="B35" s="11" t="s">
        <v>350</v>
      </c>
      <c r="C35" s="86">
        <v>2665</v>
      </c>
      <c r="D35" s="34">
        <v>1.71755725E-2</v>
      </c>
      <c r="E35" s="84">
        <v>724029.63280595001</v>
      </c>
      <c r="F35" s="35"/>
      <c r="G35" s="47" t="s">
        <v>136</v>
      </c>
      <c r="H35" s="44">
        <f t="shared" si="6"/>
        <v>5005</v>
      </c>
      <c r="I35" s="71">
        <f t="shared" si="7"/>
        <v>5.14705882E-2</v>
      </c>
      <c r="J35" s="83">
        <f t="shared" si="12"/>
        <v>9928430.3082965091</v>
      </c>
      <c r="K35" s="76" t="s">
        <v>71</v>
      </c>
      <c r="L35" s="44">
        <f t="shared" si="8"/>
        <v>16</v>
      </c>
      <c r="M35" s="71">
        <f t="shared" si="9"/>
        <v>3.2258064500000003E-2</v>
      </c>
      <c r="N35" s="83">
        <f t="shared" si="13"/>
        <v>520512070.12656581</v>
      </c>
      <c r="O35" s="76" t="s">
        <v>336</v>
      </c>
      <c r="P35" s="44">
        <f t="shared" si="10"/>
        <v>364</v>
      </c>
      <c r="Q35" s="71">
        <f t="shared" si="11"/>
        <v>2.2471910099999999E-2</v>
      </c>
      <c r="R35" s="83">
        <f t="shared" si="14"/>
        <v>2895681.0100526698</v>
      </c>
    </row>
    <row r="36" spans="1:18">
      <c r="A36" s="40" t="s">
        <v>92</v>
      </c>
      <c r="B36" s="11" t="s">
        <v>93</v>
      </c>
      <c r="C36" s="86">
        <v>2268000</v>
      </c>
      <c r="D36" s="34">
        <v>1.7040358700000001E-2</v>
      </c>
      <c r="E36" s="84">
        <v>8476.1001453600002</v>
      </c>
      <c r="F36" s="35"/>
      <c r="G36" s="49" t="s">
        <v>62</v>
      </c>
      <c r="H36" s="39">
        <f t="shared" si="6"/>
        <v>15200</v>
      </c>
      <c r="I36" s="70">
        <f t="shared" si="7"/>
        <v>5.1175656999999999E-2</v>
      </c>
      <c r="J36" s="89">
        <f t="shared" si="12"/>
        <v>1213800.18618399</v>
      </c>
      <c r="K36" s="75" t="s">
        <v>323</v>
      </c>
      <c r="L36" s="39">
        <f t="shared" si="8"/>
        <v>95.6</v>
      </c>
      <c r="M36" s="70">
        <f t="shared" si="9"/>
        <v>2.4651661299999999E-2</v>
      </c>
      <c r="N36" s="89">
        <f t="shared" si="13"/>
        <v>45887371.363177814</v>
      </c>
      <c r="O36" s="75" t="s">
        <v>105</v>
      </c>
      <c r="P36" s="39">
        <f t="shared" si="10"/>
        <v>281</v>
      </c>
      <c r="Q36" s="70">
        <f t="shared" si="11"/>
        <v>2.1818181799999999E-2</v>
      </c>
      <c r="R36" s="89">
        <f t="shared" si="14"/>
        <v>3107182.4866730301</v>
      </c>
    </row>
    <row r="37" spans="1:18">
      <c r="A37" s="40" t="s">
        <v>158</v>
      </c>
      <c r="B37" s="11" t="s">
        <v>159</v>
      </c>
      <c r="C37" s="86">
        <v>239</v>
      </c>
      <c r="D37" s="34">
        <v>1.7021276599999999E-2</v>
      </c>
      <c r="E37" s="84">
        <v>6310727.1436487902</v>
      </c>
      <c r="F37" s="35"/>
      <c r="G37" s="47" t="s">
        <v>344</v>
      </c>
      <c r="H37" s="39">
        <f t="shared" si="6"/>
        <v>17100</v>
      </c>
      <c r="I37" s="70">
        <f t="shared" si="7"/>
        <v>4.01459854E-2</v>
      </c>
      <c r="J37" s="79">
        <f t="shared" si="12"/>
        <v>2286348.2627766598</v>
      </c>
      <c r="K37" s="75" t="s">
        <v>64</v>
      </c>
      <c r="L37" s="39">
        <f t="shared" si="8"/>
        <v>13.6</v>
      </c>
      <c r="M37" s="70">
        <f t="shared" si="9"/>
        <v>2.2556390999999999E-2</v>
      </c>
      <c r="N37" s="79">
        <f t="shared" si="13"/>
        <v>59291516.425804853</v>
      </c>
      <c r="O37" s="75" t="s">
        <v>153</v>
      </c>
      <c r="P37" s="39">
        <f t="shared" si="10"/>
        <v>475</v>
      </c>
      <c r="Q37" s="70">
        <f t="shared" si="11"/>
        <v>2.15053763E-2</v>
      </c>
      <c r="R37" s="79">
        <f t="shared" si="14"/>
        <v>4111722.7840936999</v>
      </c>
    </row>
    <row r="38" spans="1:18">
      <c r="A38" s="40" t="s">
        <v>59</v>
      </c>
      <c r="B38" s="11" t="s">
        <v>60</v>
      </c>
      <c r="C38" s="86">
        <v>777</v>
      </c>
      <c r="D38" s="34">
        <v>1.7015706799999999E-2</v>
      </c>
      <c r="E38" s="84">
        <v>4050084.6519984901</v>
      </c>
      <c r="F38" s="35"/>
      <c r="G38" s="47" t="s">
        <v>334</v>
      </c>
      <c r="H38" s="39">
        <f t="shared" si="6"/>
        <v>57</v>
      </c>
      <c r="I38" s="70">
        <f t="shared" si="7"/>
        <v>4.01459854E-2</v>
      </c>
      <c r="J38" s="79">
        <f t="shared" si="12"/>
        <v>275314587.21186882</v>
      </c>
      <c r="K38" s="75" t="s">
        <v>193</v>
      </c>
      <c r="L38" s="39">
        <f t="shared" si="8"/>
        <v>23</v>
      </c>
      <c r="M38" s="70">
        <f t="shared" si="9"/>
        <v>1.7699115000000001E-2</v>
      </c>
      <c r="N38" s="79">
        <f t="shared" si="13"/>
        <v>27063541.39960324</v>
      </c>
      <c r="O38" s="75" t="s">
        <v>111</v>
      </c>
      <c r="P38" s="39">
        <f t="shared" si="10"/>
        <v>814</v>
      </c>
      <c r="Q38" s="70">
        <f t="shared" si="11"/>
        <v>2.1329987500000001E-2</v>
      </c>
      <c r="R38" s="79">
        <f t="shared" si="14"/>
        <v>13025724.8949163</v>
      </c>
    </row>
    <row r="39" spans="1:18">
      <c r="A39" s="40" t="s">
        <v>102</v>
      </c>
      <c r="B39" s="11" t="s">
        <v>103</v>
      </c>
      <c r="C39" s="86">
        <v>302</v>
      </c>
      <c r="D39" s="34">
        <v>1.6835016800000002E-2</v>
      </c>
      <c r="E39" s="84">
        <v>3588787.0277424799</v>
      </c>
      <c r="F39" s="35"/>
      <c r="G39" s="47" t="s">
        <v>155</v>
      </c>
      <c r="H39" s="39">
        <f t="shared" si="6"/>
        <v>36.1</v>
      </c>
      <c r="I39" s="70">
        <f t="shared" si="7"/>
        <v>3.7356321800000002E-2</v>
      </c>
      <c r="J39" s="79">
        <f t="shared" si="12"/>
        <v>110057091.17338319</v>
      </c>
      <c r="K39" s="75" t="s">
        <v>126</v>
      </c>
      <c r="L39" s="39">
        <f t="shared" si="8"/>
        <v>37</v>
      </c>
      <c r="M39" s="70">
        <f t="shared" si="9"/>
        <v>1.64835165E-2</v>
      </c>
      <c r="N39" s="79">
        <f t="shared" si="13"/>
        <v>57231146.730847873</v>
      </c>
      <c r="O39" s="75" t="s">
        <v>169</v>
      </c>
      <c r="P39" s="39">
        <f t="shared" si="10"/>
        <v>289</v>
      </c>
      <c r="Q39" s="70">
        <f t="shared" si="11"/>
        <v>2.1201413400000001E-2</v>
      </c>
      <c r="R39" s="79">
        <f t="shared" si="14"/>
        <v>1329178.5438361999</v>
      </c>
    </row>
    <row r="40" spans="1:18" ht="17.25" thickBot="1">
      <c r="A40" s="40" t="s">
        <v>125</v>
      </c>
      <c r="B40" s="11" t="s">
        <v>126</v>
      </c>
      <c r="C40" s="86">
        <v>37</v>
      </c>
      <c r="D40" s="34">
        <v>1.64835165E-2</v>
      </c>
      <c r="E40" s="84">
        <v>57231146.730847873</v>
      </c>
      <c r="F40" s="35"/>
      <c r="G40" s="48" t="s">
        <v>71</v>
      </c>
      <c r="H40" s="37">
        <f t="shared" si="6"/>
        <v>16</v>
      </c>
      <c r="I40" s="72">
        <f t="shared" si="7"/>
        <v>3.2258064500000003E-2</v>
      </c>
      <c r="J40" s="80">
        <f t="shared" si="12"/>
        <v>520512070.12656581</v>
      </c>
      <c r="K40" s="77" t="s">
        <v>118</v>
      </c>
      <c r="L40" s="37">
        <f t="shared" si="8"/>
        <v>8.0299999999999994</v>
      </c>
      <c r="M40" s="72">
        <f t="shared" si="9"/>
        <v>1.6455696200000001E-2</v>
      </c>
      <c r="N40" s="80">
        <f t="shared" si="13"/>
        <v>104069803.72656468</v>
      </c>
      <c r="O40" s="77" t="s">
        <v>159</v>
      </c>
      <c r="P40" s="37">
        <f t="shared" si="10"/>
        <v>239</v>
      </c>
      <c r="Q40" s="72">
        <f t="shared" si="11"/>
        <v>1.7021276599999999E-2</v>
      </c>
      <c r="R40" s="80">
        <f t="shared" si="14"/>
        <v>6310727.1436487902</v>
      </c>
    </row>
    <row r="41" spans="1:18">
      <c r="A41" s="40" t="s">
        <v>117</v>
      </c>
      <c r="B41" s="11" t="s">
        <v>118</v>
      </c>
      <c r="C41" s="86">
        <v>8.0299999999999994</v>
      </c>
      <c r="D41" s="34">
        <v>1.6455696200000001E-2</v>
      </c>
      <c r="E41" s="84">
        <v>104069803.72656468</v>
      </c>
      <c r="F41" s="35"/>
      <c r="G41" s="46" t="s">
        <v>101</v>
      </c>
      <c r="H41" s="38">
        <f t="shared" si="6"/>
        <v>291</v>
      </c>
      <c r="I41" s="69">
        <f t="shared" si="7"/>
        <v>3.1914893600000001E-2</v>
      </c>
      <c r="J41" s="78">
        <f t="shared" si="12"/>
        <v>2587210.6837357501</v>
      </c>
      <c r="K41" s="74" t="s">
        <v>335</v>
      </c>
      <c r="L41" s="38">
        <f t="shared" si="8"/>
        <v>82.7</v>
      </c>
      <c r="M41" s="69">
        <f t="shared" si="9"/>
        <v>1.5970516000000001E-2</v>
      </c>
      <c r="N41" s="78">
        <f t="shared" si="13"/>
        <v>16824749.772497859</v>
      </c>
      <c r="O41" s="74" t="s">
        <v>60</v>
      </c>
      <c r="P41" s="38">
        <f t="shared" si="10"/>
        <v>777</v>
      </c>
      <c r="Q41" s="69">
        <f t="shared" si="11"/>
        <v>1.7015706799999999E-2</v>
      </c>
      <c r="R41" s="78">
        <f t="shared" si="14"/>
        <v>4050084.6519984901</v>
      </c>
    </row>
    <row r="42" spans="1:18">
      <c r="A42" s="40" t="s">
        <v>133</v>
      </c>
      <c r="B42" s="11" t="s">
        <v>134</v>
      </c>
      <c r="C42" s="86">
        <v>1860</v>
      </c>
      <c r="D42" s="34">
        <v>1.6393442599999999E-2</v>
      </c>
      <c r="E42" s="84">
        <v>561253.92567390995</v>
      </c>
      <c r="F42" s="35"/>
      <c r="G42" s="47" t="s">
        <v>189</v>
      </c>
      <c r="H42" s="39">
        <f t="shared" si="6"/>
        <v>1365</v>
      </c>
      <c r="I42" s="70">
        <f t="shared" si="7"/>
        <v>3.0188679199999999E-2</v>
      </c>
      <c r="J42" s="79">
        <f t="shared" si="12"/>
        <v>2497036.0220657499</v>
      </c>
      <c r="K42" s="75" t="s">
        <v>338</v>
      </c>
      <c r="L42" s="39">
        <f t="shared" si="8"/>
        <v>4.0899999999999999E-2</v>
      </c>
      <c r="M42" s="70">
        <f t="shared" si="9"/>
        <v>1.4888337499999999E-2</v>
      </c>
      <c r="N42" s="79">
        <f t="shared" si="13"/>
        <v>35874728447.859268</v>
      </c>
      <c r="O42" s="75" t="s">
        <v>103</v>
      </c>
      <c r="P42" s="39">
        <f t="shared" si="10"/>
        <v>302</v>
      </c>
      <c r="Q42" s="70">
        <f t="shared" si="11"/>
        <v>1.6835016800000002E-2</v>
      </c>
      <c r="R42" s="79">
        <f t="shared" si="14"/>
        <v>3588787.0277424799</v>
      </c>
    </row>
    <row r="43" spans="1:18">
      <c r="A43" s="40" t="s">
        <v>129</v>
      </c>
      <c r="B43" s="11" t="s">
        <v>130</v>
      </c>
      <c r="C43" s="86">
        <v>931</v>
      </c>
      <c r="D43" s="34">
        <v>1.63755459E-2</v>
      </c>
      <c r="E43" s="84">
        <v>2319002.5745510799</v>
      </c>
      <c r="F43" s="35"/>
      <c r="G43" s="47" t="s">
        <v>75</v>
      </c>
      <c r="H43" s="39">
        <f t="shared" si="6"/>
        <v>9145</v>
      </c>
      <c r="I43" s="70">
        <f t="shared" si="7"/>
        <v>2.9842342300000001E-2</v>
      </c>
      <c r="J43" s="79">
        <f t="shared" si="12"/>
        <v>117544.36740653</v>
      </c>
      <c r="K43" s="75" t="s">
        <v>317</v>
      </c>
      <c r="L43" s="39">
        <f t="shared" si="8"/>
        <v>1.4200000000000001E-2</v>
      </c>
      <c r="M43" s="70">
        <f t="shared" si="9"/>
        <v>1.42857143E-2</v>
      </c>
      <c r="N43" s="79">
        <f t="shared" si="13"/>
        <v>182577780681.55792</v>
      </c>
      <c r="O43" s="75" t="s">
        <v>130</v>
      </c>
      <c r="P43" s="39">
        <f t="shared" si="10"/>
        <v>931</v>
      </c>
      <c r="Q43" s="70">
        <f t="shared" si="11"/>
        <v>1.63755459E-2</v>
      </c>
      <c r="R43" s="79">
        <f t="shared" si="14"/>
        <v>2319002.5745510799</v>
      </c>
    </row>
    <row r="44" spans="1:18">
      <c r="A44" s="40" t="s">
        <v>76</v>
      </c>
      <c r="B44" s="11" t="s">
        <v>77</v>
      </c>
      <c r="C44" s="86">
        <v>170400</v>
      </c>
      <c r="D44" s="34">
        <v>1.6100178900000001E-2</v>
      </c>
      <c r="E44" s="84">
        <v>4835.7814577400004</v>
      </c>
      <c r="F44" s="35"/>
      <c r="G44" s="47" t="s">
        <v>79</v>
      </c>
      <c r="H44" s="39">
        <f t="shared" si="6"/>
        <v>322</v>
      </c>
      <c r="I44" s="70">
        <f t="shared" si="7"/>
        <v>2.87539936E-2</v>
      </c>
      <c r="J44" s="79">
        <f t="shared" si="12"/>
        <v>3131398.68684171</v>
      </c>
      <c r="K44" s="75" t="s">
        <v>203</v>
      </c>
      <c r="L44" s="39">
        <f t="shared" si="8"/>
        <v>4.42</v>
      </c>
      <c r="M44" s="70">
        <f t="shared" si="9"/>
        <v>1.3761467899999999E-2</v>
      </c>
      <c r="N44" s="79">
        <f t="shared" si="13"/>
        <v>189759449.29953375</v>
      </c>
      <c r="O44" s="75" t="s">
        <v>209</v>
      </c>
      <c r="P44" s="39">
        <f t="shared" si="10"/>
        <v>139</v>
      </c>
      <c r="Q44" s="70">
        <f t="shared" si="11"/>
        <v>1.45985401E-2</v>
      </c>
      <c r="R44" s="79">
        <f t="shared" si="14"/>
        <v>8599262.0820312891</v>
      </c>
    </row>
    <row r="45" spans="1:18">
      <c r="A45" s="40" t="s">
        <v>53</v>
      </c>
      <c r="B45" s="11" t="s">
        <v>335</v>
      </c>
      <c r="C45" s="86">
        <v>82.7</v>
      </c>
      <c r="D45" s="34">
        <v>1.5970516000000001E-2</v>
      </c>
      <c r="E45" s="84">
        <v>16824749.772497859</v>
      </c>
      <c r="F45" s="35"/>
      <c r="G45" s="47" t="s">
        <v>49</v>
      </c>
      <c r="H45" s="44">
        <f t="shared" si="6"/>
        <v>34290000</v>
      </c>
      <c r="I45" s="71">
        <f t="shared" si="7"/>
        <v>2.8648567600000001E-2</v>
      </c>
      <c r="J45" s="83">
        <f t="shared" si="12"/>
        <v>3557.8732976900001</v>
      </c>
      <c r="K45" s="76" t="s">
        <v>181</v>
      </c>
      <c r="L45" s="44">
        <f t="shared" si="8"/>
        <v>5.45</v>
      </c>
      <c r="M45" s="71">
        <f t="shared" si="9"/>
        <v>1.30111524E-2</v>
      </c>
      <c r="N45" s="83">
        <f t="shared" si="13"/>
        <v>99124568.039008826</v>
      </c>
      <c r="O45" s="76" t="s">
        <v>120</v>
      </c>
      <c r="P45" s="44">
        <f t="shared" si="10"/>
        <v>142</v>
      </c>
      <c r="Q45" s="71">
        <f t="shared" si="11"/>
        <v>1.42857143E-2</v>
      </c>
      <c r="R45" s="83">
        <f t="shared" si="14"/>
        <v>5374742.95068458</v>
      </c>
    </row>
    <row r="46" spans="1:18">
      <c r="A46" s="40" t="s">
        <v>337</v>
      </c>
      <c r="B46" s="11" t="s">
        <v>338</v>
      </c>
      <c r="C46" s="86">
        <v>4.0899999999999999E-2</v>
      </c>
      <c r="D46" s="34">
        <v>1.4888337499999999E-2</v>
      </c>
      <c r="E46" s="84">
        <v>35874728447.859268</v>
      </c>
      <c r="F46" s="35"/>
      <c r="G46" s="49" t="s">
        <v>172</v>
      </c>
      <c r="H46" s="39">
        <f t="shared" si="6"/>
        <v>3860</v>
      </c>
      <c r="I46" s="70">
        <f t="shared" si="7"/>
        <v>2.79627164E-2</v>
      </c>
      <c r="J46" s="89">
        <f t="shared" si="12"/>
        <v>563676.013423</v>
      </c>
      <c r="K46" s="75" t="s">
        <v>56</v>
      </c>
      <c r="L46" s="39">
        <f t="shared" si="8"/>
        <v>50.9</v>
      </c>
      <c r="M46" s="70">
        <f t="shared" si="9"/>
        <v>1.1928429399999999E-2</v>
      </c>
      <c r="N46" s="89">
        <f t="shared" si="13"/>
        <v>15669391.59418714</v>
      </c>
      <c r="O46" s="75" t="s">
        <v>319</v>
      </c>
      <c r="P46" s="39">
        <f t="shared" si="10"/>
        <v>222</v>
      </c>
      <c r="Q46" s="70">
        <f t="shared" si="11"/>
        <v>1.3698630099999999E-2</v>
      </c>
      <c r="R46" s="89">
        <f t="shared" si="14"/>
        <v>2892171.4301601001</v>
      </c>
    </row>
    <row r="47" spans="1:18">
      <c r="A47" s="40" t="s">
        <v>127</v>
      </c>
      <c r="B47" s="11" t="s">
        <v>128</v>
      </c>
      <c r="C47" s="86">
        <v>8240</v>
      </c>
      <c r="D47" s="34">
        <v>1.47783251E-2</v>
      </c>
      <c r="E47" s="84">
        <v>65996.889977810002</v>
      </c>
      <c r="F47" s="35"/>
      <c r="G47" s="47" t="s">
        <v>323</v>
      </c>
      <c r="H47" s="39">
        <f t="shared" si="6"/>
        <v>95.6</v>
      </c>
      <c r="I47" s="70">
        <f t="shared" si="7"/>
        <v>2.4651661299999999E-2</v>
      </c>
      <c r="J47" s="79">
        <f t="shared" si="12"/>
        <v>45887371.363177814</v>
      </c>
      <c r="K47" s="75" t="s">
        <v>145</v>
      </c>
      <c r="L47" s="39">
        <f t="shared" si="8"/>
        <v>87.9</v>
      </c>
      <c r="M47" s="70">
        <f t="shared" si="9"/>
        <v>1.1507479899999999E-2</v>
      </c>
      <c r="N47" s="79">
        <f t="shared" si="13"/>
        <v>38786805.334826753</v>
      </c>
      <c r="O47" s="75" t="s">
        <v>325</v>
      </c>
      <c r="P47" s="39">
        <f t="shared" si="10"/>
        <v>668</v>
      </c>
      <c r="Q47" s="70">
        <f t="shared" si="11"/>
        <v>1.36570561E-2</v>
      </c>
      <c r="R47" s="79">
        <f t="shared" si="14"/>
        <v>1327649.7610899601</v>
      </c>
    </row>
    <row r="48" spans="1:18">
      <c r="A48" s="40" t="s">
        <v>108</v>
      </c>
      <c r="B48" s="11" t="s">
        <v>109</v>
      </c>
      <c r="C48" s="86">
        <v>1380</v>
      </c>
      <c r="D48" s="34">
        <v>1.47058824E-2</v>
      </c>
      <c r="E48" s="84">
        <v>472857.49476283998</v>
      </c>
      <c r="F48" s="35"/>
      <c r="G48" s="47" t="s">
        <v>211</v>
      </c>
      <c r="H48" s="39">
        <f t="shared" si="6"/>
        <v>1480</v>
      </c>
      <c r="I48" s="70">
        <f t="shared" si="7"/>
        <v>2.4221453300000001E-2</v>
      </c>
      <c r="J48" s="79">
        <f t="shared" si="12"/>
        <v>3525879.59189888</v>
      </c>
      <c r="K48" s="75" t="s">
        <v>253</v>
      </c>
      <c r="L48" s="39">
        <f t="shared" si="8"/>
        <v>97.7</v>
      </c>
      <c r="M48" s="70">
        <f t="shared" si="9"/>
        <v>1.13871636E-2</v>
      </c>
      <c r="N48" s="79">
        <f t="shared" si="13"/>
        <v>109195499.22109433</v>
      </c>
      <c r="O48" s="75" t="s">
        <v>149</v>
      </c>
      <c r="P48" s="39">
        <f t="shared" si="10"/>
        <v>528</v>
      </c>
      <c r="Q48" s="70">
        <f t="shared" si="11"/>
        <v>1.3435700599999999E-2</v>
      </c>
      <c r="R48" s="79">
        <f t="shared" si="14"/>
        <v>6600223.3739504004</v>
      </c>
    </row>
    <row r="49" spans="1:18">
      <c r="A49" s="40" t="s">
        <v>208</v>
      </c>
      <c r="B49" s="11" t="s">
        <v>209</v>
      </c>
      <c r="C49" s="86">
        <v>139</v>
      </c>
      <c r="D49" s="34">
        <v>1.45985401E-2</v>
      </c>
      <c r="E49" s="84">
        <v>8599262.0820312891</v>
      </c>
      <c r="F49" s="35"/>
      <c r="G49" s="47" t="s">
        <v>327</v>
      </c>
      <c r="H49" s="39">
        <f t="shared" si="6"/>
        <v>508</v>
      </c>
      <c r="I49" s="70">
        <f t="shared" si="7"/>
        <v>2.4193548400000001E-2</v>
      </c>
      <c r="J49" s="79">
        <f t="shared" si="12"/>
        <v>14243344.33415593</v>
      </c>
      <c r="K49" s="75" t="s">
        <v>207</v>
      </c>
      <c r="L49" s="39">
        <f t="shared" si="8"/>
        <v>98.2</v>
      </c>
      <c r="M49" s="70">
        <f t="shared" si="9"/>
        <v>1.13285273E-2</v>
      </c>
      <c r="N49" s="79">
        <f t="shared" si="13"/>
        <v>40242715.913730629</v>
      </c>
      <c r="O49" s="75" t="s">
        <v>68</v>
      </c>
      <c r="P49" s="39">
        <f t="shared" si="10"/>
        <v>569</v>
      </c>
      <c r="Q49" s="70">
        <f t="shared" si="11"/>
        <v>1.2455516E-2</v>
      </c>
      <c r="R49" s="79">
        <f t="shared" si="14"/>
        <v>16206208.766507261</v>
      </c>
    </row>
    <row r="50" spans="1:18" ht="17.25" thickBot="1">
      <c r="A50" s="40" t="s">
        <v>119</v>
      </c>
      <c r="B50" s="11" t="s">
        <v>120</v>
      </c>
      <c r="C50" s="86">
        <v>142</v>
      </c>
      <c r="D50" s="34">
        <v>1.42857143E-2</v>
      </c>
      <c r="E50" s="84">
        <v>5374742.95068458</v>
      </c>
      <c r="F50" s="35"/>
      <c r="G50" s="48" t="s">
        <v>340</v>
      </c>
      <c r="H50" s="37">
        <f t="shared" si="6"/>
        <v>835</v>
      </c>
      <c r="I50" s="72">
        <f t="shared" si="7"/>
        <v>2.32843137E-2</v>
      </c>
      <c r="J50" s="80">
        <f t="shared" si="12"/>
        <v>2788835.0263326601</v>
      </c>
      <c r="K50" s="77" t="s">
        <v>107</v>
      </c>
      <c r="L50" s="37">
        <f t="shared" si="8"/>
        <v>49.3</v>
      </c>
      <c r="M50" s="72">
        <f t="shared" si="9"/>
        <v>1.0245901599999999E-2</v>
      </c>
      <c r="N50" s="80">
        <f t="shared" si="13"/>
        <v>20770161.181235451</v>
      </c>
      <c r="O50" s="77" t="s">
        <v>81</v>
      </c>
      <c r="P50" s="37">
        <f t="shared" si="10"/>
        <v>439</v>
      </c>
      <c r="Q50" s="72">
        <f t="shared" si="11"/>
        <v>1.15207373E-2</v>
      </c>
      <c r="R50" s="80">
        <f t="shared" si="14"/>
        <v>9208937.8916976992</v>
      </c>
    </row>
    <row r="51" spans="1:18">
      <c r="A51" s="40" t="s">
        <v>316</v>
      </c>
      <c r="B51" s="11" t="s">
        <v>317</v>
      </c>
      <c r="C51" s="86">
        <v>1.4200000000000001E-2</v>
      </c>
      <c r="D51" s="34">
        <v>1.42857143E-2</v>
      </c>
      <c r="E51" s="84">
        <v>182577780681.55792</v>
      </c>
      <c r="F51" s="35"/>
    </row>
    <row r="52" spans="1:18" ht="17.25" thickBot="1">
      <c r="A52" s="40" t="s">
        <v>202</v>
      </c>
      <c r="B52" s="11" t="s">
        <v>203</v>
      </c>
      <c r="C52" s="86">
        <v>4.42</v>
      </c>
      <c r="D52" s="34">
        <v>1.3761467899999999E-2</v>
      </c>
      <c r="E52" s="84">
        <v>189759449.29953375</v>
      </c>
      <c r="F52" s="35"/>
    </row>
    <row r="53" spans="1:18" ht="17.25" thickBot="1">
      <c r="A53" s="40" t="s">
        <v>318</v>
      </c>
      <c r="B53" s="11" t="s">
        <v>319</v>
      </c>
      <c r="C53" s="86">
        <v>222</v>
      </c>
      <c r="D53" s="34">
        <v>1.3698630099999999E-2</v>
      </c>
      <c r="E53" s="84">
        <v>2892171.4301601001</v>
      </c>
      <c r="F53" s="35"/>
      <c r="G53" s="157" t="s">
        <v>242</v>
      </c>
      <c r="H53" s="158"/>
      <c r="I53" s="158"/>
      <c r="J53" s="159"/>
      <c r="K53" s="157" t="s">
        <v>245</v>
      </c>
      <c r="L53" s="158"/>
      <c r="M53" s="158"/>
      <c r="N53" s="159"/>
      <c r="O53" s="157" t="s">
        <v>246</v>
      </c>
      <c r="P53" s="158"/>
      <c r="Q53" s="158"/>
      <c r="R53" s="159"/>
    </row>
    <row r="54" spans="1:18" ht="17.25" thickBot="1">
      <c r="A54" s="40" t="s">
        <v>324</v>
      </c>
      <c r="B54" s="11" t="s">
        <v>325</v>
      </c>
      <c r="C54" s="86">
        <v>668</v>
      </c>
      <c r="D54" s="34">
        <v>1.36570561E-2</v>
      </c>
      <c r="E54" s="84">
        <v>1327649.7610899601</v>
      </c>
      <c r="F54" s="35"/>
      <c r="G54" s="194" t="s">
        <v>54</v>
      </c>
      <c r="H54" s="210">
        <f ca="1">NOW()</f>
        <v>45002.583756481479</v>
      </c>
      <c r="I54" s="211"/>
      <c r="J54" s="212"/>
      <c r="K54" s="209" t="s">
        <v>54</v>
      </c>
      <c r="L54" s="210">
        <f ca="1">NOW()</f>
        <v>45002.583756481479</v>
      </c>
      <c r="M54" s="211"/>
      <c r="N54" s="212"/>
      <c r="O54" s="209" t="s">
        <v>54</v>
      </c>
      <c r="P54" s="210">
        <f ca="1">NOW()</f>
        <v>45002.583756481479</v>
      </c>
      <c r="Q54" s="211"/>
      <c r="R54" s="212"/>
    </row>
    <row r="55" spans="1:18" ht="17.25" thickBot="1">
      <c r="A55" s="40" t="s">
        <v>148</v>
      </c>
      <c r="B55" s="11" t="s">
        <v>149</v>
      </c>
      <c r="C55" s="86">
        <v>528</v>
      </c>
      <c r="D55" s="34">
        <v>1.3435700599999999E-2</v>
      </c>
      <c r="E55" s="84">
        <v>6600223.3739504004</v>
      </c>
      <c r="F55" s="35"/>
      <c r="G55" s="202"/>
      <c r="H55" s="36" t="s">
        <v>57</v>
      </c>
      <c r="I55" s="36" t="s">
        <v>58</v>
      </c>
      <c r="J55" s="64" t="s">
        <v>251</v>
      </c>
      <c r="K55" s="180"/>
      <c r="L55" s="36" t="s">
        <v>57</v>
      </c>
      <c r="M55" s="36" t="s">
        <v>58</v>
      </c>
      <c r="N55" s="64" t="s">
        <v>251</v>
      </c>
      <c r="O55" s="180"/>
      <c r="P55" s="36" t="s">
        <v>57</v>
      </c>
      <c r="Q55" s="36" t="s">
        <v>58</v>
      </c>
      <c r="R55" s="64" t="s">
        <v>251</v>
      </c>
    </row>
    <row r="56" spans="1:18">
      <c r="A56" s="40" t="s">
        <v>180</v>
      </c>
      <c r="B56" s="11" t="s">
        <v>181</v>
      </c>
      <c r="C56" s="86">
        <v>5.45</v>
      </c>
      <c r="D56" s="34">
        <v>1.30111524E-2</v>
      </c>
      <c r="E56" s="84">
        <v>99124568.039008826</v>
      </c>
      <c r="F56" s="35"/>
      <c r="G56" s="51" t="s">
        <v>201</v>
      </c>
      <c r="H56" s="38">
        <f t="shared" ref="H56:H75" si="15">_xlfn.IFNA(VLOOKUP(G56, $B$2:$D$200, 2, FALSE), "")</f>
        <v>283</v>
      </c>
      <c r="I56" s="69">
        <f t="shared" ref="I56:I65" si="16">_xlfn.IFNA(VLOOKUP(G56, $B$2:$D$200, 3, FALSE), "")</f>
        <v>3.5460993000000001E-3</v>
      </c>
      <c r="J56" s="78">
        <f>_xlfn.IFNA(VLOOKUP(G56, $B$2:$E$200, 4, FALSE), "")</f>
        <v>5258905.3422648301</v>
      </c>
      <c r="K56" s="74" t="s">
        <v>145</v>
      </c>
      <c r="L56" s="38">
        <f t="shared" ref="L56:L75" si="17">_xlfn.IFNA(VLOOKUP(K56, $B$2:$D$200, 2, FALSE), "")</f>
        <v>87.9</v>
      </c>
      <c r="M56" s="69">
        <f t="shared" ref="M56:M75" si="18">_xlfn.IFNA(VLOOKUP(K56, $B$2:$D$200, 3, FALSE), "")</f>
        <v>1.1507479899999999E-2</v>
      </c>
      <c r="N56" s="78">
        <f>_xlfn.IFNA(VLOOKUP(K56, $B$2:$E$200, 4, FALSE), "")</f>
        <v>38786805.334826753</v>
      </c>
      <c r="O56" s="74" t="s">
        <v>199</v>
      </c>
      <c r="P56" s="38">
        <f t="shared" ref="P56:P75" si="19">_xlfn.IFNA(VLOOKUP(O56, $B$2:$D$200, 2, FALSE), "")</f>
        <v>357</v>
      </c>
      <c r="Q56" s="69">
        <f t="shared" ref="Q56:Q75" si="20">_xlfn.IFNA(VLOOKUP(O56, $B$2:$D$200, 3, FALSE), "")</f>
        <v>8.4745762999999998E-3</v>
      </c>
      <c r="R56" s="78">
        <f>_xlfn.IFNA(VLOOKUP(O56, $B$2:$E$200, 4, FALSE), "")</f>
        <v>3343476.0297046299</v>
      </c>
    </row>
    <row r="57" spans="1:18">
      <c r="A57" s="40" t="s">
        <v>330</v>
      </c>
      <c r="B57" s="11" t="s">
        <v>331</v>
      </c>
      <c r="C57" s="86">
        <v>26560</v>
      </c>
      <c r="D57" s="34">
        <v>1.2967200599999999E-2</v>
      </c>
      <c r="E57" s="84">
        <v>341794.95136114</v>
      </c>
      <c r="F57" s="35"/>
      <c r="G57" s="52" t="s">
        <v>229</v>
      </c>
      <c r="H57" s="39">
        <f t="shared" si="15"/>
        <v>338</v>
      </c>
      <c r="I57" s="70">
        <f t="shared" si="16"/>
        <v>2.9673591000000002E-3</v>
      </c>
      <c r="J57" s="79">
        <f t="shared" ref="J57:J75" si="21">_xlfn.IFNA(VLOOKUP(G57, $B$2:$E$200, 4, FALSE), "")</f>
        <v>12133259.81880931</v>
      </c>
      <c r="K57" s="75" t="s">
        <v>253</v>
      </c>
      <c r="L57" s="39">
        <f t="shared" si="17"/>
        <v>97.7</v>
      </c>
      <c r="M57" s="70">
        <f t="shared" si="18"/>
        <v>1.13871636E-2</v>
      </c>
      <c r="N57" s="79">
        <f t="shared" ref="N57:N75" si="22">_xlfn.IFNA(VLOOKUP(K57, $B$2:$E$200, 4, FALSE), "")</f>
        <v>109195499.22109433</v>
      </c>
      <c r="O57" s="75" t="s">
        <v>167</v>
      </c>
      <c r="P57" s="39">
        <f t="shared" si="19"/>
        <v>242</v>
      </c>
      <c r="Q57" s="70">
        <f t="shared" si="20"/>
        <v>8.3333333000000006E-3</v>
      </c>
      <c r="R57" s="79">
        <f t="shared" ref="R57:R75" si="23">_xlfn.IFNA(VLOOKUP(O57, $B$2:$E$200, 4, FALSE), "")</f>
        <v>3673235.7100260099</v>
      </c>
    </row>
    <row r="58" spans="1:18">
      <c r="A58" s="40" t="s">
        <v>94</v>
      </c>
      <c r="B58" s="11" t="s">
        <v>95</v>
      </c>
      <c r="C58" s="86">
        <v>1605</v>
      </c>
      <c r="D58" s="34">
        <v>1.2618296500000001E-2</v>
      </c>
      <c r="E58" s="84">
        <v>384567.36235046003</v>
      </c>
      <c r="F58" s="35"/>
      <c r="G58" s="52" t="s">
        <v>176</v>
      </c>
      <c r="H58" s="39">
        <f t="shared" si="15"/>
        <v>390</v>
      </c>
      <c r="I58" s="70">
        <f t="shared" si="16"/>
        <v>2.5706941000000001E-3</v>
      </c>
      <c r="J58" s="79">
        <f t="shared" si="21"/>
        <v>3320953.3565916899</v>
      </c>
      <c r="K58" s="75" t="s">
        <v>207</v>
      </c>
      <c r="L58" s="39">
        <f t="shared" si="17"/>
        <v>98.2</v>
      </c>
      <c r="M58" s="70">
        <f t="shared" si="18"/>
        <v>1.13285273E-2</v>
      </c>
      <c r="N58" s="79">
        <f t="shared" si="22"/>
        <v>40242715.913730629</v>
      </c>
      <c r="O58" s="75" t="s">
        <v>241</v>
      </c>
      <c r="P58" s="39">
        <f t="shared" si="19"/>
        <v>122</v>
      </c>
      <c r="Q58" s="70">
        <f t="shared" si="20"/>
        <v>8.2644628000000005E-3</v>
      </c>
      <c r="R58" s="79">
        <f t="shared" si="23"/>
        <v>2777523.1730704498</v>
      </c>
    </row>
    <row r="59" spans="1:18">
      <c r="A59" s="40" t="s">
        <v>67</v>
      </c>
      <c r="B59" s="11" t="s">
        <v>68</v>
      </c>
      <c r="C59" s="86">
        <v>569</v>
      </c>
      <c r="D59" s="34">
        <v>1.2455516E-2</v>
      </c>
      <c r="E59" s="84">
        <v>16206208.766507261</v>
      </c>
      <c r="F59" s="35"/>
      <c r="G59" s="52" t="s">
        <v>157</v>
      </c>
      <c r="H59" s="39">
        <f t="shared" si="15"/>
        <v>423</v>
      </c>
      <c r="I59" s="70">
        <f t="shared" si="16"/>
        <v>2.3696682000000002E-3</v>
      </c>
      <c r="J59" s="79">
        <f t="shared" si="21"/>
        <v>3965278.22324199</v>
      </c>
      <c r="K59" s="75" t="s">
        <v>107</v>
      </c>
      <c r="L59" s="39">
        <f t="shared" si="17"/>
        <v>49.3</v>
      </c>
      <c r="M59" s="70">
        <f t="shared" si="18"/>
        <v>1.0245901599999999E-2</v>
      </c>
      <c r="N59" s="79">
        <f t="shared" si="22"/>
        <v>20770161.181235451</v>
      </c>
      <c r="O59" s="75" t="s">
        <v>352</v>
      </c>
      <c r="P59" s="39">
        <f t="shared" si="19"/>
        <v>247</v>
      </c>
      <c r="Q59" s="70">
        <f t="shared" si="20"/>
        <v>8.1632652999999999E-3</v>
      </c>
      <c r="R59" s="79">
        <f t="shared" si="23"/>
        <v>92156218.933080077</v>
      </c>
    </row>
    <row r="60" spans="1:18">
      <c r="A60" s="40" t="s">
        <v>72</v>
      </c>
      <c r="B60" s="11" t="s">
        <v>73</v>
      </c>
      <c r="C60" s="86">
        <v>17310</v>
      </c>
      <c r="D60" s="34">
        <v>1.22807018E-2</v>
      </c>
      <c r="E60" s="84">
        <v>149871.02897761</v>
      </c>
      <c r="F60" s="35"/>
      <c r="G60" s="52" t="s">
        <v>197</v>
      </c>
      <c r="H60" s="39">
        <f t="shared" si="15"/>
        <v>12.7</v>
      </c>
      <c r="I60" s="70">
        <f t="shared" si="16"/>
        <v>0</v>
      </c>
      <c r="J60" s="83">
        <f t="shared" si="21"/>
        <v>185784079.51819316</v>
      </c>
      <c r="K60" s="76" t="s">
        <v>217</v>
      </c>
      <c r="L60" s="44">
        <f t="shared" si="17"/>
        <v>91.6</v>
      </c>
      <c r="M60" s="71">
        <f t="shared" si="18"/>
        <v>9.9228224999999993E-3</v>
      </c>
      <c r="N60" s="83">
        <f t="shared" si="22"/>
        <v>14137344.941386269</v>
      </c>
      <c r="O60" s="76" t="s">
        <v>223</v>
      </c>
      <c r="P60" s="44">
        <f t="shared" si="19"/>
        <v>275</v>
      </c>
      <c r="Q60" s="71">
        <f t="shared" si="20"/>
        <v>7.3260073000000004E-3</v>
      </c>
      <c r="R60" s="83">
        <f t="shared" si="23"/>
        <v>2016514.0283174401</v>
      </c>
    </row>
    <row r="61" spans="1:18">
      <c r="A61" s="40" t="s">
        <v>146</v>
      </c>
      <c r="B61" s="11" t="s">
        <v>147</v>
      </c>
      <c r="C61" s="86">
        <v>10820</v>
      </c>
      <c r="D61" s="34">
        <v>1.2160898E-2</v>
      </c>
      <c r="E61" s="84">
        <v>476715.68223764998</v>
      </c>
      <c r="F61" s="35"/>
      <c r="G61" s="56" t="s">
        <v>97</v>
      </c>
      <c r="H61" s="45">
        <f t="shared" si="15"/>
        <v>8.9999999999999998E-4</v>
      </c>
      <c r="I61" s="73">
        <f t="shared" si="16"/>
        <v>0</v>
      </c>
      <c r="J61" s="89">
        <f t="shared" si="21"/>
        <v>322224695783.72076</v>
      </c>
      <c r="K61" s="75" t="s">
        <v>237</v>
      </c>
      <c r="L61" s="39">
        <f t="shared" si="17"/>
        <v>35.6</v>
      </c>
      <c r="M61" s="70">
        <f t="shared" si="18"/>
        <v>8.4985835999999999E-3</v>
      </c>
      <c r="N61" s="89">
        <f t="shared" si="22"/>
        <v>16116832.91495979</v>
      </c>
      <c r="O61" s="75" t="s">
        <v>219</v>
      </c>
      <c r="P61" s="39">
        <f t="shared" si="19"/>
        <v>551</v>
      </c>
      <c r="Q61" s="70">
        <f t="shared" si="20"/>
        <v>7.3126142999999999E-3</v>
      </c>
      <c r="R61" s="89">
        <f t="shared" si="23"/>
        <v>2906146.7715725601</v>
      </c>
    </row>
    <row r="62" spans="1:18">
      <c r="A62" s="40" t="s">
        <v>55</v>
      </c>
      <c r="B62" s="11" t="s">
        <v>56</v>
      </c>
      <c r="C62" s="86">
        <v>50.9</v>
      </c>
      <c r="D62" s="34">
        <v>1.1928429399999999E-2</v>
      </c>
      <c r="E62" s="84">
        <v>15669391.59418714</v>
      </c>
      <c r="F62" s="35"/>
      <c r="G62" s="52" t="s">
        <v>143</v>
      </c>
      <c r="H62" s="39">
        <f t="shared" si="15"/>
        <v>6.35</v>
      </c>
      <c r="I62" s="70">
        <f t="shared" si="16"/>
        <v>0</v>
      </c>
      <c r="J62" s="79">
        <f t="shared" si="21"/>
        <v>187188407.32801723</v>
      </c>
      <c r="K62" s="75" t="s">
        <v>185</v>
      </c>
      <c r="L62" s="39">
        <f t="shared" si="17"/>
        <v>42.4</v>
      </c>
      <c r="M62" s="70">
        <f t="shared" si="18"/>
        <v>7.1258907E-3</v>
      </c>
      <c r="N62" s="79">
        <f t="shared" si="22"/>
        <v>47642508.262611248</v>
      </c>
      <c r="O62" s="75" t="s">
        <v>205</v>
      </c>
      <c r="P62" s="39">
        <f t="shared" si="19"/>
        <v>139</v>
      </c>
      <c r="Q62" s="70">
        <f t="shared" si="20"/>
        <v>7.2463768E-3</v>
      </c>
      <c r="R62" s="79">
        <f t="shared" si="23"/>
        <v>3525165.87201417</v>
      </c>
    </row>
    <row r="63" spans="1:18">
      <c r="A63" s="40" t="s">
        <v>150</v>
      </c>
      <c r="B63" s="11" t="s">
        <v>151</v>
      </c>
      <c r="C63" s="86">
        <v>3010</v>
      </c>
      <c r="D63" s="34">
        <v>1.17647059E-2</v>
      </c>
      <c r="E63" s="84">
        <v>586187.95909658005</v>
      </c>
      <c r="F63" s="35"/>
      <c r="G63" s="52" t="s">
        <v>329</v>
      </c>
      <c r="H63" s="39">
        <f t="shared" si="15"/>
        <v>582</v>
      </c>
      <c r="I63" s="70">
        <f t="shared" si="16"/>
        <v>0</v>
      </c>
      <c r="J63" s="79">
        <f t="shared" si="21"/>
        <v>2759803.0804108498</v>
      </c>
      <c r="K63" s="75" t="s">
        <v>124</v>
      </c>
      <c r="L63" s="39">
        <f t="shared" si="17"/>
        <v>43.5</v>
      </c>
      <c r="M63" s="70">
        <f t="shared" si="18"/>
        <v>6.9444444000000003E-3</v>
      </c>
      <c r="N63" s="79">
        <f t="shared" si="22"/>
        <v>15981753.58661638</v>
      </c>
      <c r="O63" s="75" t="s">
        <v>85</v>
      </c>
      <c r="P63" s="39">
        <f t="shared" si="19"/>
        <v>157</v>
      </c>
      <c r="Q63" s="70">
        <f t="shared" si="20"/>
        <v>6.4102563999999997E-3</v>
      </c>
      <c r="R63" s="79">
        <f t="shared" si="23"/>
        <v>9923695.6092006806</v>
      </c>
    </row>
    <row r="64" spans="1:18">
      <c r="A64" s="40" t="s">
        <v>80</v>
      </c>
      <c r="B64" s="11" t="s">
        <v>81</v>
      </c>
      <c r="C64" s="86">
        <v>439</v>
      </c>
      <c r="D64" s="34">
        <v>1.15207373E-2</v>
      </c>
      <c r="E64" s="84">
        <v>9208937.8916976992</v>
      </c>
      <c r="F64" s="35"/>
      <c r="G64" s="52" t="s">
        <v>195</v>
      </c>
      <c r="H64" s="39">
        <f t="shared" si="15"/>
        <v>8.93</v>
      </c>
      <c r="I64" s="70">
        <f t="shared" si="16"/>
        <v>0</v>
      </c>
      <c r="J64" s="79">
        <f t="shared" si="21"/>
        <v>155507269.04727131</v>
      </c>
      <c r="K64" s="75" t="s">
        <v>122</v>
      </c>
      <c r="L64" s="39">
        <f t="shared" si="17"/>
        <v>30</v>
      </c>
      <c r="M64" s="70">
        <f t="shared" si="18"/>
        <v>6.7114093999999999E-3</v>
      </c>
      <c r="N64" s="79">
        <f t="shared" si="22"/>
        <v>83207081.940574735</v>
      </c>
      <c r="O64" s="75" t="s">
        <v>187</v>
      </c>
      <c r="P64" s="39">
        <f t="shared" si="19"/>
        <v>977</v>
      </c>
      <c r="Q64" s="70">
        <f t="shared" si="20"/>
        <v>6.1791967000000003E-3</v>
      </c>
      <c r="R64" s="79">
        <f t="shared" si="23"/>
        <v>2171444.1772344401</v>
      </c>
    </row>
    <row r="65" spans="1:18" ht="17.25" thickBot="1">
      <c r="A65" s="40" t="s">
        <v>144</v>
      </c>
      <c r="B65" s="11" t="s">
        <v>145</v>
      </c>
      <c r="C65" s="86">
        <v>87.9</v>
      </c>
      <c r="D65" s="34">
        <v>1.1507479899999999E-2</v>
      </c>
      <c r="E65" s="84">
        <v>38786805.334826753</v>
      </c>
      <c r="F65" s="35"/>
      <c r="G65" s="53" t="s">
        <v>51</v>
      </c>
      <c r="H65" s="37">
        <f t="shared" si="15"/>
        <v>113</v>
      </c>
      <c r="I65" s="72">
        <f t="shared" si="16"/>
        <v>0</v>
      </c>
      <c r="J65" s="80">
        <f t="shared" si="21"/>
        <v>5707741.5225241799</v>
      </c>
      <c r="K65" s="77" t="s">
        <v>138</v>
      </c>
      <c r="L65" s="37">
        <f t="shared" si="17"/>
        <v>47.4</v>
      </c>
      <c r="M65" s="72">
        <f t="shared" si="18"/>
        <v>6.3694268000000004E-3</v>
      </c>
      <c r="N65" s="80">
        <f t="shared" si="22"/>
        <v>107170973.19951589</v>
      </c>
      <c r="O65" s="77" t="s">
        <v>66</v>
      </c>
      <c r="P65" s="37">
        <f t="shared" si="19"/>
        <v>972</v>
      </c>
      <c r="Q65" s="72">
        <f t="shared" si="20"/>
        <v>5.1706308000000001E-3</v>
      </c>
      <c r="R65" s="80">
        <f t="shared" si="23"/>
        <v>999753.87835536001</v>
      </c>
    </row>
    <row r="66" spans="1:18">
      <c r="A66" s="40" t="s">
        <v>212</v>
      </c>
      <c r="B66" s="11" t="s">
        <v>213</v>
      </c>
      <c r="C66" s="86">
        <v>621</v>
      </c>
      <c r="D66" s="34">
        <v>1.1400651499999999E-2</v>
      </c>
      <c r="E66" s="84">
        <v>1469867.82506498</v>
      </c>
      <c r="F66" s="35"/>
      <c r="G66" s="52" t="s">
        <v>174</v>
      </c>
      <c r="H66" s="38">
        <f t="shared" si="15"/>
        <v>18180</v>
      </c>
      <c r="I66" s="69">
        <f t="shared" ref="I66:I75" si="24">_xlfn.IFNA(VLOOKUP(G66, $B$2:$D$200, 3, FALSE), "")</f>
        <v>-1.0989011E-3</v>
      </c>
      <c r="J66" s="78">
        <f t="shared" si="21"/>
        <v>123195.332883</v>
      </c>
      <c r="K66" s="74" t="s">
        <v>225</v>
      </c>
      <c r="L66" s="38">
        <f t="shared" si="17"/>
        <v>98.3</v>
      </c>
      <c r="M66" s="69">
        <f t="shared" si="18"/>
        <v>5.1124743999999998E-3</v>
      </c>
      <c r="N66" s="78">
        <f t="shared" si="22"/>
        <v>163971961.209005</v>
      </c>
      <c r="O66" s="74" t="s">
        <v>201</v>
      </c>
      <c r="P66" s="38">
        <f t="shared" si="19"/>
        <v>283</v>
      </c>
      <c r="Q66" s="69">
        <f t="shared" si="20"/>
        <v>3.5460993000000001E-3</v>
      </c>
      <c r="R66" s="78">
        <f t="shared" si="23"/>
        <v>5258905.3422648301</v>
      </c>
    </row>
    <row r="67" spans="1:18">
      <c r="A67" s="40" t="s">
        <v>252</v>
      </c>
      <c r="B67" s="11" t="s">
        <v>253</v>
      </c>
      <c r="C67" s="86">
        <v>97.7</v>
      </c>
      <c r="D67" s="34">
        <v>1.13871636E-2</v>
      </c>
      <c r="E67" s="84">
        <v>109195499.22109433</v>
      </c>
      <c r="F67" s="35"/>
      <c r="G67" s="52" t="s">
        <v>233</v>
      </c>
      <c r="H67" s="39">
        <f t="shared" si="15"/>
        <v>3885</v>
      </c>
      <c r="I67" s="70">
        <f t="shared" si="24"/>
        <v>-3.8461538E-3</v>
      </c>
      <c r="J67" s="79">
        <f t="shared" si="21"/>
        <v>348910.19130493997</v>
      </c>
      <c r="K67" s="75" t="s">
        <v>320</v>
      </c>
      <c r="L67" s="39">
        <f t="shared" si="17"/>
        <v>6.18</v>
      </c>
      <c r="M67" s="70">
        <f t="shared" si="18"/>
        <v>4.8780487999999997E-3</v>
      </c>
      <c r="N67" s="79">
        <f t="shared" si="22"/>
        <v>97077611.118712202</v>
      </c>
      <c r="O67" s="75" t="s">
        <v>229</v>
      </c>
      <c r="P67" s="39">
        <f t="shared" si="19"/>
        <v>338</v>
      </c>
      <c r="Q67" s="70">
        <f t="shared" si="20"/>
        <v>2.9673591000000002E-3</v>
      </c>
      <c r="R67" s="79">
        <f t="shared" si="23"/>
        <v>12133259.81880931</v>
      </c>
    </row>
    <row r="68" spans="1:18">
      <c r="A68" s="40" t="s">
        <v>206</v>
      </c>
      <c r="B68" s="11" t="s">
        <v>207</v>
      </c>
      <c r="C68" s="86">
        <v>98.2</v>
      </c>
      <c r="D68" s="34">
        <v>1.13285273E-2</v>
      </c>
      <c r="E68" s="84">
        <v>40242715.913730629</v>
      </c>
      <c r="F68" s="35"/>
      <c r="G68" s="52" t="s">
        <v>332</v>
      </c>
      <c r="H68" s="39">
        <f t="shared" si="15"/>
        <v>8.82</v>
      </c>
      <c r="I68" s="70">
        <f t="shared" si="24"/>
        <v>-6.7567568000000003E-3</v>
      </c>
      <c r="J68" s="79">
        <f t="shared" si="21"/>
        <v>648201148.77427471</v>
      </c>
      <c r="K68" s="75" t="s">
        <v>132</v>
      </c>
      <c r="L68" s="39">
        <f t="shared" si="17"/>
        <v>75.2</v>
      </c>
      <c r="M68" s="70">
        <f t="shared" si="18"/>
        <v>4.0053405000000002E-3</v>
      </c>
      <c r="N68" s="79">
        <f t="shared" si="22"/>
        <v>37034183.292981103</v>
      </c>
      <c r="O68" s="75" t="s">
        <v>176</v>
      </c>
      <c r="P68" s="39">
        <f t="shared" si="19"/>
        <v>390</v>
      </c>
      <c r="Q68" s="70">
        <f t="shared" si="20"/>
        <v>2.5706941000000001E-3</v>
      </c>
      <c r="R68" s="79">
        <f t="shared" si="23"/>
        <v>3320953.3565916899</v>
      </c>
    </row>
    <row r="69" spans="1:18">
      <c r="A69" s="40" t="s">
        <v>230</v>
      </c>
      <c r="B69" s="11" t="s">
        <v>231</v>
      </c>
      <c r="C69" s="86">
        <v>458</v>
      </c>
      <c r="D69" s="34">
        <v>1.1037527599999999E-2</v>
      </c>
      <c r="E69" s="84">
        <v>19948307.510635741</v>
      </c>
      <c r="F69" s="35"/>
      <c r="G69" s="52" t="s">
        <v>235</v>
      </c>
      <c r="H69" s="39">
        <f t="shared" si="15"/>
        <v>728</v>
      </c>
      <c r="I69" s="70">
        <f t="shared" si="24"/>
        <v>-6.8212823999999998E-3</v>
      </c>
      <c r="J69" s="79">
        <f t="shared" si="21"/>
        <v>3452029.6607014402</v>
      </c>
      <c r="K69" s="75" t="s">
        <v>221</v>
      </c>
      <c r="L69" s="39">
        <f t="shared" si="17"/>
        <v>25.8</v>
      </c>
      <c r="M69" s="70">
        <f t="shared" si="18"/>
        <v>3.8910505999999998E-3</v>
      </c>
      <c r="N69" s="79">
        <f t="shared" si="22"/>
        <v>27498840.31254768</v>
      </c>
      <c r="O69" s="75" t="s">
        <v>157</v>
      </c>
      <c r="P69" s="39">
        <f t="shared" si="19"/>
        <v>423</v>
      </c>
      <c r="Q69" s="70">
        <f t="shared" si="20"/>
        <v>2.3696682000000002E-3</v>
      </c>
      <c r="R69" s="79">
        <f t="shared" si="23"/>
        <v>3965278.22324199</v>
      </c>
    </row>
    <row r="70" spans="1:18">
      <c r="A70" s="40" t="s">
        <v>345</v>
      </c>
      <c r="B70" s="11" t="s">
        <v>346</v>
      </c>
      <c r="C70" s="86">
        <v>282</v>
      </c>
      <c r="D70" s="34">
        <v>1.0752688200000001E-2</v>
      </c>
      <c r="E70" s="84">
        <v>4485792.2492351402</v>
      </c>
      <c r="F70" s="35"/>
      <c r="G70" s="52" t="s">
        <v>165</v>
      </c>
      <c r="H70" s="39">
        <f t="shared" si="15"/>
        <v>1625</v>
      </c>
      <c r="I70" s="70">
        <f t="shared" si="24"/>
        <v>-9.1463415000000003E-3</v>
      </c>
      <c r="J70" s="83">
        <f t="shared" si="21"/>
        <v>2713678.6825716598</v>
      </c>
      <c r="K70" s="76" t="s">
        <v>197</v>
      </c>
      <c r="L70" s="44">
        <f t="shared" si="17"/>
        <v>12.7</v>
      </c>
      <c r="M70" s="71">
        <f t="shared" si="18"/>
        <v>0</v>
      </c>
      <c r="N70" s="83">
        <f t="shared" si="22"/>
        <v>185784079.51819316</v>
      </c>
      <c r="O70" s="76" t="s">
        <v>329</v>
      </c>
      <c r="P70" s="44">
        <f t="shared" si="19"/>
        <v>582</v>
      </c>
      <c r="Q70" s="71">
        <f t="shared" si="20"/>
        <v>0</v>
      </c>
      <c r="R70" s="83">
        <f t="shared" si="23"/>
        <v>2759803.0804108498</v>
      </c>
    </row>
    <row r="71" spans="1:18">
      <c r="A71" s="40" t="s">
        <v>90</v>
      </c>
      <c r="B71" s="11" t="s">
        <v>91</v>
      </c>
      <c r="C71" s="86">
        <v>20780</v>
      </c>
      <c r="D71" s="34">
        <v>1.0700389100000001E-2</v>
      </c>
      <c r="E71" s="84">
        <v>126063.94193984001</v>
      </c>
      <c r="F71" s="35"/>
      <c r="G71" s="56" t="s">
        <v>113</v>
      </c>
      <c r="H71" s="45">
        <f t="shared" si="15"/>
        <v>1670</v>
      </c>
      <c r="I71" s="73">
        <f t="shared" si="24"/>
        <v>-1.1834319500000001E-2</v>
      </c>
      <c r="J71" s="89">
        <f t="shared" si="21"/>
        <v>1308721.78465334</v>
      </c>
      <c r="K71" s="75" t="s">
        <v>97</v>
      </c>
      <c r="L71" s="39">
        <f t="shared" si="17"/>
        <v>8.9999999999999998E-4</v>
      </c>
      <c r="M71" s="70">
        <f t="shared" si="18"/>
        <v>0</v>
      </c>
      <c r="N71" s="89">
        <f t="shared" si="22"/>
        <v>322224695783.72076</v>
      </c>
      <c r="O71" s="75" t="s">
        <v>51</v>
      </c>
      <c r="P71" s="39">
        <f t="shared" si="19"/>
        <v>113</v>
      </c>
      <c r="Q71" s="70">
        <f t="shared" si="20"/>
        <v>0</v>
      </c>
      <c r="R71" s="89">
        <f t="shared" si="23"/>
        <v>5707741.5225241799</v>
      </c>
    </row>
    <row r="72" spans="1:18">
      <c r="A72" s="40" t="s">
        <v>88</v>
      </c>
      <c r="B72" s="11" t="s">
        <v>89</v>
      </c>
      <c r="C72" s="86">
        <v>490</v>
      </c>
      <c r="D72" s="34">
        <v>1.03092784E-2</v>
      </c>
      <c r="E72" s="84">
        <v>56349249.367101759</v>
      </c>
      <c r="F72" s="35"/>
      <c r="G72" s="52" t="s">
        <v>227</v>
      </c>
      <c r="H72" s="39">
        <f t="shared" si="15"/>
        <v>65.8</v>
      </c>
      <c r="I72" s="70">
        <f t="shared" si="24"/>
        <v>-1.34932534E-2</v>
      </c>
      <c r="J72" s="79">
        <f t="shared" si="21"/>
        <v>29004512.453436229</v>
      </c>
      <c r="K72" s="75" t="s">
        <v>143</v>
      </c>
      <c r="L72" s="39">
        <f t="shared" si="17"/>
        <v>6.35</v>
      </c>
      <c r="M72" s="70">
        <f t="shared" si="18"/>
        <v>0</v>
      </c>
      <c r="N72" s="79">
        <f t="shared" si="22"/>
        <v>187188407.32801723</v>
      </c>
      <c r="O72" s="75" t="s">
        <v>235</v>
      </c>
      <c r="P72" s="39">
        <f t="shared" si="19"/>
        <v>728</v>
      </c>
      <c r="Q72" s="70">
        <f t="shared" si="20"/>
        <v>-6.8212823999999998E-3</v>
      </c>
      <c r="R72" s="79">
        <f t="shared" si="23"/>
        <v>3452029.6607014402</v>
      </c>
    </row>
    <row r="73" spans="1:18">
      <c r="A73" s="40" t="s">
        <v>106</v>
      </c>
      <c r="B73" s="11" t="s">
        <v>107</v>
      </c>
      <c r="C73" s="86">
        <v>49.3</v>
      </c>
      <c r="D73" s="34">
        <v>1.0245901599999999E-2</v>
      </c>
      <c r="E73" s="84">
        <v>20770161.181235451</v>
      </c>
      <c r="F73" s="35"/>
      <c r="G73" s="52" t="s">
        <v>215</v>
      </c>
      <c r="H73" s="39">
        <f t="shared" si="15"/>
        <v>531</v>
      </c>
      <c r="I73" s="70">
        <f t="shared" si="24"/>
        <v>-1.48423006E-2</v>
      </c>
      <c r="J73" s="79">
        <f t="shared" si="21"/>
        <v>11368362.18785804</v>
      </c>
      <c r="K73" s="75" t="s">
        <v>195</v>
      </c>
      <c r="L73" s="39">
        <f t="shared" si="17"/>
        <v>8.93</v>
      </c>
      <c r="M73" s="70">
        <f t="shared" si="18"/>
        <v>0</v>
      </c>
      <c r="N73" s="79">
        <f t="shared" si="22"/>
        <v>155507269.04727131</v>
      </c>
      <c r="O73" s="75" t="s">
        <v>215</v>
      </c>
      <c r="P73" s="39">
        <f t="shared" si="19"/>
        <v>531</v>
      </c>
      <c r="Q73" s="70">
        <f t="shared" si="20"/>
        <v>-1.48423006E-2</v>
      </c>
      <c r="R73" s="79">
        <f t="shared" si="23"/>
        <v>11368362.18785804</v>
      </c>
    </row>
    <row r="74" spans="1:18">
      <c r="A74" s="40" t="s">
        <v>216</v>
      </c>
      <c r="B74" s="11" t="s">
        <v>217</v>
      </c>
      <c r="C74" s="86">
        <v>91.6</v>
      </c>
      <c r="D74" s="34">
        <v>9.9228224999999993E-3</v>
      </c>
      <c r="E74" s="84">
        <v>14137344.941386269</v>
      </c>
      <c r="F74" s="35"/>
      <c r="G74" s="52" t="s">
        <v>183</v>
      </c>
      <c r="H74" s="39">
        <f t="shared" si="15"/>
        <v>171</v>
      </c>
      <c r="I74" s="70">
        <f t="shared" si="24"/>
        <v>-1.7241379300000002E-2</v>
      </c>
      <c r="J74" s="79">
        <f t="shared" si="21"/>
        <v>11955464.267435569</v>
      </c>
      <c r="K74" s="75" t="s">
        <v>332</v>
      </c>
      <c r="L74" s="39">
        <f t="shared" si="17"/>
        <v>8.82</v>
      </c>
      <c r="M74" s="70">
        <f t="shared" si="18"/>
        <v>-6.7567568000000003E-3</v>
      </c>
      <c r="N74" s="79">
        <f t="shared" si="22"/>
        <v>648201148.77427471</v>
      </c>
      <c r="O74" s="75" t="s">
        <v>183</v>
      </c>
      <c r="P74" s="39">
        <f t="shared" si="19"/>
        <v>171</v>
      </c>
      <c r="Q74" s="70">
        <f t="shared" si="20"/>
        <v>-1.7241379300000002E-2</v>
      </c>
      <c r="R74" s="79">
        <f t="shared" si="23"/>
        <v>11955464.267435569</v>
      </c>
    </row>
    <row r="75" spans="1:18" ht="17.25" thickBot="1">
      <c r="A75" s="40" t="s">
        <v>236</v>
      </c>
      <c r="B75" s="11" t="s">
        <v>237</v>
      </c>
      <c r="C75" s="86">
        <v>35.6</v>
      </c>
      <c r="D75" s="34">
        <v>8.4985835999999999E-3</v>
      </c>
      <c r="E75" s="84">
        <v>16116832.91495979</v>
      </c>
      <c r="F75" s="35"/>
      <c r="G75" s="53" t="s">
        <v>239</v>
      </c>
      <c r="H75" s="37">
        <f t="shared" si="15"/>
        <v>582</v>
      </c>
      <c r="I75" s="72">
        <f t="shared" si="24"/>
        <v>-2.34899329E-2</v>
      </c>
      <c r="J75" s="80">
        <f t="shared" si="21"/>
        <v>16310456.12417206</v>
      </c>
      <c r="K75" s="77" t="s">
        <v>227</v>
      </c>
      <c r="L75" s="37">
        <f t="shared" si="17"/>
        <v>65.8</v>
      </c>
      <c r="M75" s="72">
        <f t="shared" si="18"/>
        <v>-1.34932534E-2</v>
      </c>
      <c r="N75" s="80">
        <f t="shared" si="22"/>
        <v>29004512.453436229</v>
      </c>
      <c r="O75" s="77" t="s">
        <v>239</v>
      </c>
      <c r="P75" s="37">
        <f t="shared" si="19"/>
        <v>582</v>
      </c>
      <c r="Q75" s="72">
        <f t="shared" si="20"/>
        <v>-2.34899329E-2</v>
      </c>
      <c r="R75" s="80">
        <f t="shared" si="23"/>
        <v>16310456.12417206</v>
      </c>
    </row>
    <row r="76" spans="1:18">
      <c r="A76" s="40" t="s">
        <v>198</v>
      </c>
      <c r="B76" s="11" t="s">
        <v>199</v>
      </c>
      <c r="C76" s="86">
        <v>357</v>
      </c>
      <c r="D76" s="34">
        <v>8.4745762999999998E-3</v>
      </c>
      <c r="E76" s="84">
        <v>3343476.0297046299</v>
      </c>
      <c r="F76" s="35"/>
      <c r="G76" s="35"/>
      <c r="H76" s="35"/>
      <c r="I76" s="35"/>
    </row>
    <row r="77" spans="1:18">
      <c r="A77" s="40" t="s">
        <v>166</v>
      </c>
      <c r="B77" s="11" t="s">
        <v>167</v>
      </c>
      <c r="C77" s="86">
        <v>242</v>
      </c>
      <c r="D77" s="34">
        <v>8.3333333000000006E-3</v>
      </c>
      <c r="E77" s="84">
        <v>3673235.7100260099</v>
      </c>
      <c r="F77" s="35"/>
      <c r="G77" s="35"/>
      <c r="H77" s="35"/>
      <c r="I77" s="35"/>
    </row>
    <row r="78" spans="1:18">
      <c r="A78" s="40" t="s">
        <v>240</v>
      </c>
      <c r="B78" s="11" t="s">
        <v>241</v>
      </c>
      <c r="C78" s="86">
        <v>122</v>
      </c>
      <c r="D78" s="34">
        <v>8.2644628000000005E-3</v>
      </c>
      <c r="E78" s="84">
        <v>2777523.1730704498</v>
      </c>
      <c r="F78" s="35"/>
      <c r="G78" s="35"/>
      <c r="H78" s="35"/>
      <c r="I78" s="35"/>
    </row>
    <row r="79" spans="1:18">
      <c r="A79" s="40" t="s">
        <v>351</v>
      </c>
      <c r="B79" s="11" t="s">
        <v>352</v>
      </c>
      <c r="C79" s="86">
        <v>247</v>
      </c>
      <c r="D79" s="34">
        <v>8.1632652999999999E-3</v>
      </c>
      <c r="E79" s="84">
        <v>92156218.933080077</v>
      </c>
      <c r="F79" s="35"/>
      <c r="G79" s="35"/>
      <c r="H79" s="35"/>
      <c r="I79" s="35"/>
    </row>
    <row r="80" spans="1:18">
      <c r="A80" s="40" t="s">
        <v>177</v>
      </c>
      <c r="B80" s="11" t="s">
        <v>178</v>
      </c>
      <c r="C80" s="86">
        <v>2490</v>
      </c>
      <c r="D80" s="34">
        <v>8.0971659999999994E-3</v>
      </c>
      <c r="E80" s="84">
        <v>886016.06726338004</v>
      </c>
      <c r="F80" s="35"/>
      <c r="G80" s="35"/>
      <c r="H80" s="35"/>
      <c r="I80" s="35"/>
    </row>
    <row r="81" spans="1:9">
      <c r="A81" s="40" t="s">
        <v>222</v>
      </c>
      <c r="B81" s="11" t="s">
        <v>223</v>
      </c>
      <c r="C81" s="86">
        <v>275</v>
      </c>
      <c r="D81" s="34">
        <v>7.3260073000000004E-3</v>
      </c>
      <c r="E81" s="84">
        <v>2016514.0283174401</v>
      </c>
      <c r="F81" s="35"/>
      <c r="G81" s="35"/>
      <c r="H81" s="35"/>
      <c r="I81" s="35"/>
    </row>
    <row r="82" spans="1:9">
      <c r="A82" s="40" t="s">
        <v>218</v>
      </c>
      <c r="B82" s="11" t="s">
        <v>219</v>
      </c>
      <c r="C82" s="86">
        <v>551</v>
      </c>
      <c r="D82" s="34">
        <v>7.3126142999999999E-3</v>
      </c>
      <c r="E82" s="84">
        <v>2906146.7715725601</v>
      </c>
      <c r="F82" s="35"/>
      <c r="G82" s="35"/>
      <c r="H82" s="35"/>
      <c r="I82" s="35"/>
    </row>
    <row r="83" spans="1:9">
      <c r="A83" s="40" t="s">
        <v>204</v>
      </c>
      <c r="B83" s="11" t="s">
        <v>205</v>
      </c>
      <c r="C83" s="86">
        <v>139</v>
      </c>
      <c r="D83" s="34">
        <v>7.2463768E-3</v>
      </c>
      <c r="E83" s="84">
        <v>3525165.87201417</v>
      </c>
      <c r="F83" s="35"/>
      <c r="G83" s="35"/>
      <c r="H83" s="35"/>
      <c r="I83" s="35"/>
    </row>
    <row r="84" spans="1:9">
      <c r="A84" s="40" t="s">
        <v>184</v>
      </c>
      <c r="B84" s="11" t="s">
        <v>185</v>
      </c>
      <c r="C84" s="86">
        <v>42.4</v>
      </c>
      <c r="D84" s="34">
        <v>7.1258907E-3</v>
      </c>
      <c r="E84" s="84">
        <v>47642508.262611248</v>
      </c>
      <c r="F84" s="35"/>
      <c r="G84" s="35"/>
      <c r="H84" s="35"/>
      <c r="I84" s="35"/>
    </row>
    <row r="85" spans="1:9">
      <c r="A85" s="40" t="s">
        <v>123</v>
      </c>
      <c r="B85" s="11" t="s">
        <v>124</v>
      </c>
      <c r="C85" s="86">
        <v>43.5</v>
      </c>
      <c r="D85" s="34">
        <v>6.9444444000000003E-3</v>
      </c>
      <c r="E85" s="84">
        <v>15981753.58661638</v>
      </c>
      <c r="F85" s="35"/>
      <c r="G85" s="35"/>
      <c r="H85" s="35"/>
      <c r="I85" s="35"/>
    </row>
    <row r="86" spans="1:9">
      <c r="A86" s="40" t="s">
        <v>121</v>
      </c>
      <c r="B86" s="11" t="s">
        <v>122</v>
      </c>
      <c r="C86" s="86">
        <v>30</v>
      </c>
      <c r="D86" s="34">
        <v>6.7114093999999999E-3</v>
      </c>
      <c r="E86" s="84">
        <v>83207081.940574735</v>
      </c>
      <c r="F86" s="35"/>
      <c r="G86" s="35"/>
      <c r="H86" s="35"/>
      <c r="I86" s="35"/>
    </row>
    <row r="87" spans="1:9">
      <c r="A87" s="40" t="s">
        <v>84</v>
      </c>
      <c r="B87" s="11" t="s">
        <v>85</v>
      </c>
      <c r="C87" s="86">
        <v>157</v>
      </c>
      <c r="D87" s="34">
        <v>6.4102563999999997E-3</v>
      </c>
      <c r="E87" s="84">
        <v>9923695.6092006806</v>
      </c>
      <c r="F87" s="35"/>
      <c r="G87" s="35"/>
      <c r="H87" s="35"/>
      <c r="I87" s="35"/>
    </row>
    <row r="88" spans="1:9">
      <c r="A88" s="40" t="s">
        <v>86</v>
      </c>
      <c r="B88" s="11" t="s">
        <v>87</v>
      </c>
      <c r="C88" s="86">
        <v>47260</v>
      </c>
      <c r="D88" s="34">
        <v>6.3884157000000004E-3</v>
      </c>
      <c r="E88" s="84">
        <v>22998.33268942</v>
      </c>
      <c r="F88" s="35"/>
      <c r="G88" s="35"/>
      <c r="H88" s="35"/>
      <c r="I88" s="35"/>
    </row>
    <row r="89" spans="1:9">
      <c r="A89" s="40" t="s">
        <v>137</v>
      </c>
      <c r="B89" s="11" t="s">
        <v>138</v>
      </c>
      <c r="C89" s="86">
        <v>47.4</v>
      </c>
      <c r="D89" s="34">
        <v>6.3694268000000004E-3</v>
      </c>
      <c r="E89" s="84">
        <v>107170973.19951589</v>
      </c>
      <c r="F89" s="35"/>
      <c r="G89" s="35"/>
      <c r="H89" s="35"/>
      <c r="I89" s="35"/>
    </row>
    <row r="90" spans="1:9">
      <c r="A90" s="40" t="s">
        <v>186</v>
      </c>
      <c r="B90" s="11" t="s">
        <v>187</v>
      </c>
      <c r="C90" s="86">
        <v>977</v>
      </c>
      <c r="D90" s="34">
        <v>6.1791967000000003E-3</v>
      </c>
      <c r="E90" s="84">
        <v>2171444.1772344401</v>
      </c>
      <c r="F90" s="35"/>
      <c r="G90" s="35"/>
      <c r="H90" s="35"/>
      <c r="I90" s="35"/>
    </row>
    <row r="91" spans="1:9">
      <c r="A91" s="40" t="s">
        <v>115</v>
      </c>
      <c r="B91" s="11" t="s">
        <v>116</v>
      </c>
      <c r="C91" s="86">
        <v>1740</v>
      </c>
      <c r="D91" s="34">
        <v>5.7803467999999998E-3</v>
      </c>
      <c r="E91" s="84">
        <v>798535.98105597997</v>
      </c>
      <c r="F91" s="35"/>
      <c r="G91" s="35"/>
      <c r="H91" s="35"/>
      <c r="I91" s="35"/>
    </row>
    <row r="92" spans="1:9">
      <c r="A92" s="40" t="s">
        <v>65</v>
      </c>
      <c r="B92" s="11" t="s">
        <v>66</v>
      </c>
      <c r="C92" s="86">
        <v>972</v>
      </c>
      <c r="D92" s="34">
        <v>5.1706308000000001E-3</v>
      </c>
      <c r="E92" s="84">
        <v>999753.87835536001</v>
      </c>
      <c r="F92" s="35"/>
      <c r="G92" s="35"/>
      <c r="H92" s="35"/>
      <c r="I92" s="35"/>
    </row>
    <row r="93" spans="1:9">
      <c r="A93" s="40" t="s">
        <v>224</v>
      </c>
      <c r="B93" s="11" t="s">
        <v>225</v>
      </c>
      <c r="C93" s="86">
        <v>98.3</v>
      </c>
      <c r="D93" s="34">
        <v>5.1124743999999998E-3</v>
      </c>
      <c r="E93" s="84">
        <v>163971961.209005</v>
      </c>
      <c r="F93" s="35"/>
      <c r="G93" s="35"/>
      <c r="H93" s="35"/>
      <c r="I93" s="35"/>
    </row>
    <row r="94" spans="1:9">
      <c r="A94" s="40" t="s">
        <v>179</v>
      </c>
      <c r="B94" s="11" t="s">
        <v>320</v>
      </c>
      <c r="C94" s="86">
        <v>6.18</v>
      </c>
      <c r="D94" s="34">
        <v>4.8780487999999997E-3</v>
      </c>
      <c r="E94" s="84">
        <v>97077611.118712202</v>
      </c>
      <c r="F94" s="35"/>
      <c r="G94" s="35"/>
      <c r="H94" s="35"/>
      <c r="I94" s="35"/>
    </row>
    <row r="95" spans="1:9">
      <c r="A95" s="40" t="s">
        <v>131</v>
      </c>
      <c r="B95" s="11" t="s">
        <v>132</v>
      </c>
      <c r="C95" s="86">
        <v>75.2</v>
      </c>
      <c r="D95" s="34">
        <v>4.0053405000000002E-3</v>
      </c>
      <c r="E95" s="84">
        <v>37034183.292981103</v>
      </c>
      <c r="F95" s="35"/>
      <c r="G95" s="35"/>
      <c r="H95" s="35"/>
      <c r="I95" s="35"/>
    </row>
    <row r="96" spans="1:9">
      <c r="A96" s="40" t="s">
        <v>220</v>
      </c>
      <c r="B96" s="11" t="s">
        <v>221</v>
      </c>
      <c r="C96" s="86">
        <v>25.8</v>
      </c>
      <c r="D96" s="34">
        <v>3.8910505999999998E-3</v>
      </c>
      <c r="E96" s="84">
        <v>27498840.31254768</v>
      </c>
      <c r="F96" s="35"/>
      <c r="G96" s="35"/>
      <c r="H96" s="35"/>
      <c r="I96" s="35"/>
    </row>
    <row r="97" spans="1:9">
      <c r="A97" s="40" t="s">
        <v>200</v>
      </c>
      <c r="B97" s="11" t="s">
        <v>201</v>
      </c>
      <c r="C97" s="86">
        <v>283</v>
      </c>
      <c r="D97" s="34">
        <v>3.5460993000000001E-3</v>
      </c>
      <c r="E97" s="84">
        <v>5258905.3422648301</v>
      </c>
      <c r="F97" s="35"/>
      <c r="G97" s="35"/>
      <c r="H97" s="35"/>
      <c r="I97" s="35"/>
    </row>
    <row r="98" spans="1:9">
      <c r="A98" s="40" t="s">
        <v>228</v>
      </c>
      <c r="B98" s="11" t="s">
        <v>229</v>
      </c>
      <c r="C98" s="86">
        <v>338</v>
      </c>
      <c r="D98" s="34">
        <v>2.9673591000000002E-3</v>
      </c>
      <c r="E98" s="84">
        <v>12133259.81880931</v>
      </c>
      <c r="F98" s="35"/>
      <c r="G98" s="35"/>
      <c r="H98" s="35"/>
      <c r="I98" s="35"/>
    </row>
    <row r="99" spans="1:9">
      <c r="A99" s="40" t="s">
        <v>175</v>
      </c>
      <c r="B99" s="11" t="s">
        <v>176</v>
      </c>
      <c r="C99" s="86">
        <v>390</v>
      </c>
      <c r="D99" s="34">
        <v>2.5706941000000001E-3</v>
      </c>
      <c r="E99" s="84">
        <v>3320953.3565916899</v>
      </c>
      <c r="F99" s="35"/>
      <c r="G99" s="35"/>
      <c r="H99" s="35"/>
      <c r="I99" s="35"/>
    </row>
    <row r="100" spans="1:9">
      <c r="A100" s="40" t="s">
        <v>156</v>
      </c>
      <c r="B100" s="11" t="s">
        <v>157</v>
      </c>
      <c r="C100" s="86">
        <v>423</v>
      </c>
      <c r="D100" s="34">
        <v>2.3696682000000002E-3</v>
      </c>
      <c r="E100" s="84">
        <v>3965278.22324199</v>
      </c>
      <c r="F100" s="35"/>
      <c r="G100" s="35"/>
      <c r="H100" s="35"/>
      <c r="I100" s="35"/>
    </row>
    <row r="101" spans="1:9">
      <c r="A101" s="40" t="s">
        <v>196</v>
      </c>
      <c r="B101" s="11" t="s">
        <v>197</v>
      </c>
      <c r="C101" s="86">
        <v>12.7</v>
      </c>
      <c r="D101" s="34">
        <v>0</v>
      </c>
      <c r="E101" s="84">
        <v>185784079.51819316</v>
      </c>
      <c r="F101" s="35"/>
      <c r="G101" s="35"/>
      <c r="H101" s="35"/>
      <c r="I101" s="35"/>
    </row>
    <row r="102" spans="1:9">
      <c r="A102" s="40" t="s">
        <v>96</v>
      </c>
      <c r="B102" s="11" t="s">
        <v>97</v>
      </c>
      <c r="C102" s="86">
        <v>8.9999999999999998E-4</v>
      </c>
      <c r="D102" s="34">
        <v>0</v>
      </c>
      <c r="E102" s="84">
        <v>322224695783.72076</v>
      </c>
      <c r="F102" s="35"/>
      <c r="G102" s="35"/>
      <c r="H102" s="35"/>
      <c r="I102" s="35"/>
    </row>
    <row r="103" spans="1:9">
      <c r="A103" s="40" t="s">
        <v>142</v>
      </c>
      <c r="B103" s="11" t="s">
        <v>143</v>
      </c>
      <c r="C103" s="86">
        <v>6.35</v>
      </c>
      <c r="D103" s="34">
        <v>0</v>
      </c>
      <c r="E103" s="84">
        <v>187188407.32801723</v>
      </c>
      <c r="F103" s="35"/>
      <c r="G103" s="35"/>
      <c r="H103" s="35"/>
      <c r="I103" s="35"/>
    </row>
    <row r="104" spans="1:9">
      <c r="A104" s="40" t="s">
        <v>328</v>
      </c>
      <c r="B104" s="11" t="s">
        <v>329</v>
      </c>
      <c r="C104" s="86">
        <v>582</v>
      </c>
      <c r="D104" s="34">
        <v>0</v>
      </c>
      <c r="E104" s="84">
        <v>2759803.0804108498</v>
      </c>
      <c r="F104" s="35"/>
      <c r="G104" s="35"/>
      <c r="H104" s="35"/>
      <c r="I104" s="35"/>
    </row>
    <row r="105" spans="1:9">
      <c r="A105" s="40" t="s">
        <v>194</v>
      </c>
      <c r="B105" s="11" t="s">
        <v>195</v>
      </c>
      <c r="C105" s="86">
        <v>8.93</v>
      </c>
      <c r="D105" s="34">
        <v>0</v>
      </c>
      <c r="E105" s="84">
        <v>155507269.04727131</v>
      </c>
      <c r="F105" s="35"/>
      <c r="G105" s="35"/>
      <c r="H105" s="35"/>
      <c r="I105" s="35"/>
    </row>
    <row r="106" spans="1:9">
      <c r="A106" s="40" t="s">
        <v>50</v>
      </c>
      <c r="B106" s="11" t="s">
        <v>51</v>
      </c>
      <c r="C106" s="86">
        <v>113</v>
      </c>
      <c r="D106" s="34">
        <v>0</v>
      </c>
      <c r="E106" s="84">
        <v>5707741.5225241799</v>
      </c>
      <c r="F106" s="35"/>
      <c r="G106" s="35"/>
      <c r="H106" s="35"/>
      <c r="I106" s="35"/>
    </row>
    <row r="107" spans="1:9">
      <c r="A107" s="40" t="s">
        <v>173</v>
      </c>
      <c r="B107" s="11" t="s">
        <v>174</v>
      </c>
      <c r="C107" s="86">
        <v>18180</v>
      </c>
      <c r="D107" s="34">
        <v>-1.0989011E-3</v>
      </c>
      <c r="E107" s="84">
        <v>123195.332883</v>
      </c>
      <c r="F107" s="35"/>
      <c r="G107" s="35"/>
      <c r="H107" s="35"/>
      <c r="I107" s="35"/>
    </row>
    <row r="108" spans="1:9">
      <c r="A108" s="40" t="s">
        <v>232</v>
      </c>
      <c r="B108" s="11" t="s">
        <v>233</v>
      </c>
      <c r="C108" s="86">
        <v>3885</v>
      </c>
      <c r="D108" s="34">
        <v>-3.8461538E-3</v>
      </c>
      <c r="E108" s="84">
        <v>348910.19130493997</v>
      </c>
      <c r="F108" s="35"/>
      <c r="G108" s="35"/>
      <c r="H108" s="35"/>
      <c r="I108" s="35"/>
    </row>
    <row r="109" spans="1:9">
      <c r="A109" s="40" t="s">
        <v>170</v>
      </c>
      <c r="B109" s="11" t="s">
        <v>332</v>
      </c>
      <c r="C109" s="86">
        <v>8.82</v>
      </c>
      <c r="D109" s="34">
        <v>-6.7567568000000003E-3</v>
      </c>
      <c r="E109" s="41">
        <v>648201148.77427471</v>
      </c>
    </row>
    <row r="110" spans="1:9">
      <c r="A110" s="40" t="s">
        <v>234</v>
      </c>
      <c r="B110" s="11" t="s">
        <v>235</v>
      </c>
      <c r="C110" s="86">
        <v>728</v>
      </c>
      <c r="D110" s="34">
        <v>-6.8212823999999998E-3</v>
      </c>
      <c r="E110" s="41">
        <v>3452029.6607014402</v>
      </c>
    </row>
    <row r="111" spans="1:9">
      <c r="A111" s="40" t="s">
        <v>164</v>
      </c>
      <c r="B111" s="11" t="s">
        <v>165</v>
      </c>
      <c r="C111" s="86">
        <v>1625</v>
      </c>
      <c r="D111" s="34">
        <v>-9.1463415000000003E-3</v>
      </c>
      <c r="E111" s="41">
        <v>2713678.6825716598</v>
      </c>
    </row>
    <row r="112" spans="1:9">
      <c r="A112" s="40" t="s">
        <v>112</v>
      </c>
      <c r="B112" s="11" t="s">
        <v>113</v>
      </c>
      <c r="C112" s="86">
        <v>1670</v>
      </c>
      <c r="D112" s="34">
        <v>-1.1834319500000001E-2</v>
      </c>
      <c r="E112" s="41">
        <v>1308721.78465334</v>
      </c>
    </row>
    <row r="113" spans="1:5">
      <c r="A113" s="40" t="s">
        <v>226</v>
      </c>
      <c r="B113" s="11" t="s">
        <v>227</v>
      </c>
      <c r="C113" s="86">
        <v>65.8</v>
      </c>
      <c r="D113" s="34">
        <v>-1.34932534E-2</v>
      </c>
      <c r="E113" s="41">
        <v>29004512.453436229</v>
      </c>
    </row>
    <row r="114" spans="1:5">
      <c r="A114" s="40" t="s">
        <v>214</v>
      </c>
      <c r="B114" s="11" t="s">
        <v>215</v>
      </c>
      <c r="C114" s="86">
        <v>531</v>
      </c>
      <c r="D114" s="34">
        <v>-1.48423006E-2</v>
      </c>
      <c r="E114" s="41">
        <v>11368362.18785804</v>
      </c>
    </row>
    <row r="115" spans="1:5">
      <c r="A115" s="40" t="s">
        <v>182</v>
      </c>
      <c r="B115" s="11" t="s">
        <v>183</v>
      </c>
      <c r="C115" s="86">
        <v>171</v>
      </c>
      <c r="D115" s="34">
        <v>-1.7241379300000002E-2</v>
      </c>
      <c r="E115" s="41">
        <v>11955464.267435569</v>
      </c>
    </row>
    <row r="116" spans="1:5">
      <c r="A116" s="40" t="s">
        <v>238</v>
      </c>
      <c r="B116" s="11" t="s">
        <v>239</v>
      </c>
      <c r="C116" s="86">
        <v>582</v>
      </c>
      <c r="D116" s="34">
        <v>-2.34899329E-2</v>
      </c>
      <c r="E116" s="41">
        <v>16310456.12417206</v>
      </c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06"/>
    <col min="2" max="2" width="11.875" style="106" bestFit="1" customWidth="1"/>
    <col min="3" max="3" width="21.25" style="106" customWidth="1"/>
    <col min="4" max="4" width="16.25" style="106" bestFit="1" customWidth="1"/>
    <col min="5" max="5" width="9" style="106"/>
    <col min="6" max="6" width="14.375" style="106" bestFit="1" customWidth="1"/>
    <col min="7" max="7" width="16.25" style="106" bestFit="1" customWidth="1"/>
    <col min="8" max="8" width="9" style="106"/>
    <col min="9" max="9" width="14.5" style="106" customWidth="1"/>
    <col min="10" max="10" width="16.25" style="106" bestFit="1" customWidth="1"/>
    <col min="11" max="11" width="9" style="106"/>
    <col min="12" max="13" width="16.25" style="106" bestFit="1" customWidth="1"/>
    <col min="14" max="14" width="9" style="106"/>
    <col min="15" max="15" width="15.25" style="106" bestFit="1" customWidth="1"/>
    <col min="16" max="16" width="9" style="106" customWidth="1"/>
    <col min="17" max="19" width="12.125" style="106" customWidth="1"/>
    <col min="20" max="16384" width="9" style="106"/>
  </cols>
  <sheetData>
    <row r="1" spans="1:15" ht="16.5" customHeight="1" thickBot="1">
      <c r="A1" s="188" t="str">
        <f>TEXT(투자전략!$G$1, "[$-ko-KR]yyyy년 mm월") &amp; " 총결산"</f>
        <v>2023년 03월 총결산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5" ht="16.5" customHeight="1" thickBot="1">
      <c r="A2" s="185" t="s">
        <v>276</v>
      </c>
      <c r="B2" s="186"/>
      <c r="C2" s="186"/>
      <c r="D2" s="158" t="s">
        <v>272</v>
      </c>
      <c r="E2" s="158"/>
      <c r="F2" s="159"/>
      <c r="G2" s="188" t="s">
        <v>273</v>
      </c>
      <c r="H2" s="189"/>
      <c r="I2" s="190"/>
      <c r="J2" s="157" t="s">
        <v>274</v>
      </c>
      <c r="K2" s="158"/>
      <c r="L2" s="158"/>
      <c r="M2" s="158" t="s">
        <v>275</v>
      </c>
      <c r="N2" s="158"/>
      <c r="O2" s="159"/>
    </row>
    <row r="3" spans="1:15" ht="16.5" customHeight="1">
      <c r="A3" s="215">
        <v>1</v>
      </c>
      <c r="B3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Bottom20</v>
      </c>
      <c r="C3" s="187"/>
      <c r="D3" s="185" t="s">
        <v>277</v>
      </c>
      <c r="E3" s="186"/>
      <c r="F3" s="187"/>
      <c r="G3" s="185" t="s">
        <v>284</v>
      </c>
      <c r="H3" s="186"/>
      <c r="I3" s="187"/>
      <c r="J3" s="185" t="s">
        <v>291</v>
      </c>
      <c r="K3" s="186"/>
      <c r="L3" s="187"/>
      <c r="M3" s="185" t="s">
        <v>298</v>
      </c>
      <c r="N3" s="186"/>
      <c r="O3" s="187"/>
    </row>
    <row r="4" spans="1:15" ht="16.5" customHeight="1" thickBot="1">
      <c r="A4" s="216"/>
      <c r="B4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199,522 KRW (6.65%)</v>
      </c>
      <c r="C4" s="180"/>
      <c r="D4" s="178" t="str">
        <f ca="1" xml:space="preserve"> TEXT($F$92, "#,##0") &amp; " KRW (" &amp; TEXT($E$92, "0.00%)")</f>
        <v>91,183 KRW (3.04%)</v>
      </c>
      <c r="E4" s="179"/>
      <c r="F4" s="180"/>
      <c r="G4" s="178" t="str">
        <f ca="1" xml:space="preserve"> TEXT($I$92, "#,##0") &amp; " KRW (" &amp; TEXT($H$92, "0.00%)")</f>
        <v>-231,063 KRW (-7.70%)</v>
      </c>
      <c r="H4" s="179"/>
      <c r="I4" s="180"/>
      <c r="J4" s="178" t="str">
        <f ca="1" xml:space="preserve"> TEXT($L$92, "#,##0") &amp; " KRW (" &amp; TEXT($K$92, "0.00%)")</f>
        <v>-145,543 KRW (-4.85%)</v>
      </c>
      <c r="K4" s="179"/>
      <c r="L4" s="180"/>
      <c r="M4" s="178" t="str">
        <f ca="1" xml:space="preserve"> TEXT($O$92, "#,##0") &amp; " KRW (" &amp; TEXT($N$92, "0.00%)")</f>
        <v>-62,256 KRW (-2.08%)</v>
      </c>
      <c r="N4" s="179"/>
      <c r="O4" s="180"/>
    </row>
    <row r="5" spans="1:15" ht="16.5" customHeight="1">
      <c r="A5" s="215">
        <v>2</v>
      </c>
      <c r="B5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Bottom20</v>
      </c>
      <c r="C5" s="187"/>
      <c r="D5" s="185" t="s">
        <v>278</v>
      </c>
      <c r="E5" s="186"/>
      <c r="F5" s="187"/>
      <c r="G5" s="185" t="s">
        <v>285</v>
      </c>
      <c r="H5" s="186"/>
      <c r="I5" s="187"/>
      <c r="J5" s="185" t="s">
        <v>292</v>
      </c>
      <c r="K5" s="186"/>
      <c r="L5" s="187"/>
      <c r="M5" s="185" t="s">
        <v>299</v>
      </c>
      <c r="N5" s="186"/>
      <c r="O5" s="187"/>
    </row>
    <row r="6" spans="1:15" ht="16.5" customHeight="1" thickBot="1">
      <c r="A6" s="216"/>
      <c r="B6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170,869 KRW (5.70%)</v>
      </c>
      <c r="C6" s="180"/>
      <c r="D6" s="178" t="str">
        <f ca="1" xml:space="preserve"> TEXT($F$130, "#,##0") &amp; " KRW (" &amp; TEXT($E$130, "0.00%)")</f>
        <v>62,332 KRW (2.08%)</v>
      </c>
      <c r="E6" s="179"/>
      <c r="F6" s="180"/>
      <c r="G6" s="178" t="str">
        <f ca="1" xml:space="preserve"> TEXT($I$130, "#,##0") &amp; " KRW (" &amp; TEXT($H$130, "0.00%)")</f>
        <v>-349,033 KRW (-11.63%)</v>
      </c>
      <c r="H6" s="179"/>
      <c r="I6" s="180"/>
      <c r="J6" s="178" t="str">
        <f ca="1" xml:space="preserve"> TEXT($L$130, "#,##0") &amp; " KRW (" &amp; TEXT($K$130, "0.00%)")</f>
        <v>-322,553 KRW (-10.75%)</v>
      </c>
      <c r="K6" s="179"/>
      <c r="L6" s="180"/>
      <c r="M6" s="178" t="str">
        <f ca="1" xml:space="preserve"> TEXT($O$130, "#,##0") &amp; " KRW (" &amp; TEXT($N$130, "0.00%)")</f>
        <v>-187,040 KRW (-6.23%)</v>
      </c>
      <c r="N6" s="179"/>
      <c r="O6" s="180"/>
    </row>
    <row r="7" spans="1:15" ht="16.5" customHeight="1">
      <c r="A7" s="215">
        <v>3</v>
      </c>
      <c r="B7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동전코인 Bottom20</v>
      </c>
      <c r="C7" s="187"/>
      <c r="D7" s="185" t="s">
        <v>279</v>
      </c>
      <c r="E7" s="186"/>
      <c r="F7" s="187"/>
      <c r="G7" s="185" t="s">
        <v>286</v>
      </c>
      <c r="H7" s="186"/>
      <c r="I7" s="187"/>
      <c r="J7" s="185" t="s">
        <v>293</v>
      </c>
      <c r="K7" s="186"/>
      <c r="L7" s="187"/>
      <c r="M7" s="185" t="s">
        <v>300</v>
      </c>
      <c r="N7" s="186"/>
      <c r="O7" s="187"/>
    </row>
    <row r="8" spans="1:15" ht="16.5" customHeight="1" thickBot="1">
      <c r="A8" s="216"/>
      <c r="B8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164,732 KRW (5.49%)</v>
      </c>
      <c r="C8" s="180"/>
      <c r="D8" s="178" t="str">
        <f ca="1" xml:space="preserve"> TEXT($F$206, "#,##0") &amp; " KRW (" &amp; TEXT($E$206, "0.00%)")</f>
        <v>199,522 KRW (6.65%)</v>
      </c>
      <c r="E8" s="179"/>
      <c r="F8" s="180"/>
      <c r="G8" s="178" t="str">
        <f ca="1" xml:space="preserve"> TEXT($I$206, "#,##0") &amp; " KRW (" &amp; TEXT($H$206, "0.00%)")</f>
        <v>-91,487 KRW (-3.05%)</v>
      </c>
      <c r="H8" s="179"/>
      <c r="I8" s="180"/>
      <c r="J8" s="178" t="str">
        <f ca="1" xml:space="preserve"> TEXT($L$206, "#,##0") &amp; " KRW (" &amp; TEXT($K$206, "0.00%)")</f>
        <v>39,944 KRW (1.33%)</v>
      </c>
      <c r="K8" s="179"/>
      <c r="L8" s="180"/>
      <c r="M8" s="178" t="str">
        <f ca="1" xml:space="preserve"> TEXT($O$206, "#,##0") &amp; " KRW (" &amp; TEXT($N$206, "0.00%)")</f>
        <v>118,794 KRW (3.96%)</v>
      </c>
      <c r="N8" s="179"/>
      <c r="O8" s="180"/>
    </row>
    <row r="9" spans="1:15" ht="16.5" customHeight="1">
      <c r="A9" s="215">
        <v>4</v>
      </c>
      <c r="B9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Bottom20</v>
      </c>
      <c r="C9" s="187"/>
      <c r="D9" s="185" t="s">
        <v>280</v>
      </c>
      <c r="E9" s="186"/>
      <c r="F9" s="187"/>
      <c r="G9" s="185" t="s">
        <v>287</v>
      </c>
      <c r="H9" s="186"/>
      <c r="I9" s="187"/>
      <c r="J9" s="185" t="s">
        <v>294</v>
      </c>
      <c r="K9" s="186"/>
      <c r="L9" s="187"/>
      <c r="M9" s="185" t="s">
        <v>301</v>
      </c>
      <c r="N9" s="186"/>
      <c r="O9" s="187"/>
    </row>
    <row r="10" spans="1:15" ht="16.5" customHeight="1" thickBot="1">
      <c r="A10" s="216"/>
      <c r="B10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118,794 KRW (3.96%)</v>
      </c>
      <c r="C10" s="180"/>
      <c r="D10" s="178" t="str">
        <f ca="1" xml:space="preserve"> TEXT($F$244, "#,##0") &amp; " KRW (" &amp; TEXT($E$244, "0.00%)")</f>
        <v>164,732 KRW (5.49%)</v>
      </c>
      <c r="E10" s="179"/>
      <c r="F10" s="180"/>
      <c r="G10" s="178" t="str">
        <f ca="1" xml:space="preserve"> TEXT($I$244, "#,##0") &amp; " KRW (" &amp; TEXT($H$244, "0.00%)")</f>
        <v>-169,675 KRW (-5.66%)</v>
      </c>
      <c r="H10" s="179"/>
      <c r="I10" s="180"/>
      <c r="J10" s="178" t="str">
        <f ca="1" xml:space="preserve"> TEXT($L$244, "#,##0") &amp; " KRW (" &amp; TEXT($K$244, "0.00%)")</f>
        <v>-91,445 KRW (-3.05%)</v>
      </c>
      <c r="K10" s="179"/>
      <c r="L10" s="180"/>
      <c r="M10" s="178" t="str">
        <f ca="1" xml:space="preserve"> TEXT($O$244, "#,##0") &amp; " KRW (" &amp; TEXT($N$244, "0.00%)")</f>
        <v>21,652 KRW (0.72%)</v>
      </c>
      <c r="N10" s="179"/>
      <c r="O10" s="180"/>
    </row>
    <row r="11" spans="1:15" ht="16.5" customHeight="1">
      <c r="A11" s="215">
        <v>5</v>
      </c>
      <c r="B11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187"/>
      <c r="D11" s="185" t="s">
        <v>281</v>
      </c>
      <c r="E11" s="186"/>
      <c r="F11" s="187"/>
      <c r="G11" s="185" t="s">
        <v>288</v>
      </c>
      <c r="H11" s="186"/>
      <c r="I11" s="187"/>
      <c r="J11" s="185" t="s">
        <v>295</v>
      </c>
      <c r="K11" s="186"/>
      <c r="L11" s="187"/>
      <c r="M11" s="185" t="s">
        <v>302</v>
      </c>
      <c r="N11" s="186"/>
      <c r="O11" s="187"/>
    </row>
    <row r="12" spans="1:15" ht="16.5" customHeight="1" thickBot="1">
      <c r="A12" s="216"/>
      <c r="B12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103,193 KRW (3.44%)</v>
      </c>
      <c r="C12" s="180"/>
      <c r="D12" s="178" t="str">
        <f ca="1" xml:space="preserve"> TEXT($F$168, "#,##0") &amp; " KRW (" &amp; TEXT($E$168, "0.00%)")</f>
        <v>103,193 KRW (3.44%)</v>
      </c>
      <c r="E12" s="179"/>
      <c r="F12" s="180"/>
      <c r="G12" s="178" t="str">
        <f ca="1" xml:space="preserve"> TEXT($I$168, "#,##0") &amp; " KRW (" &amp; TEXT($H$168, "0.00%)")</f>
        <v>-283,182 KRW (-9.44%)</v>
      </c>
      <c r="H12" s="179"/>
      <c r="I12" s="180"/>
      <c r="J12" s="178" t="str">
        <f ca="1" xml:space="preserve"> TEXT($L$168, "#,##0") &amp; " KRW (" &amp; TEXT($K$168, "0.00%)")</f>
        <v>-206,392 KRW (-6.88%)</v>
      </c>
      <c r="K12" s="179"/>
      <c r="L12" s="180"/>
      <c r="M12" s="178" t="str">
        <f ca="1" xml:space="preserve"> TEXT($O$168, "#,##0") &amp; " KRW (" &amp; TEXT($N$168, "0.00%)")</f>
        <v>-140,367 KRW (-4.68%)</v>
      </c>
      <c r="N12" s="179"/>
      <c r="O12" s="180"/>
    </row>
    <row r="13" spans="1:15" ht="16.5" customHeight="1">
      <c r="A13" s="215">
        <v>6</v>
      </c>
      <c r="B13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187"/>
      <c r="D13" s="185" t="s">
        <v>282</v>
      </c>
      <c r="E13" s="186"/>
      <c r="F13" s="187"/>
      <c r="G13" s="185" t="s">
        <v>289</v>
      </c>
      <c r="H13" s="186"/>
      <c r="I13" s="187"/>
      <c r="J13" s="185" t="s">
        <v>296</v>
      </c>
      <c r="K13" s="186"/>
      <c r="L13" s="187"/>
      <c r="M13" s="185" t="s">
        <v>303</v>
      </c>
      <c r="N13" s="186"/>
      <c r="O13" s="187"/>
    </row>
    <row r="14" spans="1:15" ht="16.5" customHeight="1" thickBot="1">
      <c r="A14" s="216"/>
      <c r="B14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91,183 KRW (3.04%)</v>
      </c>
      <c r="C14" s="180"/>
      <c r="D14" s="178" t="str">
        <f ca="1" xml:space="preserve"> TEXT($F$282, "#,##0") &amp; " KRW (" &amp; TEXT($E$282, "0.00%)")</f>
        <v>170,869 KRW (5.70%)</v>
      </c>
      <c r="E14" s="179"/>
      <c r="F14" s="180"/>
      <c r="G14" s="178" t="str">
        <f ca="1" xml:space="preserve"> TEXT($I$282, "#,##0") &amp; " KRW (" &amp; TEXT($H$282, "0.00%)")</f>
        <v>-129,486 KRW (-4.32%)</v>
      </c>
      <c r="H14" s="179"/>
      <c r="I14" s="180"/>
      <c r="J14" s="178" t="str">
        <f ca="1" xml:space="preserve"> TEXT($L$282, "#,##0") &amp; " KRW (" &amp; TEXT($K$282, "0.00%)")</f>
        <v>-20,982 KRW (-0.70%)</v>
      </c>
      <c r="K14" s="179"/>
      <c r="L14" s="180"/>
      <c r="M14" s="178" t="str">
        <f ca="1" xml:space="preserve"> TEXT($O$282, "#,##0") &amp; " KRW (" &amp; TEXT($N$282, "0.00%)")</f>
        <v>89,852 KRW (3.00%)</v>
      </c>
      <c r="N14" s="179"/>
      <c r="O14" s="180"/>
    </row>
    <row r="15" spans="1:15" ht="16.5" customHeight="1">
      <c r="A15" s="215">
        <v>7</v>
      </c>
      <c r="B15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전일대비 상승률 Bottom20</v>
      </c>
      <c r="C15" s="187"/>
      <c r="D15" s="185" t="s">
        <v>283</v>
      </c>
      <c r="E15" s="186"/>
      <c r="F15" s="187"/>
      <c r="G15" s="185" t="s">
        <v>290</v>
      </c>
      <c r="H15" s="186"/>
      <c r="I15" s="187"/>
      <c r="J15" s="185" t="s">
        <v>297</v>
      </c>
      <c r="K15" s="186"/>
      <c r="L15" s="187"/>
      <c r="M15" s="185" t="s">
        <v>304</v>
      </c>
      <c r="N15" s="186"/>
      <c r="O15" s="187"/>
    </row>
    <row r="16" spans="1:15" ht="16.5" customHeight="1" thickBot="1">
      <c r="A16" s="216"/>
      <c r="B16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89,852 KRW (3.00%)</v>
      </c>
      <c r="C16" s="180"/>
      <c r="D16" s="178" t="str">
        <f ca="1" xml:space="preserve"> TEXT($F$54, "#,##0") &amp; " KRW (" &amp; TEXT($E$54, "0.00%)")</f>
        <v>0 KRW (0.00%)</v>
      </c>
      <c r="E16" s="179"/>
      <c r="F16" s="180"/>
      <c r="G16" s="178" t="str">
        <f ca="1" xml:space="preserve"> TEXT($I$54, "#,##0") &amp; " KRW (" &amp; TEXT($H$54, "0.00%)")</f>
        <v>0 KRW (0.00%)</v>
      </c>
      <c r="H16" s="179"/>
      <c r="I16" s="180"/>
      <c r="J16" s="178" t="str">
        <f ca="1" xml:space="preserve"> TEXT($L$54, "#,##0") &amp; " KRW (" &amp; TEXT($K$54, "0.00%)")</f>
        <v>0 KRW (0.00%)</v>
      </c>
      <c r="K16" s="179"/>
      <c r="L16" s="180"/>
      <c r="M16" s="178" t="str">
        <f ca="1" xml:space="preserve"> TEXT($O$54, "#,##0") &amp; " KRW (" &amp; TEXT($N$54, "0.00%)")</f>
        <v>0 KRW (0.00%)</v>
      </c>
      <c r="N16" s="179"/>
      <c r="O16" s="180"/>
    </row>
    <row r="18" spans="1:15" ht="16.5" customHeight="1" thickBot="1"/>
    <row r="19" spans="1:15" ht="16.5" customHeight="1" thickBot="1">
      <c r="A19" s="157" t="str">
        <f>TEXT(투자전략!$G$1, "[$-ko-KR]yyyy년 mm월 ") &amp; "실거래 월말결산"</f>
        <v>2023년 03월 실거래 월말결산</v>
      </c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9"/>
    </row>
    <row r="20" spans="1:15" ht="16.5" customHeight="1" thickBot="1">
      <c r="A20" s="201" t="s">
        <v>271</v>
      </c>
      <c r="B20" s="178" t="s">
        <v>269</v>
      </c>
      <c r="C20" s="180"/>
      <c r="D20" s="178" t="s">
        <v>261</v>
      </c>
      <c r="E20" s="179"/>
      <c r="F20" s="180"/>
      <c r="G20" s="178" t="s">
        <v>262</v>
      </c>
      <c r="H20" s="179"/>
      <c r="I20" s="180"/>
      <c r="J20" s="178" t="s">
        <v>263</v>
      </c>
      <c r="K20" s="179"/>
      <c r="L20" s="180"/>
      <c r="M20" s="178" t="s">
        <v>264</v>
      </c>
      <c r="N20" s="179"/>
      <c r="O20" s="180"/>
    </row>
    <row r="21" spans="1:15" ht="16.5" customHeight="1" thickBot="1">
      <c r="A21" s="194"/>
      <c r="B21" s="46" t="s">
        <v>259</v>
      </c>
      <c r="C21" s="46" t="s">
        <v>42</v>
      </c>
      <c r="D21" s="105" t="s">
        <v>260</v>
      </c>
      <c r="E21" s="106" t="s">
        <v>40</v>
      </c>
      <c r="F21" s="81" t="s">
        <v>41</v>
      </c>
      <c r="G21" s="105" t="s">
        <v>260</v>
      </c>
      <c r="H21" s="106" t="s">
        <v>40</v>
      </c>
      <c r="I21" s="81" t="s">
        <v>41</v>
      </c>
      <c r="J21" s="105" t="s">
        <v>260</v>
      </c>
      <c r="K21" s="106" t="s">
        <v>40</v>
      </c>
      <c r="L21" s="81" t="s">
        <v>41</v>
      </c>
      <c r="M21" s="105" t="s">
        <v>260</v>
      </c>
      <c r="N21" s="106" t="s">
        <v>40</v>
      </c>
      <c r="O21" s="81" t="s">
        <v>41</v>
      </c>
    </row>
    <row r="22" spans="1:15" ht="16.5" customHeight="1">
      <c r="A22" s="46">
        <v>1</v>
      </c>
      <c r="B22" s="126" t="str">
        <f>HYPERLINK("#'" &amp; TEXT(투자전략!$G$1+0, "[$-ko-KR]yyyy.mm.dd") &amp; "'!A13:O37", TEXT(투자전략!$G$1+0, "[$-ko-KR]yyyy.mm.dd"))</f>
        <v>2023.03.01</v>
      </c>
      <c r="C22" s="117">
        <f ca="1">IFERROR(COUNTA(INDIRECT($B22&amp;"!A17:A36")) * INDIRECT($B22&amp;"!B37"), "")</f>
        <v>0</v>
      </c>
      <c r="D22" s="125">
        <f ca="1">IFERROR($C22 * (1 + E22), "")</f>
        <v>0</v>
      </c>
      <c r="E22" s="69">
        <f ca="1">IFERROR(INDIRECT($B22&amp;"!E37"), "")</f>
        <v>0</v>
      </c>
      <c r="F22" s="124">
        <f ca="1">IFERROR(INDIRECT($B22&amp;"!F37"), "")</f>
        <v>0</v>
      </c>
      <c r="G22" s="125">
        <f ca="1">IFERROR($C22 * (1 + H22), "")</f>
        <v>0</v>
      </c>
      <c r="H22" s="69">
        <f ca="1">IFERROR(INDIRECT($B22&amp;"!H37"), "")</f>
        <v>0</v>
      </c>
      <c r="I22" s="124">
        <f ca="1">IFERROR(INDIRECT($B22&amp;"!I37"), "")</f>
        <v>0</v>
      </c>
      <c r="J22" s="125">
        <f ca="1">IFERROR($C22 * (1 + K22), "")</f>
        <v>0</v>
      </c>
      <c r="K22" s="69">
        <f ca="1">IFERROR(INDIRECT($B22&amp;"!K37"), "")</f>
        <v>0</v>
      </c>
      <c r="L22" s="124">
        <f ca="1">IFERROR(INDIRECT($B22&amp;"!L37"), "")</f>
        <v>0</v>
      </c>
      <c r="M22" s="125">
        <f ca="1">IFERROR($C22 * (1 + N22), "")</f>
        <v>0</v>
      </c>
      <c r="N22" s="69">
        <f ca="1">IFERROR(INDIRECT($B22&amp;"!N37"), "")</f>
        <v>0</v>
      </c>
      <c r="O22" s="124">
        <f ca="1">IFERROR(INDIRECT($B22&amp;"!O37"), "")</f>
        <v>0</v>
      </c>
    </row>
    <row r="23" spans="1:15" ht="16.5" customHeight="1">
      <c r="A23" s="47">
        <v>2</v>
      </c>
      <c r="B23" s="127" t="str">
        <f>HYPERLINK("#'" &amp; TEXT(투자전략!$G$1+1, "[$-ko-KR]yyyy.mm.dd") &amp; "'!A13:O37", TEXT(투자전략!$G$1+1, "[$-ko-KR]yyyy.mm.dd"))</f>
        <v>2023.03.02</v>
      </c>
      <c r="C23" s="118" t="str">
        <f t="shared" ref="C23:C52" ca="1" si="0">IFERROR(COUNTA(INDIRECT($B23&amp;"!A17:A36")) * INDIRECT($B23&amp;"!B37"), "")</f>
        <v/>
      </c>
      <c r="D23" s="122" t="str">
        <f t="shared" ref="D23:D52" ca="1" si="1">IFERROR($C23 * (1 + E23), "")</f>
        <v/>
      </c>
      <c r="E23" s="70" t="str">
        <f t="shared" ref="E23:E52" ca="1" si="2">IFERROR(INDIRECT($B23&amp;"!E37"), "")</f>
        <v/>
      </c>
      <c r="F23" s="120" t="str">
        <f t="shared" ref="F23:F52" ca="1" si="3">IFERROR(INDIRECT($B23&amp;"!F37"), "")</f>
        <v/>
      </c>
      <c r="G23" s="122" t="str">
        <f t="shared" ref="G23:G52" ca="1" si="4">IFERROR($C23 * (1 + H23), "")</f>
        <v/>
      </c>
      <c r="H23" s="70" t="str">
        <f t="shared" ref="H23:H52" ca="1" si="5">IFERROR(INDIRECT($B23&amp;"!H37"), "")</f>
        <v/>
      </c>
      <c r="I23" s="120" t="str">
        <f t="shared" ref="I23:I52" ca="1" si="6">IFERROR(INDIRECT($B23&amp;"!I37"), "")</f>
        <v/>
      </c>
      <c r="J23" s="122" t="str">
        <f t="shared" ref="J23:J52" ca="1" si="7">IFERROR($C23 * (1 + K23), "")</f>
        <v/>
      </c>
      <c r="K23" s="70" t="str">
        <f t="shared" ref="K23:K52" ca="1" si="8">IFERROR(INDIRECT($B23&amp;"!K37"), "")</f>
        <v/>
      </c>
      <c r="L23" s="120" t="str">
        <f t="shared" ref="L23:L52" ca="1" si="9">IFERROR(INDIRECT($B23&amp;"!L37"), "")</f>
        <v/>
      </c>
      <c r="M23" s="122" t="str">
        <f t="shared" ref="M23:M52" ca="1" si="10">IFERROR($C23 * (1 + N23), "")</f>
        <v/>
      </c>
      <c r="N23" s="70" t="str">
        <f t="shared" ref="N23:N52" ca="1" si="11">IFERROR(INDIRECT($B23&amp;"!N37"), "")</f>
        <v/>
      </c>
      <c r="O23" s="120" t="str">
        <f t="shared" ref="O23:O52" ca="1" si="12">IFERROR(INDIRECT($B23&amp;"!O37"), "")</f>
        <v/>
      </c>
    </row>
    <row r="24" spans="1:15" ht="16.5" customHeight="1">
      <c r="A24" s="47">
        <v>3</v>
      </c>
      <c r="B24" s="127" t="str">
        <f>HYPERLINK("#'" &amp; TEXT(투자전략!$G$1+2, "[$-ko-KR]yyyy.mm.dd") &amp; "'!A13:O37", TEXT(투자전략!$G$1+2, "[$-ko-KR]yyyy.mm.dd"))</f>
        <v>2023.03.03</v>
      </c>
      <c r="C24" s="118" t="str">
        <f t="shared" ca="1" si="0"/>
        <v/>
      </c>
      <c r="D24" s="122" t="str">
        <f t="shared" ca="1" si="1"/>
        <v/>
      </c>
      <c r="E24" s="70" t="str">
        <f t="shared" ca="1" si="2"/>
        <v/>
      </c>
      <c r="F24" s="120" t="str">
        <f t="shared" ca="1" si="3"/>
        <v/>
      </c>
      <c r="G24" s="122" t="str">
        <f t="shared" ca="1" si="4"/>
        <v/>
      </c>
      <c r="H24" s="70" t="str">
        <f t="shared" ca="1" si="5"/>
        <v/>
      </c>
      <c r="I24" s="120" t="str">
        <f t="shared" ca="1" si="6"/>
        <v/>
      </c>
      <c r="J24" s="122" t="str">
        <f t="shared" ca="1" si="7"/>
        <v/>
      </c>
      <c r="K24" s="70" t="str">
        <f t="shared" ca="1" si="8"/>
        <v/>
      </c>
      <c r="L24" s="120" t="str">
        <f t="shared" ca="1" si="9"/>
        <v/>
      </c>
      <c r="M24" s="122" t="str">
        <f t="shared" ca="1" si="10"/>
        <v/>
      </c>
      <c r="N24" s="70" t="str">
        <f t="shared" ca="1" si="11"/>
        <v/>
      </c>
      <c r="O24" s="120" t="str">
        <f t="shared" ca="1" si="12"/>
        <v/>
      </c>
    </row>
    <row r="25" spans="1:15" ht="16.5" customHeight="1">
      <c r="A25" s="47">
        <v>4</v>
      </c>
      <c r="B25" s="127" t="str">
        <f>HYPERLINK("#'" &amp; TEXT(투자전략!$G$1+3, "[$-ko-KR]yyyy.mm.dd") &amp; "'!A13:O37", TEXT(투자전략!$G$1+3, "[$-ko-KR]yyyy.mm.dd"))</f>
        <v>2023.03.04</v>
      </c>
      <c r="C25" s="118" t="str">
        <f t="shared" ca="1" si="0"/>
        <v/>
      </c>
      <c r="D25" s="122" t="str">
        <f t="shared" ca="1" si="1"/>
        <v/>
      </c>
      <c r="E25" s="70" t="str">
        <f t="shared" ca="1" si="2"/>
        <v/>
      </c>
      <c r="F25" s="120" t="str">
        <f t="shared" ca="1" si="3"/>
        <v/>
      </c>
      <c r="G25" s="122" t="str">
        <f t="shared" ca="1" si="4"/>
        <v/>
      </c>
      <c r="H25" s="70" t="str">
        <f t="shared" ca="1" si="5"/>
        <v/>
      </c>
      <c r="I25" s="120" t="str">
        <f t="shared" ca="1" si="6"/>
        <v/>
      </c>
      <c r="J25" s="122" t="str">
        <f t="shared" ca="1" si="7"/>
        <v/>
      </c>
      <c r="K25" s="70" t="str">
        <f t="shared" ca="1" si="8"/>
        <v/>
      </c>
      <c r="L25" s="120" t="str">
        <f t="shared" ca="1" si="9"/>
        <v/>
      </c>
      <c r="M25" s="122" t="str">
        <f t="shared" ca="1" si="10"/>
        <v/>
      </c>
      <c r="N25" s="70" t="str">
        <f t="shared" ca="1" si="11"/>
        <v/>
      </c>
      <c r="O25" s="120" t="str">
        <f t="shared" ca="1" si="12"/>
        <v/>
      </c>
    </row>
    <row r="26" spans="1:15" ht="16.5" customHeight="1">
      <c r="A26" s="47">
        <v>5</v>
      </c>
      <c r="B26" s="127" t="str">
        <f>HYPERLINK("#'" &amp; TEXT(투자전략!$G$1+4, "[$-ko-KR]yyyy.mm.dd") &amp; "'!A13:O37", TEXT(투자전략!$G$1+4, "[$-ko-KR]yyyy.mm.dd"))</f>
        <v>2023.03.05</v>
      </c>
      <c r="C26" s="118" t="str">
        <f t="shared" ca="1" si="0"/>
        <v/>
      </c>
      <c r="D26" s="122" t="str">
        <f t="shared" ca="1" si="1"/>
        <v/>
      </c>
      <c r="E26" s="70" t="str">
        <f t="shared" ca="1" si="2"/>
        <v/>
      </c>
      <c r="F26" s="120" t="str">
        <f t="shared" ca="1" si="3"/>
        <v/>
      </c>
      <c r="G26" s="122" t="str">
        <f t="shared" ca="1" si="4"/>
        <v/>
      </c>
      <c r="H26" s="70" t="str">
        <f t="shared" ca="1" si="5"/>
        <v/>
      </c>
      <c r="I26" s="120" t="str">
        <f t="shared" ca="1" si="6"/>
        <v/>
      </c>
      <c r="J26" s="122" t="str">
        <f t="shared" ca="1" si="7"/>
        <v/>
      </c>
      <c r="K26" s="70" t="str">
        <f t="shared" ca="1" si="8"/>
        <v/>
      </c>
      <c r="L26" s="120" t="str">
        <f t="shared" ca="1" si="9"/>
        <v/>
      </c>
      <c r="M26" s="122" t="str">
        <f t="shared" ca="1" si="10"/>
        <v/>
      </c>
      <c r="N26" s="70" t="str">
        <f t="shared" ca="1" si="11"/>
        <v/>
      </c>
      <c r="O26" s="120" t="str">
        <f t="shared" ca="1" si="12"/>
        <v/>
      </c>
    </row>
    <row r="27" spans="1:15" ht="16.5" customHeight="1">
      <c r="A27" s="47">
        <v>6</v>
      </c>
      <c r="B27" s="127" t="str">
        <f>HYPERLINK("#'" &amp; TEXT(투자전략!$G$1+5, "[$-ko-KR]yyyy.mm.dd") &amp; "'!A13:O37", TEXT(투자전략!$G$1+5, "[$-ko-KR]yyyy.mm.dd"))</f>
        <v>2023.03.06</v>
      </c>
      <c r="C27" s="118" t="str">
        <f t="shared" ca="1" si="0"/>
        <v/>
      </c>
      <c r="D27" s="122" t="str">
        <f t="shared" ca="1" si="1"/>
        <v/>
      </c>
      <c r="E27" s="70" t="str">
        <f t="shared" ca="1" si="2"/>
        <v/>
      </c>
      <c r="F27" s="120" t="str">
        <f t="shared" ca="1" si="3"/>
        <v/>
      </c>
      <c r="G27" s="122" t="str">
        <f t="shared" ca="1" si="4"/>
        <v/>
      </c>
      <c r="H27" s="70" t="str">
        <f t="shared" ca="1" si="5"/>
        <v/>
      </c>
      <c r="I27" s="120" t="str">
        <f t="shared" ca="1" si="6"/>
        <v/>
      </c>
      <c r="J27" s="122" t="str">
        <f t="shared" ca="1" si="7"/>
        <v/>
      </c>
      <c r="K27" s="70" t="str">
        <f t="shared" ca="1" si="8"/>
        <v/>
      </c>
      <c r="L27" s="120" t="str">
        <f t="shared" ca="1" si="9"/>
        <v/>
      </c>
      <c r="M27" s="122" t="str">
        <f t="shared" ca="1" si="10"/>
        <v/>
      </c>
      <c r="N27" s="70" t="str">
        <f t="shared" ca="1" si="11"/>
        <v/>
      </c>
      <c r="O27" s="120" t="str">
        <f t="shared" ca="1" si="12"/>
        <v/>
      </c>
    </row>
    <row r="28" spans="1:15" ht="16.5" customHeight="1" thickBot="1">
      <c r="A28" s="48">
        <v>7</v>
      </c>
      <c r="B28" s="128" t="str">
        <f>HYPERLINK("#'" &amp; TEXT(투자전략!$G$1+6, "[$-ko-KR]yyyy.mm.dd") &amp; "'!A13:O37", TEXT(투자전략!$G$1+6, "[$-ko-KR]yyyy.mm.dd"))</f>
        <v>2023.03.07</v>
      </c>
      <c r="C28" s="119">
        <f t="shared" ca="1" si="0"/>
        <v>0</v>
      </c>
      <c r="D28" s="123">
        <f t="shared" ca="1" si="1"/>
        <v>0</v>
      </c>
      <c r="E28" s="72">
        <f t="shared" ca="1" si="2"/>
        <v>0</v>
      </c>
      <c r="F28" s="121">
        <f t="shared" ca="1" si="3"/>
        <v>0</v>
      </c>
      <c r="G28" s="123">
        <f t="shared" ca="1" si="4"/>
        <v>0</v>
      </c>
      <c r="H28" s="72">
        <f t="shared" ca="1" si="5"/>
        <v>0</v>
      </c>
      <c r="I28" s="121">
        <f t="shared" ca="1" si="6"/>
        <v>0</v>
      </c>
      <c r="J28" s="123">
        <f t="shared" ca="1" si="7"/>
        <v>0</v>
      </c>
      <c r="K28" s="72">
        <f t="shared" ca="1" si="8"/>
        <v>0</v>
      </c>
      <c r="L28" s="121">
        <f t="shared" ca="1" si="9"/>
        <v>0</v>
      </c>
      <c r="M28" s="123">
        <f t="shared" ca="1" si="10"/>
        <v>0</v>
      </c>
      <c r="N28" s="72">
        <f t="shared" ca="1" si="11"/>
        <v>0</v>
      </c>
      <c r="O28" s="121">
        <f t="shared" ca="1" si="12"/>
        <v>0</v>
      </c>
    </row>
    <row r="29" spans="1:15" ht="16.5" customHeight="1">
      <c r="A29" s="46">
        <v>8</v>
      </c>
      <c r="B29" s="126" t="str">
        <f>HYPERLINK("#'" &amp; TEXT(투자전략!$G$1+7, "[$-ko-KR]yyyy.mm.dd") &amp; "'!A13:O37", TEXT(투자전략!$G$1+7, "[$-ko-KR]yyyy.mm.dd"))</f>
        <v>2023.03.08</v>
      </c>
      <c r="C29" s="117">
        <f t="shared" ca="1" si="0"/>
        <v>0</v>
      </c>
      <c r="D29" s="125">
        <f t="shared" ca="1" si="1"/>
        <v>0</v>
      </c>
      <c r="E29" s="69">
        <f t="shared" ca="1" si="2"/>
        <v>0</v>
      </c>
      <c r="F29" s="124">
        <f t="shared" ca="1" si="3"/>
        <v>0</v>
      </c>
      <c r="G29" s="125">
        <f t="shared" ca="1" si="4"/>
        <v>0</v>
      </c>
      <c r="H29" s="69">
        <f t="shared" ca="1" si="5"/>
        <v>0</v>
      </c>
      <c r="I29" s="124">
        <f t="shared" ca="1" si="6"/>
        <v>0</v>
      </c>
      <c r="J29" s="125">
        <f t="shared" ca="1" si="7"/>
        <v>0</v>
      </c>
      <c r="K29" s="69">
        <f t="shared" ca="1" si="8"/>
        <v>0</v>
      </c>
      <c r="L29" s="124">
        <f t="shared" ca="1" si="9"/>
        <v>0</v>
      </c>
      <c r="M29" s="125">
        <f t="shared" ca="1" si="10"/>
        <v>0</v>
      </c>
      <c r="N29" s="69">
        <f t="shared" ca="1" si="11"/>
        <v>0</v>
      </c>
      <c r="O29" s="124">
        <f t="shared" ca="1" si="12"/>
        <v>0</v>
      </c>
    </row>
    <row r="30" spans="1:15" ht="16.5" customHeight="1">
      <c r="A30" s="47">
        <v>9</v>
      </c>
      <c r="B30" s="127" t="str">
        <f>HYPERLINK("#'" &amp; TEXT(투자전략!$G$1+8, "[$-ko-KR]yyyy.mm.dd") &amp; "'!A13:O37", TEXT(투자전략!$G$1+8, "[$-ko-KR]yyyy.mm.dd"))</f>
        <v>2023.03.09</v>
      </c>
      <c r="C30" s="118">
        <f t="shared" ca="1" si="0"/>
        <v>0</v>
      </c>
      <c r="D30" s="122">
        <f t="shared" ca="1" si="1"/>
        <v>0</v>
      </c>
      <c r="E30" s="70">
        <f t="shared" ca="1" si="2"/>
        <v>0</v>
      </c>
      <c r="F30" s="120">
        <f t="shared" ca="1" si="3"/>
        <v>0</v>
      </c>
      <c r="G30" s="122">
        <f t="shared" ca="1" si="4"/>
        <v>0</v>
      </c>
      <c r="H30" s="70">
        <f t="shared" ca="1" si="5"/>
        <v>0</v>
      </c>
      <c r="I30" s="120">
        <f t="shared" ca="1" si="6"/>
        <v>0</v>
      </c>
      <c r="J30" s="122">
        <f t="shared" ca="1" si="7"/>
        <v>0</v>
      </c>
      <c r="K30" s="70">
        <f t="shared" ca="1" si="8"/>
        <v>0</v>
      </c>
      <c r="L30" s="120">
        <f t="shared" ca="1" si="9"/>
        <v>0</v>
      </c>
      <c r="M30" s="122">
        <f t="shared" ca="1" si="10"/>
        <v>0</v>
      </c>
      <c r="N30" s="70">
        <f t="shared" ca="1" si="11"/>
        <v>0</v>
      </c>
      <c r="O30" s="120">
        <f t="shared" ca="1" si="12"/>
        <v>0</v>
      </c>
    </row>
    <row r="31" spans="1:15" ht="16.5" customHeight="1">
      <c r="A31" s="47">
        <v>10</v>
      </c>
      <c r="B31" s="127" t="str">
        <f>HYPERLINK("#'" &amp; TEXT(투자전략!$G$1+9, "[$-ko-KR]yyyy.mm.dd") &amp; "'!A13:O37", TEXT(투자전략!$G$1+9, "[$-ko-KR]yyyy.mm.dd"))</f>
        <v>2023.03.10</v>
      </c>
      <c r="C31" s="118">
        <f t="shared" ca="1" si="0"/>
        <v>0</v>
      </c>
      <c r="D31" s="122">
        <f t="shared" ca="1" si="1"/>
        <v>0</v>
      </c>
      <c r="E31" s="70">
        <f t="shared" ca="1" si="2"/>
        <v>0</v>
      </c>
      <c r="F31" s="120">
        <f t="shared" ca="1" si="3"/>
        <v>0</v>
      </c>
      <c r="G31" s="122">
        <f t="shared" ca="1" si="4"/>
        <v>0</v>
      </c>
      <c r="H31" s="70">
        <f t="shared" ca="1" si="5"/>
        <v>0</v>
      </c>
      <c r="I31" s="120">
        <f t="shared" ca="1" si="6"/>
        <v>0</v>
      </c>
      <c r="J31" s="122">
        <f t="shared" ca="1" si="7"/>
        <v>0</v>
      </c>
      <c r="K31" s="70">
        <f t="shared" ca="1" si="8"/>
        <v>0</v>
      </c>
      <c r="L31" s="120">
        <f t="shared" ca="1" si="9"/>
        <v>0</v>
      </c>
      <c r="M31" s="122">
        <f t="shared" ca="1" si="10"/>
        <v>0</v>
      </c>
      <c r="N31" s="70">
        <f t="shared" ca="1" si="11"/>
        <v>0</v>
      </c>
      <c r="O31" s="120">
        <f t="shared" ca="1" si="12"/>
        <v>0</v>
      </c>
    </row>
    <row r="32" spans="1:15" ht="16.5" customHeight="1">
      <c r="A32" s="47">
        <v>11</v>
      </c>
      <c r="B32" s="127" t="str">
        <f>HYPERLINK("#'" &amp; TEXT(투자전략!$G$1+10, "[$-ko-KR]yyyy.mm.dd") &amp; "'!A13:O37", TEXT(투자전략!$G$1+10, "[$-ko-KR]yyyy.mm.dd"))</f>
        <v>2023.03.11</v>
      </c>
      <c r="C32" s="118">
        <f t="shared" ca="1" si="0"/>
        <v>0</v>
      </c>
      <c r="D32" s="122">
        <f t="shared" ca="1" si="1"/>
        <v>0</v>
      </c>
      <c r="E32" s="70">
        <f t="shared" ca="1" si="2"/>
        <v>0</v>
      </c>
      <c r="F32" s="120">
        <f t="shared" ca="1" si="3"/>
        <v>0</v>
      </c>
      <c r="G32" s="122">
        <f t="shared" ca="1" si="4"/>
        <v>0</v>
      </c>
      <c r="H32" s="70">
        <f t="shared" ca="1" si="5"/>
        <v>0</v>
      </c>
      <c r="I32" s="120">
        <f t="shared" ca="1" si="6"/>
        <v>0</v>
      </c>
      <c r="J32" s="122">
        <f t="shared" ca="1" si="7"/>
        <v>0</v>
      </c>
      <c r="K32" s="70">
        <f t="shared" ca="1" si="8"/>
        <v>0</v>
      </c>
      <c r="L32" s="120">
        <f t="shared" ca="1" si="9"/>
        <v>0</v>
      </c>
      <c r="M32" s="122">
        <f t="shared" ca="1" si="10"/>
        <v>0</v>
      </c>
      <c r="N32" s="70">
        <f t="shared" ca="1" si="11"/>
        <v>0</v>
      </c>
      <c r="O32" s="120">
        <f t="shared" ca="1" si="12"/>
        <v>0</v>
      </c>
    </row>
    <row r="33" spans="1:15" ht="16.5" customHeight="1">
      <c r="A33" s="47">
        <v>12</v>
      </c>
      <c r="B33" s="127" t="str">
        <f>HYPERLINK("#'" &amp; TEXT(투자전략!$G$1+11, "[$-ko-KR]yyyy.mm.dd") &amp; "'!A13:O37", TEXT(투자전략!$G$1+11, "[$-ko-KR]yyyy.mm.dd"))</f>
        <v>2023.03.12</v>
      </c>
      <c r="C33" s="118">
        <f t="shared" ca="1" si="0"/>
        <v>0</v>
      </c>
      <c r="D33" s="122">
        <f t="shared" ca="1" si="1"/>
        <v>0</v>
      </c>
      <c r="E33" s="70">
        <f t="shared" ca="1" si="2"/>
        <v>0</v>
      </c>
      <c r="F33" s="120">
        <f t="shared" ca="1" si="3"/>
        <v>0</v>
      </c>
      <c r="G33" s="122">
        <f t="shared" ca="1" si="4"/>
        <v>0</v>
      </c>
      <c r="H33" s="70">
        <f t="shared" ca="1" si="5"/>
        <v>0</v>
      </c>
      <c r="I33" s="120">
        <f t="shared" ca="1" si="6"/>
        <v>0</v>
      </c>
      <c r="J33" s="122">
        <f t="shared" ca="1" si="7"/>
        <v>0</v>
      </c>
      <c r="K33" s="70">
        <f t="shared" ca="1" si="8"/>
        <v>0</v>
      </c>
      <c r="L33" s="120">
        <f t="shared" ca="1" si="9"/>
        <v>0</v>
      </c>
      <c r="M33" s="122">
        <f t="shared" ca="1" si="10"/>
        <v>0</v>
      </c>
      <c r="N33" s="70">
        <f t="shared" ca="1" si="11"/>
        <v>0</v>
      </c>
      <c r="O33" s="120">
        <f t="shared" ca="1" si="12"/>
        <v>0</v>
      </c>
    </row>
    <row r="34" spans="1:15" ht="16.5" customHeight="1">
      <c r="A34" s="47">
        <v>13</v>
      </c>
      <c r="B34" s="127" t="str">
        <f>HYPERLINK("#'" &amp; TEXT(투자전략!$G$1+12, "[$-ko-KR]yyyy.mm.dd") &amp; "'!A13:O37", TEXT(투자전략!$G$1+12, "[$-ko-KR]yyyy.mm.dd"))</f>
        <v>2023.03.13</v>
      </c>
      <c r="C34" s="118">
        <f t="shared" ca="1" si="0"/>
        <v>0</v>
      </c>
      <c r="D34" s="122">
        <f t="shared" ca="1" si="1"/>
        <v>0</v>
      </c>
      <c r="E34" s="70">
        <f t="shared" ca="1" si="2"/>
        <v>0</v>
      </c>
      <c r="F34" s="120">
        <f t="shared" ca="1" si="3"/>
        <v>0</v>
      </c>
      <c r="G34" s="122">
        <f t="shared" ca="1" si="4"/>
        <v>0</v>
      </c>
      <c r="H34" s="70">
        <f t="shared" ca="1" si="5"/>
        <v>0</v>
      </c>
      <c r="I34" s="120">
        <f t="shared" ca="1" si="6"/>
        <v>0</v>
      </c>
      <c r="J34" s="122">
        <f t="shared" ca="1" si="7"/>
        <v>0</v>
      </c>
      <c r="K34" s="70">
        <f t="shared" ca="1" si="8"/>
        <v>0</v>
      </c>
      <c r="L34" s="120">
        <f t="shared" ca="1" si="9"/>
        <v>0</v>
      </c>
      <c r="M34" s="122">
        <f t="shared" ca="1" si="10"/>
        <v>0</v>
      </c>
      <c r="N34" s="70">
        <f t="shared" ca="1" si="11"/>
        <v>0</v>
      </c>
      <c r="O34" s="120">
        <f t="shared" ca="1" si="12"/>
        <v>0</v>
      </c>
    </row>
    <row r="35" spans="1:15" ht="16.5" customHeight="1" thickBot="1">
      <c r="A35" s="48">
        <v>14</v>
      </c>
      <c r="B35" s="128" t="str">
        <f>HYPERLINK("#'" &amp; TEXT(투자전략!$G$1+13, "[$-ko-KR]yyyy.mm.dd") &amp; "'!A13:O37", TEXT(투자전략!$G$1+13, "[$-ko-KR]yyyy.mm.dd"))</f>
        <v>2023.03.14</v>
      </c>
      <c r="C35" s="119">
        <f t="shared" ca="1" si="0"/>
        <v>0</v>
      </c>
      <c r="D35" s="123">
        <f t="shared" ca="1" si="1"/>
        <v>0</v>
      </c>
      <c r="E35" s="72">
        <f t="shared" ca="1" si="2"/>
        <v>0</v>
      </c>
      <c r="F35" s="121">
        <f t="shared" ca="1" si="3"/>
        <v>0</v>
      </c>
      <c r="G35" s="123">
        <f t="shared" ca="1" si="4"/>
        <v>0</v>
      </c>
      <c r="H35" s="72">
        <f t="shared" ca="1" si="5"/>
        <v>0</v>
      </c>
      <c r="I35" s="121">
        <f t="shared" ca="1" si="6"/>
        <v>0</v>
      </c>
      <c r="J35" s="123">
        <f t="shared" ca="1" si="7"/>
        <v>0</v>
      </c>
      <c r="K35" s="72">
        <f t="shared" ca="1" si="8"/>
        <v>0</v>
      </c>
      <c r="L35" s="121">
        <f t="shared" ca="1" si="9"/>
        <v>0</v>
      </c>
      <c r="M35" s="123">
        <f t="shared" ca="1" si="10"/>
        <v>0</v>
      </c>
      <c r="N35" s="72">
        <f t="shared" ca="1" si="11"/>
        <v>0</v>
      </c>
      <c r="O35" s="121">
        <f t="shared" ca="1" si="12"/>
        <v>0</v>
      </c>
    </row>
    <row r="36" spans="1:15" ht="16.5" customHeight="1">
      <c r="A36" s="46">
        <v>15</v>
      </c>
      <c r="B36" s="126" t="str">
        <f>HYPERLINK("#'" &amp; TEXT(투자전략!$G$1+14, "[$-ko-KR]yyyy.mm.dd") &amp; "'!A13:O37", TEXT(투자전략!$G$1+14, "[$-ko-KR]yyyy.mm.dd"))</f>
        <v>2023.03.15</v>
      </c>
      <c r="C36" s="117">
        <f t="shared" ca="1" si="0"/>
        <v>0</v>
      </c>
      <c r="D36" s="125">
        <f t="shared" ca="1" si="1"/>
        <v>0</v>
      </c>
      <c r="E36" s="69">
        <f t="shared" ca="1" si="2"/>
        <v>0</v>
      </c>
      <c r="F36" s="124">
        <f t="shared" ca="1" si="3"/>
        <v>0</v>
      </c>
      <c r="G36" s="125">
        <f t="shared" ca="1" si="4"/>
        <v>0</v>
      </c>
      <c r="H36" s="69">
        <f t="shared" ca="1" si="5"/>
        <v>0</v>
      </c>
      <c r="I36" s="124">
        <f t="shared" ca="1" si="6"/>
        <v>0</v>
      </c>
      <c r="J36" s="125">
        <f t="shared" ca="1" si="7"/>
        <v>0</v>
      </c>
      <c r="K36" s="69">
        <f t="shared" ca="1" si="8"/>
        <v>0</v>
      </c>
      <c r="L36" s="124">
        <f t="shared" ca="1" si="9"/>
        <v>0</v>
      </c>
      <c r="M36" s="125">
        <f t="shared" ca="1" si="10"/>
        <v>0</v>
      </c>
      <c r="N36" s="69">
        <f t="shared" ca="1" si="11"/>
        <v>0</v>
      </c>
      <c r="O36" s="124">
        <f t="shared" ca="1" si="12"/>
        <v>0</v>
      </c>
    </row>
    <row r="37" spans="1:15" ht="16.5" customHeight="1">
      <c r="A37" s="47">
        <v>16</v>
      </c>
      <c r="B37" s="127" t="str">
        <f>HYPERLINK("#'" &amp; TEXT(투자전략!$G$1+15, "[$-ko-KR]yyyy.mm.dd") &amp; "'!A13:O37", TEXT(투자전략!$G$1+15, "[$-ko-KR]yyyy.mm.dd"))</f>
        <v>2023.03.16</v>
      </c>
      <c r="C37" s="118">
        <f t="shared" ca="1" si="0"/>
        <v>0</v>
      </c>
      <c r="D37" s="122">
        <f t="shared" ca="1" si="1"/>
        <v>0</v>
      </c>
      <c r="E37" s="70">
        <f t="shared" ca="1" si="2"/>
        <v>0</v>
      </c>
      <c r="F37" s="120">
        <f t="shared" ca="1" si="3"/>
        <v>0</v>
      </c>
      <c r="G37" s="122">
        <f t="shared" ca="1" si="4"/>
        <v>0</v>
      </c>
      <c r="H37" s="70">
        <f t="shared" ca="1" si="5"/>
        <v>0</v>
      </c>
      <c r="I37" s="120">
        <f t="shared" ca="1" si="6"/>
        <v>0</v>
      </c>
      <c r="J37" s="122">
        <f t="shared" ca="1" si="7"/>
        <v>0</v>
      </c>
      <c r="K37" s="70">
        <f t="shared" ca="1" si="8"/>
        <v>0</v>
      </c>
      <c r="L37" s="120">
        <f t="shared" ca="1" si="9"/>
        <v>0</v>
      </c>
      <c r="M37" s="122">
        <f t="shared" ca="1" si="10"/>
        <v>0</v>
      </c>
      <c r="N37" s="70">
        <f t="shared" ca="1" si="11"/>
        <v>0</v>
      </c>
      <c r="O37" s="120">
        <f t="shared" ca="1" si="12"/>
        <v>0</v>
      </c>
    </row>
    <row r="38" spans="1:15" ht="16.5" customHeight="1">
      <c r="A38" s="47">
        <v>17</v>
      </c>
      <c r="B38" s="127" t="str">
        <f>HYPERLINK("#'" &amp; TEXT(투자전략!$G$1+16, "[$-ko-KR]yyyy.mm.dd") &amp; "'!A13:O37", TEXT(투자전략!$G$1+16, "[$-ko-KR]yyyy.mm.dd"))</f>
        <v>2023.03.17</v>
      </c>
      <c r="C38" s="118">
        <f t="shared" ca="1" si="0"/>
        <v>0</v>
      </c>
      <c r="D38" s="122">
        <f t="shared" ca="1" si="1"/>
        <v>0</v>
      </c>
      <c r="E38" s="70">
        <f t="shared" ca="1" si="2"/>
        <v>0</v>
      </c>
      <c r="F38" s="120">
        <f t="shared" ca="1" si="3"/>
        <v>0</v>
      </c>
      <c r="G38" s="122">
        <f t="shared" ca="1" si="4"/>
        <v>0</v>
      </c>
      <c r="H38" s="70">
        <f t="shared" ca="1" si="5"/>
        <v>0</v>
      </c>
      <c r="I38" s="120">
        <f t="shared" ca="1" si="6"/>
        <v>0</v>
      </c>
      <c r="J38" s="122">
        <f t="shared" ca="1" si="7"/>
        <v>0</v>
      </c>
      <c r="K38" s="70">
        <f t="shared" ca="1" si="8"/>
        <v>0</v>
      </c>
      <c r="L38" s="120">
        <f t="shared" ca="1" si="9"/>
        <v>0</v>
      </c>
      <c r="M38" s="122">
        <f t="shared" ca="1" si="10"/>
        <v>0</v>
      </c>
      <c r="N38" s="70">
        <f t="shared" ca="1" si="11"/>
        <v>0</v>
      </c>
      <c r="O38" s="120">
        <f t="shared" ca="1" si="12"/>
        <v>0</v>
      </c>
    </row>
    <row r="39" spans="1:15" ht="16.5" customHeight="1">
      <c r="A39" s="47">
        <v>18</v>
      </c>
      <c r="B39" s="127" t="str">
        <f>HYPERLINK("#'" &amp; TEXT(투자전략!$G$1+17, "[$-ko-KR]yyyy.mm.dd") &amp; "'!A13:O37", TEXT(투자전략!$G$1+17, "[$-ko-KR]yyyy.mm.dd"))</f>
        <v>2023.03.18</v>
      </c>
      <c r="C39" s="118" t="str">
        <f t="shared" ca="1" si="0"/>
        <v/>
      </c>
      <c r="D39" s="122" t="str">
        <f t="shared" ca="1" si="1"/>
        <v/>
      </c>
      <c r="E39" s="70" t="str">
        <f t="shared" ca="1" si="2"/>
        <v/>
      </c>
      <c r="F39" s="120" t="str">
        <f t="shared" ca="1" si="3"/>
        <v/>
      </c>
      <c r="G39" s="122" t="str">
        <f t="shared" ca="1" si="4"/>
        <v/>
      </c>
      <c r="H39" s="70" t="str">
        <f t="shared" ca="1" si="5"/>
        <v/>
      </c>
      <c r="I39" s="120" t="str">
        <f t="shared" ca="1" si="6"/>
        <v/>
      </c>
      <c r="J39" s="122" t="str">
        <f t="shared" ca="1" si="7"/>
        <v/>
      </c>
      <c r="K39" s="70" t="str">
        <f t="shared" ca="1" si="8"/>
        <v/>
      </c>
      <c r="L39" s="120" t="str">
        <f t="shared" ca="1" si="9"/>
        <v/>
      </c>
      <c r="M39" s="122" t="str">
        <f t="shared" ca="1" si="10"/>
        <v/>
      </c>
      <c r="N39" s="70" t="str">
        <f t="shared" ca="1" si="11"/>
        <v/>
      </c>
      <c r="O39" s="120" t="str">
        <f t="shared" ca="1" si="12"/>
        <v/>
      </c>
    </row>
    <row r="40" spans="1:15" ht="16.5" customHeight="1">
      <c r="A40" s="47">
        <v>19</v>
      </c>
      <c r="B40" s="127" t="str">
        <f>HYPERLINK("#'" &amp; TEXT(투자전략!$G$1+18, "[$-ko-KR]yyyy.mm.dd") &amp; "'!A13:O37", TEXT(투자전략!$G$1+18, "[$-ko-KR]yyyy.mm.dd"))</f>
        <v>2023.03.19</v>
      </c>
      <c r="C40" s="118" t="str">
        <f t="shared" ca="1" si="0"/>
        <v/>
      </c>
      <c r="D40" s="122" t="str">
        <f t="shared" ca="1" si="1"/>
        <v/>
      </c>
      <c r="E40" s="70" t="str">
        <f t="shared" ca="1" si="2"/>
        <v/>
      </c>
      <c r="F40" s="120" t="str">
        <f t="shared" ca="1" si="3"/>
        <v/>
      </c>
      <c r="G40" s="122" t="str">
        <f t="shared" ca="1" si="4"/>
        <v/>
      </c>
      <c r="H40" s="70" t="str">
        <f t="shared" ca="1" si="5"/>
        <v/>
      </c>
      <c r="I40" s="120" t="str">
        <f t="shared" ca="1" si="6"/>
        <v/>
      </c>
      <c r="J40" s="122" t="str">
        <f t="shared" ca="1" si="7"/>
        <v/>
      </c>
      <c r="K40" s="70" t="str">
        <f t="shared" ca="1" si="8"/>
        <v/>
      </c>
      <c r="L40" s="120" t="str">
        <f t="shared" ca="1" si="9"/>
        <v/>
      </c>
      <c r="M40" s="122" t="str">
        <f t="shared" ca="1" si="10"/>
        <v/>
      </c>
      <c r="N40" s="70" t="str">
        <f t="shared" ca="1" si="11"/>
        <v/>
      </c>
      <c r="O40" s="120" t="str">
        <f t="shared" ca="1" si="12"/>
        <v/>
      </c>
    </row>
    <row r="41" spans="1:15" ht="16.5" customHeight="1">
      <c r="A41" s="47">
        <v>20</v>
      </c>
      <c r="B41" s="127" t="str">
        <f>HYPERLINK("#'" &amp; TEXT(투자전략!$G$1+19, "[$-ko-KR]yyyy.mm.dd") &amp; "'!A13:O37", TEXT(투자전략!$G$1+19, "[$-ko-KR]yyyy.mm.dd"))</f>
        <v>2023.03.20</v>
      </c>
      <c r="C41" s="118" t="str">
        <f t="shared" ca="1" si="0"/>
        <v/>
      </c>
      <c r="D41" s="122" t="str">
        <f t="shared" ca="1" si="1"/>
        <v/>
      </c>
      <c r="E41" s="70" t="str">
        <f t="shared" ca="1" si="2"/>
        <v/>
      </c>
      <c r="F41" s="120" t="str">
        <f t="shared" ca="1" si="3"/>
        <v/>
      </c>
      <c r="G41" s="122" t="str">
        <f t="shared" ca="1" si="4"/>
        <v/>
      </c>
      <c r="H41" s="70" t="str">
        <f t="shared" ca="1" si="5"/>
        <v/>
      </c>
      <c r="I41" s="120" t="str">
        <f t="shared" ca="1" si="6"/>
        <v/>
      </c>
      <c r="J41" s="122" t="str">
        <f t="shared" ca="1" si="7"/>
        <v/>
      </c>
      <c r="K41" s="70" t="str">
        <f t="shared" ca="1" si="8"/>
        <v/>
      </c>
      <c r="L41" s="120" t="str">
        <f t="shared" ca="1" si="9"/>
        <v/>
      </c>
      <c r="M41" s="122" t="str">
        <f t="shared" ca="1" si="10"/>
        <v/>
      </c>
      <c r="N41" s="70" t="str">
        <f t="shared" ca="1" si="11"/>
        <v/>
      </c>
      <c r="O41" s="120" t="str">
        <f t="shared" ca="1" si="12"/>
        <v/>
      </c>
    </row>
    <row r="42" spans="1:15" ht="16.5" customHeight="1" thickBot="1">
      <c r="A42" s="48">
        <v>21</v>
      </c>
      <c r="B42" s="128" t="str">
        <f>HYPERLINK("#'" &amp; TEXT(투자전략!$G$1+20, "[$-ko-KR]yyyy.mm.dd") &amp; "'!A13:O37", TEXT(투자전략!$G$1+20, "[$-ko-KR]yyyy.mm.dd"))</f>
        <v>2023.03.21</v>
      </c>
      <c r="C42" s="119" t="str">
        <f t="shared" ca="1" si="0"/>
        <v/>
      </c>
      <c r="D42" s="123" t="str">
        <f t="shared" ca="1" si="1"/>
        <v/>
      </c>
      <c r="E42" s="72" t="str">
        <f t="shared" ca="1" si="2"/>
        <v/>
      </c>
      <c r="F42" s="121" t="str">
        <f t="shared" ca="1" si="3"/>
        <v/>
      </c>
      <c r="G42" s="123" t="str">
        <f t="shared" ca="1" si="4"/>
        <v/>
      </c>
      <c r="H42" s="72" t="str">
        <f t="shared" ca="1" si="5"/>
        <v/>
      </c>
      <c r="I42" s="121" t="str">
        <f t="shared" ca="1" si="6"/>
        <v/>
      </c>
      <c r="J42" s="123" t="str">
        <f t="shared" ca="1" si="7"/>
        <v/>
      </c>
      <c r="K42" s="72" t="str">
        <f t="shared" ca="1" si="8"/>
        <v/>
      </c>
      <c r="L42" s="121" t="str">
        <f t="shared" ca="1" si="9"/>
        <v/>
      </c>
      <c r="M42" s="123" t="str">
        <f t="shared" ca="1" si="10"/>
        <v/>
      </c>
      <c r="N42" s="72" t="str">
        <f t="shared" ca="1" si="11"/>
        <v/>
      </c>
      <c r="O42" s="121" t="str">
        <f t="shared" ca="1" si="12"/>
        <v/>
      </c>
    </row>
    <row r="43" spans="1:15" ht="16.5" customHeight="1">
      <c r="A43" s="46">
        <v>22</v>
      </c>
      <c r="B43" s="126" t="str">
        <f>HYPERLINK("#'" &amp; TEXT(투자전략!$G$1+21, "[$-ko-KR]yyyy.mm.dd") &amp; "'!A13:O37", TEXT(투자전략!$G$1+21, "[$-ko-KR]yyyy.mm.dd"))</f>
        <v>2023.03.22</v>
      </c>
      <c r="C43" s="117" t="str">
        <f t="shared" ca="1" si="0"/>
        <v/>
      </c>
      <c r="D43" s="125" t="str">
        <f t="shared" ca="1" si="1"/>
        <v/>
      </c>
      <c r="E43" s="69" t="str">
        <f t="shared" ca="1" si="2"/>
        <v/>
      </c>
      <c r="F43" s="124" t="str">
        <f t="shared" ca="1" si="3"/>
        <v/>
      </c>
      <c r="G43" s="125" t="str">
        <f t="shared" ca="1" si="4"/>
        <v/>
      </c>
      <c r="H43" s="69" t="str">
        <f t="shared" ca="1" si="5"/>
        <v/>
      </c>
      <c r="I43" s="124" t="str">
        <f t="shared" ca="1" si="6"/>
        <v/>
      </c>
      <c r="J43" s="125" t="str">
        <f t="shared" ca="1" si="7"/>
        <v/>
      </c>
      <c r="K43" s="69" t="str">
        <f t="shared" ca="1" si="8"/>
        <v/>
      </c>
      <c r="L43" s="124" t="str">
        <f t="shared" ca="1" si="9"/>
        <v/>
      </c>
      <c r="M43" s="125" t="str">
        <f t="shared" ca="1" si="10"/>
        <v/>
      </c>
      <c r="N43" s="69" t="str">
        <f t="shared" ca="1" si="11"/>
        <v/>
      </c>
      <c r="O43" s="124" t="str">
        <f t="shared" ca="1" si="12"/>
        <v/>
      </c>
    </row>
    <row r="44" spans="1:15" ht="16.5" customHeight="1">
      <c r="A44" s="47">
        <v>23</v>
      </c>
      <c r="B44" s="127" t="str">
        <f>HYPERLINK("#'" &amp; TEXT(투자전략!$G$1+22, "[$-ko-KR]yyyy.mm.dd") &amp; "'!A13:O37", TEXT(투자전략!$G$1+22, "[$-ko-KR]yyyy.mm.dd"))</f>
        <v>2023.03.23</v>
      </c>
      <c r="C44" s="118" t="str">
        <f t="shared" ca="1" si="0"/>
        <v/>
      </c>
      <c r="D44" s="122" t="str">
        <f t="shared" ca="1" si="1"/>
        <v/>
      </c>
      <c r="E44" s="70" t="str">
        <f t="shared" ca="1" si="2"/>
        <v/>
      </c>
      <c r="F44" s="120" t="str">
        <f t="shared" ca="1" si="3"/>
        <v/>
      </c>
      <c r="G44" s="122" t="str">
        <f t="shared" ca="1" si="4"/>
        <v/>
      </c>
      <c r="H44" s="70" t="str">
        <f t="shared" ca="1" si="5"/>
        <v/>
      </c>
      <c r="I44" s="120" t="str">
        <f t="shared" ca="1" si="6"/>
        <v/>
      </c>
      <c r="J44" s="122" t="str">
        <f t="shared" ca="1" si="7"/>
        <v/>
      </c>
      <c r="K44" s="70" t="str">
        <f t="shared" ca="1" si="8"/>
        <v/>
      </c>
      <c r="L44" s="120" t="str">
        <f t="shared" ca="1" si="9"/>
        <v/>
      </c>
      <c r="M44" s="122" t="str">
        <f t="shared" ca="1" si="10"/>
        <v/>
      </c>
      <c r="N44" s="70" t="str">
        <f t="shared" ca="1" si="11"/>
        <v/>
      </c>
      <c r="O44" s="120" t="str">
        <f t="shared" ca="1" si="12"/>
        <v/>
      </c>
    </row>
    <row r="45" spans="1:15" ht="16.5" customHeight="1">
      <c r="A45" s="47">
        <v>24</v>
      </c>
      <c r="B45" s="127" t="str">
        <f>HYPERLINK("#'" &amp; TEXT(투자전략!$G$1+23, "[$-ko-KR]yyyy.mm.dd") &amp; "'!A13:O37", TEXT(투자전략!$G$1+23, "[$-ko-KR]yyyy.mm.dd"))</f>
        <v>2023.03.24</v>
      </c>
      <c r="C45" s="118" t="str">
        <f t="shared" ca="1" si="0"/>
        <v/>
      </c>
      <c r="D45" s="122" t="str">
        <f t="shared" ca="1" si="1"/>
        <v/>
      </c>
      <c r="E45" s="70" t="str">
        <f t="shared" ca="1" si="2"/>
        <v/>
      </c>
      <c r="F45" s="120" t="str">
        <f t="shared" ca="1" si="3"/>
        <v/>
      </c>
      <c r="G45" s="122" t="str">
        <f t="shared" ca="1" si="4"/>
        <v/>
      </c>
      <c r="H45" s="70" t="str">
        <f t="shared" ca="1" si="5"/>
        <v/>
      </c>
      <c r="I45" s="120" t="str">
        <f t="shared" ca="1" si="6"/>
        <v/>
      </c>
      <c r="J45" s="122" t="str">
        <f t="shared" ca="1" si="7"/>
        <v/>
      </c>
      <c r="K45" s="70" t="str">
        <f t="shared" ca="1" si="8"/>
        <v/>
      </c>
      <c r="L45" s="120" t="str">
        <f t="shared" ca="1" si="9"/>
        <v/>
      </c>
      <c r="M45" s="122" t="str">
        <f t="shared" ca="1" si="10"/>
        <v/>
      </c>
      <c r="N45" s="70" t="str">
        <f t="shared" ca="1" si="11"/>
        <v/>
      </c>
      <c r="O45" s="120" t="str">
        <f t="shared" ca="1" si="12"/>
        <v/>
      </c>
    </row>
    <row r="46" spans="1:15" ht="16.5" customHeight="1">
      <c r="A46" s="47">
        <v>25</v>
      </c>
      <c r="B46" s="127" t="str">
        <f>HYPERLINK("#'" &amp; TEXT(투자전략!$G$1+24, "[$-ko-KR]yyyy.mm.dd") &amp; "'!A13:O37", TEXT(투자전략!$G$1+24, "[$-ko-KR]yyyy.mm.dd"))</f>
        <v>2023.03.25</v>
      </c>
      <c r="C46" s="118" t="str">
        <f t="shared" ca="1" si="0"/>
        <v/>
      </c>
      <c r="D46" s="122" t="str">
        <f t="shared" ca="1" si="1"/>
        <v/>
      </c>
      <c r="E46" s="70" t="str">
        <f t="shared" ca="1" si="2"/>
        <v/>
      </c>
      <c r="F46" s="120" t="str">
        <f t="shared" ca="1" si="3"/>
        <v/>
      </c>
      <c r="G46" s="122" t="str">
        <f t="shared" ca="1" si="4"/>
        <v/>
      </c>
      <c r="H46" s="70" t="str">
        <f t="shared" ca="1" si="5"/>
        <v/>
      </c>
      <c r="I46" s="120" t="str">
        <f t="shared" ca="1" si="6"/>
        <v/>
      </c>
      <c r="J46" s="122" t="str">
        <f t="shared" ca="1" si="7"/>
        <v/>
      </c>
      <c r="K46" s="70" t="str">
        <f t="shared" ca="1" si="8"/>
        <v/>
      </c>
      <c r="L46" s="120" t="str">
        <f t="shared" ca="1" si="9"/>
        <v/>
      </c>
      <c r="M46" s="122" t="str">
        <f t="shared" ca="1" si="10"/>
        <v/>
      </c>
      <c r="N46" s="70" t="str">
        <f t="shared" ca="1" si="11"/>
        <v/>
      </c>
      <c r="O46" s="120" t="str">
        <f t="shared" ca="1" si="12"/>
        <v/>
      </c>
    </row>
    <row r="47" spans="1:15" ht="16.5" customHeight="1">
      <c r="A47" s="47">
        <v>26</v>
      </c>
      <c r="B47" s="127" t="str">
        <f>HYPERLINK("#'" &amp; TEXT(투자전략!$G$1+25, "[$-ko-KR]yyyy.mm.dd") &amp; "'!A13:O37", TEXT(투자전략!$G$1+25, "[$-ko-KR]yyyy.mm.dd"))</f>
        <v>2023.03.26</v>
      </c>
      <c r="C47" s="118" t="str">
        <f t="shared" ca="1" si="0"/>
        <v/>
      </c>
      <c r="D47" s="122" t="str">
        <f t="shared" ca="1" si="1"/>
        <v/>
      </c>
      <c r="E47" s="70" t="str">
        <f t="shared" ca="1" si="2"/>
        <v/>
      </c>
      <c r="F47" s="120" t="str">
        <f t="shared" ca="1" si="3"/>
        <v/>
      </c>
      <c r="G47" s="122" t="str">
        <f t="shared" ca="1" si="4"/>
        <v/>
      </c>
      <c r="H47" s="70" t="str">
        <f t="shared" ca="1" si="5"/>
        <v/>
      </c>
      <c r="I47" s="120" t="str">
        <f t="shared" ca="1" si="6"/>
        <v/>
      </c>
      <c r="J47" s="122" t="str">
        <f t="shared" ca="1" si="7"/>
        <v/>
      </c>
      <c r="K47" s="70" t="str">
        <f t="shared" ca="1" si="8"/>
        <v/>
      </c>
      <c r="L47" s="120" t="str">
        <f t="shared" ca="1" si="9"/>
        <v/>
      </c>
      <c r="M47" s="122" t="str">
        <f t="shared" ca="1" si="10"/>
        <v/>
      </c>
      <c r="N47" s="70" t="str">
        <f t="shared" ca="1" si="11"/>
        <v/>
      </c>
      <c r="O47" s="120" t="str">
        <f t="shared" ca="1" si="12"/>
        <v/>
      </c>
    </row>
    <row r="48" spans="1:15" ht="16.5" customHeight="1">
      <c r="A48" s="47">
        <v>27</v>
      </c>
      <c r="B48" s="127" t="str">
        <f>HYPERLINK("#'" &amp; TEXT(투자전략!$G$1+26, "[$-ko-KR]yyyy.mm.dd") &amp; "'!A13:O37", TEXT(투자전략!$G$1+26, "[$-ko-KR]yyyy.mm.dd"))</f>
        <v>2023.03.27</v>
      </c>
      <c r="C48" s="118" t="str">
        <f t="shared" ca="1" si="0"/>
        <v/>
      </c>
      <c r="D48" s="122" t="str">
        <f t="shared" ca="1" si="1"/>
        <v/>
      </c>
      <c r="E48" s="70" t="str">
        <f t="shared" ca="1" si="2"/>
        <v/>
      </c>
      <c r="F48" s="120" t="str">
        <f t="shared" ca="1" si="3"/>
        <v/>
      </c>
      <c r="G48" s="122" t="str">
        <f t="shared" ca="1" si="4"/>
        <v/>
      </c>
      <c r="H48" s="70" t="str">
        <f t="shared" ca="1" si="5"/>
        <v/>
      </c>
      <c r="I48" s="120" t="str">
        <f t="shared" ca="1" si="6"/>
        <v/>
      </c>
      <c r="J48" s="122" t="str">
        <f t="shared" ca="1" si="7"/>
        <v/>
      </c>
      <c r="K48" s="70" t="str">
        <f t="shared" ca="1" si="8"/>
        <v/>
      </c>
      <c r="L48" s="120" t="str">
        <f t="shared" ca="1" si="9"/>
        <v/>
      </c>
      <c r="M48" s="122" t="str">
        <f t="shared" ca="1" si="10"/>
        <v/>
      </c>
      <c r="N48" s="70" t="str">
        <f t="shared" ca="1" si="11"/>
        <v/>
      </c>
      <c r="O48" s="120" t="str">
        <f t="shared" ca="1" si="12"/>
        <v/>
      </c>
    </row>
    <row r="49" spans="1:15" ht="16.5" customHeight="1" thickBot="1">
      <c r="A49" s="48">
        <v>28</v>
      </c>
      <c r="B49" s="128" t="str">
        <f>HYPERLINK("#'" &amp; TEXT(투자전략!$G$1+27, "[$-ko-KR]yyyy.mm.dd") &amp; "'!A13:O37", TEXT(투자전략!$G$1+27, "[$-ko-KR]yyyy.mm.dd"))</f>
        <v>2023.03.28</v>
      </c>
      <c r="C49" s="119" t="str">
        <f t="shared" ca="1" si="0"/>
        <v/>
      </c>
      <c r="D49" s="123" t="str">
        <f t="shared" ca="1" si="1"/>
        <v/>
      </c>
      <c r="E49" s="72" t="str">
        <f t="shared" ca="1" si="2"/>
        <v/>
      </c>
      <c r="F49" s="121" t="str">
        <f t="shared" ca="1" si="3"/>
        <v/>
      </c>
      <c r="G49" s="123" t="str">
        <f t="shared" ca="1" si="4"/>
        <v/>
      </c>
      <c r="H49" s="72" t="str">
        <f t="shared" ca="1" si="5"/>
        <v/>
      </c>
      <c r="I49" s="121" t="str">
        <f t="shared" ca="1" si="6"/>
        <v/>
      </c>
      <c r="J49" s="123" t="str">
        <f t="shared" ca="1" si="7"/>
        <v/>
      </c>
      <c r="K49" s="72" t="str">
        <f t="shared" ca="1" si="8"/>
        <v/>
      </c>
      <c r="L49" s="121" t="str">
        <f t="shared" ca="1" si="9"/>
        <v/>
      </c>
      <c r="M49" s="123" t="str">
        <f t="shared" ca="1" si="10"/>
        <v/>
      </c>
      <c r="N49" s="72" t="str">
        <f t="shared" ca="1" si="11"/>
        <v/>
      </c>
      <c r="O49" s="121" t="str">
        <f t="shared" ca="1" si="12"/>
        <v/>
      </c>
    </row>
    <row r="50" spans="1:15" ht="16.5" customHeight="1">
      <c r="A50" s="105">
        <v>29</v>
      </c>
      <c r="B50" s="126" t="str">
        <f>HYPERLINK("#'" &amp; TEXT(투자전략!$G$1+28, "[$-ko-KR]yyyy.mm.dd") &amp; "'!A13:O37", TEXT(투자전략!$G$1+28, "[$-ko-KR]yyyy.mm.dd"))</f>
        <v>2023.03.29</v>
      </c>
      <c r="C50" s="118" t="str">
        <f t="shared" ca="1" si="0"/>
        <v/>
      </c>
      <c r="D50" s="122" t="str">
        <f t="shared" ca="1" si="1"/>
        <v/>
      </c>
      <c r="E50" s="70" t="str">
        <f t="shared" ca="1" si="2"/>
        <v/>
      </c>
      <c r="F50" s="120" t="str">
        <f t="shared" ca="1" si="3"/>
        <v/>
      </c>
      <c r="G50" s="122" t="str">
        <f t="shared" ca="1" si="4"/>
        <v/>
      </c>
      <c r="H50" s="70" t="str">
        <f t="shared" ca="1" si="5"/>
        <v/>
      </c>
      <c r="I50" s="120" t="str">
        <f t="shared" ca="1" si="6"/>
        <v/>
      </c>
      <c r="J50" s="122" t="str">
        <f t="shared" ca="1" si="7"/>
        <v/>
      </c>
      <c r="K50" s="70" t="str">
        <f t="shared" ca="1" si="8"/>
        <v/>
      </c>
      <c r="L50" s="120" t="str">
        <f t="shared" ca="1" si="9"/>
        <v/>
      </c>
      <c r="M50" s="122" t="str">
        <f t="shared" ca="1" si="10"/>
        <v/>
      </c>
      <c r="N50" s="70" t="str">
        <f t="shared" ca="1" si="11"/>
        <v/>
      </c>
      <c r="O50" s="120" t="str">
        <f t="shared" ca="1" si="12"/>
        <v/>
      </c>
    </row>
    <row r="51" spans="1:15" ht="16.5" customHeight="1">
      <c r="A51" s="105">
        <v>30</v>
      </c>
      <c r="B51" s="127" t="str">
        <f>HYPERLINK("#'" &amp; TEXT(투자전략!$G$1+29, "[$-ko-KR]yyyy.mm.dd") &amp; "'!A13:O37", TEXT(투자전략!$G$1+29, "[$-ko-KR]yyyy.mm.dd"))</f>
        <v>2023.03.30</v>
      </c>
      <c r="C51" s="118" t="str">
        <f t="shared" ca="1" si="0"/>
        <v/>
      </c>
      <c r="D51" s="122" t="str">
        <f t="shared" ca="1" si="1"/>
        <v/>
      </c>
      <c r="E51" s="70" t="str">
        <f t="shared" ca="1" si="2"/>
        <v/>
      </c>
      <c r="F51" s="120" t="str">
        <f t="shared" ca="1" si="3"/>
        <v/>
      </c>
      <c r="G51" s="122" t="str">
        <f t="shared" ca="1" si="4"/>
        <v/>
      </c>
      <c r="H51" s="70" t="str">
        <f t="shared" ca="1" si="5"/>
        <v/>
      </c>
      <c r="I51" s="120" t="str">
        <f t="shared" ca="1" si="6"/>
        <v/>
      </c>
      <c r="J51" s="122" t="str">
        <f t="shared" ca="1" si="7"/>
        <v/>
      </c>
      <c r="K51" s="70" t="str">
        <f t="shared" ca="1" si="8"/>
        <v/>
      </c>
      <c r="L51" s="120" t="str">
        <f t="shared" ca="1" si="9"/>
        <v/>
      </c>
      <c r="M51" s="122" t="str">
        <f t="shared" ca="1" si="10"/>
        <v/>
      </c>
      <c r="N51" s="70" t="str">
        <f t="shared" ca="1" si="11"/>
        <v/>
      </c>
      <c r="O51" s="120" t="str">
        <f t="shared" ca="1" si="12"/>
        <v/>
      </c>
    </row>
    <row r="52" spans="1:15" ht="16.5" customHeight="1" thickBot="1">
      <c r="A52" s="105">
        <v>31</v>
      </c>
      <c r="B52" s="127" t="str">
        <f>HYPERLINK("#'" &amp; TEXT(투자전략!$G$1+30, "[$-ko-KR]yyyy.mm.dd") &amp; "'!A13:O37", TEXT(투자전략!$G$1+30, "[$-ko-KR]yyyy.mm.dd"))</f>
        <v>2023.03.31</v>
      </c>
      <c r="C52" s="118" t="str">
        <f t="shared" ca="1" si="0"/>
        <v/>
      </c>
      <c r="D52" s="122" t="str">
        <f t="shared" ca="1" si="1"/>
        <v/>
      </c>
      <c r="E52" s="70" t="str">
        <f t="shared" ca="1" si="2"/>
        <v/>
      </c>
      <c r="F52" s="120" t="str">
        <f t="shared" ca="1" si="3"/>
        <v/>
      </c>
      <c r="G52" s="122" t="str">
        <f t="shared" ca="1" si="4"/>
        <v/>
      </c>
      <c r="H52" s="70" t="str">
        <f t="shared" ca="1" si="5"/>
        <v/>
      </c>
      <c r="I52" s="120" t="str">
        <f t="shared" ca="1" si="6"/>
        <v/>
      </c>
      <c r="J52" s="122" t="str">
        <f t="shared" ca="1" si="7"/>
        <v/>
      </c>
      <c r="K52" s="70" t="str">
        <f t="shared" ca="1" si="8"/>
        <v/>
      </c>
      <c r="L52" s="120" t="str">
        <f t="shared" ca="1" si="9"/>
        <v/>
      </c>
      <c r="M52" s="122" t="str">
        <f t="shared" ca="1" si="10"/>
        <v/>
      </c>
      <c r="N52" s="70" t="str">
        <f t="shared" ca="1" si="11"/>
        <v/>
      </c>
      <c r="O52" s="120" t="str">
        <f t="shared" ca="1" si="12"/>
        <v/>
      </c>
    </row>
    <row r="53" spans="1:15" ht="16.5" customHeight="1" thickBot="1">
      <c r="A53" s="185" t="s">
        <v>270</v>
      </c>
      <c r="B53" s="187"/>
      <c r="C53" s="116" t="s">
        <v>265</v>
      </c>
      <c r="D53" s="9" t="s">
        <v>266</v>
      </c>
      <c r="E53" s="63" t="s">
        <v>267</v>
      </c>
      <c r="F53" s="64" t="s">
        <v>268</v>
      </c>
      <c r="G53" s="9" t="s">
        <v>266</v>
      </c>
      <c r="H53" s="63" t="s">
        <v>267</v>
      </c>
      <c r="I53" s="64" t="s">
        <v>268</v>
      </c>
      <c r="J53" s="9" t="s">
        <v>266</v>
      </c>
      <c r="K53" s="63" t="s">
        <v>267</v>
      </c>
      <c r="L53" s="64" t="s">
        <v>268</v>
      </c>
      <c r="M53" s="9" t="s">
        <v>266</v>
      </c>
      <c r="N53" s="63" t="s">
        <v>267</v>
      </c>
      <c r="O53" s="64" t="s">
        <v>268</v>
      </c>
    </row>
    <row r="54" spans="1:15" ht="16.5" customHeight="1" thickBot="1">
      <c r="A54" s="178"/>
      <c r="B54" s="180"/>
      <c r="C54" s="119">
        <f ca="1">SUM(C22:C52)</f>
        <v>0</v>
      </c>
      <c r="D54" s="123">
        <f ca="1">SUM(D22:D52)</f>
        <v>0</v>
      </c>
      <c r="E54" s="72">
        <f ca="1">IFERROR(F54 / (SUM($C22:$C52) / COUNT($C22:$C52)), 0)</f>
        <v>0</v>
      </c>
      <c r="F54" s="121">
        <f ca="1">SUM(F22:F52)</f>
        <v>0</v>
      </c>
      <c r="G54" s="123">
        <f ca="1">SUM(G22:G52)</f>
        <v>0</v>
      </c>
      <c r="H54" s="72">
        <f ca="1">IFERROR(I54 / (SUM($C22:$C52) / COUNT($C22:$C52)), 0)</f>
        <v>0</v>
      </c>
      <c r="I54" s="121">
        <f ca="1">SUM(I22:I52)</f>
        <v>0</v>
      </c>
      <c r="J54" s="123">
        <f ca="1">SUM(J22:J52)</f>
        <v>0</v>
      </c>
      <c r="K54" s="72">
        <f ca="1">IFERROR(L54 / (SUM($C22:$C52) / COUNT($C22:$C52)), 0)</f>
        <v>0</v>
      </c>
      <c r="L54" s="121">
        <f ca="1">SUM(L22:L52)</f>
        <v>0</v>
      </c>
      <c r="M54" s="123">
        <f ca="1">SUM(M22:M52)</f>
        <v>0</v>
      </c>
      <c r="N54" s="72">
        <f ca="1">IFERROR(O54 / (SUM($C22:$C52) / COUNT($C22:$C52)), 0)</f>
        <v>0</v>
      </c>
      <c r="O54" s="121">
        <f ca="1">SUM(O22:O52)</f>
        <v>0</v>
      </c>
    </row>
    <row r="56" spans="1:15" ht="16.5" customHeight="1" thickBot="1"/>
    <row r="57" spans="1:15" ht="16.5" customHeight="1" thickBot="1">
      <c r="A57" s="157" t="str">
        <f>TEXT(투자전략!$G$1, "[$-ko-KR]yyyy년 mm월 ") &amp; "[엽전코인] 전일대비 상승률 Top20 월말결산"</f>
        <v>2023년 03월 [엽전코인] 전일대비 상승률 Top20 월말결산</v>
      </c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9"/>
    </row>
    <row r="58" spans="1:15" ht="16.5" customHeight="1" thickBot="1">
      <c r="A58" s="201" t="s">
        <v>271</v>
      </c>
      <c r="B58" s="178" t="s">
        <v>269</v>
      </c>
      <c r="C58" s="180"/>
      <c r="D58" s="178" t="s">
        <v>261</v>
      </c>
      <c r="E58" s="179"/>
      <c r="F58" s="180"/>
      <c r="G58" s="178" t="s">
        <v>262</v>
      </c>
      <c r="H58" s="179"/>
      <c r="I58" s="180"/>
      <c r="J58" s="178" t="s">
        <v>263</v>
      </c>
      <c r="K58" s="179"/>
      <c r="L58" s="180"/>
      <c r="M58" s="178" t="s">
        <v>264</v>
      </c>
      <c r="N58" s="179"/>
      <c r="O58" s="180"/>
    </row>
    <row r="59" spans="1:15" ht="16.5" customHeight="1" thickBot="1">
      <c r="A59" s="194"/>
      <c r="B59" s="46" t="s">
        <v>259</v>
      </c>
      <c r="C59" s="46" t="s">
        <v>42</v>
      </c>
      <c r="D59" s="105" t="s">
        <v>260</v>
      </c>
      <c r="E59" s="106" t="s">
        <v>40</v>
      </c>
      <c r="F59" s="81" t="s">
        <v>41</v>
      </c>
      <c r="G59" s="105" t="s">
        <v>260</v>
      </c>
      <c r="H59" s="106" t="s">
        <v>40</v>
      </c>
      <c r="I59" s="81" t="s">
        <v>41</v>
      </c>
      <c r="J59" s="105" t="s">
        <v>260</v>
      </c>
      <c r="K59" s="106" t="s">
        <v>40</v>
      </c>
      <c r="L59" s="81" t="s">
        <v>41</v>
      </c>
      <c r="M59" s="105" t="s">
        <v>260</v>
      </c>
      <c r="N59" s="106" t="s">
        <v>40</v>
      </c>
      <c r="O59" s="81" t="s">
        <v>41</v>
      </c>
    </row>
    <row r="60" spans="1:15" ht="16.5" customHeight="1">
      <c r="A60" s="46">
        <v>1</v>
      </c>
      <c r="B60" s="129" t="str">
        <f>HYPERLINK("#'" &amp; TEXT(투자전략!$G$1+0, "[$-ko-KR]yyyy.mm.dd") &amp; "'!A40:O64", TEXT(투자전략!$G$1+0, "[$-ko-KR]yyyy.mm.dd"))</f>
        <v>2023.03.01</v>
      </c>
      <c r="C60" s="117">
        <f ca="1">IFERROR(COUNTA(INDIRECT($B60&amp;"!A44:A63")) * INDIRECT($B60&amp;"!B64"), "")</f>
        <v>3000000</v>
      </c>
      <c r="D60" s="125">
        <f ca="1">IFERROR($C60 * (1 + E60), "")</f>
        <v>3000000</v>
      </c>
      <c r="E60" s="69">
        <f ca="1">IFERROR(INDIRECT($B60&amp;"!E64"), "")</f>
        <v>0</v>
      </c>
      <c r="F60" s="124">
        <f ca="1">IFERROR(INDIRECT($B60&amp;"!F64"), "")</f>
        <v>0</v>
      </c>
      <c r="G60" s="125">
        <f ca="1">IFERROR($C60 * (1 + H60), "")</f>
        <v>3000000</v>
      </c>
      <c r="H60" s="69">
        <f ca="1">IFERROR(INDIRECT($B60&amp;"!H64"), "")</f>
        <v>0</v>
      </c>
      <c r="I60" s="124">
        <f ca="1">IFERROR(INDIRECT($B60&amp;"!I64"), "")</f>
        <v>0</v>
      </c>
      <c r="J60" s="125">
        <f ca="1">IFERROR($C60 * (1 + K60), "")</f>
        <v>3000000</v>
      </c>
      <c r="K60" s="69">
        <f ca="1">IFERROR(INDIRECT($B60&amp;"!K64"), "")</f>
        <v>0</v>
      </c>
      <c r="L60" s="124">
        <f ca="1">IFERROR(INDIRECT($B60&amp;"!L64"), "")</f>
        <v>0</v>
      </c>
      <c r="M60" s="125">
        <f ca="1">IFERROR($C60 * (1 + N60), "")</f>
        <v>3000000</v>
      </c>
      <c r="N60" s="69">
        <f ca="1">IFERROR(INDIRECT($B60&amp;"!N64"), "")</f>
        <v>0</v>
      </c>
      <c r="O60" s="124">
        <f ca="1">IFERROR(INDIRECT($B60&amp;"!O64"), "")</f>
        <v>0</v>
      </c>
    </row>
    <row r="61" spans="1:15" ht="16.5" customHeight="1">
      <c r="A61" s="47">
        <v>2</v>
      </c>
      <c r="B61" s="130" t="str">
        <f>HYPERLINK("#'" &amp; TEXT(투자전략!$G$1+1, "[$-ko-KR]yyyy.mm.dd") &amp; "'!A40:O64", TEXT(투자전략!$G$1+1, "[$-ko-KR]yyyy.mm.dd"))</f>
        <v>2023.03.02</v>
      </c>
      <c r="C61" s="118" t="str">
        <f t="shared" ref="C61:C90" ca="1" si="13">IFERROR(COUNTA(INDIRECT($B61&amp;"!A44:A63")) * INDIRECT($B61&amp;"!B64"), "")</f>
        <v/>
      </c>
      <c r="D61" s="122" t="str">
        <f t="shared" ref="D61:D90" ca="1" si="14">IFERROR($C61 * (1 + E61), "")</f>
        <v/>
      </c>
      <c r="E61" s="70" t="str">
        <f t="shared" ref="E61:E90" ca="1" si="15">IFERROR(INDIRECT($B61&amp;"!E64"), "")</f>
        <v/>
      </c>
      <c r="F61" s="120" t="str">
        <f t="shared" ref="F61:F90" ca="1" si="16">IFERROR(INDIRECT($B61&amp;"!F64"), "")</f>
        <v/>
      </c>
      <c r="G61" s="122" t="str">
        <f t="shared" ref="G61:G90" ca="1" si="17">IFERROR($C61 * (1 + H61), "")</f>
        <v/>
      </c>
      <c r="H61" s="70" t="str">
        <f t="shared" ref="H61:H90" ca="1" si="18">IFERROR(INDIRECT($B61&amp;"!H64"), "")</f>
        <v/>
      </c>
      <c r="I61" s="120" t="str">
        <f t="shared" ref="I61:I90" ca="1" si="19">IFERROR(INDIRECT($B61&amp;"!I64"), "")</f>
        <v/>
      </c>
      <c r="J61" s="122" t="str">
        <f t="shared" ref="J61:J90" ca="1" si="20">IFERROR($C61 * (1 + K61), "")</f>
        <v/>
      </c>
      <c r="K61" s="70" t="str">
        <f t="shared" ref="K61:K90" ca="1" si="21">IFERROR(INDIRECT($B61&amp;"!K64"), "")</f>
        <v/>
      </c>
      <c r="L61" s="120" t="str">
        <f t="shared" ref="L61:L90" ca="1" si="22">IFERROR(INDIRECT($B61&amp;"!L64"), "")</f>
        <v/>
      </c>
      <c r="M61" s="122" t="str">
        <f t="shared" ref="M61:M90" ca="1" si="23">IFERROR($C61 * (1 + N61), "")</f>
        <v/>
      </c>
      <c r="N61" s="70" t="str">
        <f t="shared" ref="N61:N90" ca="1" si="24">IFERROR(INDIRECT($B61&amp;"!N64"), "")</f>
        <v/>
      </c>
      <c r="O61" s="120" t="str">
        <f t="shared" ref="O61:O90" ca="1" si="25">IFERROR(INDIRECT($B61&amp;"!O64"), "")</f>
        <v/>
      </c>
    </row>
    <row r="62" spans="1:15" ht="16.5" customHeight="1">
      <c r="A62" s="47">
        <v>3</v>
      </c>
      <c r="B62" s="130" t="str">
        <f>HYPERLINK("#'" &amp; TEXT(투자전략!$G$1+2, "[$-ko-KR]yyyy.mm.dd") &amp; "'!A40:O64", TEXT(투자전략!$G$1+2, "[$-ko-KR]yyyy.mm.dd"))</f>
        <v>2023.03.03</v>
      </c>
      <c r="C62" s="118" t="str">
        <f t="shared" ca="1" si="13"/>
        <v/>
      </c>
      <c r="D62" s="122" t="str">
        <f t="shared" ca="1" si="14"/>
        <v/>
      </c>
      <c r="E62" s="70" t="str">
        <f t="shared" ca="1" si="15"/>
        <v/>
      </c>
      <c r="F62" s="120" t="str">
        <f t="shared" ca="1" si="16"/>
        <v/>
      </c>
      <c r="G62" s="122" t="str">
        <f t="shared" ca="1" si="17"/>
        <v/>
      </c>
      <c r="H62" s="70" t="str">
        <f t="shared" ca="1" si="18"/>
        <v/>
      </c>
      <c r="I62" s="120" t="str">
        <f t="shared" ca="1" si="19"/>
        <v/>
      </c>
      <c r="J62" s="122" t="str">
        <f t="shared" ca="1" si="20"/>
        <v/>
      </c>
      <c r="K62" s="70" t="str">
        <f t="shared" ca="1" si="21"/>
        <v/>
      </c>
      <c r="L62" s="120" t="str">
        <f t="shared" ca="1" si="22"/>
        <v/>
      </c>
      <c r="M62" s="122" t="str">
        <f t="shared" ca="1" si="23"/>
        <v/>
      </c>
      <c r="N62" s="70" t="str">
        <f t="shared" ca="1" si="24"/>
        <v/>
      </c>
      <c r="O62" s="120" t="str">
        <f t="shared" ca="1" si="25"/>
        <v/>
      </c>
    </row>
    <row r="63" spans="1:15" ht="16.5" customHeight="1">
      <c r="A63" s="47">
        <v>4</v>
      </c>
      <c r="B63" s="130" t="str">
        <f>HYPERLINK("#'" &amp; TEXT(투자전략!$G$1+3, "[$-ko-KR]yyyy.mm.dd") &amp; "'!A40:O64", TEXT(투자전략!$G$1+3, "[$-ko-KR]yyyy.mm.dd"))</f>
        <v>2023.03.04</v>
      </c>
      <c r="C63" s="118" t="str">
        <f t="shared" ca="1" si="13"/>
        <v/>
      </c>
      <c r="D63" s="122" t="str">
        <f t="shared" ca="1" si="14"/>
        <v/>
      </c>
      <c r="E63" s="70" t="str">
        <f t="shared" ca="1" si="15"/>
        <v/>
      </c>
      <c r="F63" s="120" t="str">
        <f t="shared" ca="1" si="16"/>
        <v/>
      </c>
      <c r="G63" s="122" t="str">
        <f t="shared" ca="1" si="17"/>
        <v/>
      </c>
      <c r="H63" s="70" t="str">
        <f t="shared" ca="1" si="18"/>
        <v/>
      </c>
      <c r="I63" s="120" t="str">
        <f t="shared" ca="1" si="19"/>
        <v/>
      </c>
      <c r="J63" s="122" t="str">
        <f t="shared" ca="1" si="20"/>
        <v/>
      </c>
      <c r="K63" s="70" t="str">
        <f t="shared" ca="1" si="21"/>
        <v/>
      </c>
      <c r="L63" s="120" t="str">
        <f t="shared" ca="1" si="22"/>
        <v/>
      </c>
      <c r="M63" s="122" t="str">
        <f t="shared" ca="1" si="23"/>
        <v/>
      </c>
      <c r="N63" s="70" t="str">
        <f t="shared" ca="1" si="24"/>
        <v/>
      </c>
      <c r="O63" s="120" t="str">
        <f t="shared" ca="1" si="25"/>
        <v/>
      </c>
    </row>
    <row r="64" spans="1:15" ht="16.5" customHeight="1">
      <c r="A64" s="47">
        <v>5</v>
      </c>
      <c r="B64" s="130" t="str">
        <f>HYPERLINK("#'" &amp; TEXT(투자전략!$G$1+4, "[$-ko-KR]yyyy.mm.dd") &amp; "'!A40:O64", TEXT(투자전략!$G$1+4, "[$-ko-KR]yyyy.mm.dd"))</f>
        <v>2023.03.05</v>
      </c>
      <c r="C64" s="118" t="str">
        <f t="shared" ca="1" si="13"/>
        <v/>
      </c>
      <c r="D64" s="122" t="str">
        <f t="shared" ca="1" si="14"/>
        <v/>
      </c>
      <c r="E64" s="70" t="str">
        <f t="shared" ca="1" si="15"/>
        <v/>
      </c>
      <c r="F64" s="120" t="str">
        <f t="shared" ca="1" si="16"/>
        <v/>
      </c>
      <c r="G64" s="122" t="str">
        <f t="shared" ca="1" si="17"/>
        <v/>
      </c>
      <c r="H64" s="70" t="str">
        <f t="shared" ca="1" si="18"/>
        <v/>
      </c>
      <c r="I64" s="120" t="str">
        <f t="shared" ca="1" si="19"/>
        <v/>
      </c>
      <c r="J64" s="122" t="str">
        <f t="shared" ca="1" si="20"/>
        <v/>
      </c>
      <c r="K64" s="70" t="str">
        <f t="shared" ca="1" si="21"/>
        <v/>
      </c>
      <c r="L64" s="120" t="str">
        <f t="shared" ca="1" si="22"/>
        <v/>
      </c>
      <c r="M64" s="122" t="str">
        <f t="shared" ca="1" si="23"/>
        <v/>
      </c>
      <c r="N64" s="70" t="str">
        <f t="shared" ca="1" si="24"/>
        <v/>
      </c>
      <c r="O64" s="120" t="str">
        <f t="shared" ca="1" si="25"/>
        <v/>
      </c>
    </row>
    <row r="65" spans="1:15" ht="16.5" customHeight="1">
      <c r="A65" s="47">
        <v>6</v>
      </c>
      <c r="B65" s="130" t="str">
        <f>HYPERLINK("#'" &amp; TEXT(투자전략!$G$1+5, "[$-ko-KR]yyyy.mm.dd") &amp; "'!A40:O64", TEXT(투자전략!$G$1+5, "[$-ko-KR]yyyy.mm.dd"))</f>
        <v>2023.03.06</v>
      </c>
      <c r="C65" s="118" t="str">
        <f t="shared" ca="1" si="13"/>
        <v/>
      </c>
      <c r="D65" s="122" t="str">
        <f t="shared" ca="1" si="14"/>
        <v/>
      </c>
      <c r="E65" s="70" t="str">
        <f t="shared" ca="1" si="15"/>
        <v/>
      </c>
      <c r="F65" s="120" t="str">
        <f t="shared" ca="1" si="16"/>
        <v/>
      </c>
      <c r="G65" s="122" t="str">
        <f t="shared" ca="1" si="17"/>
        <v/>
      </c>
      <c r="H65" s="70" t="str">
        <f t="shared" ca="1" si="18"/>
        <v/>
      </c>
      <c r="I65" s="120" t="str">
        <f t="shared" ca="1" si="19"/>
        <v/>
      </c>
      <c r="J65" s="122" t="str">
        <f t="shared" ca="1" si="20"/>
        <v/>
      </c>
      <c r="K65" s="70" t="str">
        <f t="shared" ca="1" si="21"/>
        <v/>
      </c>
      <c r="L65" s="120" t="str">
        <f t="shared" ca="1" si="22"/>
        <v/>
      </c>
      <c r="M65" s="122" t="str">
        <f t="shared" ca="1" si="23"/>
        <v/>
      </c>
      <c r="N65" s="70" t="str">
        <f t="shared" ca="1" si="24"/>
        <v/>
      </c>
      <c r="O65" s="120" t="str">
        <f t="shared" ca="1" si="25"/>
        <v/>
      </c>
    </row>
    <row r="66" spans="1:15" ht="16.5" customHeight="1" thickBot="1">
      <c r="A66" s="48">
        <v>7</v>
      </c>
      <c r="B66" s="131" t="str">
        <f>HYPERLINK("#'" &amp; TEXT(투자전략!$G$1+6, "[$-ko-KR]yyyy.mm.dd") &amp; "'!A40:O64", TEXT(투자전략!$G$1+6, "[$-ko-KR]yyyy.mm.dd"))</f>
        <v>2023.03.07</v>
      </c>
      <c r="C66" s="118">
        <f t="shared" ca="1" si="13"/>
        <v>3000000</v>
      </c>
      <c r="D66" s="122">
        <f t="shared" ca="1" si="14"/>
        <v>3000000</v>
      </c>
      <c r="E66" s="70">
        <f t="shared" ca="1" si="15"/>
        <v>0</v>
      </c>
      <c r="F66" s="120">
        <f t="shared" ca="1" si="16"/>
        <v>0</v>
      </c>
      <c r="G66" s="122">
        <f t="shared" ca="1" si="17"/>
        <v>2945549.7555964347</v>
      </c>
      <c r="H66" s="70">
        <f t="shared" ca="1" si="18"/>
        <v>-1.8150081467855163E-2</v>
      </c>
      <c r="I66" s="120">
        <f t="shared" ca="1" si="19"/>
        <v>-54450.244403565477</v>
      </c>
      <c r="J66" s="122">
        <f t="shared" ca="1" si="20"/>
        <v>2956825.3378429054</v>
      </c>
      <c r="K66" s="70">
        <f t="shared" ca="1" si="21"/>
        <v>-1.4391554052364804E-2</v>
      </c>
      <c r="L66" s="120">
        <f t="shared" ca="1" si="22"/>
        <v>-43174.662157094404</v>
      </c>
      <c r="M66" s="122">
        <f t="shared" ca="1" si="23"/>
        <v>2918682.4036510196</v>
      </c>
      <c r="N66" s="70">
        <f t="shared" ca="1" si="24"/>
        <v>-2.7105865449660049E-2</v>
      </c>
      <c r="O66" s="120">
        <f t="shared" ca="1" si="25"/>
        <v>-81317.596348980151</v>
      </c>
    </row>
    <row r="67" spans="1:15" ht="16.5" customHeight="1">
      <c r="A67" s="46">
        <v>8</v>
      </c>
      <c r="B67" s="129" t="str">
        <f>HYPERLINK("#'" &amp; TEXT(투자전략!$G$1+7, "[$-ko-KR]yyyy.mm.dd") &amp; "'!A40:O64", TEXT(투자전략!$G$1+7, "[$-ko-KR]yyyy.mm.dd"))</f>
        <v>2023.03.08</v>
      </c>
      <c r="C67" s="117">
        <f t="shared" ca="1" si="13"/>
        <v>3000000</v>
      </c>
      <c r="D67" s="125">
        <f t="shared" ca="1" si="14"/>
        <v>2988556.4061235022</v>
      </c>
      <c r="E67" s="69">
        <f t="shared" ca="1" si="15"/>
        <v>-3.8145312921659008E-3</v>
      </c>
      <c r="F67" s="124">
        <f t="shared" ca="1" si="16"/>
        <v>-11443.593876497704</v>
      </c>
      <c r="G67" s="125">
        <f t="shared" ca="1" si="17"/>
        <v>2955925.552766487</v>
      </c>
      <c r="H67" s="69">
        <f t="shared" ca="1" si="18"/>
        <v>-1.4691482411170997E-2</v>
      </c>
      <c r="I67" s="124">
        <f t="shared" ca="1" si="19"/>
        <v>-44074.44723351299</v>
      </c>
      <c r="J67" s="125">
        <f t="shared" ca="1" si="20"/>
        <v>2974874.0762990313</v>
      </c>
      <c r="K67" s="69">
        <f t="shared" ca="1" si="21"/>
        <v>-8.3753079003229796E-3</v>
      </c>
      <c r="L67" s="124">
        <f t="shared" ca="1" si="22"/>
        <v>-25125.923700968942</v>
      </c>
      <c r="M67" s="125">
        <f t="shared" ca="1" si="23"/>
        <v>2937371.4563740818</v>
      </c>
      <c r="N67" s="69">
        <f t="shared" ca="1" si="24"/>
        <v>-2.0876181208639447E-2</v>
      </c>
      <c r="O67" s="124">
        <f t="shared" ca="1" si="25"/>
        <v>-62628.543625918341</v>
      </c>
    </row>
    <row r="68" spans="1:15" ht="16.5" customHeight="1">
      <c r="A68" s="47">
        <v>9</v>
      </c>
      <c r="B68" s="130" t="str">
        <f>HYPERLINK("#'" &amp; TEXT(투자전략!$G$1+8, "[$-ko-KR]yyyy.mm.dd") &amp; "'!A40:O64", TEXT(투자전략!$G$1+8, "[$-ko-KR]yyyy.mm.dd"))</f>
        <v>2023.03.09</v>
      </c>
      <c r="C68" s="118">
        <f t="shared" ca="1" si="13"/>
        <v>3000000</v>
      </c>
      <c r="D68" s="122">
        <f t="shared" ca="1" si="14"/>
        <v>2967192.3931720746</v>
      </c>
      <c r="E68" s="70">
        <f t="shared" ca="1" si="15"/>
        <v>-1.0935868942641726E-2</v>
      </c>
      <c r="F68" s="120">
        <f t="shared" ca="1" si="16"/>
        <v>-32807.606827925185</v>
      </c>
      <c r="G68" s="122">
        <f t="shared" ca="1" si="17"/>
        <v>2937771.7066147127</v>
      </c>
      <c r="H68" s="70">
        <f t="shared" ca="1" si="18"/>
        <v>-2.0742764461762334E-2</v>
      </c>
      <c r="I68" s="120">
        <f t="shared" ca="1" si="19"/>
        <v>-62228.293385287012</v>
      </c>
      <c r="J68" s="122">
        <f t="shared" ca="1" si="20"/>
        <v>2947627.1809232198</v>
      </c>
      <c r="K68" s="70">
        <f t="shared" ca="1" si="21"/>
        <v>-1.7457606358926646E-2</v>
      </c>
      <c r="L68" s="120">
        <f t="shared" ca="1" si="22"/>
        <v>-52372.819076779946</v>
      </c>
      <c r="M68" s="122">
        <f t="shared" ca="1" si="23"/>
        <v>2975281.0390756479</v>
      </c>
      <c r="N68" s="70">
        <f t="shared" ca="1" si="24"/>
        <v>-8.2396536414507792E-3</v>
      </c>
      <c r="O68" s="120">
        <f t="shared" ca="1" si="25"/>
        <v>-24718.960924352337</v>
      </c>
    </row>
    <row r="69" spans="1:15" ht="16.5" customHeight="1">
      <c r="A69" s="47">
        <v>10</v>
      </c>
      <c r="B69" s="130" t="str">
        <f>HYPERLINK("#'" &amp; TEXT(투자전략!$G$1+9, "[$-ko-KR]yyyy.mm.dd") &amp; "'!A40:O64", TEXT(투자전략!$G$1+9, "[$-ko-KR]yyyy.mm.dd"))</f>
        <v>2023.03.10</v>
      </c>
      <c r="C69" s="118">
        <f t="shared" ca="1" si="13"/>
        <v>3000000</v>
      </c>
      <c r="D69" s="122">
        <f t="shared" ca="1" si="14"/>
        <v>2744230.6814994295</v>
      </c>
      <c r="E69" s="70">
        <f t="shared" ca="1" si="15"/>
        <v>-8.5256439500190226E-2</v>
      </c>
      <c r="F69" s="120">
        <f t="shared" ca="1" si="16"/>
        <v>-255769.31850057069</v>
      </c>
      <c r="G69" s="122">
        <f t="shared" ca="1" si="17"/>
        <v>2745083.051073866</v>
      </c>
      <c r="H69" s="70">
        <f t="shared" ca="1" si="18"/>
        <v>-8.4972316308711285E-2</v>
      </c>
      <c r="I69" s="120">
        <f t="shared" ca="1" si="19"/>
        <v>-254916.94892613392</v>
      </c>
      <c r="J69" s="122">
        <f t="shared" ca="1" si="20"/>
        <v>2719942.5127728367</v>
      </c>
      <c r="K69" s="70">
        <f t="shared" ca="1" si="21"/>
        <v>-9.3352495742387728E-2</v>
      </c>
      <c r="L69" s="120">
        <f t="shared" ca="1" si="22"/>
        <v>-280057.48722716316</v>
      </c>
      <c r="M69" s="122">
        <f t="shared" ca="1" si="23"/>
        <v>2733404.2300476274</v>
      </c>
      <c r="N69" s="70">
        <f t="shared" ca="1" si="24"/>
        <v>-8.8865256650790966E-2</v>
      </c>
      <c r="O69" s="120">
        <f t="shared" ca="1" si="25"/>
        <v>-266595.76995237288</v>
      </c>
    </row>
    <row r="70" spans="1:15" ht="16.5" customHeight="1">
      <c r="A70" s="47">
        <v>11</v>
      </c>
      <c r="B70" s="130" t="str">
        <f>HYPERLINK("#'" &amp; TEXT(투자전략!$G$1+10, "[$-ko-KR]yyyy.mm.dd") &amp; "'!A40:O64", TEXT(투자전략!$G$1+10, "[$-ko-KR]yyyy.mm.dd"))</f>
        <v>2023.03.11</v>
      </c>
      <c r="C70" s="118">
        <f t="shared" ca="1" si="13"/>
        <v>3000000</v>
      </c>
      <c r="D70" s="122">
        <f t="shared" ca="1" si="14"/>
        <v>3104041.2054126314</v>
      </c>
      <c r="E70" s="70">
        <f t="shared" ca="1" si="15"/>
        <v>3.4680401804210337E-2</v>
      </c>
      <c r="F70" s="120">
        <f t="shared" ca="1" si="16"/>
        <v>104041.20541263101</v>
      </c>
      <c r="G70" s="122">
        <f t="shared" ca="1" si="17"/>
        <v>3026882.3678144217</v>
      </c>
      <c r="H70" s="70">
        <f t="shared" ca="1" si="18"/>
        <v>8.960789271473835E-3</v>
      </c>
      <c r="I70" s="120">
        <f t="shared" ca="1" si="19"/>
        <v>26882.367814421501</v>
      </c>
      <c r="J70" s="122">
        <f t="shared" ca="1" si="20"/>
        <v>3001727.699032566</v>
      </c>
      <c r="K70" s="70">
        <f t="shared" ca="1" si="21"/>
        <v>5.7589967752203484E-4</v>
      </c>
      <c r="L70" s="120">
        <f t="shared" ca="1" si="22"/>
        <v>1727.6990325661031</v>
      </c>
      <c r="M70" s="122">
        <f t="shared" ca="1" si="23"/>
        <v>2995590.922225452</v>
      </c>
      <c r="N70" s="70">
        <f t="shared" ca="1" si="24"/>
        <v>-1.4696925915159409E-3</v>
      </c>
      <c r="O70" s="120">
        <f t="shared" ca="1" si="25"/>
        <v>-4409.0777745478235</v>
      </c>
    </row>
    <row r="71" spans="1:15" ht="16.5" customHeight="1">
      <c r="A71" s="47">
        <v>12</v>
      </c>
      <c r="B71" s="130" t="str">
        <f>HYPERLINK("#'" &amp; TEXT(투자전략!$G$1+11, "[$-ko-KR]yyyy.mm.dd") &amp; "'!A40:O64", TEXT(투자전략!$G$1+11, "[$-ko-KR]yyyy.mm.dd"))</f>
        <v>2023.03.12</v>
      </c>
      <c r="C71" s="118">
        <f t="shared" ca="1" si="13"/>
        <v>3000000</v>
      </c>
      <c r="D71" s="122">
        <f t="shared" ca="1" si="14"/>
        <v>3005886.8767229225</v>
      </c>
      <c r="E71" s="70">
        <f t="shared" ca="1" si="15"/>
        <v>1.9622922409741148E-3</v>
      </c>
      <c r="F71" s="120">
        <f t="shared" ca="1" si="16"/>
        <v>5886.876722922344</v>
      </c>
      <c r="G71" s="122">
        <f t="shared" ca="1" si="17"/>
        <v>2990436.5111496672</v>
      </c>
      <c r="H71" s="70">
        <f t="shared" ca="1" si="18"/>
        <v>-3.1878296167775419E-3</v>
      </c>
      <c r="I71" s="120">
        <f t="shared" ca="1" si="19"/>
        <v>-9563.4888503326292</v>
      </c>
      <c r="J71" s="122">
        <f t="shared" ca="1" si="20"/>
        <v>2996426.7448408338</v>
      </c>
      <c r="K71" s="70">
        <f t="shared" ca="1" si="21"/>
        <v>-1.1910850530554597E-3</v>
      </c>
      <c r="L71" s="120">
        <f t="shared" ca="1" si="22"/>
        <v>-3573.2551591663796</v>
      </c>
      <c r="M71" s="122">
        <f t="shared" ca="1" si="23"/>
        <v>2935001.438366537</v>
      </c>
      <c r="N71" s="70">
        <f t="shared" ca="1" si="24"/>
        <v>-2.1666187211154306E-2</v>
      </c>
      <c r="O71" s="120">
        <f t="shared" ca="1" si="25"/>
        <v>-64998.561633462909</v>
      </c>
    </row>
    <row r="72" spans="1:15" ht="16.5" customHeight="1">
      <c r="A72" s="47">
        <v>13</v>
      </c>
      <c r="B72" s="130" t="str">
        <f>HYPERLINK("#'" &amp; TEXT(투자전략!$G$1+12, "[$-ko-KR]yyyy.mm.dd") &amp; "'!A40:O64", TEXT(투자전략!$G$1+12, "[$-ko-KR]yyyy.mm.dd"))</f>
        <v>2023.03.13</v>
      </c>
      <c r="C72" s="118">
        <f t="shared" ca="1" si="13"/>
        <v>3000000</v>
      </c>
      <c r="D72" s="122">
        <f t="shared" ca="1" si="14"/>
        <v>3225181.5869751084</v>
      </c>
      <c r="E72" s="70">
        <f t="shared" ca="1" si="15"/>
        <v>7.5060528991702846E-2</v>
      </c>
      <c r="F72" s="120">
        <f t="shared" ca="1" si="16"/>
        <v>225181.58697510854</v>
      </c>
      <c r="G72" s="122">
        <f t="shared" ca="1" si="17"/>
        <v>3162475.8611804829</v>
      </c>
      <c r="H72" s="70">
        <f t="shared" ca="1" si="18"/>
        <v>5.4158620393494325E-2</v>
      </c>
      <c r="I72" s="120">
        <f t="shared" ca="1" si="19"/>
        <v>162475.86118048299</v>
      </c>
      <c r="J72" s="122">
        <f t="shared" ca="1" si="20"/>
        <v>3189013.4213271029</v>
      </c>
      <c r="K72" s="70">
        <f t="shared" ca="1" si="21"/>
        <v>6.3004473775701023E-2</v>
      </c>
      <c r="L72" s="120">
        <f t="shared" ca="1" si="22"/>
        <v>189013.42132710305</v>
      </c>
      <c r="M72" s="122">
        <f t="shared" ca="1" si="23"/>
        <v>3312540.4771398637</v>
      </c>
      <c r="N72" s="70">
        <f t="shared" ca="1" si="24"/>
        <v>0.10418015904662126</v>
      </c>
      <c r="O72" s="120">
        <f t="shared" ca="1" si="25"/>
        <v>312540.47713986388</v>
      </c>
    </row>
    <row r="73" spans="1:15" ht="16.5" customHeight="1" thickBot="1">
      <c r="A73" s="48">
        <v>14</v>
      </c>
      <c r="B73" s="131" t="str">
        <f>HYPERLINK("#'" &amp; TEXT(투자전략!$G$1+13, "[$-ko-KR]yyyy.mm.dd") &amp; "'!A40:O64", TEXT(투자전략!$G$1+13, "[$-ko-KR]yyyy.mm.dd"))</f>
        <v>2023.03.14</v>
      </c>
      <c r="C73" s="119">
        <f t="shared" ca="1" si="13"/>
        <v>3000000</v>
      </c>
      <c r="D73" s="123">
        <f t="shared" ca="1" si="14"/>
        <v>3185354.5321537969</v>
      </c>
      <c r="E73" s="72">
        <f t="shared" ca="1" si="15"/>
        <v>6.1784844051265587E-2</v>
      </c>
      <c r="F73" s="121">
        <f t="shared" ca="1" si="16"/>
        <v>185354.53215379675</v>
      </c>
      <c r="G73" s="123">
        <f t="shared" ca="1" si="17"/>
        <v>3113587.0059083574</v>
      </c>
      <c r="H73" s="72">
        <f t="shared" ca="1" si="18"/>
        <v>3.7862335302785835E-2</v>
      </c>
      <c r="I73" s="121">
        <f t="shared" ca="1" si="19"/>
        <v>113587.0059083575</v>
      </c>
      <c r="J73" s="123">
        <f t="shared" ca="1" si="20"/>
        <v>3156344.1202399591</v>
      </c>
      <c r="K73" s="72">
        <f t="shared" ca="1" si="21"/>
        <v>5.2114706746653042E-2</v>
      </c>
      <c r="L73" s="121">
        <f t="shared" ca="1" si="22"/>
        <v>156344.12023995916</v>
      </c>
      <c r="M73" s="123">
        <f t="shared" ca="1" si="23"/>
        <v>3276995.3932590061</v>
      </c>
      <c r="N73" s="72">
        <f t="shared" ca="1" si="24"/>
        <v>9.2331797753002154E-2</v>
      </c>
      <c r="O73" s="121">
        <f t="shared" ca="1" si="25"/>
        <v>276995.39325900644</v>
      </c>
    </row>
    <row r="74" spans="1:15" ht="16.5" customHeight="1">
      <c r="A74" s="46">
        <v>15</v>
      </c>
      <c r="B74" s="129" t="str">
        <f>HYPERLINK("#'" &amp; TEXT(투자전략!$G$1+14, "[$-ko-KR]yyyy.mm.dd") &amp; "'!A40:O64", TEXT(투자전략!$G$1+14, "[$-ko-KR]yyyy.mm.dd"))</f>
        <v>2023.03.15</v>
      </c>
      <c r="C74" s="118">
        <f t="shared" ca="1" si="13"/>
        <v>3000000</v>
      </c>
      <c r="D74" s="122">
        <f t="shared" ca="1" si="14"/>
        <v>3006240.8518464509</v>
      </c>
      <c r="E74" s="70">
        <f t="shared" ca="1" si="15"/>
        <v>2.0802839488169673E-3</v>
      </c>
      <c r="F74" s="120">
        <f t="shared" ca="1" si="16"/>
        <v>6240.8518464508998</v>
      </c>
      <c r="G74" s="122">
        <f t="shared" ca="1" si="17"/>
        <v>2981082.7923761397</v>
      </c>
      <c r="H74" s="70">
        <f t="shared" ca="1" si="18"/>
        <v>-6.3057358746200862E-3</v>
      </c>
      <c r="I74" s="120">
        <f t="shared" ca="1" si="19"/>
        <v>-18917.207623860257</v>
      </c>
      <c r="J74" s="122">
        <f t="shared" ca="1" si="20"/>
        <v>2958774.0940049179</v>
      </c>
      <c r="K74" s="70">
        <f t="shared" ca="1" si="21"/>
        <v>-1.3741968665027429E-2</v>
      </c>
      <c r="L74" s="120">
        <f t="shared" ca="1" si="22"/>
        <v>-41225.905995082285</v>
      </c>
      <c r="M74" s="122">
        <f t="shared" ca="1" si="23"/>
        <v>2923065.0078170435</v>
      </c>
      <c r="N74" s="70">
        <f t="shared" ca="1" si="24"/>
        <v>-2.5644997394318775E-2</v>
      </c>
      <c r="O74" s="120">
        <f t="shared" ca="1" si="25"/>
        <v>-76934.992182956325</v>
      </c>
    </row>
    <row r="75" spans="1:15" ht="16.5" customHeight="1">
      <c r="A75" s="47">
        <v>16</v>
      </c>
      <c r="B75" s="130" t="str">
        <f>HYPERLINK("#'" &amp; TEXT(투자전략!$G$1+15, "[$-ko-KR]yyyy.mm.dd") &amp; "'!A40:O64", TEXT(투자전략!$G$1+15, "[$-ko-KR]yyyy.mm.dd"))</f>
        <v>2023.03.16</v>
      </c>
      <c r="C75" s="118">
        <f t="shared" ca="1" si="13"/>
        <v>3000000</v>
      </c>
      <c r="D75" s="122">
        <f t="shared" ca="1" si="14"/>
        <v>2864498.7192867226</v>
      </c>
      <c r="E75" s="70">
        <f t="shared" ca="1" si="15"/>
        <v>-4.516709357109247E-2</v>
      </c>
      <c r="F75" s="120">
        <f t="shared" ca="1" si="16"/>
        <v>-135501.2807132774</v>
      </c>
      <c r="G75" s="122">
        <f t="shared" ca="1" si="17"/>
        <v>2910142.6413365798</v>
      </c>
      <c r="H75" s="70">
        <f t="shared" ca="1" si="18"/>
        <v>-2.9952452887806836E-2</v>
      </c>
      <c r="I75" s="120">
        <f t="shared" ca="1" si="19"/>
        <v>-89857.358663420528</v>
      </c>
      <c r="J75" s="122">
        <f t="shared" ca="1" si="20"/>
        <v>2952901.7611516775</v>
      </c>
      <c r="K75" s="70">
        <f t="shared" ca="1" si="21"/>
        <v>-1.56994129494409E-2</v>
      </c>
      <c r="L75" s="120">
        <f t="shared" ca="1" si="22"/>
        <v>-47098.238848322711</v>
      </c>
      <c r="M75" s="122">
        <f t="shared" ca="1" si="23"/>
        <v>2929811.7239272986</v>
      </c>
      <c r="N75" s="70">
        <f t="shared" ca="1" si="24"/>
        <v>-2.3396092024233921E-2</v>
      </c>
      <c r="O75" s="120">
        <f t="shared" ca="1" si="25"/>
        <v>-70188.276072701759</v>
      </c>
    </row>
    <row r="76" spans="1:15" ht="16.5" customHeight="1">
      <c r="A76" s="47">
        <v>17</v>
      </c>
      <c r="B76" s="130" t="str">
        <f>HYPERLINK("#'" &amp; TEXT(투자전략!$G$1+16, "[$-ko-KR]yyyy.mm.dd") &amp; "'!A40:O64", TEXT(투자전략!$G$1+16, "[$-ko-KR]yyyy.mm.dd"))</f>
        <v>2023.03.17</v>
      </c>
      <c r="C76" s="118">
        <f t="shared" ca="1" si="13"/>
        <v>3000000</v>
      </c>
      <c r="D76" s="122">
        <f t="shared" ca="1" si="14"/>
        <v>3000000</v>
      </c>
      <c r="E76" s="70">
        <f t="shared" ca="1" si="15"/>
        <v>0</v>
      </c>
      <c r="F76" s="120">
        <f t="shared" ca="1" si="16"/>
        <v>0</v>
      </c>
      <c r="G76" s="122">
        <f t="shared" ca="1" si="17"/>
        <v>3000000</v>
      </c>
      <c r="H76" s="70">
        <f t="shared" ca="1" si="18"/>
        <v>0</v>
      </c>
      <c r="I76" s="120">
        <f t="shared" ca="1" si="19"/>
        <v>0</v>
      </c>
      <c r="J76" s="122">
        <f t="shared" ca="1" si="20"/>
        <v>3000000</v>
      </c>
      <c r="K76" s="70">
        <f t="shared" ca="1" si="21"/>
        <v>0</v>
      </c>
      <c r="L76" s="120">
        <f t="shared" ca="1" si="22"/>
        <v>0</v>
      </c>
      <c r="M76" s="122">
        <f t="shared" ca="1" si="23"/>
        <v>3000000</v>
      </c>
      <c r="N76" s="70">
        <f t="shared" ca="1" si="24"/>
        <v>0</v>
      </c>
      <c r="O76" s="120">
        <f t="shared" ca="1" si="25"/>
        <v>0</v>
      </c>
    </row>
    <row r="77" spans="1:15" ht="16.5" customHeight="1">
      <c r="A77" s="47">
        <v>18</v>
      </c>
      <c r="B77" s="130" t="str">
        <f>HYPERLINK("#'" &amp; TEXT(투자전략!$G$1+17, "[$-ko-KR]yyyy.mm.dd") &amp; "'!A40:O64", TEXT(투자전략!$G$1+17, "[$-ko-KR]yyyy.mm.dd"))</f>
        <v>2023.03.18</v>
      </c>
      <c r="C77" s="118" t="str">
        <f t="shared" ca="1" si="13"/>
        <v/>
      </c>
      <c r="D77" s="122" t="str">
        <f t="shared" ca="1" si="14"/>
        <v/>
      </c>
      <c r="E77" s="70" t="str">
        <f t="shared" ca="1" si="15"/>
        <v/>
      </c>
      <c r="F77" s="120" t="str">
        <f t="shared" ca="1" si="16"/>
        <v/>
      </c>
      <c r="G77" s="122" t="str">
        <f t="shared" ca="1" si="17"/>
        <v/>
      </c>
      <c r="H77" s="70" t="str">
        <f t="shared" ca="1" si="18"/>
        <v/>
      </c>
      <c r="I77" s="120" t="str">
        <f t="shared" ca="1" si="19"/>
        <v/>
      </c>
      <c r="J77" s="122" t="str">
        <f t="shared" ca="1" si="20"/>
        <v/>
      </c>
      <c r="K77" s="70" t="str">
        <f t="shared" ca="1" si="21"/>
        <v/>
      </c>
      <c r="L77" s="120" t="str">
        <f t="shared" ca="1" si="22"/>
        <v/>
      </c>
      <c r="M77" s="122" t="str">
        <f t="shared" ca="1" si="23"/>
        <v/>
      </c>
      <c r="N77" s="70" t="str">
        <f t="shared" ca="1" si="24"/>
        <v/>
      </c>
      <c r="O77" s="120" t="str">
        <f t="shared" ca="1" si="25"/>
        <v/>
      </c>
    </row>
    <row r="78" spans="1:15" ht="16.5" customHeight="1">
      <c r="A78" s="47">
        <v>19</v>
      </c>
      <c r="B78" s="130" t="str">
        <f>HYPERLINK("#'" &amp; TEXT(투자전략!$G$1+18, "[$-ko-KR]yyyy.mm.dd") &amp; "'!A40:O64", TEXT(투자전략!$G$1+18, "[$-ko-KR]yyyy.mm.dd"))</f>
        <v>2023.03.19</v>
      </c>
      <c r="C78" s="118" t="str">
        <f t="shared" ca="1" si="13"/>
        <v/>
      </c>
      <c r="D78" s="122" t="str">
        <f t="shared" ca="1" si="14"/>
        <v/>
      </c>
      <c r="E78" s="70" t="str">
        <f t="shared" ca="1" si="15"/>
        <v/>
      </c>
      <c r="F78" s="120" t="str">
        <f t="shared" ca="1" si="16"/>
        <v/>
      </c>
      <c r="G78" s="122" t="str">
        <f t="shared" ca="1" si="17"/>
        <v/>
      </c>
      <c r="H78" s="70" t="str">
        <f t="shared" ca="1" si="18"/>
        <v/>
      </c>
      <c r="I78" s="120" t="str">
        <f t="shared" ca="1" si="19"/>
        <v/>
      </c>
      <c r="J78" s="122" t="str">
        <f t="shared" ca="1" si="20"/>
        <v/>
      </c>
      <c r="K78" s="70" t="str">
        <f t="shared" ca="1" si="21"/>
        <v/>
      </c>
      <c r="L78" s="120" t="str">
        <f t="shared" ca="1" si="22"/>
        <v/>
      </c>
      <c r="M78" s="122" t="str">
        <f t="shared" ca="1" si="23"/>
        <v/>
      </c>
      <c r="N78" s="70" t="str">
        <f t="shared" ca="1" si="24"/>
        <v/>
      </c>
      <c r="O78" s="120" t="str">
        <f t="shared" ca="1" si="25"/>
        <v/>
      </c>
    </row>
    <row r="79" spans="1:15" ht="16.5" customHeight="1">
      <c r="A79" s="47">
        <v>20</v>
      </c>
      <c r="B79" s="130" t="str">
        <f>HYPERLINK("#'" &amp; TEXT(투자전략!$G$1+19, "[$-ko-KR]yyyy.mm.dd") &amp; "'!A40:O64", TEXT(투자전략!$G$1+19, "[$-ko-KR]yyyy.mm.dd"))</f>
        <v>2023.03.20</v>
      </c>
      <c r="C79" s="118" t="str">
        <f t="shared" ca="1" si="13"/>
        <v/>
      </c>
      <c r="D79" s="122" t="str">
        <f t="shared" ca="1" si="14"/>
        <v/>
      </c>
      <c r="E79" s="70" t="str">
        <f t="shared" ca="1" si="15"/>
        <v/>
      </c>
      <c r="F79" s="120" t="str">
        <f t="shared" ca="1" si="16"/>
        <v/>
      </c>
      <c r="G79" s="122" t="str">
        <f t="shared" ca="1" si="17"/>
        <v/>
      </c>
      <c r="H79" s="70" t="str">
        <f t="shared" ca="1" si="18"/>
        <v/>
      </c>
      <c r="I79" s="120" t="str">
        <f t="shared" ca="1" si="19"/>
        <v/>
      </c>
      <c r="J79" s="122" t="str">
        <f t="shared" ca="1" si="20"/>
        <v/>
      </c>
      <c r="K79" s="70" t="str">
        <f t="shared" ca="1" si="21"/>
        <v/>
      </c>
      <c r="L79" s="120" t="str">
        <f t="shared" ca="1" si="22"/>
        <v/>
      </c>
      <c r="M79" s="122" t="str">
        <f t="shared" ca="1" si="23"/>
        <v/>
      </c>
      <c r="N79" s="70" t="str">
        <f t="shared" ca="1" si="24"/>
        <v/>
      </c>
      <c r="O79" s="120" t="str">
        <f t="shared" ca="1" si="25"/>
        <v/>
      </c>
    </row>
    <row r="80" spans="1:15" ht="16.5" customHeight="1" thickBot="1">
      <c r="A80" s="48">
        <v>21</v>
      </c>
      <c r="B80" s="131" t="str">
        <f>HYPERLINK("#'" &amp; TEXT(투자전략!$G$1+20, "[$-ko-KR]yyyy.mm.dd") &amp; "'!A40:O64", TEXT(투자전략!$G$1+20, "[$-ko-KR]yyyy.mm.dd"))</f>
        <v>2023.03.21</v>
      </c>
      <c r="C80" s="118" t="str">
        <f t="shared" ca="1" si="13"/>
        <v/>
      </c>
      <c r="D80" s="122" t="str">
        <f t="shared" ca="1" si="14"/>
        <v/>
      </c>
      <c r="E80" s="70" t="str">
        <f t="shared" ca="1" si="15"/>
        <v/>
      </c>
      <c r="F80" s="120" t="str">
        <f t="shared" ca="1" si="16"/>
        <v/>
      </c>
      <c r="G80" s="122" t="str">
        <f t="shared" ca="1" si="17"/>
        <v/>
      </c>
      <c r="H80" s="70" t="str">
        <f t="shared" ca="1" si="18"/>
        <v/>
      </c>
      <c r="I80" s="120" t="str">
        <f t="shared" ca="1" si="19"/>
        <v/>
      </c>
      <c r="J80" s="122" t="str">
        <f t="shared" ca="1" si="20"/>
        <v/>
      </c>
      <c r="K80" s="70" t="str">
        <f t="shared" ca="1" si="21"/>
        <v/>
      </c>
      <c r="L80" s="120" t="str">
        <f t="shared" ca="1" si="22"/>
        <v/>
      </c>
      <c r="M80" s="122" t="str">
        <f t="shared" ca="1" si="23"/>
        <v/>
      </c>
      <c r="N80" s="70" t="str">
        <f t="shared" ca="1" si="24"/>
        <v/>
      </c>
      <c r="O80" s="120" t="str">
        <f t="shared" ca="1" si="25"/>
        <v/>
      </c>
    </row>
    <row r="81" spans="1:15" ht="16.5" customHeight="1">
      <c r="A81" s="46">
        <v>22</v>
      </c>
      <c r="B81" s="129" t="str">
        <f>HYPERLINK("#'" &amp; TEXT(투자전략!$G$1+21, "[$-ko-KR]yyyy.mm.dd") &amp; "'!A40:O64", TEXT(투자전략!$G$1+21, "[$-ko-KR]yyyy.mm.dd"))</f>
        <v>2023.03.22</v>
      </c>
      <c r="C81" s="117" t="str">
        <f t="shared" ca="1" si="13"/>
        <v/>
      </c>
      <c r="D81" s="125" t="str">
        <f t="shared" ca="1" si="14"/>
        <v/>
      </c>
      <c r="E81" s="69" t="str">
        <f t="shared" ca="1" si="15"/>
        <v/>
      </c>
      <c r="F81" s="124" t="str">
        <f t="shared" ca="1" si="16"/>
        <v/>
      </c>
      <c r="G81" s="125" t="str">
        <f t="shared" ca="1" si="17"/>
        <v/>
      </c>
      <c r="H81" s="69" t="str">
        <f t="shared" ca="1" si="18"/>
        <v/>
      </c>
      <c r="I81" s="124" t="str">
        <f t="shared" ca="1" si="19"/>
        <v/>
      </c>
      <c r="J81" s="125" t="str">
        <f t="shared" ca="1" si="20"/>
        <v/>
      </c>
      <c r="K81" s="69" t="str">
        <f t="shared" ca="1" si="21"/>
        <v/>
      </c>
      <c r="L81" s="124" t="str">
        <f t="shared" ca="1" si="22"/>
        <v/>
      </c>
      <c r="M81" s="125" t="str">
        <f t="shared" ca="1" si="23"/>
        <v/>
      </c>
      <c r="N81" s="69" t="str">
        <f t="shared" ca="1" si="24"/>
        <v/>
      </c>
      <c r="O81" s="124" t="str">
        <f t="shared" ca="1" si="25"/>
        <v/>
      </c>
    </row>
    <row r="82" spans="1:15" ht="16.5" customHeight="1">
      <c r="A82" s="47">
        <v>23</v>
      </c>
      <c r="B82" s="130" t="str">
        <f>HYPERLINK("#'" &amp; TEXT(투자전략!$G$1+22, "[$-ko-KR]yyyy.mm.dd") &amp; "'!A40:O64", TEXT(투자전략!$G$1+22, "[$-ko-KR]yyyy.mm.dd"))</f>
        <v>2023.03.23</v>
      </c>
      <c r="C82" s="118" t="str">
        <f t="shared" ca="1" si="13"/>
        <v/>
      </c>
      <c r="D82" s="122" t="str">
        <f t="shared" ca="1" si="14"/>
        <v/>
      </c>
      <c r="E82" s="70" t="str">
        <f t="shared" ca="1" si="15"/>
        <v/>
      </c>
      <c r="F82" s="120" t="str">
        <f t="shared" ca="1" si="16"/>
        <v/>
      </c>
      <c r="G82" s="122" t="str">
        <f t="shared" ca="1" si="17"/>
        <v/>
      </c>
      <c r="H82" s="70" t="str">
        <f t="shared" ca="1" si="18"/>
        <v/>
      </c>
      <c r="I82" s="120" t="str">
        <f t="shared" ca="1" si="19"/>
        <v/>
      </c>
      <c r="J82" s="122" t="str">
        <f t="shared" ca="1" si="20"/>
        <v/>
      </c>
      <c r="K82" s="70" t="str">
        <f t="shared" ca="1" si="21"/>
        <v/>
      </c>
      <c r="L82" s="120" t="str">
        <f t="shared" ca="1" si="22"/>
        <v/>
      </c>
      <c r="M82" s="122" t="str">
        <f t="shared" ca="1" si="23"/>
        <v/>
      </c>
      <c r="N82" s="70" t="str">
        <f t="shared" ca="1" si="24"/>
        <v/>
      </c>
      <c r="O82" s="120" t="str">
        <f t="shared" ca="1" si="25"/>
        <v/>
      </c>
    </row>
    <row r="83" spans="1:15" ht="16.5" customHeight="1">
      <c r="A83" s="47">
        <v>24</v>
      </c>
      <c r="B83" s="130" t="str">
        <f>HYPERLINK("#'" &amp; TEXT(투자전략!$G$1+23, "[$-ko-KR]yyyy.mm.dd") &amp; "'!A40:O64", TEXT(투자전략!$G$1+23, "[$-ko-KR]yyyy.mm.dd"))</f>
        <v>2023.03.24</v>
      </c>
      <c r="C83" s="118" t="str">
        <f t="shared" ca="1" si="13"/>
        <v/>
      </c>
      <c r="D83" s="122" t="str">
        <f t="shared" ca="1" si="14"/>
        <v/>
      </c>
      <c r="E83" s="70" t="str">
        <f t="shared" ca="1" si="15"/>
        <v/>
      </c>
      <c r="F83" s="120" t="str">
        <f t="shared" ca="1" si="16"/>
        <v/>
      </c>
      <c r="G83" s="122" t="str">
        <f t="shared" ca="1" si="17"/>
        <v/>
      </c>
      <c r="H83" s="70" t="str">
        <f t="shared" ca="1" si="18"/>
        <v/>
      </c>
      <c r="I83" s="120" t="str">
        <f t="shared" ca="1" si="19"/>
        <v/>
      </c>
      <c r="J83" s="122" t="str">
        <f t="shared" ca="1" si="20"/>
        <v/>
      </c>
      <c r="K83" s="70" t="str">
        <f t="shared" ca="1" si="21"/>
        <v/>
      </c>
      <c r="L83" s="120" t="str">
        <f t="shared" ca="1" si="22"/>
        <v/>
      </c>
      <c r="M83" s="122" t="str">
        <f t="shared" ca="1" si="23"/>
        <v/>
      </c>
      <c r="N83" s="70" t="str">
        <f t="shared" ca="1" si="24"/>
        <v/>
      </c>
      <c r="O83" s="120" t="str">
        <f t="shared" ca="1" si="25"/>
        <v/>
      </c>
    </row>
    <row r="84" spans="1:15" ht="16.5" customHeight="1">
      <c r="A84" s="47">
        <v>25</v>
      </c>
      <c r="B84" s="130" t="str">
        <f>HYPERLINK("#'" &amp; TEXT(투자전략!$G$1+24, "[$-ko-KR]yyyy.mm.dd") &amp; "'!A40:O64", TEXT(투자전략!$G$1+24, "[$-ko-KR]yyyy.mm.dd"))</f>
        <v>2023.03.25</v>
      </c>
      <c r="C84" s="118" t="str">
        <f t="shared" ca="1" si="13"/>
        <v/>
      </c>
      <c r="D84" s="122" t="str">
        <f t="shared" ca="1" si="14"/>
        <v/>
      </c>
      <c r="E84" s="70" t="str">
        <f t="shared" ca="1" si="15"/>
        <v/>
      </c>
      <c r="F84" s="120" t="str">
        <f t="shared" ca="1" si="16"/>
        <v/>
      </c>
      <c r="G84" s="122" t="str">
        <f t="shared" ca="1" si="17"/>
        <v/>
      </c>
      <c r="H84" s="70" t="str">
        <f t="shared" ca="1" si="18"/>
        <v/>
      </c>
      <c r="I84" s="120" t="str">
        <f t="shared" ca="1" si="19"/>
        <v/>
      </c>
      <c r="J84" s="122" t="str">
        <f t="shared" ca="1" si="20"/>
        <v/>
      </c>
      <c r="K84" s="70" t="str">
        <f t="shared" ca="1" si="21"/>
        <v/>
      </c>
      <c r="L84" s="120" t="str">
        <f t="shared" ca="1" si="22"/>
        <v/>
      </c>
      <c r="M84" s="122" t="str">
        <f t="shared" ca="1" si="23"/>
        <v/>
      </c>
      <c r="N84" s="70" t="str">
        <f t="shared" ca="1" si="24"/>
        <v/>
      </c>
      <c r="O84" s="120" t="str">
        <f t="shared" ca="1" si="25"/>
        <v/>
      </c>
    </row>
    <row r="85" spans="1:15" ht="16.5" customHeight="1">
      <c r="A85" s="47">
        <v>26</v>
      </c>
      <c r="B85" s="130" t="str">
        <f>HYPERLINK("#'" &amp; TEXT(투자전략!$G$1+25, "[$-ko-KR]yyyy.mm.dd") &amp; "'!A40:O64", TEXT(투자전략!$G$1+25, "[$-ko-KR]yyyy.mm.dd"))</f>
        <v>2023.03.26</v>
      </c>
      <c r="C85" s="118" t="str">
        <f t="shared" ca="1" si="13"/>
        <v/>
      </c>
      <c r="D85" s="122" t="str">
        <f t="shared" ca="1" si="14"/>
        <v/>
      </c>
      <c r="E85" s="70" t="str">
        <f t="shared" ca="1" si="15"/>
        <v/>
      </c>
      <c r="F85" s="120" t="str">
        <f t="shared" ca="1" si="16"/>
        <v/>
      </c>
      <c r="G85" s="122" t="str">
        <f t="shared" ca="1" si="17"/>
        <v/>
      </c>
      <c r="H85" s="70" t="str">
        <f t="shared" ca="1" si="18"/>
        <v/>
      </c>
      <c r="I85" s="120" t="str">
        <f t="shared" ca="1" si="19"/>
        <v/>
      </c>
      <c r="J85" s="122" t="str">
        <f t="shared" ca="1" si="20"/>
        <v/>
      </c>
      <c r="K85" s="70" t="str">
        <f t="shared" ca="1" si="21"/>
        <v/>
      </c>
      <c r="L85" s="120" t="str">
        <f t="shared" ca="1" si="22"/>
        <v/>
      </c>
      <c r="M85" s="122" t="str">
        <f t="shared" ca="1" si="23"/>
        <v/>
      </c>
      <c r="N85" s="70" t="str">
        <f t="shared" ca="1" si="24"/>
        <v/>
      </c>
      <c r="O85" s="120" t="str">
        <f t="shared" ca="1" si="25"/>
        <v/>
      </c>
    </row>
    <row r="86" spans="1:15" ht="16.5" customHeight="1">
      <c r="A86" s="47">
        <v>27</v>
      </c>
      <c r="B86" s="130" t="str">
        <f>HYPERLINK("#'" &amp; TEXT(투자전략!$G$1+26, "[$-ko-KR]yyyy.mm.dd") &amp; "'!A40:O64", TEXT(투자전략!$G$1+26, "[$-ko-KR]yyyy.mm.dd"))</f>
        <v>2023.03.27</v>
      </c>
      <c r="C86" s="118" t="str">
        <f t="shared" ca="1" si="13"/>
        <v/>
      </c>
      <c r="D86" s="122" t="str">
        <f t="shared" ca="1" si="14"/>
        <v/>
      </c>
      <c r="E86" s="70" t="str">
        <f t="shared" ca="1" si="15"/>
        <v/>
      </c>
      <c r="F86" s="120" t="str">
        <f t="shared" ca="1" si="16"/>
        <v/>
      </c>
      <c r="G86" s="122" t="str">
        <f t="shared" ca="1" si="17"/>
        <v/>
      </c>
      <c r="H86" s="70" t="str">
        <f t="shared" ca="1" si="18"/>
        <v/>
      </c>
      <c r="I86" s="120" t="str">
        <f t="shared" ca="1" si="19"/>
        <v/>
      </c>
      <c r="J86" s="122" t="str">
        <f t="shared" ca="1" si="20"/>
        <v/>
      </c>
      <c r="K86" s="70" t="str">
        <f t="shared" ca="1" si="21"/>
        <v/>
      </c>
      <c r="L86" s="120" t="str">
        <f t="shared" ca="1" si="22"/>
        <v/>
      </c>
      <c r="M86" s="122" t="str">
        <f t="shared" ca="1" si="23"/>
        <v/>
      </c>
      <c r="N86" s="70" t="str">
        <f t="shared" ca="1" si="24"/>
        <v/>
      </c>
      <c r="O86" s="120" t="str">
        <f t="shared" ca="1" si="25"/>
        <v/>
      </c>
    </row>
    <row r="87" spans="1:15" ht="16.5" customHeight="1" thickBot="1">
      <c r="A87" s="48">
        <v>28</v>
      </c>
      <c r="B87" s="131" t="str">
        <f>HYPERLINK("#'" &amp; TEXT(투자전략!$G$1+27, "[$-ko-KR]yyyy.mm.dd") &amp; "'!A40:O64", TEXT(투자전략!$G$1+27, "[$-ko-KR]yyyy.mm.dd"))</f>
        <v>2023.03.28</v>
      </c>
      <c r="C87" s="119" t="str">
        <f t="shared" ca="1" si="13"/>
        <v/>
      </c>
      <c r="D87" s="123" t="str">
        <f t="shared" ca="1" si="14"/>
        <v/>
      </c>
      <c r="E87" s="72" t="str">
        <f t="shared" ca="1" si="15"/>
        <v/>
      </c>
      <c r="F87" s="121" t="str">
        <f t="shared" ca="1" si="16"/>
        <v/>
      </c>
      <c r="G87" s="123" t="str">
        <f t="shared" ca="1" si="17"/>
        <v/>
      </c>
      <c r="H87" s="72" t="str">
        <f t="shared" ca="1" si="18"/>
        <v/>
      </c>
      <c r="I87" s="121" t="str">
        <f t="shared" ca="1" si="19"/>
        <v/>
      </c>
      <c r="J87" s="123" t="str">
        <f t="shared" ca="1" si="20"/>
        <v/>
      </c>
      <c r="K87" s="72" t="str">
        <f t="shared" ca="1" si="21"/>
        <v/>
      </c>
      <c r="L87" s="121" t="str">
        <f t="shared" ca="1" si="22"/>
        <v/>
      </c>
      <c r="M87" s="123" t="str">
        <f t="shared" ca="1" si="23"/>
        <v/>
      </c>
      <c r="N87" s="72" t="str">
        <f t="shared" ca="1" si="24"/>
        <v/>
      </c>
      <c r="O87" s="121" t="str">
        <f t="shared" ca="1" si="25"/>
        <v/>
      </c>
    </row>
    <row r="88" spans="1:15" ht="16.5" customHeight="1">
      <c r="A88" s="105">
        <v>29</v>
      </c>
      <c r="B88" s="129" t="str">
        <f>HYPERLINK("#'" &amp; TEXT(투자전략!$G$1+28, "[$-ko-KR]yyyy.mm.dd") &amp; "'!A40:O64", TEXT(투자전략!$G$1+28, "[$-ko-KR]yyyy.mm.dd"))</f>
        <v>2023.03.29</v>
      </c>
      <c r="C88" s="118" t="str">
        <f t="shared" ca="1" si="13"/>
        <v/>
      </c>
      <c r="D88" s="122" t="str">
        <f t="shared" ca="1" si="14"/>
        <v/>
      </c>
      <c r="E88" s="70" t="str">
        <f t="shared" ca="1" si="15"/>
        <v/>
      </c>
      <c r="F88" s="120" t="str">
        <f t="shared" ca="1" si="16"/>
        <v/>
      </c>
      <c r="G88" s="122" t="str">
        <f t="shared" ca="1" si="17"/>
        <v/>
      </c>
      <c r="H88" s="70" t="str">
        <f t="shared" ca="1" si="18"/>
        <v/>
      </c>
      <c r="I88" s="120" t="str">
        <f t="shared" ca="1" si="19"/>
        <v/>
      </c>
      <c r="J88" s="122" t="str">
        <f t="shared" ca="1" si="20"/>
        <v/>
      </c>
      <c r="K88" s="70" t="str">
        <f t="shared" ca="1" si="21"/>
        <v/>
      </c>
      <c r="L88" s="120" t="str">
        <f t="shared" ca="1" si="22"/>
        <v/>
      </c>
      <c r="M88" s="122" t="str">
        <f t="shared" ca="1" si="23"/>
        <v/>
      </c>
      <c r="N88" s="70" t="str">
        <f t="shared" ca="1" si="24"/>
        <v/>
      </c>
      <c r="O88" s="120" t="str">
        <f t="shared" ca="1" si="25"/>
        <v/>
      </c>
    </row>
    <row r="89" spans="1:15" ht="16.5" customHeight="1">
      <c r="A89" s="105">
        <v>30</v>
      </c>
      <c r="B89" s="130" t="str">
        <f>HYPERLINK("#'" &amp; TEXT(투자전략!$G$1+29, "[$-ko-KR]yyyy.mm.dd") &amp; "'!A40:O64", TEXT(투자전략!$G$1+29, "[$-ko-KR]yyyy.mm.dd"))</f>
        <v>2023.03.30</v>
      </c>
      <c r="C89" s="118" t="str">
        <f t="shared" ca="1" si="13"/>
        <v/>
      </c>
      <c r="D89" s="122" t="str">
        <f t="shared" ca="1" si="14"/>
        <v/>
      </c>
      <c r="E89" s="70" t="str">
        <f t="shared" ca="1" si="15"/>
        <v/>
      </c>
      <c r="F89" s="120" t="str">
        <f t="shared" ca="1" si="16"/>
        <v/>
      </c>
      <c r="G89" s="122" t="str">
        <f t="shared" ca="1" si="17"/>
        <v/>
      </c>
      <c r="H89" s="70" t="str">
        <f t="shared" ca="1" si="18"/>
        <v/>
      </c>
      <c r="I89" s="120" t="str">
        <f t="shared" ca="1" si="19"/>
        <v/>
      </c>
      <c r="J89" s="122" t="str">
        <f t="shared" ca="1" si="20"/>
        <v/>
      </c>
      <c r="K89" s="70" t="str">
        <f t="shared" ca="1" si="21"/>
        <v/>
      </c>
      <c r="L89" s="120" t="str">
        <f t="shared" ca="1" si="22"/>
        <v/>
      </c>
      <c r="M89" s="122" t="str">
        <f t="shared" ca="1" si="23"/>
        <v/>
      </c>
      <c r="N89" s="70" t="str">
        <f t="shared" ca="1" si="24"/>
        <v/>
      </c>
      <c r="O89" s="120" t="str">
        <f t="shared" ca="1" si="25"/>
        <v/>
      </c>
    </row>
    <row r="90" spans="1:15" ht="16.5" customHeight="1" thickBot="1">
      <c r="A90" s="105">
        <v>31</v>
      </c>
      <c r="B90" s="130" t="str">
        <f>HYPERLINK("#'" &amp; TEXT(투자전략!$G$1+30, "[$-ko-KR]yyyy.mm.dd") &amp; "'!A40:O64", TEXT(투자전략!$G$1+30, "[$-ko-KR]yyyy.mm.dd"))</f>
        <v>2023.03.31</v>
      </c>
      <c r="C90" s="119" t="str">
        <f t="shared" ca="1" si="13"/>
        <v/>
      </c>
      <c r="D90" s="123" t="str">
        <f t="shared" ca="1" si="14"/>
        <v/>
      </c>
      <c r="E90" s="72" t="str">
        <f t="shared" ca="1" si="15"/>
        <v/>
      </c>
      <c r="F90" s="121" t="str">
        <f t="shared" ca="1" si="16"/>
        <v/>
      </c>
      <c r="G90" s="123" t="str">
        <f t="shared" ca="1" si="17"/>
        <v/>
      </c>
      <c r="H90" s="72" t="str">
        <f t="shared" ca="1" si="18"/>
        <v/>
      </c>
      <c r="I90" s="121" t="str">
        <f t="shared" ca="1" si="19"/>
        <v/>
      </c>
      <c r="J90" s="123" t="str">
        <f t="shared" ca="1" si="20"/>
        <v/>
      </c>
      <c r="K90" s="72" t="str">
        <f t="shared" ca="1" si="21"/>
        <v/>
      </c>
      <c r="L90" s="121" t="str">
        <f t="shared" ca="1" si="22"/>
        <v/>
      </c>
      <c r="M90" s="123" t="str">
        <f t="shared" ca="1" si="23"/>
        <v/>
      </c>
      <c r="N90" s="72" t="str">
        <f t="shared" ca="1" si="24"/>
        <v/>
      </c>
      <c r="O90" s="121" t="str">
        <f t="shared" ca="1" si="25"/>
        <v/>
      </c>
    </row>
    <row r="91" spans="1:15" ht="16.5" customHeight="1" thickBot="1">
      <c r="A91" s="185" t="s">
        <v>270</v>
      </c>
      <c r="B91" s="187"/>
      <c r="C91" s="116" t="s">
        <v>265</v>
      </c>
      <c r="D91" s="9" t="s">
        <v>266</v>
      </c>
      <c r="E91" s="63" t="s">
        <v>267</v>
      </c>
      <c r="F91" s="64" t="s">
        <v>268</v>
      </c>
      <c r="G91" s="9" t="s">
        <v>266</v>
      </c>
      <c r="H91" s="63" t="s">
        <v>267</v>
      </c>
      <c r="I91" s="64" t="s">
        <v>268</v>
      </c>
      <c r="J91" s="9" t="s">
        <v>266</v>
      </c>
      <c r="K91" s="63" t="s">
        <v>267</v>
      </c>
      <c r="L91" s="64" t="s">
        <v>268</v>
      </c>
      <c r="M91" s="9" t="s">
        <v>266</v>
      </c>
      <c r="N91" s="63" t="s">
        <v>267</v>
      </c>
      <c r="O91" s="64" t="s">
        <v>268</v>
      </c>
    </row>
    <row r="92" spans="1:15" ht="16.5" customHeight="1" thickBot="1">
      <c r="A92" s="178"/>
      <c r="B92" s="180"/>
      <c r="C92" s="119">
        <f ca="1">SUM(C60:C90)</f>
        <v>36000000</v>
      </c>
      <c r="D92" s="123">
        <f ca="1">SUM(D60:D90)</f>
        <v>36091183.253192633</v>
      </c>
      <c r="E92" s="72">
        <f ca="1">IFERROR(F92 / (SUM($C60:$C90) / COUNT($C60:$C90)), 0)</f>
        <v>3.0394417730879534E-2</v>
      </c>
      <c r="F92" s="121">
        <f ca="1">SUM(F60:F90)</f>
        <v>91183.2531926386</v>
      </c>
      <c r="G92" s="123">
        <f ca="1">SUM(G60:G90)</f>
        <v>35768937.245817147</v>
      </c>
      <c r="H92" s="72">
        <f ca="1">IFERROR(I92 / (SUM($C60:$C90) / COUNT($C60:$C90)), 0)</f>
        <v>-7.702091806095028E-2</v>
      </c>
      <c r="I92" s="121">
        <f ca="1">SUM(I60:I90)</f>
        <v>-231062.75418285083</v>
      </c>
      <c r="J92" s="123">
        <f ca="1">SUM(J60:J90)</f>
        <v>35854456.948435053</v>
      </c>
      <c r="K92" s="72">
        <f ca="1">IFERROR(L92 / (SUM($C60:$C90) / COUNT($C60:$C90)), 0)</f>
        <v>-4.8514350521649832E-2</v>
      </c>
      <c r="L92" s="121">
        <f ca="1">SUM(L60:L90)</f>
        <v>-145543.05156494951</v>
      </c>
      <c r="M92" s="123">
        <f ca="1">SUM(M60:M90)</f>
        <v>35937744.091883577</v>
      </c>
      <c r="N92" s="72">
        <f ca="1">IFERROR(O92 / (SUM($C60:$C90) / COUNT($C60:$C90)), 0)</f>
        <v>-2.0751969372140723E-2</v>
      </c>
      <c r="O92" s="121">
        <f ca="1">SUM(O60:O90)</f>
        <v>-62255.908116422172</v>
      </c>
    </row>
    <row r="94" spans="1:15" ht="16.5" customHeight="1" thickBot="1"/>
    <row r="95" spans="1:15" ht="16.5" customHeight="1" thickBot="1">
      <c r="A95" s="157" t="str">
        <f>TEXT(투자전략!$G$1, "[$-ko-KR]yyyy년 mm월 ") &amp; "[동전코인] 전일대비 상승률 Top20 월말결산"</f>
        <v>2023년 03월 [동전코인] 전일대비 상승률 Top20 월말결산</v>
      </c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9"/>
    </row>
    <row r="96" spans="1:15" ht="16.5" customHeight="1" thickBot="1">
      <c r="A96" s="201" t="s">
        <v>271</v>
      </c>
      <c r="B96" s="178" t="s">
        <v>269</v>
      </c>
      <c r="C96" s="180"/>
      <c r="D96" s="178" t="s">
        <v>261</v>
      </c>
      <c r="E96" s="179"/>
      <c r="F96" s="180"/>
      <c r="G96" s="178" t="s">
        <v>262</v>
      </c>
      <c r="H96" s="179"/>
      <c r="I96" s="180"/>
      <c r="J96" s="178" t="s">
        <v>263</v>
      </c>
      <c r="K96" s="179"/>
      <c r="L96" s="180"/>
      <c r="M96" s="178" t="s">
        <v>264</v>
      </c>
      <c r="N96" s="179"/>
      <c r="O96" s="180"/>
    </row>
    <row r="97" spans="1:15" ht="16.5" customHeight="1" thickBot="1">
      <c r="A97" s="194"/>
      <c r="B97" s="46" t="s">
        <v>259</v>
      </c>
      <c r="C97" s="46" t="s">
        <v>42</v>
      </c>
      <c r="D97" s="105" t="s">
        <v>260</v>
      </c>
      <c r="E97" s="106" t="s">
        <v>40</v>
      </c>
      <c r="F97" s="81" t="s">
        <v>41</v>
      </c>
      <c r="G97" s="105" t="s">
        <v>260</v>
      </c>
      <c r="H97" s="106" t="s">
        <v>40</v>
      </c>
      <c r="I97" s="81" t="s">
        <v>41</v>
      </c>
      <c r="J97" s="105" t="s">
        <v>260</v>
      </c>
      <c r="K97" s="106" t="s">
        <v>40</v>
      </c>
      <c r="L97" s="81" t="s">
        <v>41</v>
      </c>
      <c r="M97" s="105" t="s">
        <v>260</v>
      </c>
      <c r="N97" s="106" t="s">
        <v>40</v>
      </c>
      <c r="O97" s="81" t="s">
        <v>41</v>
      </c>
    </row>
    <row r="98" spans="1:15" ht="16.5" customHeight="1">
      <c r="A98" s="46">
        <v>1</v>
      </c>
      <c r="B98" s="129" t="str">
        <f>HYPERLINK("#'" &amp; TEXT(투자전략!$G$1+0, "[$-ko-KR]yyyy.mm.dd") &amp; "'!A67:O91", TEXT(투자전략!$G$1+0, "[$-ko-KR]yyyy.mm.dd"))</f>
        <v>2023.03.01</v>
      </c>
      <c r="C98" s="117">
        <f ca="1">IFERROR(COUNTA(INDIRECT($B98&amp;"!A71:A90")) * INDIRECT($B98&amp;"!B91"), "")</f>
        <v>3000000</v>
      </c>
      <c r="D98" s="125">
        <f ca="1">IFERROR($C98 * (1 + E98), "")</f>
        <v>3000000</v>
      </c>
      <c r="E98" s="69">
        <f ca="1">IFERROR(INDIRECT($B98&amp;"!E91"), "")</f>
        <v>0</v>
      </c>
      <c r="F98" s="124">
        <f ca="1">IFERROR(INDIRECT($B98&amp;"!F91"), "")</f>
        <v>0</v>
      </c>
      <c r="G98" s="125">
        <f ca="1">IFERROR($C98 * (1 + H98), "")</f>
        <v>3000000</v>
      </c>
      <c r="H98" s="69">
        <f ca="1">IFERROR(INDIRECT($B98&amp;"!H91"), "")</f>
        <v>0</v>
      </c>
      <c r="I98" s="124">
        <f ca="1">IFERROR(INDIRECT($B98&amp;"!I91"), "")</f>
        <v>0</v>
      </c>
      <c r="J98" s="125">
        <f ca="1">IFERROR($C98 * (1 + K98), "")</f>
        <v>3000000</v>
      </c>
      <c r="K98" s="69">
        <f ca="1">IFERROR(INDIRECT($B98&amp;"!K91"), "")</f>
        <v>0</v>
      </c>
      <c r="L98" s="124">
        <f ca="1">IFERROR(INDIRECT($B98&amp;"!L91"), "")</f>
        <v>0</v>
      </c>
      <c r="M98" s="125">
        <f ca="1">IFERROR($C98 * (1 + N98), "")</f>
        <v>3000000</v>
      </c>
      <c r="N98" s="69">
        <f ca="1">IFERROR(INDIRECT($B98&amp;"!N91"), "")</f>
        <v>0</v>
      </c>
      <c r="O98" s="124">
        <f ca="1">IFERROR(INDIRECT($B98&amp;"!O91"), "")</f>
        <v>0</v>
      </c>
    </row>
    <row r="99" spans="1:15" ht="16.5" customHeight="1">
      <c r="A99" s="47">
        <v>2</v>
      </c>
      <c r="B99" s="130" t="str">
        <f>HYPERLINK("#'" &amp; TEXT(투자전략!$G$1+1, "[$-ko-KR]yyyy.mm.dd") &amp; "'!A67:O91", TEXT(투자전략!$G$1+1, "[$-ko-KR]yyyy.mm.dd"))</f>
        <v>2023.03.02</v>
      </c>
      <c r="C99" s="118" t="str">
        <f t="shared" ref="C99:C128" ca="1" si="26">IFERROR(COUNTA(INDIRECT($B99&amp;"!A71:A90")) * INDIRECT($B99&amp;"!B91"), "")</f>
        <v/>
      </c>
      <c r="D99" s="122" t="str">
        <f t="shared" ref="D99:D128" ca="1" si="27">IFERROR($C99 * (1 + E99), "")</f>
        <v/>
      </c>
      <c r="E99" s="70" t="str">
        <f t="shared" ref="E99:E128" ca="1" si="28">IFERROR(INDIRECT($B99&amp;"!E91"), "")</f>
        <v/>
      </c>
      <c r="F99" s="120" t="str">
        <f t="shared" ref="F99:F128" ca="1" si="29">IFERROR(INDIRECT($B99&amp;"!F91"), "")</f>
        <v/>
      </c>
      <c r="G99" s="122" t="str">
        <f t="shared" ref="G99:G128" ca="1" si="30">IFERROR($C99 * (1 + H99), "")</f>
        <v/>
      </c>
      <c r="H99" s="70" t="str">
        <f t="shared" ref="H99:H128" ca="1" si="31">IFERROR(INDIRECT($B99&amp;"!H91"), "")</f>
        <v/>
      </c>
      <c r="I99" s="120" t="str">
        <f t="shared" ref="I99:I128" ca="1" si="32">IFERROR(INDIRECT($B99&amp;"!I91"), "")</f>
        <v/>
      </c>
      <c r="J99" s="122" t="str">
        <f t="shared" ref="J99:J128" ca="1" si="33">IFERROR($C99 * (1 + K99), "")</f>
        <v/>
      </c>
      <c r="K99" s="70" t="str">
        <f t="shared" ref="K99:K128" ca="1" si="34">IFERROR(INDIRECT($B99&amp;"!K91"), "")</f>
        <v/>
      </c>
      <c r="L99" s="120" t="str">
        <f t="shared" ref="L99:L128" ca="1" si="35">IFERROR(INDIRECT($B99&amp;"!L91"), "")</f>
        <v/>
      </c>
      <c r="M99" s="122" t="str">
        <f t="shared" ref="M99:M128" ca="1" si="36">IFERROR($C99 * (1 + N99), "")</f>
        <v/>
      </c>
      <c r="N99" s="70" t="str">
        <f t="shared" ref="N99:N128" ca="1" si="37">IFERROR(INDIRECT($B99&amp;"!N91"), "")</f>
        <v/>
      </c>
      <c r="O99" s="120" t="str">
        <f t="shared" ref="O99:O128" ca="1" si="38">IFERROR(INDIRECT($B99&amp;"!O91"), "")</f>
        <v/>
      </c>
    </row>
    <row r="100" spans="1:15" ht="16.5" customHeight="1">
      <c r="A100" s="47">
        <v>3</v>
      </c>
      <c r="B100" s="130" t="str">
        <f>HYPERLINK("#'" &amp; TEXT(투자전략!$G$1+2, "[$-ko-KR]yyyy.mm.dd") &amp; "'!A67:O91", TEXT(투자전략!$G$1+2, "[$-ko-KR]yyyy.mm.dd"))</f>
        <v>2023.03.03</v>
      </c>
      <c r="C100" s="118" t="str">
        <f t="shared" ca="1" si="26"/>
        <v/>
      </c>
      <c r="D100" s="122" t="str">
        <f t="shared" ca="1" si="27"/>
        <v/>
      </c>
      <c r="E100" s="70" t="str">
        <f t="shared" ca="1" si="28"/>
        <v/>
      </c>
      <c r="F100" s="120" t="str">
        <f t="shared" ca="1" si="29"/>
        <v/>
      </c>
      <c r="G100" s="122" t="str">
        <f t="shared" ca="1" si="30"/>
        <v/>
      </c>
      <c r="H100" s="70" t="str">
        <f t="shared" ca="1" si="31"/>
        <v/>
      </c>
      <c r="I100" s="120" t="str">
        <f t="shared" ca="1" si="32"/>
        <v/>
      </c>
      <c r="J100" s="122" t="str">
        <f t="shared" ca="1" si="33"/>
        <v/>
      </c>
      <c r="K100" s="70" t="str">
        <f t="shared" ca="1" si="34"/>
        <v/>
      </c>
      <c r="L100" s="120" t="str">
        <f t="shared" ca="1" si="35"/>
        <v/>
      </c>
      <c r="M100" s="122" t="str">
        <f t="shared" ca="1" si="36"/>
        <v/>
      </c>
      <c r="N100" s="70" t="str">
        <f t="shared" ca="1" si="37"/>
        <v/>
      </c>
      <c r="O100" s="120" t="str">
        <f t="shared" ca="1" si="38"/>
        <v/>
      </c>
    </row>
    <row r="101" spans="1:15" ht="16.5" customHeight="1">
      <c r="A101" s="47">
        <v>4</v>
      </c>
      <c r="B101" s="130" t="str">
        <f>HYPERLINK("#'" &amp; TEXT(투자전략!$G$1+3, "[$-ko-KR]yyyy.mm.dd") &amp; "'!A67:O91", TEXT(투자전략!$G$1+3, "[$-ko-KR]yyyy.mm.dd"))</f>
        <v>2023.03.04</v>
      </c>
      <c r="C101" s="118" t="str">
        <f t="shared" ca="1" si="26"/>
        <v/>
      </c>
      <c r="D101" s="122" t="str">
        <f t="shared" ca="1" si="27"/>
        <v/>
      </c>
      <c r="E101" s="70" t="str">
        <f t="shared" ca="1" si="28"/>
        <v/>
      </c>
      <c r="F101" s="120" t="str">
        <f t="shared" ca="1" si="29"/>
        <v/>
      </c>
      <c r="G101" s="122" t="str">
        <f t="shared" ca="1" si="30"/>
        <v/>
      </c>
      <c r="H101" s="70" t="str">
        <f t="shared" ca="1" si="31"/>
        <v/>
      </c>
      <c r="I101" s="120" t="str">
        <f t="shared" ca="1" si="32"/>
        <v/>
      </c>
      <c r="J101" s="122" t="str">
        <f t="shared" ca="1" si="33"/>
        <v/>
      </c>
      <c r="K101" s="70" t="str">
        <f t="shared" ca="1" si="34"/>
        <v/>
      </c>
      <c r="L101" s="120" t="str">
        <f t="shared" ca="1" si="35"/>
        <v/>
      </c>
      <c r="M101" s="122" t="str">
        <f t="shared" ca="1" si="36"/>
        <v/>
      </c>
      <c r="N101" s="70" t="str">
        <f t="shared" ca="1" si="37"/>
        <v/>
      </c>
      <c r="O101" s="120" t="str">
        <f t="shared" ca="1" si="38"/>
        <v/>
      </c>
    </row>
    <row r="102" spans="1:15" ht="16.5" customHeight="1">
      <c r="A102" s="47">
        <v>5</v>
      </c>
      <c r="B102" s="130" t="str">
        <f>HYPERLINK("#'" &amp; TEXT(투자전략!$G$1+4, "[$-ko-KR]yyyy.mm.dd") &amp; "'!A67:O91", TEXT(투자전략!$G$1+4, "[$-ko-KR]yyyy.mm.dd"))</f>
        <v>2023.03.05</v>
      </c>
      <c r="C102" s="118" t="str">
        <f t="shared" ca="1" si="26"/>
        <v/>
      </c>
      <c r="D102" s="122" t="str">
        <f t="shared" ca="1" si="27"/>
        <v/>
      </c>
      <c r="E102" s="70" t="str">
        <f t="shared" ca="1" si="28"/>
        <v/>
      </c>
      <c r="F102" s="120" t="str">
        <f t="shared" ca="1" si="29"/>
        <v/>
      </c>
      <c r="G102" s="122" t="str">
        <f t="shared" ca="1" si="30"/>
        <v/>
      </c>
      <c r="H102" s="70" t="str">
        <f t="shared" ca="1" si="31"/>
        <v/>
      </c>
      <c r="I102" s="120" t="str">
        <f t="shared" ca="1" si="32"/>
        <v/>
      </c>
      <c r="J102" s="122" t="str">
        <f t="shared" ca="1" si="33"/>
        <v/>
      </c>
      <c r="K102" s="70" t="str">
        <f t="shared" ca="1" si="34"/>
        <v/>
      </c>
      <c r="L102" s="120" t="str">
        <f t="shared" ca="1" si="35"/>
        <v/>
      </c>
      <c r="M102" s="122" t="str">
        <f t="shared" ca="1" si="36"/>
        <v/>
      </c>
      <c r="N102" s="70" t="str">
        <f t="shared" ca="1" si="37"/>
        <v/>
      </c>
      <c r="O102" s="120" t="str">
        <f t="shared" ca="1" si="38"/>
        <v/>
      </c>
    </row>
    <row r="103" spans="1:15" ht="16.5" customHeight="1">
      <c r="A103" s="47">
        <v>6</v>
      </c>
      <c r="B103" s="130" t="str">
        <f>HYPERLINK("#'" &amp; TEXT(투자전략!$G$1+5, "[$-ko-KR]yyyy.mm.dd") &amp; "'!A67:O91", TEXT(투자전략!$G$1+5, "[$-ko-KR]yyyy.mm.dd"))</f>
        <v>2023.03.06</v>
      </c>
      <c r="C103" s="118" t="str">
        <f t="shared" ca="1" si="26"/>
        <v/>
      </c>
      <c r="D103" s="122" t="str">
        <f t="shared" ca="1" si="27"/>
        <v/>
      </c>
      <c r="E103" s="70" t="str">
        <f t="shared" ca="1" si="28"/>
        <v/>
      </c>
      <c r="F103" s="120" t="str">
        <f t="shared" ca="1" si="29"/>
        <v/>
      </c>
      <c r="G103" s="122" t="str">
        <f t="shared" ca="1" si="30"/>
        <v/>
      </c>
      <c r="H103" s="70" t="str">
        <f t="shared" ca="1" si="31"/>
        <v/>
      </c>
      <c r="I103" s="120" t="str">
        <f t="shared" ca="1" si="32"/>
        <v/>
      </c>
      <c r="J103" s="122" t="str">
        <f t="shared" ca="1" si="33"/>
        <v/>
      </c>
      <c r="K103" s="70" t="str">
        <f t="shared" ca="1" si="34"/>
        <v/>
      </c>
      <c r="L103" s="120" t="str">
        <f t="shared" ca="1" si="35"/>
        <v/>
      </c>
      <c r="M103" s="122" t="str">
        <f t="shared" ca="1" si="36"/>
        <v/>
      </c>
      <c r="N103" s="70" t="str">
        <f t="shared" ca="1" si="37"/>
        <v/>
      </c>
      <c r="O103" s="120" t="str">
        <f t="shared" ca="1" si="38"/>
        <v/>
      </c>
    </row>
    <row r="104" spans="1:15" ht="16.5" customHeight="1" thickBot="1">
      <c r="A104" s="48">
        <v>7</v>
      </c>
      <c r="B104" s="131" t="str">
        <f>HYPERLINK("#'" &amp; TEXT(투자전략!$G$1+6, "[$-ko-KR]yyyy.mm.dd") &amp; "'!A67:O91", TEXT(투자전략!$G$1+6, "[$-ko-KR]yyyy.mm.dd"))</f>
        <v>2023.03.07</v>
      </c>
      <c r="C104" s="118">
        <f t="shared" ca="1" si="26"/>
        <v>3000000</v>
      </c>
      <c r="D104" s="122">
        <f t="shared" ca="1" si="27"/>
        <v>3000000</v>
      </c>
      <c r="E104" s="70">
        <f t="shared" ca="1" si="28"/>
        <v>0</v>
      </c>
      <c r="F104" s="120">
        <f t="shared" ca="1" si="29"/>
        <v>0</v>
      </c>
      <c r="G104" s="122">
        <f t="shared" ca="1" si="30"/>
        <v>2960332.9824800813</v>
      </c>
      <c r="H104" s="70">
        <f t="shared" ca="1" si="31"/>
        <v>-1.3222339173306267E-2</v>
      </c>
      <c r="I104" s="120">
        <f t="shared" ca="1" si="32"/>
        <v>-39667.017519918787</v>
      </c>
      <c r="J104" s="122">
        <f t="shared" ca="1" si="33"/>
        <v>2938921.6540180282</v>
      </c>
      <c r="K104" s="70">
        <f t="shared" ca="1" si="34"/>
        <v>-2.035944866065735E-2</v>
      </c>
      <c r="L104" s="120">
        <f t="shared" ca="1" si="35"/>
        <v>-61078.345981972045</v>
      </c>
      <c r="M104" s="122">
        <f t="shared" ca="1" si="36"/>
        <v>2920202.7771357237</v>
      </c>
      <c r="N104" s="70">
        <f t="shared" ca="1" si="37"/>
        <v>-2.6599074288092089E-2</v>
      </c>
      <c r="O104" s="120">
        <f t="shared" ca="1" si="38"/>
        <v>-79797.222864276249</v>
      </c>
    </row>
    <row r="105" spans="1:15" ht="16.5" customHeight="1">
      <c r="A105" s="46">
        <v>8</v>
      </c>
      <c r="B105" s="129" t="str">
        <f>HYPERLINK("#'" &amp; TEXT(투자전략!$G$1+7, "[$-ko-KR]yyyy.mm.dd") &amp; "'!A67:O91", TEXT(투자전략!$G$1+7, "[$-ko-KR]yyyy.mm.dd"))</f>
        <v>2023.03.08</v>
      </c>
      <c r="C105" s="117">
        <f t="shared" ca="1" si="26"/>
        <v>3000000</v>
      </c>
      <c r="D105" s="125">
        <f t="shared" ca="1" si="27"/>
        <v>2963293.2770652366</v>
      </c>
      <c r="E105" s="69">
        <f t="shared" ca="1" si="28"/>
        <v>-1.2235574311587751E-2</v>
      </c>
      <c r="F105" s="124">
        <f t="shared" ca="1" si="29"/>
        <v>-36706.722934763253</v>
      </c>
      <c r="G105" s="125">
        <f t="shared" ca="1" si="30"/>
        <v>2917312.5938488347</v>
      </c>
      <c r="H105" s="69">
        <f t="shared" ca="1" si="31"/>
        <v>-2.7562468717055179E-2</v>
      </c>
      <c r="I105" s="124">
        <f t="shared" ca="1" si="32"/>
        <v>-82687.40615116556</v>
      </c>
      <c r="J105" s="125">
        <f t="shared" ca="1" si="33"/>
        <v>2923792.7287198659</v>
      </c>
      <c r="K105" s="69">
        <f t="shared" ca="1" si="34"/>
        <v>-2.5402423760044635E-2</v>
      </c>
      <c r="L105" s="124">
        <f t="shared" ca="1" si="35"/>
        <v>-76207.271280133922</v>
      </c>
      <c r="M105" s="125">
        <f t="shared" ca="1" si="36"/>
        <v>2877685.6008347888</v>
      </c>
      <c r="N105" s="69">
        <f t="shared" ca="1" si="37"/>
        <v>-4.077146638840367E-2</v>
      </c>
      <c r="O105" s="124">
        <f t="shared" ca="1" si="38"/>
        <v>-122314.39916521103</v>
      </c>
    </row>
    <row r="106" spans="1:15" ht="16.5" customHeight="1">
      <c r="A106" s="47">
        <v>9</v>
      </c>
      <c r="B106" s="130" t="str">
        <f>HYPERLINK("#'" &amp; TEXT(투자전략!$G$1+8, "[$-ko-KR]yyyy.mm.dd") &amp; "'!A67:O91", TEXT(투자전략!$G$1+8, "[$-ko-KR]yyyy.mm.dd"))</f>
        <v>2023.03.09</v>
      </c>
      <c r="C106" s="118">
        <f t="shared" ca="1" si="26"/>
        <v>3000000</v>
      </c>
      <c r="D106" s="122">
        <f t="shared" ca="1" si="27"/>
        <v>2962431.7214751709</v>
      </c>
      <c r="E106" s="70">
        <f t="shared" ca="1" si="28"/>
        <v>-1.2522759508276426E-2</v>
      </c>
      <c r="F106" s="120">
        <f t="shared" ca="1" si="29"/>
        <v>-37568.278524829264</v>
      </c>
      <c r="G106" s="122">
        <f t="shared" ca="1" si="30"/>
        <v>2945922.4388853796</v>
      </c>
      <c r="H106" s="70">
        <f t="shared" ca="1" si="31"/>
        <v>-1.802585370487339E-2</v>
      </c>
      <c r="I106" s="120">
        <f t="shared" ca="1" si="32"/>
        <v>-54077.561114620163</v>
      </c>
      <c r="J106" s="122">
        <f t="shared" ca="1" si="33"/>
        <v>2962742.9466702663</v>
      </c>
      <c r="K106" s="70">
        <f t="shared" ca="1" si="34"/>
        <v>-1.2419017776577919E-2</v>
      </c>
      <c r="L106" s="120">
        <f t="shared" ca="1" si="35"/>
        <v>-37257.053329733739</v>
      </c>
      <c r="M106" s="122">
        <f t="shared" ca="1" si="36"/>
        <v>2989077.3405055152</v>
      </c>
      <c r="N106" s="70">
        <f t="shared" ca="1" si="37"/>
        <v>-3.6408864981615414E-3</v>
      </c>
      <c r="O106" s="120">
        <f t="shared" ca="1" si="38"/>
        <v>-10922.659494484622</v>
      </c>
    </row>
    <row r="107" spans="1:15" ht="16.5" customHeight="1">
      <c r="A107" s="47">
        <v>10</v>
      </c>
      <c r="B107" s="130" t="str">
        <f>HYPERLINK("#'" &amp; TEXT(투자전략!$G$1+9, "[$-ko-KR]yyyy.mm.dd") &amp; "'!A67:O91", TEXT(투자전략!$G$1+9, "[$-ko-KR]yyyy.mm.dd"))</f>
        <v>2023.03.10</v>
      </c>
      <c r="C107" s="118">
        <f t="shared" ca="1" si="26"/>
        <v>3000000</v>
      </c>
      <c r="D107" s="122">
        <f t="shared" ca="1" si="27"/>
        <v>2717263.7319176267</v>
      </c>
      <c r="E107" s="70">
        <f t="shared" ca="1" si="28"/>
        <v>-9.4245422694124351E-2</v>
      </c>
      <c r="F107" s="120">
        <f t="shared" ca="1" si="29"/>
        <v>-282736.26808237296</v>
      </c>
      <c r="G107" s="122">
        <f t="shared" ca="1" si="30"/>
        <v>2682233.4192212061</v>
      </c>
      <c r="H107" s="70">
        <f t="shared" ca="1" si="31"/>
        <v>-0.10592219359293129</v>
      </c>
      <c r="I107" s="120">
        <f t="shared" ca="1" si="32"/>
        <v>-317766.58077879384</v>
      </c>
      <c r="J107" s="122">
        <f t="shared" ca="1" si="33"/>
        <v>2670387.6463410067</v>
      </c>
      <c r="K107" s="70">
        <f t="shared" ca="1" si="34"/>
        <v>-0.10987078455299766</v>
      </c>
      <c r="L107" s="120">
        <f t="shared" ca="1" si="35"/>
        <v>-329612.35365899291</v>
      </c>
      <c r="M107" s="122">
        <f t="shared" ca="1" si="36"/>
        <v>2684695.5608924534</v>
      </c>
      <c r="N107" s="70">
        <f t="shared" ca="1" si="37"/>
        <v>-0.10510147970251563</v>
      </c>
      <c r="O107" s="120">
        <f t="shared" ca="1" si="38"/>
        <v>-315304.43910754682</v>
      </c>
    </row>
    <row r="108" spans="1:15" ht="16.5" customHeight="1">
      <c r="A108" s="47">
        <v>11</v>
      </c>
      <c r="B108" s="130" t="str">
        <f>HYPERLINK("#'" &amp; TEXT(투자전략!$G$1+10, "[$-ko-KR]yyyy.mm.dd") &amp; "'!A67:O91", TEXT(투자전략!$G$1+10, "[$-ko-KR]yyyy.mm.dd"))</f>
        <v>2023.03.11</v>
      </c>
      <c r="C108" s="118">
        <f t="shared" ca="1" si="26"/>
        <v>3000000</v>
      </c>
      <c r="D108" s="122">
        <f t="shared" ca="1" si="27"/>
        <v>3065489.5139512755</v>
      </c>
      <c r="E108" s="70">
        <f t="shared" ca="1" si="28"/>
        <v>2.1829837983758468E-2</v>
      </c>
      <c r="F108" s="120">
        <f t="shared" ca="1" si="29"/>
        <v>65489.513951275403</v>
      </c>
      <c r="G108" s="122">
        <f t="shared" ca="1" si="30"/>
        <v>3002414.8623833433</v>
      </c>
      <c r="H108" s="70">
        <f t="shared" ca="1" si="31"/>
        <v>8.0495412778112398E-4</v>
      </c>
      <c r="I108" s="120">
        <f t="shared" ca="1" si="32"/>
        <v>2414.8623833433703</v>
      </c>
      <c r="J108" s="122">
        <f t="shared" ca="1" si="33"/>
        <v>2988466.414717264</v>
      </c>
      <c r="K108" s="70">
        <f t="shared" ca="1" si="34"/>
        <v>-3.844528427578626E-3</v>
      </c>
      <c r="L108" s="120">
        <f t="shared" ca="1" si="35"/>
        <v>-11533.585282735872</v>
      </c>
      <c r="M108" s="122">
        <f t="shared" ca="1" si="36"/>
        <v>2997757.5269558942</v>
      </c>
      <c r="N108" s="70">
        <f t="shared" ca="1" si="37"/>
        <v>-7.4749101470196141E-4</v>
      </c>
      <c r="O108" s="120">
        <f t="shared" ca="1" si="38"/>
        <v>-2242.4730441058855</v>
      </c>
    </row>
    <row r="109" spans="1:15" ht="16.5" customHeight="1">
      <c r="A109" s="47">
        <v>12</v>
      </c>
      <c r="B109" s="130" t="str">
        <f>HYPERLINK("#'" &amp; TEXT(투자전략!$G$1+11, "[$-ko-KR]yyyy.mm.dd") &amp; "'!A67:O91", TEXT(투자전략!$G$1+11, "[$-ko-KR]yyyy.mm.dd"))</f>
        <v>2023.03.12</v>
      </c>
      <c r="C109" s="118">
        <f t="shared" ca="1" si="26"/>
        <v>3000000</v>
      </c>
      <c r="D109" s="122">
        <f t="shared" ca="1" si="27"/>
        <v>3015269.5924628782</v>
      </c>
      <c r="E109" s="70">
        <f t="shared" ca="1" si="28"/>
        <v>5.0898641542927552E-3</v>
      </c>
      <c r="F109" s="120">
        <f t="shared" ca="1" si="29"/>
        <v>15269.592462878263</v>
      </c>
      <c r="G109" s="122">
        <f t="shared" ca="1" si="30"/>
        <v>3007686.8003702946</v>
      </c>
      <c r="H109" s="70">
        <f t="shared" ca="1" si="31"/>
        <v>2.5622667900981775E-3</v>
      </c>
      <c r="I109" s="120">
        <f t="shared" ca="1" si="32"/>
        <v>7686.8003702945325</v>
      </c>
      <c r="J109" s="122">
        <f t="shared" ca="1" si="33"/>
        <v>3010486.5257445793</v>
      </c>
      <c r="K109" s="70">
        <f t="shared" ca="1" si="34"/>
        <v>3.4955085815264906E-3</v>
      </c>
      <c r="L109" s="120">
        <f t="shared" ca="1" si="35"/>
        <v>10486.525744579474</v>
      </c>
      <c r="M109" s="122">
        <f t="shared" ca="1" si="36"/>
        <v>2941081.9365873206</v>
      </c>
      <c r="N109" s="70">
        <f t="shared" ca="1" si="37"/>
        <v>-1.9639354470893117E-2</v>
      </c>
      <c r="O109" s="120">
        <f t="shared" ca="1" si="38"/>
        <v>-58918.063412679337</v>
      </c>
    </row>
    <row r="110" spans="1:15" ht="16.5" customHeight="1">
      <c r="A110" s="47">
        <v>13</v>
      </c>
      <c r="B110" s="130" t="str">
        <f>HYPERLINK("#'" &amp; TEXT(투자전략!$G$1+12, "[$-ko-KR]yyyy.mm.dd") &amp; "'!A67:O91", TEXT(투자전략!$G$1+12, "[$-ko-KR]yyyy.mm.dd"))</f>
        <v>2023.03.13</v>
      </c>
      <c r="C110" s="118">
        <f t="shared" ca="1" si="26"/>
        <v>3000000</v>
      </c>
      <c r="D110" s="122">
        <f t="shared" ca="1" si="27"/>
        <v>3241151.10205526</v>
      </c>
      <c r="E110" s="70">
        <f t="shared" ca="1" si="28"/>
        <v>8.0383700685086823E-2</v>
      </c>
      <c r="F110" s="120">
        <f t="shared" ca="1" si="29"/>
        <v>241151.10205526045</v>
      </c>
      <c r="G110" s="122">
        <f t="shared" ca="1" si="30"/>
        <v>3176268.2810345166</v>
      </c>
      <c r="H110" s="70">
        <f t="shared" ca="1" si="31"/>
        <v>5.8756093678172125E-2</v>
      </c>
      <c r="I110" s="120">
        <f t="shared" ca="1" si="32"/>
        <v>176268.28103451637</v>
      </c>
      <c r="J110" s="122">
        <f t="shared" ca="1" si="33"/>
        <v>3202948.8860016316</v>
      </c>
      <c r="K110" s="70">
        <f t="shared" ca="1" si="34"/>
        <v>6.7649628667210665E-2</v>
      </c>
      <c r="L110" s="120">
        <f t="shared" ca="1" si="35"/>
        <v>202948.88600163197</v>
      </c>
      <c r="M110" s="122">
        <f t="shared" ca="1" si="36"/>
        <v>3311593.9656172707</v>
      </c>
      <c r="N110" s="70">
        <f t="shared" ca="1" si="37"/>
        <v>0.10386465520575686</v>
      </c>
      <c r="O110" s="120">
        <f t="shared" ca="1" si="38"/>
        <v>311593.9656172705</v>
      </c>
    </row>
    <row r="111" spans="1:15" ht="16.5" customHeight="1" thickBot="1">
      <c r="A111" s="48">
        <v>14</v>
      </c>
      <c r="B111" s="131" t="str">
        <f>HYPERLINK("#'" &amp; TEXT(투자전략!$G$1+13, "[$-ko-KR]yyyy.mm.dd") &amp; "'!A67:O91", TEXT(투자전략!$G$1+13, "[$-ko-KR]yyyy.mm.dd"))</f>
        <v>2023.03.14</v>
      </c>
      <c r="C111" s="119">
        <f t="shared" ca="1" si="26"/>
        <v>3000000</v>
      </c>
      <c r="D111" s="123">
        <f t="shared" ca="1" si="27"/>
        <v>3195079.4044807958</v>
      </c>
      <c r="E111" s="72">
        <f t="shared" ca="1" si="28"/>
        <v>6.5026468160265277E-2</v>
      </c>
      <c r="F111" s="121">
        <f t="shared" ca="1" si="29"/>
        <v>195079.40448079581</v>
      </c>
      <c r="G111" s="123">
        <f t="shared" ca="1" si="30"/>
        <v>3041541.3452486224</v>
      </c>
      <c r="H111" s="72">
        <f t="shared" ca="1" si="31"/>
        <v>1.3847115082874123E-2</v>
      </c>
      <c r="I111" s="121">
        <f t="shared" ca="1" si="32"/>
        <v>41541.345248622383</v>
      </c>
      <c r="J111" s="123">
        <f t="shared" ca="1" si="33"/>
        <v>3065216.8100943053</v>
      </c>
      <c r="K111" s="72">
        <f t="shared" ca="1" si="34"/>
        <v>2.1738936698101799E-2</v>
      </c>
      <c r="L111" s="121">
        <f t="shared" ca="1" si="35"/>
        <v>65216.81009430538</v>
      </c>
      <c r="M111" s="123">
        <f t="shared" ca="1" si="36"/>
        <v>3227314.2765974286</v>
      </c>
      <c r="N111" s="72">
        <f t="shared" ca="1" si="37"/>
        <v>7.5771425532476233E-2</v>
      </c>
      <c r="O111" s="121">
        <f t="shared" ca="1" si="38"/>
        <v>227314.27659742878</v>
      </c>
    </row>
    <row r="112" spans="1:15" ht="16.5" customHeight="1">
      <c r="A112" s="46">
        <v>15</v>
      </c>
      <c r="B112" s="129" t="str">
        <f>HYPERLINK("#'" &amp; TEXT(투자전략!$G$1+14, "[$-ko-KR]yyyy.mm.dd") &amp; "'!A67:O91", TEXT(투자전략!$G$1+14, "[$-ko-KR]yyyy.mm.dd"))</f>
        <v>2023.03.15</v>
      </c>
      <c r="C112" s="118">
        <f t="shared" ca="1" si="26"/>
        <v>3000000</v>
      </c>
      <c r="D112" s="122">
        <f t="shared" ca="1" si="27"/>
        <v>2996107.1035958282</v>
      </c>
      <c r="E112" s="70">
        <f t="shared" ca="1" si="28"/>
        <v>-1.2976321347239496E-3</v>
      </c>
      <c r="F112" s="120">
        <f t="shared" ca="1" si="29"/>
        <v>-3892.8964041718477</v>
      </c>
      <c r="G112" s="122">
        <f t="shared" ca="1" si="30"/>
        <v>2964926.820926981</v>
      </c>
      <c r="H112" s="70">
        <f t="shared" ca="1" si="31"/>
        <v>-1.1691059691006412E-2</v>
      </c>
      <c r="I112" s="120">
        <f t="shared" ca="1" si="32"/>
        <v>-35073.179073019244</v>
      </c>
      <c r="J112" s="122">
        <f t="shared" ca="1" si="33"/>
        <v>2944220.8281803168</v>
      </c>
      <c r="K112" s="70">
        <f t="shared" ca="1" si="34"/>
        <v>-1.8593057273227742E-2</v>
      </c>
      <c r="L112" s="120">
        <f t="shared" ca="1" si="35"/>
        <v>-55779.17181968323</v>
      </c>
      <c r="M112" s="122">
        <f t="shared" ca="1" si="36"/>
        <v>2914767.621762678</v>
      </c>
      <c r="N112" s="70">
        <f t="shared" ca="1" si="37"/>
        <v>-2.841079274577395E-2</v>
      </c>
      <c r="O112" s="120">
        <f t="shared" ca="1" si="38"/>
        <v>-85232.378237321827</v>
      </c>
    </row>
    <row r="113" spans="1:15" ht="16.5" customHeight="1">
      <c r="A113" s="47">
        <v>16</v>
      </c>
      <c r="B113" s="130" t="str">
        <f>HYPERLINK("#'" &amp; TEXT(투자전략!$G$1+15, "[$-ko-KR]yyyy.mm.dd") &amp; "'!A67:O91", TEXT(투자전략!$G$1+15, "[$-ko-KR]yyyy.mm.dd"))</f>
        <v>2023.03.16</v>
      </c>
      <c r="C113" s="118">
        <f t="shared" ca="1" si="26"/>
        <v>3000000</v>
      </c>
      <c r="D113" s="122">
        <f t="shared" ca="1" si="27"/>
        <v>2906246.8966310327</v>
      </c>
      <c r="E113" s="70">
        <f t="shared" ca="1" si="28"/>
        <v>-3.1251034456322484E-2</v>
      </c>
      <c r="F113" s="120">
        <f t="shared" ca="1" si="29"/>
        <v>-93753.10336896748</v>
      </c>
      <c r="G113" s="122">
        <f t="shared" ca="1" si="30"/>
        <v>2952327.8777654925</v>
      </c>
      <c r="H113" s="70">
        <f t="shared" ca="1" si="31"/>
        <v>-1.5890707411502499E-2</v>
      </c>
      <c r="I113" s="120">
        <f t="shared" ca="1" si="32"/>
        <v>-47672.122234507508</v>
      </c>
      <c r="J113" s="122">
        <f t="shared" ca="1" si="33"/>
        <v>2970262.6948282253</v>
      </c>
      <c r="K113" s="70">
        <f t="shared" ca="1" si="34"/>
        <v>-9.9124350572582214E-3</v>
      </c>
      <c r="L113" s="120">
        <f t="shared" ca="1" si="35"/>
        <v>-29737.30517177466</v>
      </c>
      <c r="M113" s="122">
        <f t="shared" ca="1" si="36"/>
        <v>2948783.8596219704</v>
      </c>
      <c r="N113" s="70">
        <f t="shared" ca="1" si="37"/>
        <v>-1.7072046792676456E-2</v>
      </c>
      <c r="O113" s="120">
        <f t="shared" ca="1" si="38"/>
        <v>-51216.140378029369</v>
      </c>
    </row>
    <row r="114" spans="1:15" ht="16.5" customHeight="1">
      <c r="A114" s="47">
        <v>17</v>
      </c>
      <c r="B114" s="130" t="str">
        <f>HYPERLINK("#'" &amp; TEXT(투자전략!$G$1+16, "[$-ko-KR]yyyy.mm.dd") &amp; "'!A67:O91", TEXT(투자전략!$G$1+16, "[$-ko-KR]yyyy.mm.dd"))</f>
        <v>2023.03.17</v>
      </c>
      <c r="C114" s="118">
        <f t="shared" ca="1" si="26"/>
        <v>3000000</v>
      </c>
      <c r="D114" s="122">
        <f t="shared" ca="1" si="27"/>
        <v>3000000</v>
      </c>
      <c r="E114" s="70">
        <f t="shared" ca="1" si="28"/>
        <v>0</v>
      </c>
      <c r="F114" s="120">
        <f t="shared" ca="1" si="29"/>
        <v>0</v>
      </c>
      <c r="G114" s="122">
        <f t="shared" ca="1" si="30"/>
        <v>3000000</v>
      </c>
      <c r="H114" s="70">
        <f t="shared" ca="1" si="31"/>
        <v>0</v>
      </c>
      <c r="I114" s="120">
        <f t="shared" ca="1" si="32"/>
        <v>0</v>
      </c>
      <c r="J114" s="122">
        <f t="shared" ca="1" si="33"/>
        <v>3000000</v>
      </c>
      <c r="K114" s="70">
        <f t="shared" ca="1" si="34"/>
        <v>0</v>
      </c>
      <c r="L114" s="120">
        <f t="shared" ca="1" si="35"/>
        <v>0</v>
      </c>
      <c r="M114" s="122">
        <f t="shared" ca="1" si="36"/>
        <v>3000000</v>
      </c>
      <c r="N114" s="70">
        <f t="shared" ca="1" si="37"/>
        <v>0</v>
      </c>
      <c r="O114" s="120">
        <f t="shared" ca="1" si="38"/>
        <v>0</v>
      </c>
    </row>
    <row r="115" spans="1:15" ht="16.5" customHeight="1">
      <c r="A115" s="47">
        <v>18</v>
      </c>
      <c r="B115" s="130" t="str">
        <f>HYPERLINK("#'" &amp; TEXT(투자전략!$G$1+17, "[$-ko-KR]yyyy.mm.dd") &amp; "'!A67:O91", TEXT(투자전략!$G$1+17, "[$-ko-KR]yyyy.mm.dd"))</f>
        <v>2023.03.18</v>
      </c>
      <c r="C115" s="118" t="str">
        <f t="shared" ca="1" si="26"/>
        <v/>
      </c>
      <c r="D115" s="122" t="str">
        <f t="shared" ca="1" si="27"/>
        <v/>
      </c>
      <c r="E115" s="70" t="str">
        <f t="shared" ca="1" si="28"/>
        <v/>
      </c>
      <c r="F115" s="120" t="str">
        <f t="shared" ca="1" si="29"/>
        <v/>
      </c>
      <c r="G115" s="122" t="str">
        <f t="shared" ca="1" si="30"/>
        <v/>
      </c>
      <c r="H115" s="70" t="str">
        <f t="shared" ca="1" si="31"/>
        <v/>
      </c>
      <c r="I115" s="120" t="str">
        <f t="shared" ca="1" si="32"/>
        <v/>
      </c>
      <c r="J115" s="122" t="str">
        <f t="shared" ca="1" si="33"/>
        <v/>
      </c>
      <c r="K115" s="70" t="str">
        <f t="shared" ca="1" si="34"/>
        <v/>
      </c>
      <c r="L115" s="120" t="str">
        <f t="shared" ca="1" si="35"/>
        <v/>
      </c>
      <c r="M115" s="122" t="str">
        <f t="shared" ca="1" si="36"/>
        <v/>
      </c>
      <c r="N115" s="70" t="str">
        <f t="shared" ca="1" si="37"/>
        <v/>
      </c>
      <c r="O115" s="120" t="str">
        <f t="shared" ca="1" si="38"/>
        <v/>
      </c>
    </row>
    <row r="116" spans="1:15" ht="16.5" customHeight="1">
      <c r="A116" s="47">
        <v>19</v>
      </c>
      <c r="B116" s="130" t="str">
        <f>HYPERLINK("#'" &amp; TEXT(투자전략!$G$1+18, "[$-ko-KR]yyyy.mm.dd") &amp; "'!A67:O91", TEXT(투자전략!$G$1+18, "[$-ko-KR]yyyy.mm.dd"))</f>
        <v>2023.03.19</v>
      </c>
      <c r="C116" s="118" t="str">
        <f t="shared" ca="1" si="26"/>
        <v/>
      </c>
      <c r="D116" s="122" t="str">
        <f t="shared" ca="1" si="27"/>
        <v/>
      </c>
      <c r="E116" s="70" t="str">
        <f t="shared" ca="1" si="28"/>
        <v/>
      </c>
      <c r="F116" s="120" t="str">
        <f t="shared" ca="1" si="29"/>
        <v/>
      </c>
      <c r="G116" s="122" t="str">
        <f t="shared" ca="1" si="30"/>
        <v/>
      </c>
      <c r="H116" s="70" t="str">
        <f t="shared" ca="1" si="31"/>
        <v/>
      </c>
      <c r="I116" s="120" t="str">
        <f t="shared" ca="1" si="32"/>
        <v/>
      </c>
      <c r="J116" s="122" t="str">
        <f t="shared" ca="1" si="33"/>
        <v/>
      </c>
      <c r="K116" s="70" t="str">
        <f t="shared" ca="1" si="34"/>
        <v/>
      </c>
      <c r="L116" s="120" t="str">
        <f t="shared" ca="1" si="35"/>
        <v/>
      </c>
      <c r="M116" s="122" t="str">
        <f t="shared" ca="1" si="36"/>
        <v/>
      </c>
      <c r="N116" s="70" t="str">
        <f t="shared" ca="1" si="37"/>
        <v/>
      </c>
      <c r="O116" s="120" t="str">
        <f t="shared" ca="1" si="38"/>
        <v/>
      </c>
    </row>
    <row r="117" spans="1:15" ht="16.5" customHeight="1">
      <c r="A117" s="47">
        <v>20</v>
      </c>
      <c r="B117" s="130" t="str">
        <f>HYPERLINK("#'" &amp; TEXT(투자전략!$G$1+19, "[$-ko-KR]yyyy.mm.dd") &amp; "'!A67:O91", TEXT(투자전략!$G$1+19, "[$-ko-KR]yyyy.mm.dd"))</f>
        <v>2023.03.20</v>
      </c>
      <c r="C117" s="118" t="str">
        <f t="shared" ca="1" si="26"/>
        <v/>
      </c>
      <c r="D117" s="122" t="str">
        <f t="shared" ca="1" si="27"/>
        <v/>
      </c>
      <c r="E117" s="70" t="str">
        <f t="shared" ca="1" si="28"/>
        <v/>
      </c>
      <c r="F117" s="120" t="str">
        <f t="shared" ca="1" si="29"/>
        <v/>
      </c>
      <c r="G117" s="122" t="str">
        <f t="shared" ca="1" si="30"/>
        <v/>
      </c>
      <c r="H117" s="70" t="str">
        <f t="shared" ca="1" si="31"/>
        <v/>
      </c>
      <c r="I117" s="120" t="str">
        <f t="shared" ca="1" si="32"/>
        <v/>
      </c>
      <c r="J117" s="122" t="str">
        <f t="shared" ca="1" si="33"/>
        <v/>
      </c>
      <c r="K117" s="70" t="str">
        <f t="shared" ca="1" si="34"/>
        <v/>
      </c>
      <c r="L117" s="120" t="str">
        <f t="shared" ca="1" si="35"/>
        <v/>
      </c>
      <c r="M117" s="122" t="str">
        <f t="shared" ca="1" si="36"/>
        <v/>
      </c>
      <c r="N117" s="70" t="str">
        <f t="shared" ca="1" si="37"/>
        <v/>
      </c>
      <c r="O117" s="120" t="str">
        <f t="shared" ca="1" si="38"/>
        <v/>
      </c>
    </row>
    <row r="118" spans="1:15" ht="16.5" customHeight="1" thickBot="1">
      <c r="A118" s="48">
        <v>21</v>
      </c>
      <c r="B118" s="131" t="str">
        <f>HYPERLINK("#'" &amp; TEXT(투자전략!$G$1+20, "[$-ko-KR]yyyy.mm.dd") &amp; "'!A67:O91", TEXT(투자전략!$G$1+20, "[$-ko-KR]yyyy.mm.dd"))</f>
        <v>2023.03.21</v>
      </c>
      <c r="C118" s="118" t="str">
        <f t="shared" ca="1" si="26"/>
        <v/>
      </c>
      <c r="D118" s="122" t="str">
        <f t="shared" ca="1" si="27"/>
        <v/>
      </c>
      <c r="E118" s="70" t="str">
        <f t="shared" ca="1" si="28"/>
        <v/>
      </c>
      <c r="F118" s="120" t="str">
        <f t="shared" ca="1" si="29"/>
        <v/>
      </c>
      <c r="G118" s="122" t="str">
        <f t="shared" ca="1" si="30"/>
        <v/>
      </c>
      <c r="H118" s="70" t="str">
        <f t="shared" ca="1" si="31"/>
        <v/>
      </c>
      <c r="I118" s="120" t="str">
        <f t="shared" ca="1" si="32"/>
        <v/>
      </c>
      <c r="J118" s="122" t="str">
        <f t="shared" ca="1" si="33"/>
        <v/>
      </c>
      <c r="K118" s="70" t="str">
        <f t="shared" ca="1" si="34"/>
        <v/>
      </c>
      <c r="L118" s="120" t="str">
        <f t="shared" ca="1" si="35"/>
        <v/>
      </c>
      <c r="M118" s="122" t="str">
        <f t="shared" ca="1" si="36"/>
        <v/>
      </c>
      <c r="N118" s="70" t="str">
        <f t="shared" ca="1" si="37"/>
        <v/>
      </c>
      <c r="O118" s="120" t="str">
        <f t="shared" ca="1" si="38"/>
        <v/>
      </c>
    </row>
    <row r="119" spans="1:15" ht="16.5" customHeight="1">
      <c r="A119" s="46">
        <v>22</v>
      </c>
      <c r="B119" s="129" t="str">
        <f>HYPERLINK("#'" &amp; TEXT(투자전략!$G$1+21, "[$-ko-KR]yyyy.mm.dd") &amp; "'!A67:O91", TEXT(투자전략!$G$1+21, "[$-ko-KR]yyyy.mm.dd"))</f>
        <v>2023.03.22</v>
      </c>
      <c r="C119" s="117" t="str">
        <f t="shared" ca="1" si="26"/>
        <v/>
      </c>
      <c r="D119" s="125" t="str">
        <f t="shared" ca="1" si="27"/>
        <v/>
      </c>
      <c r="E119" s="69" t="str">
        <f t="shared" ca="1" si="28"/>
        <v/>
      </c>
      <c r="F119" s="124" t="str">
        <f t="shared" ca="1" si="29"/>
        <v/>
      </c>
      <c r="G119" s="125" t="str">
        <f t="shared" ca="1" si="30"/>
        <v/>
      </c>
      <c r="H119" s="69" t="str">
        <f t="shared" ca="1" si="31"/>
        <v/>
      </c>
      <c r="I119" s="124" t="str">
        <f t="shared" ca="1" si="32"/>
        <v/>
      </c>
      <c r="J119" s="125" t="str">
        <f t="shared" ca="1" si="33"/>
        <v/>
      </c>
      <c r="K119" s="69" t="str">
        <f t="shared" ca="1" si="34"/>
        <v/>
      </c>
      <c r="L119" s="124" t="str">
        <f t="shared" ca="1" si="35"/>
        <v/>
      </c>
      <c r="M119" s="125" t="str">
        <f t="shared" ca="1" si="36"/>
        <v/>
      </c>
      <c r="N119" s="69" t="str">
        <f t="shared" ca="1" si="37"/>
        <v/>
      </c>
      <c r="O119" s="124" t="str">
        <f t="shared" ca="1" si="38"/>
        <v/>
      </c>
    </row>
    <row r="120" spans="1:15" ht="16.5" customHeight="1">
      <c r="A120" s="47">
        <v>23</v>
      </c>
      <c r="B120" s="130" t="str">
        <f>HYPERLINK("#'" &amp; TEXT(투자전략!$G$1+22, "[$-ko-KR]yyyy.mm.dd") &amp; "'!A67:O91", TEXT(투자전략!$G$1+22, "[$-ko-KR]yyyy.mm.dd"))</f>
        <v>2023.03.23</v>
      </c>
      <c r="C120" s="118" t="str">
        <f t="shared" ca="1" si="26"/>
        <v/>
      </c>
      <c r="D120" s="122" t="str">
        <f t="shared" ca="1" si="27"/>
        <v/>
      </c>
      <c r="E120" s="70" t="str">
        <f t="shared" ca="1" si="28"/>
        <v/>
      </c>
      <c r="F120" s="120" t="str">
        <f t="shared" ca="1" si="29"/>
        <v/>
      </c>
      <c r="G120" s="122" t="str">
        <f t="shared" ca="1" si="30"/>
        <v/>
      </c>
      <c r="H120" s="70" t="str">
        <f t="shared" ca="1" si="31"/>
        <v/>
      </c>
      <c r="I120" s="120" t="str">
        <f t="shared" ca="1" si="32"/>
        <v/>
      </c>
      <c r="J120" s="122" t="str">
        <f t="shared" ca="1" si="33"/>
        <v/>
      </c>
      <c r="K120" s="70" t="str">
        <f t="shared" ca="1" si="34"/>
        <v/>
      </c>
      <c r="L120" s="120" t="str">
        <f t="shared" ca="1" si="35"/>
        <v/>
      </c>
      <c r="M120" s="122" t="str">
        <f t="shared" ca="1" si="36"/>
        <v/>
      </c>
      <c r="N120" s="70" t="str">
        <f t="shared" ca="1" si="37"/>
        <v/>
      </c>
      <c r="O120" s="120" t="str">
        <f t="shared" ca="1" si="38"/>
        <v/>
      </c>
    </row>
    <row r="121" spans="1:15" ht="16.5" customHeight="1">
      <c r="A121" s="47">
        <v>24</v>
      </c>
      <c r="B121" s="130" t="str">
        <f>HYPERLINK("#'" &amp; TEXT(투자전략!$G$1+23, "[$-ko-KR]yyyy.mm.dd") &amp; "'!A67:O91", TEXT(투자전략!$G$1+23, "[$-ko-KR]yyyy.mm.dd"))</f>
        <v>2023.03.24</v>
      </c>
      <c r="C121" s="118" t="str">
        <f t="shared" ca="1" si="26"/>
        <v/>
      </c>
      <c r="D121" s="122" t="str">
        <f t="shared" ca="1" si="27"/>
        <v/>
      </c>
      <c r="E121" s="70" t="str">
        <f t="shared" ca="1" si="28"/>
        <v/>
      </c>
      <c r="F121" s="120" t="str">
        <f t="shared" ca="1" si="29"/>
        <v/>
      </c>
      <c r="G121" s="122" t="str">
        <f t="shared" ca="1" si="30"/>
        <v/>
      </c>
      <c r="H121" s="70" t="str">
        <f t="shared" ca="1" si="31"/>
        <v/>
      </c>
      <c r="I121" s="120" t="str">
        <f t="shared" ca="1" si="32"/>
        <v/>
      </c>
      <c r="J121" s="122" t="str">
        <f t="shared" ca="1" si="33"/>
        <v/>
      </c>
      <c r="K121" s="70" t="str">
        <f t="shared" ca="1" si="34"/>
        <v/>
      </c>
      <c r="L121" s="120" t="str">
        <f t="shared" ca="1" si="35"/>
        <v/>
      </c>
      <c r="M121" s="122" t="str">
        <f t="shared" ca="1" si="36"/>
        <v/>
      </c>
      <c r="N121" s="70" t="str">
        <f t="shared" ca="1" si="37"/>
        <v/>
      </c>
      <c r="O121" s="120" t="str">
        <f t="shared" ca="1" si="38"/>
        <v/>
      </c>
    </row>
    <row r="122" spans="1:15" ht="16.5" customHeight="1">
      <c r="A122" s="47">
        <v>25</v>
      </c>
      <c r="B122" s="130" t="str">
        <f>HYPERLINK("#'" &amp; TEXT(투자전략!$G$1+24, "[$-ko-KR]yyyy.mm.dd") &amp; "'!A67:O91", TEXT(투자전략!$G$1+24, "[$-ko-KR]yyyy.mm.dd"))</f>
        <v>2023.03.25</v>
      </c>
      <c r="C122" s="118" t="str">
        <f t="shared" ca="1" si="26"/>
        <v/>
      </c>
      <c r="D122" s="122" t="str">
        <f t="shared" ca="1" si="27"/>
        <v/>
      </c>
      <c r="E122" s="70" t="str">
        <f t="shared" ca="1" si="28"/>
        <v/>
      </c>
      <c r="F122" s="120" t="str">
        <f t="shared" ca="1" si="29"/>
        <v/>
      </c>
      <c r="G122" s="122" t="str">
        <f t="shared" ca="1" si="30"/>
        <v/>
      </c>
      <c r="H122" s="70" t="str">
        <f t="shared" ca="1" si="31"/>
        <v/>
      </c>
      <c r="I122" s="120" t="str">
        <f t="shared" ca="1" si="32"/>
        <v/>
      </c>
      <c r="J122" s="122" t="str">
        <f t="shared" ca="1" si="33"/>
        <v/>
      </c>
      <c r="K122" s="70" t="str">
        <f t="shared" ca="1" si="34"/>
        <v/>
      </c>
      <c r="L122" s="120" t="str">
        <f t="shared" ca="1" si="35"/>
        <v/>
      </c>
      <c r="M122" s="122" t="str">
        <f t="shared" ca="1" si="36"/>
        <v/>
      </c>
      <c r="N122" s="70" t="str">
        <f t="shared" ca="1" si="37"/>
        <v/>
      </c>
      <c r="O122" s="120" t="str">
        <f t="shared" ca="1" si="38"/>
        <v/>
      </c>
    </row>
    <row r="123" spans="1:15" ht="16.5" customHeight="1">
      <c r="A123" s="47">
        <v>26</v>
      </c>
      <c r="B123" s="130" t="str">
        <f>HYPERLINK("#'" &amp; TEXT(투자전략!$G$1+25, "[$-ko-KR]yyyy.mm.dd") &amp; "'!A67:O91", TEXT(투자전략!$G$1+25, "[$-ko-KR]yyyy.mm.dd"))</f>
        <v>2023.03.26</v>
      </c>
      <c r="C123" s="118" t="str">
        <f t="shared" ca="1" si="26"/>
        <v/>
      </c>
      <c r="D123" s="122" t="str">
        <f t="shared" ca="1" si="27"/>
        <v/>
      </c>
      <c r="E123" s="70" t="str">
        <f t="shared" ca="1" si="28"/>
        <v/>
      </c>
      <c r="F123" s="120" t="str">
        <f t="shared" ca="1" si="29"/>
        <v/>
      </c>
      <c r="G123" s="122" t="str">
        <f t="shared" ca="1" si="30"/>
        <v/>
      </c>
      <c r="H123" s="70" t="str">
        <f t="shared" ca="1" si="31"/>
        <v/>
      </c>
      <c r="I123" s="120" t="str">
        <f t="shared" ca="1" si="32"/>
        <v/>
      </c>
      <c r="J123" s="122" t="str">
        <f t="shared" ca="1" si="33"/>
        <v/>
      </c>
      <c r="K123" s="70" t="str">
        <f t="shared" ca="1" si="34"/>
        <v/>
      </c>
      <c r="L123" s="120" t="str">
        <f t="shared" ca="1" si="35"/>
        <v/>
      </c>
      <c r="M123" s="122" t="str">
        <f t="shared" ca="1" si="36"/>
        <v/>
      </c>
      <c r="N123" s="70" t="str">
        <f t="shared" ca="1" si="37"/>
        <v/>
      </c>
      <c r="O123" s="120" t="str">
        <f t="shared" ca="1" si="38"/>
        <v/>
      </c>
    </row>
    <row r="124" spans="1:15" ht="16.5" customHeight="1">
      <c r="A124" s="47">
        <v>27</v>
      </c>
      <c r="B124" s="130" t="str">
        <f>HYPERLINK("#'" &amp; TEXT(투자전략!$G$1+26, "[$-ko-KR]yyyy.mm.dd") &amp; "'!A67:O91", TEXT(투자전략!$G$1+26, "[$-ko-KR]yyyy.mm.dd"))</f>
        <v>2023.03.27</v>
      </c>
      <c r="C124" s="118" t="str">
        <f t="shared" ca="1" si="26"/>
        <v/>
      </c>
      <c r="D124" s="122" t="str">
        <f t="shared" ca="1" si="27"/>
        <v/>
      </c>
      <c r="E124" s="70" t="str">
        <f t="shared" ca="1" si="28"/>
        <v/>
      </c>
      <c r="F124" s="120" t="str">
        <f t="shared" ca="1" si="29"/>
        <v/>
      </c>
      <c r="G124" s="122" t="str">
        <f t="shared" ca="1" si="30"/>
        <v/>
      </c>
      <c r="H124" s="70" t="str">
        <f t="shared" ca="1" si="31"/>
        <v/>
      </c>
      <c r="I124" s="120" t="str">
        <f t="shared" ca="1" si="32"/>
        <v/>
      </c>
      <c r="J124" s="122" t="str">
        <f t="shared" ca="1" si="33"/>
        <v/>
      </c>
      <c r="K124" s="70" t="str">
        <f t="shared" ca="1" si="34"/>
        <v/>
      </c>
      <c r="L124" s="120" t="str">
        <f t="shared" ca="1" si="35"/>
        <v/>
      </c>
      <c r="M124" s="122" t="str">
        <f t="shared" ca="1" si="36"/>
        <v/>
      </c>
      <c r="N124" s="70" t="str">
        <f t="shared" ca="1" si="37"/>
        <v/>
      </c>
      <c r="O124" s="120" t="str">
        <f t="shared" ca="1" si="38"/>
        <v/>
      </c>
    </row>
    <row r="125" spans="1:15" ht="16.5" customHeight="1" thickBot="1">
      <c r="A125" s="48">
        <v>28</v>
      </c>
      <c r="B125" s="131" t="str">
        <f>HYPERLINK("#'" &amp; TEXT(투자전략!$G$1+27, "[$-ko-KR]yyyy.mm.dd") &amp; "'!A67:O91", TEXT(투자전략!$G$1+27, "[$-ko-KR]yyyy.mm.dd"))</f>
        <v>2023.03.28</v>
      </c>
      <c r="C125" s="119" t="str">
        <f t="shared" ca="1" si="26"/>
        <v/>
      </c>
      <c r="D125" s="123" t="str">
        <f t="shared" ca="1" si="27"/>
        <v/>
      </c>
      <c r="E125" s="72" t="str">
        <f t="shared" ca="1" si="28"/>
        <v/>
      </c>
      <c r="F125" s="121" t="str">
        <f t="shared" ca="1" si="29"/>
        <v/>
      </c>
      <c r="G125" s="123" t="str">
        <f t="shared" ca="1" si="30"/>
        <v/>
      </c>
      <c r="H125" s="72" t="str">
        <f t="shared" ca="1" si="31"/>
        <v/>
      </c>
      <c r="I125" s="121" t="str">
        <f t="shared" ca="1" si="32"/>
        <v/>
      </c>
      <c r="J125" s="123" t="str">
        <f t="shared" ca="1" si="33"/>
        <v/>
      </c>
      <c r="K125" s="72" t="str">
        <f t="shared" ca="1" si="34"/>
        <v/>
      </c>
      <c r="L125" s="121" t="str">
        <f t="shared" ca="1" si="35"/>
        <v/>
      </c>
      <c r="M125" s="123" t="str">
        <f t="shared" ca="1" si="36"/>
        <v/>
      </c>
      <c r="N125" s="72" t="str">
        <f t="shared" ca="1" si="37"/>
        <v/>
      </c>
      <c r="O125" s="121" t="str">
        <f t="shared" ca="1" si="38"/>
        <v/>
      </c>
    </row>
    <row r="126" spans="1:15" ht="16.5" customHeight="1">
      <c r="A126" s="105">
        <v>29</v>
      </c>
      <c r="B126" s="129" t="str">
        <f>HYPERLINK("#'" &amp; TEXT(투자전략!$G$1+28, "[$-ko-KR]yyyy.mm.dd") &amp; "'!A67:O91", TEXT(투자전략!$G$1+28, "[$-ko-KR]yyyy.mm.dd"))</f>
        <v>2023.03.29</v>
      </c>
      <c r="C126" s="118" t="str">
        <f t="shared" ca="1" si="26"/>
        <v/>
      </c>
      <c r="D126" s="122" t="str">
        <f t="shared" ca="1" si="27"/>
        <v/>
      </c>
      <c r="E126" s="70" t="str">
        <f t="shared" ca="1" si="28"/>
        <v/>
      </c>
      <c r="F126" s="120" t="str">
        <f t="shared" ca="1" si="29"/>
        <v/>
      </c>
      <c r="G126" s="122" t="str">
        <f t="shared" ca="1" si="30"/>
        <v/>
      </c>
      <c r="H126" s="70" t="str">
        <f t="shared" ca="1" si="31"/>
        <v/>
      </c>
      <c r="I126" s="120" t="str">
        <f t="shared" ca="1" si="32"/>
        <v/>
      </c>
      <c r="J126" s="122" t="str">
        <f t="shared" ca="1" si="33"/>
        <v/>
      </c>
      <c r="K126" s="70" t="str">
        <f t="shared" ca="1" si="34"/>
        <v/>
      </c>
      <c r="L126" s="120" t="str">
        <f t="shared" ca="1" si="35"/>
        <v/>
      </c>
      <c r="M126" s="122" t="str">
        <f t="shared" ca="1" si="36"/>
        <v/>
      </c>
      <c r="N126" s="70" t="str">
        <f t="shared" ca="1" si="37"/>
        <v/>
      </c>
      <c r="O126" s="120" t="str">
        <f t="shared" ca="1" si="38"/>
        <v/>
      </c>
    </row>
    <row r="127" spans="1:15" ht="16.5" customHeight="1">
      <c r="A127" s="105">
        <v>30</v>
      </c>
      <c r="B127" s="130" t="str">
        <f>HYPERLINK("#'" &amp; TEXT(투자전략!$G$1+29, "[$-ko-KR]yyyy.mm.dd") &amp; "'!A67:O91", TEXT(투자전략!$G$1+29, "[$-ko-KR]yyyy.mm.dd"))</f>
        <v>2023.03.30</v>
      </c>
      <c r="C127" s="118" t="str">
        <f t="shared" ca="1" si="26"/>
        <v/>
      </c>
      <c r="D127" s="122" t="str">
        <f t="shared" ca="1" si="27"/>
        <v/>
      </c>
      <c r="E127" s="70" t="str">
        <f t="shared" ca="1" si="28"/>
        <v/>
      </c>
      <c r="F127" s="120" t="str">
        <f t="shared" ca="1" si="29"/>
        <v/>
      </c>
      <c r="G127" s="122" t="str">
        <f t="shared" ca="1" si="30"/>
        <v/>
      </c>
      <c r="H127" s="70" t="str">
        <f t="shared" ca="1" si="31"/>
        <v/>
      </c>
      <c r="I127" s="120" t="str">
        <f t="shared" ca="1" si="32"/>
        <v/>
      </c>
      <c r="J127" s="122" t="str">
        <f t="shared" ca="1" si="33"/>
        <v/>
      </c>
      <c r="K127" s="70" t="str">
        <f t="shared" ca="1" si="34"/>
        <v/>
      </c>
      <c r="L127" s="120" t="str">
        <f t="shared" ca="1" si="35"/>
        <v/>
      </c>
      <c r="M127" s="122" t="str">
        <f t="shared" ca="1" si="36"/>
        <v/>
      </c>
      <c r="N127" s="70" t="str">
        <f t="shared" ca="1" si="37"/>
        <v/>
      </c>
      <c r="O127" s="120" t="str">
        <f t="shared" ca="1" si="38"/>
        <v/>
      </c>
    </row>
    <row r="128" spans="1:15" ht="16.5" customHeight="1" thickBot="1">
      <c r="A128" s="105">
        <v>31</v>
      </c>
      <c r="B128" s="130" t="str">
        <f>HYPERLINK("#'" &amp; TEXT(투자전략!$G$1+30, "[$-ko-KR]yyyy.mm.dd") &amp; "'!A67:O91", TEXT(투자전략!$G$1+30, "[$-ko-KR]yyyy.mm.dd"))</f>
        <v>2023.03.31</v>
      </c>
      <c r="C128" s="119" t="str">
        <f t="shared" ca="1" si="26"/>
        <v/>
      </c>
      <c r="D128" s="123" t="str">
        <f t="shared" ca="1" si="27"/>
        <v/>
      </c>
      <c r="E128" s="72" t="str">
        <f t="shared" ca="1" si="28"/>
        <v/>
      </c>
      <c r="F128" s="121" t="str">
        <f t="shared" ca="1" si="29"/>
        <v/>
      </c>
      <c r="G128" s="123" t="str">
        <f t="shared" ca="1" si="30"/>
        <v/>
      </c>
      <c r="H128" s="72" t="str">
        <f t="shared" ca="1" si="31"/>
        <v/>
      </c>
      <c r="I128" s="121" t="str">
        <f t="shared" ca="1" si="32"/>
        <v/>
      </c>
      <c r="J128" s="123" t="str">
        <f t="shared" ca="1" si="33"/>
        <v/>
      </c>
      <c r="K128" s="72" t="str">
        <f t="shared" ca="1" si="34"/>
        <v/>
      </c>
      <c r="L128" s="121" t="str">
        <f t="shared" ca="1" si="35"/>
        <v/>
      </c>
      <c r="M128" s="123" t="str">
        <f t="shared" ca="1" si="36"/>
        <v/>
      </c>
      <c r="N128" s="72" t="str">
        <f t="shared" ca="1" si="37"/>
        <v/>
      </c>
      <c r="O128" s="121" t="str">
        <f t="shared" ca="1" si="38"/>
        <v/>
      </c>
    </row>
    <row r="129" spans="1:15" ht="16.5" customHeight="1" thickBot="1">
      <c r="A129" s="185" t="s">
        <v>270</v>
      </c>
      <c r="B129" s="187"/>
      <c r="C129" s="116" t="s">
        <v>265</v>
      </c>
      <c r="D129" s="9" t="s">
        <v>266</v>
      </c>
      <c r="E129" s="63" t="s">
        <v>267</v>
      </c>
      <c r="F129" s="64" t="s">
        <v>268</v>
      </c>
      <c r="G129" s="9" t="s">
        <v>266</v>
      </c>
      <c r="H129" s="63" t="s">
        <v>267</v>
      </c>
      <c r="I129" s="64" t="s">
        <v>268</v>
      </c>
      <c r="J129" s="9" t="s">
        <v>266</v>
      </c>
      <c r="K129" s="63" t="s">
        <v>267</v>
      </c>
      <c r="L129" s="64" t="s">
        <v>268</v>
      </c>
      <c r="M129" s="9" t="s">
        <v>266</v>
      </c>
      <c r="N129" s="63" t="s">
        <v>267</v>
      </c>
      <c r="O129" s="64" t="s">
        <v>268</v>
      </c>
    </row>
    <row r="130" spans="1:15" ht="16.5" customHeight="1" thickBot="1">
      <c r="A130" s="178"/>
      <c r="B130" s="180"/>
      <c r="C130" s="119">
        <f ca="1">SUM(C98:C128)</f>
        <v>36000000</v>
      </c>
      <c r="D130" s="123">
        <f ca="1">SUM(D98:D128)</f>
        <v>36062332.343635097</v>
      </c>
      <c r="E130" s="72">
        <f ca="1">IFERROR(F130 / (SUM($C98:$C128) / COUNT($C98:$C128)), 0)</f>
        <v>2.0777447878368372E-2</v>
      </c>
      <c r="F130" s="121">
        <f ca="1">SUM(F98:F128)</f>
        <v>62332.34363510512</v>
      </c>
      <c r="G130" s="123">
        <f ca="1">SUM(G98:G128)</f>
        <v>35650967.422164753</v>
      </c>
      <c r="H130" s="72">
        <f ca="1">IFERROR(I130 / (SUM($C98:$C128) / COUNT($C98:$C128)), 0)</f>
        <v>-0.11634419261174948</v>
      </c>
      <c r="I130" s="121">
        <f ca="1">SUM(I98:I128)</f>
        <v>-349032.57783524843</v>
      </c>
      <c r="J130" s="123">
        <f ca="1">SUM(J98:J128)</f>
        <v>35677447.135315485</v>
      </c>
      <c r="K130" s="72">
        <f ca="1">IFERROR(L130 / (SUM($C98:$C128) / COUNT($C98:$C128)), 0)</f>
        <v>-0.10751762156150317</v>
      </c>
      <c r="L130" s="121">
        <f ca="1">SUM(L98:L128)</f>
        <v>-322552.86468450952</v>
      </c>
      <c r="M130" s="123">
        <f ca="1">SUM(M98:M128)</f>
        <v>35812960.466511041</v>
      </c>
      <c r="N130" s="72">
        <f ca="1">IFERROR(O130 / (SUM($C98:$C128) / COUNT($C98:$C128)), 0)</f>
        <v>-6.234651116298532E-2</v>
      </c>
      <c r="O130" s="121">
        <f ca="1">SUM(O98:O128)</f>
        <v>-187039.53348895596</v>
      </c>
    </row>
    <row r="132" spans="1:15" ht="16.5" customHeight="1" thickBot="1"/>
    <row r="133" spans="1:15" ht="16.5" customHeight="1" thickBot="1">
      <c r="A133" s="157" t="str">
        <f>TEXT(투자전략!$G$1, "[$-ko-KR]yyyy년 mm월 ") &amp; "전일대비 상승률 Top20 월말결산"</f>
        <v>2023년 03월 전일대비 상승률 Top20 월말결산</v>
      </c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9"/>
    </row>
    <row r="134" spans="1:15" ht="16.5" customHeight="1" thickBot="1">
      <c r="A134" s="201" t="s">
        <v>271</v>
      </c>
      <c r="B134" s="178" t="s">
        <v>269</v>
      </c>
      <c r="C134" s="180"/>
      <c r="D134" s="178" t="s">
        <v>261</v>
      </c>
      <c r="E134" s="179"/>
      <c r="F134" s="180"/>
      <c r="G134" s="178" t="s">
        <v>262</v>
      </c>
      <c r="H134" s="179"/>
      <c r="I134" s="180"/>
      <c r="J134" s="178" t="s">
        <v>263</v>
      </c>
      <c r="K134" s="179"/>
      <c r="L134" s="180"/>
      <c r="M134" s="178" t="s">
        <v>264</v>
      </c>
      <c r="N134" s="179"/>
      <c r="O134" s="180"/>
    </row>
    <row r="135" spans="1:15" ht="16.5" customHeight="1" thickBot="1">
      <c r="A135" s="194"/>
      <c r="B135" s="46" t="s">
        <v>259</v>
      </c>
      <c r="C135" s="46" t="s">
        <v>42</v>
      </c>
      <c r="D135" s="105" t="s">
        <v>260</v>
      </c>
      <c r="E135" s="106" t="s">
        <v>40</v>
      </c>
      <c r="F135" s="81" t="s">
        <v>41</v>
      </c>
      <c r="G135" s="105" t="s">
        <v>260</v>
      </c>
      <c r="H135" s="106" t="s">
        <v>40</v>
      </c>
      <c r="I135" s="81" t="s">
        <v>41</v>
      </c>
      <c r="J135" s="105" t="s">
        <v>260</v>
      </c>
      <c r="K135" s="106" t="s">
        <v>40</v>
      </c>
      <c r="L135" s="81" t="s">
        <v>41</v>
      </c>
      <c r="M135" s="105" t="s">
        <v>260</v>
      </c>
      <c r="N135" s="106" t="s">
        <v>40</v>
      </c>
      <c r="O135" s="81" t="s">
        <v>41</v>
      </c>
    </row>
    <row r="136" spans="1:15" ht="16.5" customHeight="1">
      <c r="A136" s="46">
        <v>1</v>
      </c>
      <c r="B136" s="129" t="str">
        <f>HYPERLINK("#'" &amp; TEXT(투자전략!$G$1+0, "[$-ko-KR]yyyy.mm.dd") &amp; "'!A94:O118", TEXT(투자전략!$G$1+0, "[$-ko-KR]yyyy.mm.dd"))</f>
        <v>2023.03.01</v>
      </c>
      <c r="C136" s="117">
        <f ca="1">IFERROR(COUNTA(INDIRECT($B136&amp;"!A98:A117")) * INDIRECT($B136&amp;"!B118"), "")</f>
        <v>3000000</v>
      </c>
      <c r="D136" s="125">
        <f ca="1">IFERROR($C136 * (1 + E136), "")</f>
        <v>3000000</v>
      </c>
      <c r="E136" s="69">
        <f ca="1">IFERROR(INDIRECT($B136&amp;"!E118"), "")</f>
        <v>0</v>
      </c>
      <c r="F136" s="124">
        <f ca="1">IFERROR(INDIRECT($B136&amp;"!F118"), "")</f>
        <v>0</v>
      </c>
      <c r="G136" s="125">
        <f ca="1">IFERROR($C136 * (1 + H136), "")</f>
        <v>3000000</v>
      </c>
      <c r="H136" s="69">
        <f ca="1">IFERROR(INDIRECT($B136&amp;"!H118"), "")</f>
        <v>0</v>
      </c>
      <c r="I136" s="124">
        <f ca="1">IFERROR(INDIRECT($B136&amp;"!I118"), "")</f>
        <v>0</v>
      </c>
      <c r="J136" s="125">
        <f ca="1">IFERROR($C136 * (1 + K136), "")</f>
        <v>3000000</v>
      </c>
      <c r="K136" s="69">
        <f ca="1">IFERROR(INDIRECT($B136&amp;"!K118"), "")</f>
        <v>0</v>
      </c>
      <c r="L136" s="124">
        <f ca="1">IFERROR(INDIRECT($B136&amp;"!L118"), "")</f>
        <v>0</v>
      </c>
      <c r="M136" s="125">
        <f ca="1">IFERROR($C136 * (1 + N136), "")</f>
        <v>3000000</v>
      </c>
      <c r="N136" s="69">
        <f ca="1">IFERROR(INDIRECT($B136&amp;"!N118"), "")</f>
        <v>0</v>
      </c>
      <c r="O136" s="124">
        <f ca="1">IFERROR(INDIRECT($B136&amp;"!O118"), "")</f>
        <v>0</v>
      </c>
    </row>
    <row r="137" spans="1:15" ht="16.5" customHeight="1">
      <c r="A137" s="47">
        <v>2</v>
      </c>
      <c r="B137" s="130" t="str">
        <f>HYPERLINK("#'" &amp; TEXT(투자전략!$G$1+1, "[$-ko-KR]yyyy.mm.dd") &amp; "'!A94:O118", TEXT(투자전략!$G$1+1, "[$-ko-KR]yyyy.mm.dd"))</f>
        <v>2023.03.02</v>
      </c>
      <c r="C137" s="118" t="str">
        <f t="shared" ref="C137:C166" ca="1" si="39">IFERROR(COUNTA(INDIRECT($B137&amp;"!A98:A117")) * INDIRECT($B137&amp;"!B118"), "")</f>
        <v/>
      </c>
      <c r="D137" s="122" t="str">
        <f t="shared" ref="D137:D166" ca="1" si="40">IFERROR($C137 * (1 + E137), "")</f>
        <v/>
      </c>
      <c r="E137" s="70" t="str">
        <f t="shared" ref="E137:E166" ca="1" si="41">IFERROR(INDIRECT($B137&amp;"!E118"), "")</f>
        <v/>
      </c>
      <c r="F137" s="120" t="str">
        <f t="shared" ref="F137:F166" ca="1" si="42">IFERROR(INDIRECT($B137&amp;"!F118"), "")</f>
        <v/>
      </c>
      <c r="G137" s="122" t="str">
        <f t="shared" ref="G137:G166" ca="1" si="43">IFERROR($C137 * (1 + H137), "")</f>
        <v/>
      </c>
      <c r="H137" s="70" t="str">
        <f t="shared" ref="H137:H166" ca="1" si="44">IFERROR(INDIRECT($B137&amp;"!H118"), "")</f>
        <v/>
      </c>
      <c r="I137" s="120" t="str">
        <f t="shared" ref="I137:I166" ca="1" si="45">IFERROR(INDIRECT($B137&amp;"!I118"), "")</f>
        <v/>
      </c>
      <c r="J137" s="122" t="str">
        <f t="shared" ref="J137:J166" ca="1" si="46">IFERROR($C137 * (1 + K137), "")</f>
        <v/>
      </c>
      <c r="K137" s="70" t="str">
        <f t="shared" ref="K137:K166" ca="1" si="47">IFERROR(INDIRECT($B137&amp;"!K118"), "")</f>
        <v/>
      </c>
      <c r="L137" s="120" t="str">
        <f t="shared" ref="L137:L166" ca="1" si="48">IFERROR(INDIRECT($B137&amp;"!L118"), "")</f>
        <v/>
      </c>
      <c r="M137" s="122" t="str">
        <f t="shared" ref="M137:M166" ca="1" si="49">IFERROR($C137 * (1 + N137), "")</f>
        <v/>
      </c>
      <c r="N137" s="70" t="str">
        <f t="shared" ref="N137:N166" ca="1" si="50">IFERROR(INDIRECT($B137&amp;"!N118"), "")</f>
        <v/>
      </c>
      <c r="O137" s="120" t="str">
        <f t="shared" ref="O137:O166" ca="1" si="51">IFERROR(INDIRECT($B137&amp;"!O118"), "")</f>
        <v/>
      </c>
    </row>
    <row r="138" spans="1:15" ht="16.5" customHeight="1">
      <c r="A138" s="47">
        <v>3</v>
      </c>
      <c r="B138" s="130" t="str">
        <f>HYPERLINK("#'" &amp; TEXT(투자전략!$G$1+2, "[$-ko-KR]yyyy.mm.dd") &amp; "'!A94:O118", TEXT(투자전략!$G$1+2, "[$-ko-KR]yyyy.mm.dd"))</f>
        <v>2023.03.03</v>
      </c>
      <c r="C138" s="118" t="str">
        <f t="shared" ca="1" si="39"/>
        <v/>
      </c>
      <c r="D138" s="122" t="str">
        <f t="shared" ca="1" si="40"/>
        <v/>
      </c>
      <c r="E138" s="70" t="str">
        <f t="shared" ca="1" si="41"/>
        <v/>
      </c>
      <c r="F138" s="120" t="str">
        <f t="shared" ca="1" si="42"/>
        <v/>
      </c>
      <c r="G138" s="122" t="str">
        <f t="shared" ca="1" si="43"/>
        <v/>
      </c>
      <c r="H138" s="70" t="str">
        <f t="shared" ca="1" si="44"/>
        <v/>
      </c>
      <c r="I138" s="120" t="str">
        <f t="shared" ca="1" si="45"/>
        <v/>
      </c>
      <c r="J138" s="122" t="str">
        <f t="shared" ca="1" si="46"/>
        <v/>
      </c>
      <c r="K138" s="70" t="str">
        <f t="shared" ca="1" si="47"/>
        <v/>
      </c>
      <c r="L138" s="120" t="str">
        <f t="shared" ca="1" si="48"/>
        <v/>
      </c>
      <c r="M138" s="122" t="str">
        <f t="shared" ca="1" si="49"/>
        <v/>
      </c>
      <c r="N138" s="70" t="str">
        <f t="shared" ca="1" si="50"/>
        <v/>
      </c>
      <c r="O138" s="120" t="str">
        <f t="shared" ca="1" si="51"/>
        <v/>
      </c>
    </row>
    <row r="139" spans="1:15" ht="16.5" customHeight="1">
      <c r="A139" s="47">
        <v>4</v>
      </c>
      <c r="B139" s="130" t="str">
        <f>HYPERLINK("#'" &amp; TEXT(투자전략!$G$1+3, "[$-ko-KR]yyyy.mm.dd") &amp; "'!A94:O118", TEXT(투자전략!$G$1+3, "[$-ko-KR]yyyy.mm.dd"))</f>
        <v>2023.03.04</v>
      </c>
      <c r="C139" s="118" t="str">
        <f t="shared" ca="1" si="39"/>
        <v/>
      </c>
      <c r="D139" s="122" t="str">
        <f t="shared" ca="1" si="40"/>
        <v/>
      </c>
      <c r="E139" s="70" t="str">
        <f t="shared" ca="1" si="41"/>
        <v/>
      </c>
      <c r="F139" s="120" t="str">
        <f t="shared" ca="1" si="42"/>
        <v/>
      </c>
      <c r="G139" s="122" t="str">
        <f t="shared" ca="1" si="43"/>
        <v/>
      </c>
      <c r="H139" s="70" t="str">
        <f t="shared" ca="1" si="44"/>
        <v/>
      </c>
      <c r="I139" s="120" t="str">
        <f t="shared" ca="1" si="45"/>
        <v/>
      </c>
      <c r="J139" s="122" t="str">
        <f t="shared" ca="1" si="46"/>
        <v/>
      </c>
      <c r="K139" s="70" t="str">
        <f t="shared" ca="1" si="47"/>
        <v/>
      </c>
      <c r="L139" s="120" t="str">
        <f t="shared" ca="1" si="48"/>
        <v/>
      </c>
      <c r="M139" s="122" t="str">
        <f t="shared" ca="1" si="49"/>
        <v/>
      </c>
      <c r="N139" s="70" t="str">
        <f t="shared" ca="1" si="50"/>
        <v/>
      </c>
      <c r="O139" s="120" t="str">
        <f t="shared" ca="1" si="51"/>
        <v/>
      </c>
    </row>
    <row r="140" spans="1:15" ht="16.5" customHeight="1">
      <c r="A140" s="47">
        <v>5</v>
      </c>
      <c r="B140" s="130" t="str">
        <f>HYPERLINK("#'" &amp; TEXT(투자전략!$G$1+4, "[$-ko-KR]yyyy.mm.dd") &amp; "'!A94:O118", TEXT(투자전략!$G$1+4, "[$-ko-KR]yyyy.mm.dd"))</f>
        <v>2023.03.05</v>
      </c>
      <c r="C140" s="118" t="str">
        <f t="shared" ca="1" si="39"/>
        <v/>
      </c>
      <c r="D140" s="122" t="str">
        <f t="shared" ca="1" si="40"/>
        <v/>
      </c>
      <c r="E140" s="70" t="str">
        <f t="shared" ca="1" si="41"/>
        <v/>
      </c>
      <c r="F140" s="120" t="str">
        <f t="shared" ca="1" si="42"/>
        <v/>
      </c>
      <c r="G140" s="122" t="str">
        <f t="shared" ca="1" si="43"/>
        <v/>
      </c>
      <c r="H140" s="70" t="str">
        <f t="shared" ca="1" si="44"/>
        <v/>
      </c>
      <c r="I140" s="120" t="str">
        <f t="shared" ca="1" si="45"/>
        <v/>
      </c>
      <c r="J140" s="122" t="str">
        <f t="shared" ca="1" si="46"/>
        <v/>
      </c>
      <c r="K140" s="70" t="str">
        <f t="shared" ca="1" si="47"/>
        <v/>
      </c>
      <c r="L140" s="120" t="str">
        <f t="shared" ca="1" si="48"/>
        <v/>
      </c>
      <c r="M140" s="122" t="str">
        <f t="shared" ca="1" si="49"/>
        <v/>
      </c>
      <c r="N140" s="70" t="str">
        <f t="shared" ca="1" si="50"/>
        <v/>
      </c>
      <c r="O140" s="120" t="str">
        <f t="shared" ca="1" si="51"/>
        <v/>
      </c>
    </row>
    <row r="141" spans="1:15" ht="16.5" customHeight="1">
      <c r="A141" s="47">
        <v>6</v>
      </c>
      <c r="B141" s="130" t="str">
        <f>HYPERLINK("#'" &amp; TEXT(투자전략!$G$1+5, "[$-ko-KR]yyyy.mm.dd") &amp; "'!A94:O118", TEXT(투자전략!$G$1+5, "[$-ko-KR]yyyy.mm.dd"))</f>
        <v>2023.03.06</v>
      </c>
      <c r="C141" s="118" t="str">
        <f t="shared" ca="1" si="39"/>
        <v/>
      </c>
      <c r="D141" s="122" t="str">
        <f t="shared" ca="1" si="40"/>
        <v/>
      </c>
      <c r="E141" s="70" t="str">
        <f t="shared" ca="1" si="41"/>
        <v/>
      </c>
      <c r="F141" s="120" t="str">
        <f t="shared" ca="1" si="42"/>
        <v/>
      </c>
      <c r="G141" s="122" t="str">
        <f t="shared" ca="1" si="43"/>
        <v/>
      </c>
      <c r="H141" s="70" t="str">
        <f t="shared" ca="1" si="44"/>
        <v/>
      </c>
      <c r="I141" s="120" t="str">
        <f t="shared" ca="1" si="45"/>
        <v/>
      </c>
      <c r="J141" s="122" t="str">
        <f t="shared" ca="1" si="46"/>
        <v/>
      </c>
      <c r="K141" s="70" t="str">
        <f t="shared" ca="1" si="47"/>
        <v/>
      </c>
      <c r="L141" s="120" t="str">
        <f t="shared" ca="1" si="48"/>
        <v/>
      </c>
      <c r="M141" s="122" t="str">
        <f t="shared" ca="1" si="49"/>
        <v/>
      </c>
      <c r="N141" s="70" t="str">
        <f t="shared" ca="1" si="50"/>
        <v/>
      </c>
      <c r="O141" s="120" t="str">
        <f t="shared" ca="1" si="51"/>
        <v/>
      </c>
    </row>
    <row r="142" spans="1:15" ht="16.5" customHeight="1" thickBot="1">
      <c r="A142" s="48">
        <v>7</v>
      </c>
      <c r="B142" s="131" t="str">
        <f>HYPERLINK("#'" &amp; TEXT(투자전략!$G$1+6, "[$-ko-KR]yyyy.mm.dd") &amp; "'!A94:O118", TEXT(투자전략!$G$1+6, "[$-ko-KR]yyyy.mm.dd"))</f>
        <v>2023.03.07</v>
      </c>
      <c r="C142" s="118">
        <f t="shared" ca="1" si="39"/>
        <v>3000000</v>
      </c>
      <c r="D142" s="122">
        <f t="shared" ca="1" si="40"/>
        <v>3000000</v>
      </c>
      <c r="E142" s="70">
        <f t="shared" ca="1" si="41"/>
        <v>0</v>
      </c>
      <c r="F142" s="120">
        <f t="shared" ca="1" si="42"/>
        <v>0</v>
      </c>
      <c r="G142" s="122">
        <f t="shared" ca="1" si="43"/>
        <v>2966993.6447907719</v>
      </c>
      <c r="H142" s="70">
        <f t="shared" ca="1" si="44"/>
        <v>-1.100211840307602E-2</v>
      </c>
      <c r="I142" s="120">
        <f t="shared" ca="1" si="45"/>
        <v>-33006.355209228059</v>
      </c>
      <c r="J142" s="122">
        <f t="shared" ca="1" si="46"/>
        <v>2973885.8990455493</v>
      </c>
      <c r="K142" s="70">
        <f t="shared" ca="1" si="47"/>
        <v>-8.7047003181501582E-3</v>
      </c>
      <c r="L142" s="120">
        <f t="shared" ca="1" si="48"/>
        <v>-26114.10095445047</v>
      </c>
      <c r="M142" s="122">
        <f t="shared" ca="1" si="49"/>
        <v>2940953.1749382475</v>
      </c>
      <c r="N142" s="70">
        <f t="shared" ca="1" si="50"/>
        <v>-1.9682275020584179E-2</v>
      </c>
      <c r="O142" s="120">
        <f t="shared" ca="1" si="51"/>
        <v>-59046.825061752541</v>
      </c>
    </row>
    <row r="143" spans="1:15" ht="16.5" customHeight="1">
      <c r="A143" s="46">
        <v>8</v>
      </c>
      <c r="B143" s="129" t="str">
        <f>HYPERLINK("#'" &amp; TEXT(투자전략!$G$1+7, "[$-ko-KR]yyyy.mm.dd") &amp; "'!A94:O118", TEXT(투자전략!$G$1+7, "[$-ko-KR]yyyy.mm.dd"))</f>
        <v>2023.03.08</v>
      </c>
      <c r="C143" s="117">
        <f t="shared" ca="1" si="39"/>
        <v>3000000</v>
      </c>
      <c r="D143" s="125">
        <f t="shared" ca="1" si="40"/>
        <v>2984177.5959785702</v>
      </c>
      <c r="E143" s="69">
        <f t="shared" ca="1" si="41"/>
        <v>-5.2741346738098506E-3</v>
      </c>
      <c r="F143" s="124">
        <f t="shared" ca="1" si="42"/>
        <v>-15822.404021429549</v>
      </c>
      <c r="G143" s="125">
        <f t="shared" ca="1" si="43"/>
        <v>2947475.8774964567</v>
      </c>
      <c r="H143" s="69">
        <f t="shared" ca="1" si="44"/>
        <v>-1.7508040834514418E-2</v>
      </c>
      <c r="I143" s="124">
        <f t="shared" ca="1" si="45"/>
        <v>-52524.122503543265</v>
      </c>
      <c r="J143" s="125">
        <f t="shared" ca="1" si="46"/>
        <v>2955893.6427243166</v>
      </c>
      <c r="K143" s="69">
        <f t="shared" ca="1" si="47"/>
        <v>-1.4702119091894453E-2</v>
      </c>
      <c r="L143" s="124">
        <f t="shared" ca="1" si="48"/>
        <v>-44106.357275683346</v>
      </c>
      <c r="M143" s="125">
        <f t="shared" ca="1" si="49"/>
        <v>2920889.9646505471</v>
      </c>
      <c r="N143" s="69">
        <f t="shared" ca="1" si="50"/>
        <v>-2.6370011783151053E-2</v>
      </c>
      <c r="O143" s="124">
        <f t="shared" ca="1" si="51"/>
        <v>-79110.035349453174</v>
      </c>
    </row>
    <row r="144" spans="1:15" ht="16.5" customHeight="1">
      <c r="A144" s="47">
        <v>9</v>
      </c>
      <c r="B144" s="130" t="str">
        <f>HYPERLINK("#'" &amp; TEXT(투자전략!$G$1+8, "[$-ko-KR]yyyy.mm.dd") &amp; "'!A94:O118", TEXT(투자전략!$G$1+8, "[$-ko-KR]yyyy.mm.dd"))</f>
        <v>2023.03.09</v>
      </c>
      <c r="C144" s="118">
        <f t="shared" ca="1" si="39"/>
        <v>3000000</v>
      </c>
      <c r="D144" s="122">
        <f t="shared" ca="1" si="40"/>
        <v>2957004.374615341</v>
      </c>
      <c r="E144" s="70">
        <f t="shared" ca="1" si="41"/>
        <v>-1.4331875128219632E-2</v>
      </c>
      <c r="F144" s="120">
        <f t="shared" ca="1" si="42"/>
        <v>-42995.62538465891</v>
      </c>
      <c r="G144" s="122">
        <f t="shared" ca="1" si="43"/>
        <v>2945127.1281292145</v>
      </c>
      <c r="H144" s="70">
        <f t="shared" ca="1" si="44"/>
        <v>-1.8290957290261797E-2</v>
      </c>
      <c r="I144" s="120">
        <f t="shared" ca="1" si="45"/>
        <v>-54872.871870785406</v>
      </c>
      <c r="J144" s="122">
        <f t="shared" ca="1" si="46"/>
        <v>2957948.2963877171</v>
      </c>
      <c r="K144" s="70">
        <f t="shared" ca="1" si="47"/>
        <v>-1.4017234537427653E-2</v>
      </c>
      <c r="L144" s="120">
        <f t="shared" ca="1" si="48"/>
        <v>-42051.703612282952</v>
      </c>
      <c r="M144" s="122">
        <f t="shared" ca="1" si="49"/>
        <v>2969644.1372306258</v>
      </c>
      <c r="N144" s="70">
        <f t="shared" ca="1" si="50"/>
        <v>-1.0118620923124752E-2</v>
      </c>
      <c r="O144" s="120">
        <f t="shared" ca="1" si="51"/>
        <v>-30355.862769374253</v>
      </c>
    </row>
    <row r="145" spans="1:15" ht="16.5" customHeight="1">
      <c r="A145" s="47">
        <v>10</v>
      </c>
      <c r="B145" s="130" t="str">
        <f>HYPERLINK("#'" &amp; TEXT(투자전략!$G$1+9, "[$-ko-KR]yyyy.mm.dd") &amp; "'!A94:O118", TEXT(투자전략!$G$1+9, "[$-ko-KR]yyyy.mm.dd"))</f>
        <v>2023.03.10</v>
      </c>
      <c r="C145" s="118">
        <f t="shared" ca="1" si="39"/>
        <v>3000000</v>
      </c>
      <c r="D145" s="122">
        <f t="shared" ca="1" si="40"/>
        <v>2745718.0890369164</v>
      </c>
      <c r="E145" s="70">
        <f t="shared" ca="1" si="41"/>
        <v>-8.476063698769451E-2</v>
      </c>
      <c r="F145" s="120">
        <f t="shared" ca="1" si="42"/>
        <v>-254281.91096308356</v>
      </c>
      <c r="G145" s="122">
        <f t="shared" ca="1" si="43"/>
        <v>2685720.2436272893</v>
      </c>
      <c r="H145" s="70">
        <f t="shared" ca="1" si="44"/>
        <v>-0.1047599187909036</v>
      </c>
      <c r="I145" s="120">
        <f t="shared" ca="1" si="45"/>
        <v>-314279.75637271086</v>
      </c>
      <c r="J145" s="122">
        <f t="shared" ca="1" si="46"/>
        <v>2668121.0994499661</v>
      </c>
      <c r="K145" s="70">
        <f t="shared" ca="1" si="47"/>
        <v>-0.11062630018334467</v>
      </c>
      <c r="L145" s="120">
        <f t="shared" ca="1" si="48"/>
        <v>-331878.90055003407</v>
      </c>
      <c r="M145" s="122">
        <f t="shared" ca="1" si="49"/>
        <v>2699465.3141286965</v>
      </c>
      <c r="N145" s="70">
        <f t="shared" ca="1" si="50"/>
        <v>-0.10017822862376775</v>
      </c>
      <c r="O145" s="120">
        <f t="shared" ca="1" si="51"/>
        <v>-300534.68587130326</v>
      </c>
    </row>
    <row r="146" spans="1:15" ht="16.5" customHeight="1">
      <c r="A146" s="47">
        <v>11</v>
      </c>
      <c r="B146" s="130" t="str">
        <f>HYPERLINK("#'" &amp; TEXT(투자전략!$G$1+10, "[$-ko-KR]yyyy.mm.dd") &amp; "'!A94:O118", TEXT(투자전략!$G$1+10, "[$-ko-KR]yyyy.mm.dd"))</f>
        <v>2023.03.11</v>
      </c>
      <c r="C146" s="118">
        <f t="shared" ca="1" si="39"/>
        <v>3000000</v>
      </c>
      <c r="D146" s="122">
        <f t="shared" ca="1" si="40"/>
        <v>3058280.086040901</v>
      </c>
      <c r="E146" s="70">
        <f t="shared" ca="1" si="41"/>
        <v>1.9426695346966959E-2</v>
      </c>
      <c r="F146" s="120">
        <f t="shared" ca="1" si="42"/>
        <v>58280.086040900889</v>
      </c>
      <c r="G146" s="122">
        <f t="shared" ca="1" si="43"/>
        <v>2998927.3017716873</v>
      </c>
      <c r="H146" s="70">
        <f t="shared" ca="1" si="44"/>
        <v>-3.5756607610415133E-4</v>
      </c>
      <c r="I146" s="120">
        <f t="shared" ca="1" si="45"/>
        <v>-1072.6982283124564</v>
      </c>
      <c r="J146" s="122">
        <f t="shared" ca="1" si="46"/>
        <v>2970066.0706533482</v>
      </c>
      <c r="K146" s="70">
        <f t="shared" ca="1" si="47"/>
        <v>-9.9779764488838185E-3</v>
      </c>
      <c r="L146" s="120">
        <f t="shared" ca="1" si="48"/>
        <v>-29933.929346651468</v>
      </c>
      <c r="M146" s="122">
        <f t="shared" ca="1" si="49"/>
        <v>2961923.7858205573</v>
      </c>
      <c r="N146" s="70">
        <f t="shared" ca="1" si="50"/>
        <v>-1.2692071393147594E-2</v>
      </c>
      <c r="O146" s="120">
        <f t="shared" ca="1" si="51"/>
        <v>-38076.214179442795</v>
      </c>
    </row>
    <row r="147" spans="1:15" ht="16.5" customHeight="1">
      <c r="A147" s="47">
        <v>12</v>
      </c>
      <c r="B147" s="130" t="str">
        <f>HYPERLINK("#'" &amp; TEXT(투자전략!$G$1+11, "[$-ko-KR]yyyy.mm.dd") &amp; "'!A94:O118", TEXT(투자전략!$G$1+11, "[$-ko-KR]yyyy.mm.dd"))</f>
        <v>2023.03.12</v>
      </c>
      <c r="C147" s="118">
        <f t="shared" ca="1" si="39"/>
        <v>3000000</v>
      </c>
      <c r="D147" s="122">
        <f t="shared" ca="1" si="40"/>
        <v>3007031.1540753166</v>
      </c>
      <c r="E147" s="70">
        <f t="shared" ca="1" si="41"/>
        <v>2.3437180251055676E-3</v>
      </c>
      <c r="F147" s="120">
        <f t="shared" ca="1" si="42"/>
        <v>7031.154075316701</v>
      </c>
      <c r="G147" s="122">
        <f t="shared" ca="1" si="43"/>
        <v>2999900.9808033211</v>
      </c>
      <c r="H147" s="70">
        <f t="shared" ca="1" si="44"/>
        <v>-3.3006398892968666E-5</v>
      </c>
      <c r="I147" s="120">
        <f t="shared" ca="1" si="45"/>
        <v>-99.019196678905018</v>
      </c>
      <c r="J147" s="122">
        <f t="shared" ca="1" si="46"/>
        <v>3002704.156845022</v>
      </c>
      <c r="K147" s="70">
        <f t="shared" ca="1" si="47"/>
        <v>9.0138561500739797E-4</v>
      </c>
      <c r="L147" s="120">
        <f t="shared" ca="1" si="48"/>
        <v>2704.1568450221921</v>
      </c>
      <c r="M147" s="122">
        <f t="shared" ca="1" si="49"/>
        <v>2936603.0324078449</v>
      </c>
      <c r="N147" s="70">
        <f t="shared" ca="1" si="50"/>
        <v>-2.113232253071843E-2</v>
      </c>
      <c r="O147" s="120">
        <f t="shared" ca="1" si="51"/>
        <v>-63396.967592155284</v>
      </c>
    </row>
    <row r="148" spans="1:15" ht="16.5" customHeight="1">
      <c r="A148" s="47">
        <v>13</v>
      </c>
      <c r="B148" s="130" t="str">
        <f>HYPERLINK("#'" &amp; TEXT(투자전략!$G$1+12, "[$-ko-KR]yyyy.mm.dd") &amp; "'!A94:O118", TEXT(투자전략!$G$1+12, "[$-ko-KR]yyyy.mm.dd"))</f>
        <v>2023.03.13</v>
      </c>
      <c r="C148" s="118">
        <f t="shared" ca="1" si="39"/>
        <v>3000000</v>
      </c>
      <c r="D148" s="122">
        <f t="shared" ca="1" si="40"/>
        <v>3201050.7993284827</v>
      </c>
      <c r="E148" s="70">
        <f t="shared" ca="1" si="41"/>
        <v>6.7016933109494414E-2</v>
      </c>
      <c r="F148" s="120">
        <f t="shared" ca="1" si="42"/>
        <v>201050.79932848326</v>
      </c>
      <c r="G148" s="122">
        <f t="shared" ca="1" si="43"/>
        <v>3139472.8842815221</v>
      </c>
      <c r="H148" s="70">
        <f t="shared" ca="1" si="44"/>
        <v>4.6490961427174023E-2</v>
      </c>
      <c r="I148" s="120">
        <f t="shared" ca="1" si="45"/>
        <v>139472.88428152207</v>
      </c>
      <c r="J148" s="122">
        <f t="shared" ca="1" si="46"/>
        <v>3147891.3610840472</v>
      </c>
      <c r="K148" s="70">
        <f t="shared" ca="1" si="47"/>
        <v>4.9297120361348992E-2</v>
      </c>
      <c r="L148" s="120">
        <f t="shared" ca="1" si="48"/>
        <v>147891.36108404698</v>
      </c>
      <c r="M148" s="122">
        <f t="shared" ca="1" si="49"/>
        <v>3269684.9534356962</v>
      </c>
      <c r="N148" s="70">
        <f t="shared" ca="1" si="50"/>
        <v>8.9894984478565421E-2</v>
      </c>
      <c r="O148" s="120">
        <f t="shared" ca="1" si="51"/>
        <v>269684.9534356962</v>
      </c>
    </row>
    <row r="149" spans="1:15" ht="16.5" customHeight="1" thickBot="1">
      <c r="A149" s="48">
        <v>14</v>
      </c>
      <c r="B149" s="131" t="str">
        <f>HYPERLINK("#'" &amp; TEXT(투자전략!$G$1+13, "[$-ko-KR]yyyy.mm.dd") &amp; "'!A94:O118", TEXT(투자전략!$G$1+13, "[$-ko-KR]yyyy.mm.dd"))</f>
        <v>2023.03.14</v>
      </c>
      <c r="C149" s="119">
        <f t="shared" ca="1" si="39"/>
        <v>3000000</v>
      </c>
      <c r="D149" s="123">
        <f t="shared" ca="1" si="40"/>
        <v>3261370.3526112898</v>
      </c>
      <c r="E149" s="72">
        <f t="shared" ca="1" si="41"/>
        <v>8.7123450870429886E-2</v>
      </c>
      <c r="F149" s="121">
        <f t="shared" ca="1" si="42"/>
        <v>261370.35261128959</v>
      </c>
      <c r="G149" s="123">
        <f t="shared" ca="1" si="43"/>
        <v>3131367.2629131242</v>
      </c>
      <c r="H149" s="72">
        <f t="shared" ca="1" si="44"/>
        <v>4.3789087637708092E-2</v>
      </c>
      <c r="I149" s="121">
        <f t="shared" ca="1" si="45"/>
        <v>131367.26291312426</v>
      </c>
      <c r="J149" s="123">
        <f t="shared" ca="1" si="46"/>
        <v>3170717.5880507552</v>
      </c>
      <c r="K149" s="72">
        <f t="shared" ca="1" si="47"/>
        <v>5.6905862683585016E-2</v>
      </c>
      <c r="L149" s="121">
        <f t="shared" ca="1" si="48"/>
        <v>170717.58805075509</v>
      </c>
      <c r="M149" s="123">
        <f t="shared" ca="1" si="49"/>
        <v>3278482.9026612192</v>
      </c>
      <c r="N149" s="72">
        <f t="shared" ca="1" si="50"/>
        <v>9.2827634220406421E-2</v>
      </c>
      <c r="O149" s="121">
        <f t="shared" ca="1" si="51"/>
        <v>278482.90266121924</v>
      </c>
    </row>
    <row r="150" spans="1:15" ht="16.5" customHeight="1">
      <c r="A150" s="46">
        <v>15</v>
      </c>
      <c r="B150" s="129" t="str">
        <f>HYPERLINK("#'" &amp; TEXT(투자전략!$G$1+14, "[$-ko-KR]yyyy.mm.dd") &amp; "'!A94:O118", TEXT(투자전략!$G$1+14, "[$-ko-KR]yyyy.mm.dd"))</f>
        <v>2023.03.15</v>
      </c>
      <c r="C150" s="118">
        <f t="shared" ca="1" si="39"/>
        <v>3000000</v>
      </c>
      <c r="D150" s="122">
        <f t="shared" ca="1" si="40"/>
        <v>3039417.5764791919</v>
      </c>
      <c r="E150" s="70">
        <f t="shared" ca="1" si="41"/>
        <v>1.3139192159730553E-2</v>
      </c>
      <c r="F150" s="120">
        <f t="shared" ca="1" si="42"/>
        <v>39417.576479191666</v>
      </c>
      <c r="G150" s="122">
        <f t="shared" ca="1" si="43"/>
        <v>2999919.6911585829</v>
      </c>
      <c r="H150" s="70">
        <f t="shared" ca="1" si="44"/>
        <v>-2.6769613805736761E-5</v>
      </c>
      <c r="I150" s="120">
        <f t="shared" ca="1" si="45"/>
        <v>-80.308841417203212</v>
      </c>
      <c r="J150" s="122">
        <f t="shared" ca="1" si="46"/>
        <v>3000076.2571573756</v>
      </c>
      <c r="K150" s="70">
        <f t="shared" ca="1" si="47"/>
        <v>2.5419052458553697E-5</v>
      </c>
      <c r="L150" s="120">
        <f t="shared" ca="1" si="48"/>
        <v>76.257157375659972</v>
      </c>
      <c r="M150" s="122">
        <f t="shared" ca="1" si="49"/>
        <v>2961737.2715679943</v>
      </c>
      <c r="N150" s="70">
        <f t="shared" ca="1" si="50"/>
        <v>-1.275424281066862E-2</v>
      </c>
      <c r="O150" s="120">
        <f t="shared" ca="1" si="51"/>
        <v>-38262.728432005868</v>
      </c>
    </row>
    <row r="151" spans="1:15" ht="16.5" customHeight="1">
      <c r="A151" s="47">
        <v>16</v>
      </c>
      <c r="B151" s="130" t="str">
        <f>HYPERLINK("#'" &amp; TEXT(투자전략!$G$1+15, "[$-ko-KR]yyyy.mm.dd") &amp; "'!A94:O118", TEXT(투자전략!$G$1+15, "[$-ko-KR]yyyy.mm.dd"))</f>
        <v>2023.03.16</v>
      </c>
      <c r="C151" s="118">
        <f t="shared" ca="1" si="39"/>
        <v>3000000</v>
      </c>
      <c r="D151" s="122">
        <f t="shared" ca="1" si="40"/>
        <v>2849143.0882715592</v>
      </c>
      <c r="E151" s="70">
        <f t="shared" ca="1" si="41"/>
        <v>-5.0285637242813631E-2</v>
      </c>
      <c r="F151" s="120">
        <f t="shared" ca="1" si="42"/>
        <v>-150856.9117284409</v>
      </c>
      <c r="G151" s="122">
        <f t="shared" ca="1" si="43"/>
        <v>2901913.1818253854</v>
      </c>
      <c r="H151" s="70">
        <f t="shared" ca="1" si="44"/>
        <v>-3.2695606058204908E-2</v>
      </c>
      <c r="I151" s="120">
        <f t="shared" ca="1" si="45"/>
        <v>-98086.818174614717</v>
      </c>
      <c r="J151" s="122">
        <f t="shared" ca="1" si="46"/>
        <v>2946303.6395171005</v>
      </c>
      <c r="K151" s="70">
        <f t="shared" ca="1" si="47"/>
        <v>-1.7898786827633142E-2</v>
      </c>
      <c r="L151" s="120">
        <f t="shared" ca="1" si="48"/>
        <v>-53696.360482899436</v>
      </c>
      <c r="M151" s="122">
        <f t="shared" ca="1" si="49"/>
        <v>2920248.6783888992</v>
      </c>
      <c r="N151" s="70">
        <f t="shared" ca="1" si="50"/>
        <v>-2.6583773870366968E-2</v>
      </c>
      <c r="O151" s="120">
        <f t="shared" ca="1" si="51"/>
        <v>-79751.321611100895</v>
      </c>
    </row>
    <row r="152" spans="1:15" ht="16.5" customHeight="1">
      <c r="A152" s="47">
        <v>17</v>
      </c>
      <c r="B152" s="130" t="str">
        <f>HYPERLINK("#'" &amp; TEXT(투자전략!$G$1+16, "[$-ko-KR]yyyy.mm.dd") &amp; "'!A94:O118", TEXT(투자전략!$G$1+16, "[$-ko-KR]yyyy.mm.dd"))</f>
        <v>2023.03.17</v>
      </c>
      <c r="C152" s="118">
        <f t="shared" ca="1" si="39"/>
        <v>3000000</v>
      </c>
      <c r="D152" s="122">
        <f t="shared" ca="1" si="40"/>
        <v>3000000</v>
      </c>
      <c r="E152" s="70">
        <f t="shared" ca="1" si="41"/>
        <v>0</v>
      </c>
      <c r="F152" s="120">
        <f t="shared" ca="1" si="42"/>
        <v>0</v>
      </c>
      <c r="G152" s="122">
        <f t="shared" ca="1" si="43"/>
        <v>3000000</v>
      </c>
      <c r="H152" s="70">
        <f t="shared" ca="1" si="44"/>
        <v>0</v>
      </c>
      <c r="I152" s="120">
        <f t="shared" ca="1" si="45"/>
        <v>0</v>
      </c>
      <c r="J152" s="122">
        <f t="shared" ca="1" si="46"/>
        <v>3000000</v>
      </c>
      <c r="K152" s="70">
        <f t="shared" ca="1" si="47"/>
        <v>0</v>
      </c>
      <c r="L152" s="120">
        <f t="shared" ca="1" si="48"/>
        <v>0</v>
      </c>
      <c r="M152" s="122">
        <f t="shared" ca="1" si="49"/>
        <v>3000000</v>
      </c>
      <c r="N152" s="70">
        <f t="shared" ca="1" si="50"/>
        <v>0</v>
      </c>
      <c r="O152" s="120">
        <f t="shared" ca="1" si="51"/>
        <v>0</v>
      </c>
    </row>
    <row r="153" spans="1:15" ht="16.5" customHeight="1">
      <c r="A153" s="47">
        <v>18</v>
      </c>
      <c r="B153" s="130" t="str">
        <f>HYPERLINK("#'" &amp; TEXT(투자전략!$G$1+17, "[$-ko-KR]yyyy.mm.dd") &amp; "'!A94:O118", TEXT(투자전략!$G$1+17, "[$-ko-KR]yyyy.mm.dd"))</f>
        <v>2023.03.18</v>
      </c>
      <c r="C153" s="118" t="str">
        <f t="shared" ca="1" si="39"/>
        <v/>
      </c>
      <c r="D153" s="122" t="str">
        <f t="shared" ca="1" si="40"/>
        <v/>
      </c>
      <c r="E153" s="70" t="str">
        <f t="shared" ca="1" si="41"/>
        <v/>
      </c>
      <c r="F153" s="120" t="str">
        <f t="shared" ca="1" si="42"/>
        <v/>
      </c>
      <c r="G153" s="122" t="str">
        <f t="shared" ca="1" si="43"/>
        <v/>
      </c>
      <c r="H153" s="70" t="str">
        <f t="shared" ca="1" si="44"/>
        <v/>
      </c>
      <c r="I153" s="120" t="str">
        <f t="shared" ca="1" si="45"/>
        <v/>
      </c>
      <c r="J153" s="122" t="str">
        <f t="shared" ca="1" si="46"/>
        <v/>
      </c>
      <c r="K153" s="70" t="str">
        <f t="shared" ca="1" si="47"/>
        <v/>
      </c>
      <c r="L153" s="120" t="str">
        <f t="shared" ca="1" si="48"/>
        <v/>
      </c>
      <c r="M153" s="122" t="str">
        <f t="shared" ca="1" si="49"/>
        <v/>
      </c>
      <c r="N153" s="70" t="str">
        <f t="shared" ca="1" si="50"/>
        <v/>
      </c>
      <c r="O153" s="120" t="str">
        <f t="shared" ca="1" si="51"/>
        <v/>
      </c>
    </row>
    <row r="154" spans="1:15" ht="16.5" customHeight="1">
      <c r="A154" s="47">
        <v>19</v>
      </c>
      <c r="B154" s="130" t="str">
        <f>HYPERLINK("#'" &amp; TEXT(투자전략!$G$1+18, "[$-ko-KR]yyyy.mm.dd") &amp; "'!A94:O118", TEXT(투자전략!$G$1+18, "[$-ko-KR]yyyy.mm.dd"))</f>
        <v>2023.03.19</v>
      </c>
      <c r="C154" s="118" t="str">
        <f t="shared" ca="1" si="39"/>
        <v/>
      </c>
      <c r="D154" s="122" t="str">
        <f t="shared" ca="1" si="40"/>
        <v/>
      </c>
      <c r="E154" s="70" t="str">
        <f t="shared" ca="1" si="41"/>
        <v/>
      </c>
      <c r="F154" s="120" t="str">
        <f t="shared" ca="1" si="42"/>
        <v/>
      </c>
      <c r="G154" s="122" t="str">
        <f t="shared" ca="1" si="43"/>
        <v/>
      </c>
      <c r="H154" s="70" t="str">
        <f t="shared" ca="1" si="44"/>
        <v/>
      </c>
      <c r="I154" s="120" t="str">
        <f t="shared" ca="1" si="45"/>
        <v/>
      </c>
      <c r="J154" s="122" t="str">
        <f t="shared" ca="1" si="46"/>
        <v/>
      </c>
      <c r="K154" s="70" t="str">
        <f t="shared" ca="1" si="47"/>
        <v/>
      </c>
      <c r="L154" s="120" t="str">
        <f t="shared" ca="1" si="48"/>
        <v/>
      </c>
      <c r="M154" s="122" t="str">
        <f t="shared" ca="1" si="49"/>
        <v/>
      </c>
      <c r="N154" s="70" t="str">
        <f t="shared" ca="1" si="50"/>
        <v/>
      </c>
      <c r="O154" s="120" t="str">
        <f t="shared" ca="1" si="51"/>
        <v/>
      </c>
    </row>
    <row r="155" spans="1:15" ht="16.5" customHeight="1">
      <c r="A155" s="47">
        <v>20</v>
      </c>
      <c r="B155" s="130" t="str">
        <f>HYPERLINK("#'" &amp; TEXT(투자전략!$G$1+19, "[$-ko-KR]yyyy.mm.dd") &amp; "'!A94:O118", TEXT(투자전략!$G$1+19, "[$-ko-KR]yyyy.mm.dd"))</f>
        <v>2023.03.20</v>
      </c>
      <c r="C155" s="118" t="str">
        <f t="shared" ca="1" si="39"/>
        <v/>
      </c>
      <c r="D155" s="122" t="str">
        <f t="shared" ca="1" si="40"/>
        <v/>
      </c>
      <c r="E155" s="70" t="str">
        <f t="shared" ca="1" si="41"/>
        <v/>
      </c>
      <c r="F155" s="120" t="str">
        <f t="shared" ca="1" si="42"/>
        <v/>
      </c>
      <c r="G155" s="122" t="str">
        <f t="shared" ca="1" si="43"/>
        <v/>
      </c>
      <c r="H155" s="70" t="str">
        <f t="shared" ca="1" si="44"/>
        <v/>
      </c>
      <c r="I155" s="120" t="str">
        <f t="shared" ca="1" si="45"/>
        <v/>
      </c>
      <c r="J155" s="122" t="str">
        <f t="shared" ca="1" si="46"/>
        <v/>
      </c>
      <c r="K155" s="70" t="str">
        <f t="shared" ca="1" si="47"/>
        <v/>
      </c>
      <c r="L155" s="120" t="str">
        <f t="shared" ca="1" si="48"/>
        <v/>
      </c>
      <c r="M155" s="122" t="str">
        <f t="shared" ca="1" si="49"/>
        <v/>
      </c>
      <c r="N155" s="70" t="str">
        <f t="shared" ca="1" si="50"/>
        <v/>
      </c>
      <c r="O155" s="120" t="str">
        <f t="shared" ca="1" si="51"/>
        <v/>
      </c>
    </row>
    <row r="156" spans="1:15" ht="16.5" customHeight="1" thickBot="1">
      <c r="A156" s="48">
        <v>21</v>
      </c>
      <c r="B156" s="131" t="str">
        <f>HYPERLINK("#'" &amp; TEXT(투자전략!$G$1+20, "[$-ko-KR]yyyy.mm.dd") &amp; "'!A94:O118", TEXT(투자전략!$G$1+20, "[$-ko-KR]yyyy.mm.dd"))</f>
        <v>2023.03.21</v>
      </c>
      <c r="C156" s="118" t="str">
        <f t="shared" ca="1" si="39"/>
        <v/>
      </c>
      <c r="D156" s="122" t="str">
        <f t="shared" ca="1" si="40"/>
        <v/>
      </c>
      <c r="E156" s="70" t="str">
        <f t="shared" ca="1" si="41"/>
        <v/>
      </c>
      <c r="F156" s="120" t="str">
        <f t="shared" ca="1" si="42"/>
        <v/>
      </c>
      <c r="G156" s="122" t="str">
        <f t="shared" ca="1" si="43"/>
        <v/>
      </c>
      <c r="H156" s="70" t="str">
        <f t="shared" ca="1" si="44"/>
        <v/>
      </c>
      <c r="I156" s="120" t="str">
        <f t="shared" ca="1" si="45"/>
        <v/>
      </c>
      <c r="J156" s="122" t="str">
        <f t="shared" ca="1" si="46"/>
        <v/>
      </c>
      <c r="K156" s="70" t="str">
        <f t="shared" ca="1" si="47"/>
        <v/>
      </c>
      <c r="L156" s="120" t="str">
        <f t="shared" ca="1" si="48"/>
        <v/>
      </c>
      <c r="M156" s="122" t="str">
        <f t="shared" ca="1" si="49"/>
        <v/>
      </c>
      <c r="N156" s="70" t="str">
        <f t="shared" ca="1" si="50"/>
        <v/>
      </c>
      <c r="O156" s="120" t="str">
        <f t="shared" ca="1" si="51"/>
        <v/>
      </c>
    </row>
    <row r="157" spans="1:15" ht="16.5" customHeight="1">
      <c r="A157" s="46">
        <v>22</v>
      </c>
      <c r="B157" s="129" t="str">
        <f>HYPERLINK("#'" &amp; TEXT(투자전략!$G$1+21, "[$-ko-KR]yyyy.mm.dd") &amp; "'!A94:O118", TEXT(투자전략!$G$1+21, "[$-ko-KR]yyyy.mm.dd"))</f>
        <v>2023.03.22</v>
      </c>
      <c r="C157" s="117" t="str">
        <f t="shared" ca="1" si="39"/>
        <v/>
      </c>
      <c r="D157" s="125" t="str">
        <f t="shared" ca="1" si="40"/>
        <v/>
      </c>
      <c r="E157" s="69" t="str">
        <f t="shared" ca="1" si="41"/>
        <v/>
      </c>
      <c r="F157" s="124" t="str">
        <f t="shared" ca="1" si="42"/>
        <v/>
      </c>
      <c r="G157" s="125" t="str">
        <f t="shared" ca="1" si="43"/>
        <v/>
      </c>
      <c r="H157" s="69" t="str">
        <f t="shared" ca="1" si="44"/>
        <v/>
      </c>
      <c r="I157" s="124" t="str">
        <f t="shared" ca="1" si="45"/>
        <v/>
      </c>
      <c r="J157" s="125" t="str">
        <f t="shared" ca="1" si="46"/>
        <v/>
      </c>
      <c r="K157" s="69" t="str">
        <f t="shared" ca="1" si="47"/>
        <v/>
      </c>
      <c r="L157" s="124" t="str">
        <f t="shared" ca="1" si="48"/>
        <v/>
      </c>
      <c r="M157" s="125" t="str">
        <f t="shared" ca="1" si="49"/>
        <v/>
      </c>
      <c r="N157" s="69" t="str">
        <f t="shared" ca="1" si="50"/>
        <v/>
      </c>
      <c r="O157" s="124" t="str">
        <f t="shared" ca="1" si="51"/>
        <v/>
      </c>
    </row>
    <row r="158" spans="1:15" ht="16.5" customHeight="1">
      <c r="A158" s="47">
        <v>23</v>
      </c>
      <c r="B158" s="130" t="str">
        <f>HYPERLINK("#'" &amp; TEXT(투자전략!$G$1+22, "[$-ko-KR]yyyy.mm.dd") &amp; "'!A94:O118", TEXT(투자전략!$G$1+22, "[$-ko-KR]yyyy.mm.dd"))</f>
        <v>2023.03.23</v>
      </c>
      <c r="C158" s="118" t="str">
        <f t="shared" ca="1" si="39"/>
        <v/>
      </c>
      <c r="D158" s="122" t="str">
        <f t="shared" ca="1" si="40"/>
        <v/>
      </c>
      <c r="E158" s="70" t="str">
        <f t="shared" ca="1" si="41"/>
        <v/>
      </c>
      <c r="F158" s="120" t="str">
        <f t="shared" ca="1" si="42"/>
        <v/>
      </c>
      <c r="G158" s="122" t="str">
        <f t="shared" ca="1" si="43"/>
        <v/>
      </c>
      <c r="H158" s="70" t="str">
        <f t="shared" ca="1" si="44"/>
        <v/>
      </c>
      <c r="I158" s="120" t="str">
        <f t="shared" ca="1" si="45"/>
        <v/>
      </c>
      <c r="J158" s="122" t="str">
        <f t="shared" ca="1" si="46"/>
        <v/>
      </c>
      <c r="K158" s="70" t="str">
        <f t="shared" ca="1" si="47"/>
        <v/>
      </c>
      <c r="L158" s="120" t="str">
        <f t="shared" ca="1" si="48"/>
        <v/>
      </c>
      <c r="M158" s="122" t="str">
        <f t="shared" ca="1" si="49"/>
        <v/>
      </c>
      <c r="N158" s="70" t="str">
        <f t="shared" ca="1" si="50"/>
        <v/>
      </c>
      <c r="O158" s="120" t="str">
        <f t="shared" ca="1" si="51"/>
        <v/>
      </c>
    </row>
    <row r="159" spans="1:15" ht="16.5" customHeight="1">
      <c r="A159" s="47">
        <v>24</v>
      </c>
      <c r="B159" s="130" t="str">
        <f>HYPERLINK("#'" &amp; TEXT(투자전략!$G$1+23, "[$-ko-KR]yyyy.mm.dd") &amp; "'!A94:O118", TEXT(투자전략!$G$1+23, "[$-ko-KR]yyyy.mm.dd"))</f>
        <v>2023.03.24</v>
      </c>
      <c r="C159" s="118" t="str">
        <f t="shared" ca="1" si="39"/>
        <v/>
      </c>
      <c r="D159" s="122" t="str">
        <f t="shared" ca="1" si="40"/>
        <v/>
      </c>
      <c r="E159" s="70" t="str">
        <f t="shared" ca="1" si="41"/>
        <v/>
      </c>
      <c r="F159" s="120" t="str">
        <f t="shared" ca="1" si="42"/>
        <v/>
      </c>
      <c r="G159" s="122" t="str">
        <f t="shared" ca="1" si="43"/>
        <v/>
      </c>
      <c r="H159" s="70" t="str">
        <f t="shared" ca="1" si="44"/>
        <v/>
      </c>
      <c r="I159" s="120" t="str">
        <f t="shared" ca="1" si="45"/>
        <v/>
      </c>
      <c r="J159" s="122" t="str">
        <f t="shared" ca="1" si="46"/>
        <v/>
      </c>
      <c r="K159" s="70" t="str">
        <f t="shared" ca="1" si="47"/>
        <v/>
      </c>
      <c r="L159" s="120" t="str">
        <f t="shared" ca="1" si="48"/>
        <v/>
      </c>
      <c r="M159" s="122" t="str">
        <f t="shared" ca="1" si="49"/>
        <v/>
      </c>
      <c r="N159" s="70" t="str">
        <f t="shared" ca="1" si="50"/>
        <v/>
      </c>
      <c r="O159" s="120" t="str">
        <f t="shared" ca="1" si="51"/>
        <v/>
      </c>
    </row>
    <row r="160" spans="1:15" ht="16.5" customHeight="1">
      <c r="A160" s="47">
        <v>25</v>
      </c>
      <c r="B160" s="130" t="str">
        <f>HYPERLINK("#'" &amp; TEXT(투자전략!$G$1+24, "[$-ko-KR]yyyy.mm.dd") &amp; "'!A94:O118", TEXT(투자전략!$G$1+24, "[$-ko-KR]yyyy.mm.dd"))</f>
        <v>2023.03.25</v>
      </c>
      <c r="C160" s="118" t="str">
        <f t="shared" ca="1" si="39"/>
        <v/>
      </c>
      <c r="D160" s="122" t="str">
        <f t="shared" ca="1" si="40"/>
        <v/>
      </c>
      <c r="E160" s="70" t="str">
        <f t="shared" ca="1" si="41"/>
        <v/>
      </c>
      <c r="F160" s="120" t="str">
        <f t="shared" ca="1" si="42"/>
        <v/>
      </c>
      <c r="G160" s="122" t="str">
        <f t="shared" ca="1" si="43"/>
        <v/>
      </c>
      <c r="H160" s="70" t="str">
        <f t="shared" ca="1" si="44"/>
        <v/>
      </c>
      <c r="I160" s="120" t="str">
        <f t="shared" ca="1" si="45"/>
        <v/>
      </c>
      <c r="J160" s="122" t="str">
        <f t="shared" ca="1" si="46"/>
        <v/>
      </c>
      <c r="K160" s="70" t="str">
        <f t="shared" ca="1" si="47"/>
        <v/>
      </c>
      <c r="L160" s="120" t="str">
        <f t="shared" ca="1" si="48"/>
        <v/>
      </c>
      <c r="M160" s="122" t="str">
        <f t="shared" ca="1" si="49"/>
        <v/>
      </c>
      <c r="N160" s="70" t="str">
        <f t="shared" ca="1" si="50"/>
        <v/>
      </c>
      <c r="O160" s="120" t="str">
        <f t="shared" ca="1" si="51"/>
        <v/>
      </c>
    </row>
    <row r="161" spans="1:15" ht="16.5" customHeight="1">
      <c r="A161" s="47">
        <v>26</v>
      </c>
      <c r="B161" s="130" t="str">
        <f>HYPERLINK("#'" &amp; TEXT(투자전략!$G$1+25, "[$-ko-KR]yyyy.mm.dd") &amp; "'!A94:O118", TEXT(투자전략!$G$1+25, "[$-ko-KR]yyyy.mm.dd"))</f>
        <v>2023.03.26</v>
      </c>
      <c r="C161" s="118" t="str">
        <f t="shared" ca="1" si="39"/>
        <v/>
      </c>
      <c r="D161" s="122" t="str">
        <f t="shared" ca="1" si="40"/>
        <v/>
      </c>
      <c r="E161" s="70" t="str">
        <f t="shared" ca="1" si="41"/>
        <v/>
      </c>
      <c r="F161" s="120" t="str">
        <f t="shared" ca="1" si="42"/>
        <v/>
      </c>
      <c r="G161" s="122" t="str">
        <f t="shared" ca="1" si="43"/>
        <v/>
      </c>
      <c r="H161" s="70" t="str">
        <f t="shared" ca="1" si="44"/>
        <v/>
      </c>
      <c r="I161" s="120" t="str">
        <f t="shared" ca="1" si="45"/>
        <v/>
      </c>
      <c r="J161" s="122" t="str">
        <f t="shared" ca="1" si="46"/>
        <v/>
      </c>
      <c r="K161" s="70" t="str">
        <f t="shared" ca="1" si="47"/>
        <v/>
      </c>
      <c r="L161" s="120" t="str">
        <f t="shared" ca="1" si="48"/>
        <v/>
      </c>
      <c r="M161" s="122" t="str">
        <f t="shared" ca="1" si="49"/>
        <v/>
      </c>
      <c r="N161" s="70" t="str">
        <f t="shared" ca="1" si="50"/>
        <v/>
      </c>
      <c r="O161" s="120" t="str">
        <f t="shared" ca="1" si="51"/>
        <v/>
      </c>
    </row>
    <row r="162" spans="1:15" ht="16.5" customHeight="1">
      <c r="A162" s="47">
        <v>27</v>
      </c>
      <c r="B162" s="130" t="str">
        <f>HYPERLINK("#'" &amp; TEXT(투자전략!$G$1+26, "[$-ko-KR]yyyy.mm.dd") &amp; "'!A94:O118", TEXT(투자전략!$G$1+26, "[$-ko-KR]yyyy.mm.dd"))</f>
        <v>2023.03.27</v>
      </c>
      <c r="C162" s="118" t="str">
        <f t="shared" ca="1" si="39"/>
        <v/>
      </c>
      <c r="D162" s="122" t="str">
        <f t="shared" ca="1" si="40"/>
        <v/>
      </c>
      <c r="E162" s="70" t="str">
        <f t="shared" ca="1" si="41"/>
        <v/>
      </c>
      <c r="F162" s="120" t="str">
        <f t="shared" ca="1" si="42"/>
        <v/>
      </c>
      <c r="G162" s="122" t="str">
        <f t="shared" ca="1" si="43"/>
        <v/>
      </c>
      <c r="H162" s="70" t="str">
        <f t="shared" ca="1" si="44"/>
        <v/>
      </c>
      <c r="I162" s="120" t="str">
        <f t="shared" ca="1" si="45"/>
        <v/>
      </c>
      <c r="J162" s="122" t="str">
        <f t="shared" ca="1" si="46"/>
        <v/>
      </c>
      <c r="K162" s="70" t="str">
        <f t="shared" ca="1" si="47"/>
        <v/>
      </c>
      <c r="L162" s="120" t="str">
        <f t="shared" ca="1" si="48"/>
        <v/>
      </c>
      <c r="M162" s="122" t="str">
        <f t="shared" ca="1" si="49"/>
        <v/>
      </c>
      <c r="N162" s="70" t="str">
        <f t="shared" ca="1" si="50"/>
        <v/>
      </c>
      <c r="O162" s="120" t="str">
        <f t="shared" ca="1" si="51"/>
        <v/>
      </c>
    </row>
    <row r="163" spans="1:15" ht="16.5" customHeight="1" thickBot="1">
      <c r="A163" s="48">
        <v>28</v>
      </c>
      <c r="B163" s="131" t="str">
        <f>HYPERLINK("#'" &amp; TEXT(투자전략!$G$1+27, "[$-ko-KR]yyyy.mm.dd") &amp; "'!A94:O118", TEXT(투자전략!$G$1+27, "[$-ko-KR]yyyy.mm.dd"))</f>
        <v>2023.03.28</v>
      </c>
      <c r="C163" s="119" t="str">
        <f t="shared" ca="1" si="39"/>
        <v/>
      </c>
      <c r="D163" s="123" t="str">
        <f t="shared" ca="1" si="40"/>
        <v/>
      </c>
      <c r="E163" s="72" t="str">
        <f t="shared" ca="1" si="41"/>
        <v/>
      </c>
      <c r="F163" s="121" t="str">
        <f t="shared" ca="1" si="42"/>
        <v/>
      </c>
      <c r="G163" s="123" t="str">
        <f t="shared" ca="1" si="43"/>
        <v/>
      </c>
      <c r="H163" s="72" t="str">
        <f t="shared" ca="1" si="44"/>
        <v/>
      </c>
      <c r="I163" s="121" t="str">
        <f t="shared" ca="1" si="45"/>
        <v/>
      </c>
      <c r="J163" s="123" t="str">
        <f t="shared" ca="1" si="46"/>
        <v/>
      </c>
      <c r="K163" s="72" t="str">
        <f t="shared" ca="1" si="47"/>
        <v/>
      </c>
      <c r="L163" s="121" t="str">
        <f t="shared" ca="1" si="48"/>
        <v/>
      </c>
      <c r="M163" s="123" t="str">
        <f t="shared" ca="1" si="49"/>
        <v/>
      </c>
      <c r="N163" s="72" t="str">
        <f t="shared" ca="1" si="50"/>
        <v/>
      </c>
      <c r="O163" s="121" t="str">
        <f t="shared" ca="1" si="51"/>
        <v/>
      </c>
    </row>
    <row r="164" spans="1:15" ht="16.5" customHeight="1">
      <c r="A164" s="105">
        <v>29</v>
      </c>
      <c r="B164" s="129" t="str">
        <f>HYPERLINK("#'" &amp; TEXT(투자전략!$G$1+28, "[$-ko-KR]yyyy.mm.dd") &amp; "'!A94:O118", TEXT(투자전략!$G$1+28, "[$-ko-KR]yyyy.mm.dd"))</f>
        <v>2023.03.29</v>
      </c>
      <c r="C164" s="118" t="str">
        <f t="shared" ca="1" si="39"/>
        <v/>
      </c>
      <c r="D164" s="122" t="str">
        <f t="shared" ca="1" si="40"/>
        <v/>
      </c>
      <c r="E164" s="70" t="str">
        <f t="shared" ca="1" si="41"/>
        <v/>
      </c>
      <c r="F164" s="120" t="str">
        <f t="shared" ca="1" si="42"/>
        <v/>
      </c>
      <c r="G164" s="122" t="str">
        <f t="shared" ca="1" si="43"/>
        <v/>
      </c>
      <c r="H164" s="70" t="str">
        <f t="shared" ca="1" si="44"/>
        <v/>
      </c>
      <c r="I164" s="120" t="str">
        <f t="shared" ca="1" si="45"/>
        <v/>
      </c>
      <c r="J164" s="122" t="str">
        <f t="shared" ca="1" si="46"/>
        <v/>
      </c>
      <c r="K164" s="70" t="str">
        <f t="shared" ca="1" si="47"/>
        <v/>
      </c>
      <c r="L164" s="120" t="str">
        <f t="shared" ca="1" si="48"/>
        <v/>
      </c>
      <c r="M164" s="122" t="str">
        <f t="shared" ca="1" si="49"/>
        <v/>
      </c>
      <c r="N164" s="70" t="str">
        <f t="shared" ca="1" si="50"/>
        <v/>
      </c>
      <c r="O164" s="120" t="str">
        <f t="shared" ca="1" si="51"/>
        <v/>
      </c>
    </row>
    <row r="165" spans="1:15" ht="16.5" customHeight="1">
      <c r="A165" s="105">
        <v>30</v>
      </c>
      <c r="B165" s="130" t="str">
        <f>HYPERLINK("#'" &amp; TEXT(투자전략!$G$1+29, "[$-ko-KR]yyyy.mm.dd") &amp; "'!A94:O118", TEXT(투자전략!$G$1+29, "[$-ko-KR]yyyy.mm.dd"))</f>
        <v>2023.03.30</v>
      </c>
      <c r="C165" s="118" t="str">
        <f t="shared" ca="1" si="39"/>
        <v/>
      </c>
      <c r="D165" s="122" t="str">
        <f t="shared" ca="1" si="40"/>
        <v/>
      </c>
      <c r="E165" s="70" t="str">
        <f t="shared" ca="1" si="41"/>
        <v/>
      </c>
      <c r="F165" s="120" t="str">
        <f t="shared" ca="1" si="42"/>
        <v/>
      </c>
      <c r="G165" s="122" t="str">
        <f t="shared" ca="1" si="43"/>
        <v/>
      </c>
      <c r="H165" s="70" t="str">
        <f t="shared" ca="1" si="44"/>
        <v/>
      </c>
      <c r="I165" s="120" t="str">
        <f t="shared" ca="1" si="45"/>
        <v/>
      </c>
      <c r="J165" s="122" t="str">
        <f t="shared" ca="1" si="46"/>
        <v/>
      </c>
      <c r="K165" s="70" t="str">
        <f t="shared" ca="1" si="47"/>
        <v/>
      </c>
      <c r="L165" s="120" t="str">
        <f t="shared" ca="1" si="48"/>
        <v/>
      </c>
      <c r="M165" s="122" t="str">
        <f t="shared" ca="1" si="49"/>
        <v/>
      </c>
      <c r="N165" s="70" t="str">
        <f t="shared" ca="1" si="50"/>
        <v/>
      </c>
      <c r="O165" s="120" t="str">
        <f t="shared" ca="1" si="51"/>
        <v/>
      </c>
    </row>
    <row r="166" spans="1:15" ht="16.5" customHeight="1" thickBot="1">
      <c r="A166" s="105">
        <v>31</v>
      </c>
      <c r="B166" s="130" t="str">
        <f>HYPERLINK("#'" &amp; TEXT(투자전략!$G$1+30, "[$-ko-KR]yyyy.mm.dd") &amp; "'!A94:O118", TEXT(투자전략!$G$1+30, "[$-ko-KR]yyyy.mm.dd"))</f>
        <v>2023.03.31</v>
      </c>
      <c r="C166" s="119" t="str">
        <f t="shared" ca="1" si="39"/>
        <v/>
      </c>
      <c r="D166" s="123" t="str">
        <f t="shared" ca="1" si="40"/>
        <v/>
      </c>
      <c r="E166" s="72" t="str">
        <f t="shared" ca="1" si="41"/>
        <v/>
      </c>
      <c r="F166" s="121" t="str">
        <f t="shared" ca="1" si="42"/>
        <v/>
      </c>
      <c r="G166" s="123" t="str">
        <f t="shared" ca="1" si="43"/>
        <v/>
      </c>
      <c r="H166" s="72" t="str">
        <f t="shared" ca="1" si="44"/>
        <v/>
      </c>
      <c r="I166" s="121" t="str">
        <f t="shared" ca="1" si="45"/>
        <v/>
      </c>
      <c r="J166" s="123" t="str">
        <f t="shared" ca="1" si="46"/>
        <v/>
      </c>
      <c r="K166" s="72" t="str">
        <f t="shared" ca="1" si="47"/>
        <v/>
      </c>
      <c r="L166" s="121" t="str">
        <f t="shared" ca="1" si="48"/>
        <v/>
      </c>
      <c r="M166" s="123" t="str">
        <f t="shared" ca="1" si="49"/>
        <v/>
      </c>
      <c r="N166" s="72" t="str">
        <f t="shared" ca="1" si="50"/>
        <v/>
      </c>
      <c r="O166" s="121" t="str">
        <f t="shared" ca="1" si="51"/>
        <v/>
      </c>
    </row>
    <row r="167" spans="1:15" ht="16.5" customHeight="1" thickBot="1">
      <c r="A167" s="185" t="s">
        <v>270</v>
      </c>
      <c r="B167" s="187"/>
      <c r="C167" s="116" t="s">
        <v>265</v>
      </c>
      <c r="D167" s="9" t="s">
        <v>266</v>
      </c>
      <c r="E167" s="63" t="s">
        <v>267</v>
      </c>
      <c r="F167" s="64" t="s">
        <v>268</v>
      </c>
      <c r="G167" s="9" t="s">
        <v>266</v>
      </c>
      <c r="H167" s="63" t="s">
        <v>267</v>
      </c>
      <c r="I167" s="64" t="s">
        <v>268</v>
      </c>
      <c r="J167" s="9" t="s">
        <v>266</v>
      </c>
      <c r="K167" s="63" t="s">
        <v>267</v>
      </c>
      <c r="L167" s="64" t="s">
        <v>268</v>
      </c>
      <c r="M167" s="9" t="s">
        <v>266</v>
      </c>
      <c r="N167" s="63" t="s">
        <v>267</v>
      </c>
      <c r="O167" s="64" t="s">
        <v>268</v>
      </c>
    </row>
    <row r="168" spans="1:15" ht="16.5" customHeight="1" thickBot="1">
      <c r="A168" s="178"/>
      <c r="B168" s="180"/>
      <c r="C168" s="119">
        <f ca="1">SUM(C136:C166)</f>
        <v>36000000</v>
      </c>
      <c r="D168" s="123">
        <f ca="1">SUM(D136:D166)</f>
        <v>36103193.116437569</v>
      </c>
      <c r="E168" s="72">
        <f ca="1">IFERROR(F168 / (SUM($C136:$C166) / COUNT($C136:$C166)), 0)</f>
        <v>3.4397705479189737E-2</v>
      </c>
      <c r="F168" s="121">
        <f ca="1">SUM(F136:F166)</f>
        <v>103193.1164375692</v>
      </c>
      <c r="G168" s="123">
        <f ca="1">SUM(G136:G166)</f>
        <v>35716818.196797356</v>
      </c>
      <c r="H168" s="72">
        <f ca="1">IFERROR(I168 / (SUM($C136:$C166) / COUNT($C136:$C166)), 0)</f>
        <v>-9.4393934400881507E-2</v>
      </c>
      <c r="I168" s="121">
        <f ca="1">SUM(I136:I166)</f>
        <v>-283181.80320264451</v>
      </c>
      <c r="J168" s="123">
        <f ca="1">SUM(J136:J166)</f>
        <v>35793608.010915197</v>
      </c>
      <c r="K168" s="72">
        <f ca="1">IFERROR(L168 / (SUM($C136:$C166) / COUNT($C136:$C166)), 0)</f>
        <v>-6.8797329694933962E-2</v>
      </c>
      <c r="L168" s="121">
        <f ca="1">SUM(L136:L166)</f>
        <v>-206391.98908480187</v>
      </c>
      <c r="M168" s="123">
        <f ca="1">SUM(M136:M166)</f>
        <v>35859633.215230331</v>
      </c>
      <c r="N168" s="72">
        <f ca="1">IFERROR(O168 / (SUM($C136:$C166) / COUNT($C136:$C166)), 0)</f>
        <v>-4.6788928256557553E-2</v>
      </c>
      <c r="O168" s="121">
        <f ca="1">SUM(O136:O166)</f>
        <v>-140366.78476967267</v>
      </c>
    </row>
    <row r="170" spans="1:15" ht="16.5" customHeight="1" thickBot="1"/>
    <row r="171" spans="1:15" ht="16.5" customHeight="1" thickBot="1">
      <c r="A171" s="157" t="str">
        <f>TEXT(투자전략!$G$1, "[$-ko-KR]yyyy년 mm월 ") &amp; "[엽전코인] 전일대비 상승률 Bottom20 월말결산"</f>
        <v>2023년 03월 [엽전코인] 전일대비 상승률 Bottom20 월말결산</v>
      </c>
      <c r="B171" s="158"/>
      <c r="C171" s="158"/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9"/>
    </row>
    <row r="172" spans="1:15" ht="16.5" customHeight="1" thickBot="1">
      <c r="A172" s="201" t="s">
        <v>271</v>
      </c>
      <c r="B172" s="178" t="s">
        <v>269</v>
      </c>
      <c r="C172" s="180"/>
      <c r="D172" s="178" t="s">
        <v>261</v>
      </c>
      <c r="E172" s="179"/>
      <c r="F172" s="180"/>
      <c r="G172" s="178" t="s">
        <v>262</v>
      </c>
      <c r="H172" s="179"/>
      <c r="I172" s="180"/>
      <c r="J172" s="178" t="s">
        <v>263</v>
      </c>
      <c r="K172" s="179"/>
      <c r="L172" s="180"/>
      <c r="M172" s="178" t="s">
        <v>264</v>
      </c>
      <c r="N172" s="179"/>
      <c r="O172" s="180"/>
    </row>
    <row r="173" spans="1:15" ht="16.5" customHeight="1" thickBot="1">
      <c r="A173" s="194"/>
      <c r="B173" s="46" t="s">
        <v>259</v>
      </c>
      <c r="C173" s="46" t="s">
        <v>42</v>
      </c>
      <c r="D173" s="105" t="s">
        <v>260</v>
      </c>
      <c r="E173" s="106" t="s">
        <v>40</v>
      </c>
      <c r="F173" s="81" t="s">
        <v>41</v>
      </c>
      <c r="G173" s="105" t="s">
        <v>260</v>
      </c>
      <c r="H173" s="106" t="s">
        <v>40</v>
      </c>
      <c r="I173" s="81" t="s">
        <v>41</v>
      </c>
      <c r="J173" s="105" t="s">
        <v>260</v>
      </c>
      <c r="K173" s="106" t="s">
        <v>40</v>
      </c>
      <c r="L173" s="81" t="s">
        <v>41</v>
      </c>
      <c r="M173" s="105" t="s">
        <v>260</v>
      </c>
      <c r="N173" s="106" t="s">
        <v>40</v>
      </c>
      <c r="O173" s="81" t="s">
        <v>41</v>
      </c>
    </row>
    <row r="174" spans="1:15" ht="16.5" customHeight="1">
      <c r="A174" s="46">
        <v>1</v>
      </c>
      <c r="B174" s="132" t="str">
        <f>HYPERLINK("#'" &amp; TEXT(투자전략!$G$1+0, "[$-ko-KR]yyyy.mm.dd") &amp; "'!A121:O145", TEXT(투자전략!$G$1+0, "[$-ko-KR]yyyy.mm.dd"))</f>
        <v>2023.03.01</v>
      </c>
      <c r="C174" s="117">
        <f ca="1">IFERROR(COUNTA(INDIRECT($B174&amp;"!A125:A144")) * INDIRECT($B174&amp;"!B145"), "")</f>
        <v>3000000</v>
      </c>
      <c r="D174" s="125">
        <f ca="1">IFERROR($C174 * (1 + E174), "")</f>
        <v>3000000</v>
      </c>
      <c r="E174" s="69">
        <f ca="1">IFERROR(INDIRECT($B174&amp;"!E145"), "")</f>
        <v>0</v>
      </c>
      <c r="F174" s="124">
        <f ca="1">IFERROR(INDIRECT($B174&amp;"!F145"), "")</f>
        <v>0</v>
      </c>
      <c r="G174" s="125">
        <f ca="1">IFERROR($C174 * (1 + H174), "")</f>
        <v>3000000</v>
      </c>
      <c r="H174" s="69">
        <f ca="1">IFERROR(INDIRECT($B174&amp;"!H145"), "")</f>
        <v>0</v>
      </c>
      <c r="I174" s="124">
        <f ca="1">IFERROR(INDIRECT($B174&amp;"!I145"), "")</f>
        <v>0</v>
      </c>
      <c r="J174" s="125">
        <f ca="1">IFERROR($C174 * (1 + K174), "")</f>
        <v>3000000</v>
      </c>
      <c r="K174" s="69">
        <f ca="1">IFERROR(INDIRECT($B174&amp;"!K145"), "")</f>
        <v>0</v>
      </c>
      <c r="L174" s="124">
        <f ca="1">IFERROR(INDIRECT($B174&amp;"!L145"), "")</f>
        <v>0</v>
      </c>
      <c r="M174" s="125">
        <f ca="1">IFERROR($C174 * (1 + N174), "")</f>
        <v>3000000</v>
      </c>
      <c r="N174" s="69">
        <f ca="1">IFERROR(INDIRECT($B174&amp;"!N145"), "")</f>
        <v>0</v>
      </c>
      <c r="O174" s="124">
        <f ca="1">IFERROR(INDIRECT($B174&amp;"!O145"), "")</f>
        <v>0</v>
      </c>
    </row>
    <row r="175" spans="1:15" ht="16.5" customHeight="1">
      <c r="A175" s="47">
        <v>2</v>
      </c>
      <c r="B175" s="133" t="str">
        <f>HYPERLINK("#'" &amp; TEXT(투자전략!$G$1+1, "[$-ko-KR]yyyy.mm.dd") &amp; "'!A121:O145", TEXT(투자전략!$G$1+1, "[$-ko-KR]yyyy.mm.dd"))</f>
        <v>2023.03.02</v>
      </c>
      <c r="C175" s="118" t="str">
        <f t="shared" ref="C175:C204" ca="1" si="52">IFERROR(COUNTA(INDIRECT($B175&amp;"!A125:A144")) * INDIRECT($B175&amp;"!B145"), "")</f>
        <v/>
      </c>
      <c r="D175" s="122" t="str">
        <f t="shared" ref="D175:D204" ca="1" si="53">IFERROR($C175 * (1 + E175), "")</f>
        <v/>
      </c>
      <c r="E175" s="70" t="str">
        <f t="shared" ref="E175:E204" ca="1" si="54">IFERROR(INDIRECT($B175&amp;"!E145"), "")</f>
        <v/>
      </c>
      <c r="F175" s="120" t="str">
        <f t="shared" ref="F175:F204" ca="1" si="55">IFERROR(INDIRECT($B175&amp;"!F145"), "")</f>
        <v/>
      </c>
      <c r="G175" s="122" t="str">
        <f t="shared" ref="G175:G204" ca="1" si="56">IFERROR($C175 * (1 + H175), "")</f>
        <v/>
      </c>
      <c r="H175" s="70" t="str">
        <f t="shared" ref="H175:H204" ca="1" si="57">IFERROR(INDIRECT($B175&amp;"!H145"), "")</f>
        <v/>
      </c>
      <c r="I175" s="120" t="str">
        <f t="shared" ref="I175:I204" ca="1" si="58">IFERROR(INDIRECT($B175&amp;"!I145"), "")</f>
        <v/>
      </c>
      <c r="J175" s="122" t="str">
        <f t="shared" ref="J175:J204" ca="1" si="59">IFERROR($C175 * (1 + K175), "")</f>
        <v/>
      </c>
      <c r="K175" s="70" t="str">
        <f t="shared" ref="K175:K204" ca="1" si="60">IFERROR(INDIRECT($B175&amp;"!K145"), "")</f>
        <v/>
      </c>
      <c r="L175" s="120" t="str">
        <f t="shared" ref="L175:L204" ca="1" si="61">IFERROR(INDIRECT($B175&amp;"!L145"), "")</f>
        <v/>
      </c>
      <c r="M175" s="122" t="str">
        <f t="shared" ref="M175:M204" ca="1" si="62">IFERROR($C175 * (1 + N175), "")</f>
        <v/>
      </c>
      <c r="N175" s="70" t="str">
        <f t="shared" ref="N175:N204" ca="1" si="63">IFERROR(INDIRECT($B175&amp;"!N145"), "")</f>
        <v/>
      </c>
      <c r="O175" s="120" t="str">
        <f t="shared" ref="O175:O204" ca="1" si="64">IFERROR(INDIRECT($B175&amp;"!O145"), "")</f>
        <v/>
      </c>
    </row>
    <row r="176" spans="1:15" ht="16.5" customHeight="1">
      <c r="A176" s="47">
        <v>3</v>
      </c>
      <c r="B176" s="133" t="str">
        <f>HYPERLINK("#'" &amp; TEXT(투자전략!$G$1+2, "[$-ko-KR]yyyy.mm.dd") &amp; "'!A121:O145", TEXT(투자전략!$G$1+2, "[$-ko-KR]yyyy.mm.dd"))</f>
        <v>2023.03.03</v>
      </c>
      <c r="C176" s="118" t="str">
        <f t="shared" ca="1" si="52"/>
        <v/>
      </c>
      <c r="D176" s="122" t="str">
        <f t="shared" ca="1" si="53"/>
        <v/>
      </c>
      <c r="E176" s="70" t="str">
        <f t="shared" ca="1" si="54"/>
        <v/>
      </c>
      <c r="F176" s="120" t="str">
        <f t="shared" ca="1" si="55"/>
        <v/>
      </c>
      <c r="G176" s="122" t="str">
        <f t="shared" ca="1" si="56"/>
        <v/>
      </c>
      <c r="H176" s="70" t="str">
        <f t="shared" ca="1" si="57"/>
        <v/>
      </c>
      <c r="I176" s="120" t="str">
        <f t="shared" ca="1" si="58"/>
        <v/>
      </c>
      <c r="J176" s="122" t="str">
        <f t="shared" ca="1" si="59"/>
        <v/>
      </c>
      <c r="K176" s="70" t="str">
        <f t="shared" ca="1" si="60"/>
        <v/>
      </c>
      <c r="L176" s="120" t="str">
        <f t="shared" ca="1" si="61"/>
        <v/>
      </c>
      <c r="M176" s="122" t="str">
        <f t="shared" ca="1" si="62"/>
        <v/>
      </c>
      <c r="N176" s="70" t="str">
        <f t="shared" ca="1" si="63"/>
        <v/>
      </c>
      <c r="O176" s="120" t="str">
        <f t="shared" ca="1" si="64"/>
        <v/>
      </c>
    </row>
    <row r="177" spans="1:15" ht="16.5" customHeight="1">
      <c r="A177" s="47">
        <v>4</v>
      </c>
      <c r="B177" s="133" t="str">
        <f>HYPERLINK("#'" &amp; TEXT(투자전략!$G$1+3, "[$-ko-KR]yyyy.mm.dd") &amp; "'!A121:O145", TEXT(투자전략!$G$1+3, "[$-ko-KR]yyyy.mm.dd"))</f>
        <v>2023.03.04</v>
      </c>
      <c r="C177" s="118" t="str">
        <f t="shared" ca="1" si="52"/>
        <v/>
      </c>
      <c r="D177" s="122" t="str">
        <f t="shared" ca="1" si="53"/>
        <v/>
      </c>
      <c r="E177" s="70" t="str">
        <f t="shared" ca="1" si="54"/>
        <v/>
      </c>
      <c r="F177" s="120" t="str">
        <f t="shared" ca="1" si="55"/>
        <v/>
      </c>
      <c r="G177" s="122" t="str">
        <f t="shared" ca="1" si="56"/>
        <v/>
      </c>
      <c r="H177" s="70" t="str">
        <f t="shared" ca="1" si="57"/>
        <v/>
      </c>
      <c r="I177" s="120" t="str">
        <f t="shared" ca="1" si="58"/>
        <v/>
      </c>
      <c r="J177" s="122" t="str">
        <f t="shared" ca="1" si="59"/>
        <v/>
      </c>
      <c r="K177" s="70" t="str">
        <f t="shared" ca="1" si="60"/>
        <v/>
      </c>
      <c r="L177" s="120" t="str">
        <f t="shared" ca="1" si="61"/>
        <v/>
      </c>
      <c r="M177" s="122" t="str">
        <f t="shared" ca="1" si="62"/>
        <v/>
      </c>
      <c r="N177" s="70" t="str">
        <f t="shared" ca="1" si="63"/>
        <v/>
      </c>
      <c r="O177" s="120" t="str">
        <f t="shared" ca="1" si="64"/>
        <v/>
      </c>
    </row>
    <row r="178" spans="1:15" ht="16.5" customHeight="1">
      <c r="A178" s="47">
        <v>5</v>
      </c>
      <c r="B178" s="133" t="str">
        <f>HYPERLINK("#'" &amp; TEXT(투자전략!$G$1+4, "[$-ko-KR]yyyy.mm.dd") &amp; "'!A121:O145", TEXT(투자전략!$G$1+4, "[$-ko-KR]yyyy.mm.dd"))</f>
        <v>2023.03.05</v>
      </c>
      <c r="C178" s="118" t="str">
        <f t="shared" ca="1" si="52"/>
        <v/>
      </c>
      <c r="D178" s="122" t="str">
        <f t="shared" ca="1" si="53"/>
        <v/>
      </c>
      <c r="E178" s="70" t="str">
        <f t="shared" ca="1" si="54"/>
        <v/>
      </c>
      <c r="F178" s="120" t="str">
        <f t="shared" ca="1" si="55"/>
        <v/>
      </c>
      <c r="G178" s="122" t="str">
        <f t="shared" ca="1" si="56"/>
        <v/>
      </c>
      <c r="H178" s="70" t="str">
        <f t="shared" ca="1" si="57"/>
        <v/>
      </c>
      <c r="I178" s="120" t="str">
        <f t="shared" ca="1" si="58"/>
        <v/>
      </c>
      <c r="J178" s="122" t="str">
        <f t="shared" ca="1" si="59"/>
        <v/>
      </c>
      <c r="K178" s="70" t="str">
        <f t="shared" ca="1" si="60"/>
        <v/>
      </c>
      <c r="L178" s="120" t="str">
        <f t="shared" ca="1" si="61"/>
        <v/>
      </c>
      <c r="M178" s="122" t="str">
        <f t="shared" ca="1" si="62"/>
        <v/>
      </c>
      <c r="N178" s="70" t="str">
        <f t="shared" ca="1" si="63"/>
        <v/>
      </c>
      <c r="O178" s="120" t="str">
        <f t="shared" ca="1" si="64"/>
        <v/>
      </c>
    </row>
    <row r="179" spans="1:15" ht="16.5" customHeight="1">
      <c r="A179" s="47">
        <v>6</v>
      </c>
      <c r="B179" s="133" t="str">
        <f>HYPERLINK("#'" &amp; TEXT(투자전략!$G$1+5, "[$-ko-KR]yyyy.mm.dd") &amp; "'!A121:O145", TEXT(투자전략!$G$1+5, "[$-ko-KR]yyyy.mm.dd"))</f>
        <v>2023.03.06</v>
      </c>
      <c r="C179" s="118" t="str">
        <f t="shared" ca="1" si="52"/>
        <v/>
      </c>
      <c r="D179" s="122" t="str">
        <f t="shared" ca="1" si="53"/>
        <v/>
      </c>
      <c r="E179" s="70" t="str">
        <f t="shared" ca="1" si="54"/>
        <v/>
      </c>
      <c r="F179" s="120" t="str">
        <f t="shared" ca="1" si="55"/>
        <v/>
      </c>
      <c r="G179" s="122" t="str">
        <f t="shared" ca="1" si="56"/>
        <v/>
      </c>
      <c r="H179" s="70" t="str">
        <f t="shared" ca="1" si="57"/>
        <v/>
      </c>
      <c r="I179" s="120" t="str">
        <f t="shared" ca="1" si="58"/>
        <v/>
      </c>
      <c r="J179" s="122" t="str">
        <f t="shared" ca="1" si="59"/>
        <v/>
      </c>
      <c r="K179" s="70" t="str">
        <f t="shared" ca="1" si="60"/>
        <v/>
      </c>
      <c r="L179" s="120" t="str">
        <f t="shared" ca="1" si="61"/>
        <v/>
      </c>
      <c r="M179" s="122" t="str">
        <f t="shared" ca="1" si="62"/>
        <v/>
      </c>
      <c r="N179" s="70" t="str">
        <f t="shared" ca="1" si="63"/>
        <v/>
      </c>
      <c r="O179" s="120" t="str">
        <f t="shared" ca="1" si="64"/>
        <v/>
      </c>
    </row>
    <row r="180" spans="1:15" ht="16.5" customHeight="1" thickBot="1">
      <c r="A180" s="48">
        <v>7</v>
      </c>
      <c r="B180" s="134" t="str">
        <f>HYPERLINK("#'" &amp; TEXT(투자전략!$G$1+6, "[$-ko-KR]yyyy.mm.dd") &amp; "'!A121:O145", TEXT(투자전략!$G$1+6, "[$-ko-KR]yyyy.mm.dd"))</f>
        <v>2023.03.07</v>
      </c>
      <c r="C180" s="118">
        <f t="shared" ca="1" si="52"/>
        <v>3000000</v>
      </c>
      <c r="D180" s="122">
        <f t="shared" ca="1" si="53"/>
        <v>3000000</v>
      </c>
      <c r="E180" s="70">
        <f t="shared" ca="1" si="54"/>
        <v>0</v>
      </c>
      <c r="F180" s="120">
        <f t="shared" ca="1" si="55"/>
        <v>0</v>
      </c>
      <c r="G180" s="122">
        <f t="shared" ca="1" si="56"/>
        <v>2953571.2559225447</v>
      </c>
      <c r="H180" s="70">
        <f t="shared" ca="1" si="57"/>
        <v>-1.5476248025818493E-2</v>
      </c>
      <c r="I180" s="120">
        <f t="shared" ca="1" si="58"/>
        <v>-46428.744077455463</v>
      </c>
      <c r="J180" s="122">
        <f t="shared" ca="1" si="59"/>
        <v>2945414.7928587277</v>
      </c>
      <c r="K180" s="70">
        <f t="shared" ca="1" si="60"/>
        <v>-1.8195069047090798E-2</v>
      </c>
      <c r="L180" s="120">
        <f t="shared" ca="1" si="61"/>
        <v>-54585.207141272374</v>
      </c>
      <c r="M180" s="122">
        <f t="shared" ca="1" si="62"/>
        <v>2912885.2581517324</v>
      </c>
      <c r="N180" s="70">
        <f t="shared" ca="1" si="63"/>
        <v>-2.9038247282755846E-2</v>
      </c>
      <c r="O180" s="120">
        <f t="shared" ca="1" si="64"/>
        <v>-87114.741848267528</v>
      </c>
    </row>
    <row r="181" spans="1:15" ht="16.5" customHeight="1">
      <c r="A181" s="46">
        <v>8</v>
      </c>
      <c r="B181" s="132" t="str">
        <f>HYPERLINK("#'" &amp; TEXT(투자전략!$G$1+7, "[$-ko-KR]yyyy.mm.dd") &amp; "'!A121:O145", TEXT(투자전략!$G$1+7, "[$-ko-KR]yyyy.mm.dd"))</f>
        <v>2023.03.08</v>
      </c>
      <c r="C181" s="117">
        <f t="shared" ca="1" si="52"/>
        <v>3000000</v>
      </c>
      <c r="D181" s="125">
        <f t="shared" ca="1" si="53"/>
        <v>2940617.4265086693</v>
      </c>
      <c r="E181" s="69">
        <f t="shared" ca="1" si="54"/>
        <v>-1.9794191163776936E-2</v>
      </c>
      <c r="F181" s="124">
        <f t="shared" ca="1" si="55"/>
        <v>-59382.573491330804</v>
      </c>
      <c r="G181" s="125">
        <f t="shared" ca="1" si="56"/>
        <v>2888428.205070409</v>
      </c>
      <c r="H181" s="69">
        <f t="shared" ca="1" si="57"/>
        <v>-3.7190598309863758E-2</v>
      </c>
      <c r="I181" s="124">
        <f t="shared" ca="1" si="58"/>
        <v>-111571.79492959128</v>
      </c>
      <c r="J181" s="125">
        <f t="shared" ca="1" si="59"/>
        <v>2924645.9342735996</v>
      </c>
      <c r="K181" s="69">
        <f t="shared" ca="1" si="60"/>
        <v>-2.5118021908800203E-2</v>
      </c>
      <c r="L181" s="124">
        <f t="shared" ca="1" si="61"/>
        <v>-75354.0657264006</v>
      </c>
      <c r="M181" s="125">
        <f t="shared" ca="1" si="62"/>
        <v>2860825.0246757208</v>
      </c>
      <c r="N181" s="69">
        <f t="shared" ca="1" si="63"/>
        <v>-4.6391658441426356E-2</v>
      </c>
      <c r="O181" s="124">
        <f t="shared" ca="1" si="64"/>
        <v>-139174.9753242791</v>
      </c>
    </row>
    <row r="182" spans="1:15" ht="16.5" customHeight="1">
      <c r="A182" s="47">
        <v>9</v>
      </c>
      <c r="B182" s="133" t="str">
        <f>HYPERLINK("#'" &amp; TEXT(투자전략!$G$1+8, "[$-ko-KR]yyyy.mm.dd") &amp; "'!A121:O145", TEXT(투자전략!$G$1+8, "[$-ko-KR]yyyy.mm.dd"))</f>
        <v>2023.03.09</v>
      </c>
      <c r="C182" s="118">
        <f t="shared" ca="1" si="52"/>
        <v>3000000</v>
      </c>
      <c r="D182" s="122">
        <f t="shared" ca="1" si="53"/>
        <v>2982944.7431602702</v>
      </c>
      <c r="E182" s="70">
        <f t="shared" ca="1" si="54"/>
        <v>-5.6850856132431658E-3</v>
      </c>
      <c r="F182" s="120">
        <f t="shared" ca="1" si="55"/>
        <v>-17055.2568397295</v>
      </c>
      <c r="G182" s="122">
        <f t="shared" ca="1" si="56"/>
        <v>2960019.7490962078</v>
      </c>
      <c r="H182" s="70">
        <f t="shared" ca="1" si="57"/>
        <v>-1.3326750301264078E-2</v>
      </c>
      <c r="I182" s="120">
        <f t="shared" ca="1" si="58"/>
        <v>-39980.250903792228</v>
      </c>
      <c r="J182" s="122">
        <f t="shared" ca="1" si="59"/>
        <v>2956698.7702709837</v>
      </c>
      <c r="K182" s="70">
        <f t="shared" ca="1" si="60"/>
        <v>-1.4433743243005434E-2</v>
      </c>
      <c r="L182" s="120">
        <f t="shared" ca="1" si="61"/>
        <v>-43301.229729016304</v>
      </c>
      <c r="M182" s="122">
        <f t="shared" ca="1" si="62"/>
        <v>2999573.0728351935</v>
      </c>
      <c r="N182" s="70">
        <f t="shared" ca="1" si="63"/>
        <v>-1.4230905493554919E-4</v>
      </c>
      <c r="O182" s="120">
        <f t="shared" ca="1" si="64"/>
        <v>-426.92716480664694</v>
      </c>
    </row>
    <row r="183" spans="1:15" ht="16.5" customHeight="1">
      <c r="A183" s="47">
        <v>10</v>
      </c>
      <c r="B183" s="133" t="str">
        <f>HYPERLINK("#'" &amp; TEXT(투자전략!$G$1+9, "[$-ko-KR]yyyy.mm.dd") &amp; "'!A121:O145", TEXT(투자전략!$G$1+9, "[$-ko-KR]yyyy.mm.dd"))</f>
        <v>2023.03.10</v>
      </c>
      <c r="C183" s="118">
        <f t="shared" ca="1" si="52"/>
        <v>3000000</v>
      </c>
      <c r="D183" s="122">
        <f t="shared" ca="1" si="53"/>
        <v>2782527.4517238839</v>
      </c>
      <c r="E183" s="70">
        <f t="shared" ca="1" si="54"/>
        <v>-7.2490849425372123E-2</v>
      </c>
      <c r="F183" s="120">
        <f t="shared" ca="1" si="55"/>
        <v>-217472.54827611631</v>
      </c>
      <c r="G183" s="122">
        <f t="shared" ca="1" si="56"/>
        <v>2811671.5120645836</v>
      </c>
      <c r="H183" s="70">
        <f t="shared" ca="1" si="57"/>
        <v>-6.2776162645138772E-2</v>
      </c>
      <c r="I183" s="120">
        <f t="shared" ca="1" si="58"/>
        <v>-188328.48793541634</v>
      </c>
      <c r="J183" s="122">
        <f t="shared" ca="1" si="59"/>
        <v>2762437.5208912874</v>
      </c>
      <c r="K183" s="70">
        <f t="shared" ca="1" si="60"/>
        <v>-7.9187493036237594E-2</v>
      </c>
      <c r="L183" s="120">
        <f t="shared" ca="1" si="61"/>
        <v>-237562.47910871275</v>
      </c>
      <c r="M183" s="122">
        <f t="shared" ca="1" si="62"/>
        <v>2778213.8293638048</v>
      </c>
      <c r="N183" s="70">
        <f t="shared" ca="1" si="63"/>
        <v>-7.3928723545398395E-2</v>
      </c>
      <c r="O183" s="120">
        <f t="shared" ca="1" si="64"/>
        <v>-221786.17063619519</v>
      </c>
    </row>
    <row r="184" spans="1:15" ht="16.5" customHeight="1">
      <c r="A184" s="47">
        <v>11</v>
      </c>
      <c r="B184" s="133" t="str">
        <f>HYPERLINK("#'" &amp; TEXT(투자전략!$G$1+10, "[$-ko-KR]yyyy.mm.dd") &amp; "'!A121:O145", TEXT(투자전략!$G$1+10, "[$-ko-KR]yyyy.mm.dd"))</f>
        <v>2023.03.11</v>
      </c>
      <c r="C184" s="118">
        <f t="shared" ca="1" si="52"/>
        <v>3000000</v>
      </c>
      <c r="D184" s="122">
        <f t="shared" ca="1" si="53"/>
        <v>3141462.9915693831</v>
      </c>
      <c r="E184" s="70">
        <f t="shared" ca="1" si="54"/>
        <v>4.7154330523127674E-2</v>
      </c>
      <c r="F184" s="120">
        <f t="shared" ca="1" si="55"/>
        <v>141462.99156938301</v>
      </c>
      <c r="G184" s="122">
        <f t="shared" ca="1" si="56"/>
        <v>3052152.1778456131</v>
      </c>
      <c r="H184" s="70">
        <f t="shared" ca="1" si="57"/>
        <v>1.7384059281871138E-2</v>
      </c>
      <c r="I184" s="120">
        <f t="shared" ca="1" si="58"/>
        <v>52152.177845613405</v>
      </c>
      <c r="J184" s="122">
        <f t="shared" ca="1" si="59"/>
        <v>3028351.3493207535</v>
      </c>
      <c r="K184" s="70">
        <f t="shared" ca="1" si="60"/>
        <v>9.4504497735844635E-3</v>
      </c>
      <c r="L184" s="120">
        <f t="shared" ca="1" si="61"/>
        <v>28351.349320753383</v>
      </c>
      <c r="M184" s="122">
        <f t="shared" ca="1" si="62"/>
        <v>3037940.7750104219</v>
      </c>
      <c r="N184" s="70">
        <f t="shared" ca="1" si="63"/>
        <v>1.2646925003473985E-2</v>
      </c>
      <c r="O184" s="120">
        <f t="shared" ca="1" si="64"/>
        <v>37940.775010421959</v>
      </c>
    </row>
    <row r="185" spans="1:15" ht="16.5" customHeight="1">
      <c r="A185" s="47">
        <v>12</v>
      </c>
      <c r="B185" s="133" t="str">
        <f>HYPERLINK("#'" &amp; TEXT(투자전략!$G$1+11, "[$-ko-KR]yyyy.mm.dd") &amp; "'!A121:O145", TEXT(투자전략!$G$1+11, "[$-ko-KR]yyyy.mm.dd"))</f>
        <v>2023.03.12</v>
      </c>
      <c r="C185" s="118">
        <f t="shared" ca="1" si="52"/>
        <v>3000000</v>
      </c>
      <c r="D185" s="122">
        <f t="shared" ca="1" si="53"/>
        <v>3021418.1377200354</v>
      </c>
      <c r="E185" s="70">
        <f t="shared" ca="1" si="54"/>
        <v>7.1393792400117869E-3</v>
      </c>
      <c r="F185" s="120">
        <f t="shared" ca="1" si="55"/>
        <v>21418.13772003536</v>
      </c>
      <c r="G185" s="122">
        <f t="shared" ca="1" si="56"/>
        <v>3006251.5888831438</v>
      </c>
      <c r="H185" s="70">
        <f t="shared" ca="1" si="57"/>
        <v>2.0838629610479545E-3</v>
      </c>
      <c r="I185" s="120">
        <f t="shared" ca="1" si="58"/>
        <v>6251.5888831438633</v>
      </c>
      <c r="J185" s="122">
        <f t="shared" ca="1" si="59"/>
        <v>3012928.3626192771</v>
      </c>
      <c r="K185" s="70">
        <f t="shared" ca="1" si="60"/>
        <v>4.3094542064256612E-3</v>
      </c>
      <c r="L185" s="120">
        <f t="shared" ca="1" si="61"/>
        <v>12928.362619276988</v>
      </c>
      <c r="M185" s="122">
        <f t="shared" ca="1" si="62"/>
        <v>2945244.3723041494</v>
      </c>
      <c r="N185" s="70">
        <f t="shared" ca="1" si="63"/>
        <v>-1.8251875898616893E-2</v>
      </c>
      <c r="O185" s="120">
        <f t="shared" ca="1" si="64"/>
        <v>-54755.627695850664</v>
      </c>
    </row>
    <row r="186" spans="1:15" ht="16.5" customHeight="1">
      <c r="A186" s="47">
        <v>13</v>
      </c>
      <c r="B186" s="133" t="str">
        <f>HYPERLINK("#'" &amp; TEXT(투자전략!$G$1+12, "[$-ko-KR]yyyy.mm.dd") &amp; "'!A121:O145", TEXT(투자전략!$G$1+12, "[$-ko-KR]yyyy.mm.dd"))</f>
        <v>2023.03.13</v>
      </c>
      <c r="C186" s="118">
        <f t="shared" ca="1" si="52"/>
        <v>3000000</v>
      </c>
      <c r="D186" s="122">
        <f t="shared" ca="1" si="53"/>
        <v>3259264.0171587965</v>
      </c>
      <c r="E186" s="70">
        <f t="shared" ca="1" si="54"/>
        <v>8.64213390529322E-2</v>
      </c>
      <c r="F186" s="120">
        <f t="shared" ca="1" si="55"/>
        <v>259264.01715879666</v>
      </c>
      <c r="G186" s="122">
        <f t="shared" ca="1" si="56"/>
        <v>3216287.3494620868</v>
      </c>
      <c r="H186" s="70">
        <f t="shared" ca="1" si="57"/>
        <v>7.2095783154028911E-2</v>
      </c>
      <c r="I186" s="120">
        <f t="shared" ca="1" si="58"/>
        <v>216287.34946208671</v>
      </c>
      <c r="J186" s="122">
        <f t="shared" ca="1" si="59"/>
        <v>3334109.3054476082</v>
      </c>
      <c r="K186" s="70">
        <f t="shared" ca="1" si="60"/>
        <v>0.11136976848253607</v>
      </c>
      <c r="L186" s="120">
        <f t="shared" ca="1" si="61"/>
        <v>334109.30544760829</v>
      </c>
      <c r="M186" s="122">
        <f t="shared" ca="1" si="62"/>
        <v>3407578.2250799513</v>
      </c>
      <c r="N186" s="70">
        <f t="shared" ca="1" si="63"/>
        <v>0.13585940835998372</v>
      </c>
      <c r="O186" s="120">
        <f t="shared" ca="1" si="64"/>
        <v>407578.22507995111</v>
      </c>
    </row>
    <row r="187" spans="1:15" ht="16.5" customHeight="1" thickBot="1">
      <c r="A187" s="48">
        <v>14</v>
      </c>
      <c r="B187" s="134" t="str">
        <f>HYPERLINK("#'" &amp; TEXT(투자전략!$G$1+13, "[$-ko-KR]yyyy.mm.dd") &amp; "'!A121:O145", TEXT(투자전략!$G$1+13, "[$-ko-KR]yyyy.mm.dd"))</f>
        <v>2023.03.14</v>
      </c>
      <c r="C187" s="119">
        <f t="shared" ca="1" si="52"/>
        <v>3000000</v>
      </c>
      <c r="D187" s="123">
        <f t="shared" ca="1" si="53"/>
        <v>3158105.9456993956</v>
      </c>
      <c r="E187" s="72">
        <f t="shared" ca="1" si="54"/>
        <v>5.2701981899798508E-2</v>
      </c>
      <c r="F187" s="121">
        <f t="shared" ca="1" si="55"/>
        <v>158105.94569939561</v>
      </c>
      <c r="G187" s="123">
        <f t="shared" ca="1" si="56"/>
        <v>3064095.8034363515</v>
      </c>
      <c r="H187" s="72">
        <f t="shared" ca="1" si="57"/>
        <v>2.1365267812117231E-2</v>
      </c>
      <c r="I187" s="121">
        <f t="shared" ca="1" si="58"/>
        <v>64095.803436351693</v>
      </c>
      <c r="J187" s="123">
        <f t="shared" ca="1" si="59"/>
        <v>3106924.6657366096</v>
      </c>
      <c r="K187" s="72">
        <f t="shared" ca="1" si="60"/>
        <v>3.5641555245536367E-2</v>
      </c>
      <c r="L187" s="121">
        <f t="shared" ca="1" si="61"/>
        <v>106924.66573660909</v>
      </c>
      <c r="M187" s="123">
        <f t="shared" ca="1" si="62"/>
        <v>3255137.8995227939</v>
      </c>
      <c r="N187" s="72">
        <f t="shared" ca="1" si="63"/>
        <v>8.504596650759802E-2</v>
      </c>
      <c r="O187" s="121">
        <f t="shared" ca="1" si="64"/>
        <v>255137.899522794</v>
      </c>
    </row>
    <row r="188" spans="1:15" ht="16.5" customHeight="1">
      <c r="A188" s="46">
        <v>15</v>
      </c>
      <c r="B188" s="132" t="str">
        <f>HYPERLINK("#'" &amp; TEXT(투자전략!$G$1+14, "[$-ko-KR]yyyy.mm.dd") &amp; "'!A121:O145", TEXT(투자전략!$G$1+14, "[$-ko-KR]yyyy.mm.dd"))</f>
        <v>2023.03.15</v>
      </c>
      <c r="C188" s="118">
        <f t="shared" ca="1" si="52"/>
        <v>3000000</v>
      </c>
      <c r="D188" s="122">
        <f t="shared" ca="1" si="53"/>
        <v>3026351.306111725</v>
      </c>
      <c r="E188" s="70">
        <f t="shared" ca="1" si="54"/>
        <v>8.783768703908252E-3</v>
      </c>
      <c r="F188" s="120">
        <f t="shared" ca="1" si="55"/>
        <v>26351.306111724753</v>
      </c>
      <c r="G188" s="122">
        <f t="shared" ca="1" si="56"/>
        <v>3018506.7134868684</v>
      </c>
      <c r="H188" s="70">
        <f t="shared" ca="1" si="57"/>
        <v>6.1689044956228858E-3</v>
      </c>
      <c r="I188" s="120">
        <f t="shared" ca="1" si="58"/>
        <v>18506.713486868663</v>
      </c>
      <c r="J188" s="122">
        <f t="shared" ca="1" si="59"/>
        <v>3002091.2142675747</v>
      </c>
      <c r="K188" s="70">
        <f t="shared" ca="1" si="60"/>
        <v>6.970714225248446E-4</v>
      </c>
      <c r="L188" s="120">
        <f t="shared" ca="1" si="61"/>
        <v>2091.2142675745336</v>
      </c>
      <c r="M188" s="122">
        <f t="shared" ca="1" si="62"/>
        <v>2974501.6834325506</v>
      </c>
      <c r="N188" s="70">
        <f t="shared" ca="1" si="63"/>
        <v>-8.4994388558163707E-3</v>
      </c>
      <c r="O188" s="120">
        <f t="shared" ca="1" si="64"/>
        <v>-25498.316567449117</v>
      </c>
    </row>
    <row r="189" spans="1:15" ht="16.5" customHeight="1">
      <c r="A189" s="47">
        <v>16</v>
      </c>
      <c r="B189" s="133" t="str">
        <f>HYPERLINK("#'" &amp; TEXT(투자전략!$G$1+15, "[$-ko-KR]yyyy.mm.dd") &amp; "'!A121:O145", TEXT(투자전략!$G$1+15, "[$-ko-KR]yyyy.mm.dd"))</f>
        <v>2023.03.16</v>
      </c>
      <c r="C189" s="118">
        <f t="shared" ca="1" si="52"/>
        <v>3000000</v>
      </c>
      <c r="D189" s="122">
        <f t="shared" ca="1" si="53"/>
        <v>2886829.9416114627</v>
      </c>
      <c r="E189" s="70">
        <f t="shared" ca="1" si="54"/>
        <v>-3.7723352796179069E-2</v>
      </c>
      <c r="F189" s="120">
        <f t="shared" ca="1" si="55"/>
        <v>-113170.0583885372</v>
      </c>
      <c r="G189" s="122">
        <f t="shared" ca="1" si="56"/>
        <v>2937528.1556471055</v>
      </c>
      <c r="H189" s="70">
        <f t="shared" ca="1" si="57"/>
        <v>-2.082394811763149E-2</v>
      </c>
      <c r="I189" s="120">
        <f t="shared" ca="1" si="58"/>
        <v>-62471.844352894477</v>
      </c>
      <c r="J189" s="122">
        <f t="shared" ca="1" si="59"/>
        <v>2966342.0098713161</v>
      </c>
      <c r="K189" s="70">
        <f t="shared" ca="1" si="60"/>
        <v>-1.1219330042894497E-2</v>
      </c>
      <c r="L189" s="120">
        <f t="shared" ca="1" si="61"/>
        <v>-33657.990128683487</v>
      </c>
      <c r="M189" s="122">
        <f t="shared" ca="1" si="62"/>
        <v>2946893.5078179841</v>
      </c>
      <c r="N189" s="70">
        <f t="shared" ca="1" si="63"/>
        <v>-1.7702164060672008E-2</v>
      </c>
      <c r="O189" s="120">
        <f t="shared" ca="1" si="64"/>
        <v>-53106.492182016023</v>
      </c>
    </row>
    <row r="190" spans="1:15" ht="16.5" customHeight="1">
      <c r="A190" s="47">
        <v>17</v>
      </c>
      <c r="B190" s="133" t="str">
        <f>HYPERLINK("#'" &amp; TEXT(투자전략!$G$1+16, "[$-ko-KR]yyyy.mm.dd") &amp; "'!A121:O145", TEXT(투자전략!$G$1+16, "[$-ko-KR]yyyy.mm.dd"))</f>
        <v>2023.03.17</v>
      </c>
      <c r="C190" s="118">
        <f t="shared" ca="1" si="52"/>
        <v>3000000</v>
      </c>
      <c r="D190" s="122">
        <f t="shared" ca="1" si="53"/>
        <v>3000000</v>
      </c>
      <c r="E190" s="70">
        <f t="shared" ca="1" si="54"/>
        <v>0</v>
      </c>
      <c r="F190" s="120">
        <f t="shared" ca="1" si="55"/>
        <v>0</v>
      </c>
      <c r="G190" s="122">
        <f t="shared" ca="1" si="56"/>
        <v>3000000</v>
      </c>
      <c r="H190" s="70">
        <f t="shared" ca="1" si="57"/>
        <v>0</v>
      </c>
      <c r="I190" s="120">
        <f t="shared" ca="1" si="58"/>
        <v>0</v>
      </c>
      <c r="J190" s="122">
        <f t="shared" ca="1" si="59"/>
        <v>3000000</v>
      </c>
      <c r="K190" s="70">
        <f t="shared" ca="1" si="60"/>
        <v>0</v>
      </c>
      <c r="L190" s="120">
        <f t="shared" ca="1" si="61"/>
        <v>0</v>
      </c>
      <c r="M190" s="122">
        <f t="shared" ca="1" si="62"/>
        <v>3000000</v>
      </c>
      <c r="N190" s="70">
        <f t="shared" ca="1" si="63"/>
        <v>0</v>
      </c>
      <c r="O190" s="120">
        <f t="shared" ca="1" si="64"/>
        <v>0</v>
      </c>
    </row>
    <row r="191" spans="1:15" ht="16.5" customHeight="1">
      <c r="A191" s="47">
        <v>18</v>
      </c>
      <c r="B191" s="133" t="str">
        <f>HYPERLINK("#'" &amp; TEXT(투자전략!$G$1+17, "[$-ko-KR]yyyy.mm.dd") &amp; "'!A121:O145", TEXT(투자전략!$G$1+17, "[$-ko-KR]yyyy.mm.dd"))</f>
        <v>2023.03.18</v>
      </c>
      <c r="C191" s="118" t="str">
        <f t="shared" ca="1" si="52"/>
        <v/>
      </c>
      <c r="D191" s="122" t="str">
        <f t="shared" ca="1" si="53"/>
        <v/>
      </c>
      <c r="E191" s="70" t="str">
        <f t="shared" ca="1" si="54"/>
        <v/>
      </c>
      <c r="F191" s="120" t="str">
        <f t="shared" ca="1" si="55"/>
        <v/>
      </c>
      <c r="G191" s="122" t="str">
        <f t="shared" ca="1" si="56"/>
        <v/>
      </c>
      <c r="H191" s="70" t="str">
        <f t="shared" ca="1" si="57"/>
        <v/>
      </c>
      <c r="I191" s="120" t="str">
        <f t="shared" ca="1" si="58"/>
        <v/>
      </c>
      <c r="J191" s="122" t="str">
        <f t="shared" ca="1" si="59"/>
        <v/>
      </c>
      <c r="K191" s="70" t="str">
        <f t="shared" ca="1" si="60"/>
        <v/>
      </c>
      <c r="L191" s="120" t="str">
        <f t="shared" ca="1" si="61"/>
        <v/>
      </c>
      <c r="M191" s="122" t="str">
        <f t="shared" ca="1" si="62"/>
        <v/>
      </c>
      <c r="N191" s="70" t="str">
        <f t="shared" ca="1" si="63"/>
        <v/>
      </c>
      <c r="O191" s="120" t="str">
        <f t="shared" ca="1" si="64"/>
        <v/>
      </c>
    </row>
    <row r="192" spans="1:15" ht="16.5" customHeight="1">
      <c r="A192" s="47">
        <v>19</v>
      </c>
      <c r="B192" s="133" t="str">
        <f>HYPERLINK("#'" &amp; TEXT(투자전략!$G$1+18, "[$-ko-KR]yyyy.mm.dd") &amp; "'!A121:O145", TEXT(투자전략!$G$1+18, "[$-ko-KR]yyyy.mm.dd"))</f>
        <v>2023.03.19</v>
      </c>
      <c r="C192" s="118" t="str">
        <f t="shared" ca="1" si="52"/>
        <v/>
      </c>
      <c r="D192" s="122" t="str">
        <f t="shared" ca="1" si="53"/>
        <v/>
      </c>
      <c r="E192" s="70" t="str">
        <f t="shared" ca="1" si="54"/>
        <v/>
      </c>
      <c r="F192" s="120" t="str">
        <f t="shared" ca="1" si="55"/>
        <v/>
      </c>
      <c r="G192" s="122" t="str">
        <f t="shared" ca="1" si="56"/>
        <v/>
      </c>
      <c r="H192" s="70" t="str">
        <f t="shared" ca="1" si="57"/>
        <v/>
      </c>
      <c r="I192" s="120" t="str">
        <f t="shared" ca="1" si="58"/>
        <v/>
      </c>
      <c r="J192" s="122" t="str">
        <f t="shared" ca="1" si="59"/>
        <v/>
      </c>
      <c r="K192" s="70" t="str">
        <f t="shared" ca="1" si="60"/>
        <v/>
      </c>
      <c r="L192" s="120" t="str">
        <f t="shared" ca="1" si="61"/>
        <v/>
      </c>
      <c r="M192" s="122" t="str">
        <f t="shared" ca="1" si="62"/>
        <v/>
      </c>
      <c r="N192" s="70" t="str">
        <f t="shared" ca="1" si="63"/>
        <v/>
      </c>
      <c r="O192" s="120" t="str">
        <f t="shared" ca="1" si="64"/>
        <v/>
      </c>
    </row>
    <row r="193" spans="1:15" ht="16.5" customHeight="1">
      <c r="A193" s="47">
        <v>20</v>
      </c>
      <c r="B193" s="133" t="str">
        <f>HYPERLINK("#'" &amp; TEXT(투자전략!$G$1+19, "[$-ko-KR]yyyy.mm.dd") &amp; "'!A121:O145", TEXT(투자전략!$G$1+19, "[$-ko-KR]yyyy.mm.dd"))</f>
        <v>2023.03.20</v>
      </c>
      <c r="C193" s="118" t="str">
        <f t="shared" ca="1" si="52"/>
        <v/>
      </c>
      <c r="D193" s="122" t="str">
        <f t="shared" ca="1" si="53"/>
        <v/>
      </c>
      <c r="E193" s="70" t="str">
        <f t="shared" ca="1" si="54"/>
        <v/>
      </c>
      <c r="F193" s="120" t="str">
        <f t="shared" ca="1" si="55"/>
        <v/>
      </c>
      <c r="G193" s="122" t="str">
        <f t="shared" ca="1" si="56"/>
        <v/>
      </c>
      <c r="H193" s="70" t="str">
        <f t="shared" ca="1" si="57"/>
        <v/>
      </c>
      <c r="I193" s="120" t="str">
        <f t="shared" ca="1" si="58"/>
        <v/>
      </c>
      <c r="J193" s="122" t="str">
        <f t="shared" ca="1" si="59"/>
        <v/>
      </c>
      <c r="K193" s="70" t="str">
        <f t="shared" ca="1" si="60"/>
        <v/>
      </c>
      <c r="L193" s="120" t="str">
        <f t="shared" ca="1" si="61"/>
        <v/>
      </c>
      <c r="M193" s="122" t="str">
        <f t="shared" ca="1" si="62"/>
        <v/>
      </c>
      <c r="N193" s="70" t="str">
        <f t="shared" ca="1" si="63"/>
        <v/>
      </c>
      <c r="O193" s="120" t="str">
        <f t="shared" ca="1" si="64"/>
        <v/>
      </c>
    </row>
    <row r="194" spans="1:15" ht="16.5" customHeight="1" thickBot="1">
      <c r="A194" s="48">
        <v>21</v>
      </c>
      <c r="B194" s="134" t="str">
        <f>HYPERLINK("#'" &amp; TEXT(투자전략!$G$1+20, "[$-ko-KR]yyyy.mm.dd") &amp; "'!A121:O145", TEXT(투자전략!$G$1+20, "[$-ko-KR]yyyy.mm.dd"))</f>
        <v>2023.03.21</v>
      </c>
      <c r="C194" s="118" t="str">
        <f t="shared" ca="1" si="52"/>
        <v/>
      </c>
      <c r="D194" s="122" t="str">
        <f t="shared" ca="1" si="53"/>
        <v/>
      </c>
      <c r="E194" s="70" t="str">
        <f t="shared" ca="1" si="54"/>
        <v/>
      </c>
      <c r="F194" s="120" t="str">
        <f t="shared" ca="1" si="55"/>
        <v/>
      </c>
      <c r="G194" s="122" t="str">
        <f t="shared" ca="1" si="56"/>
        <v/>
      </c>
      <c r="H194" s="70" t="str">
        <f t="shared" ca="1" si="57"/>
        <v/>
      </c>
      <c r="I194" s="120" t="str">
        <f t="shared" ca="1" si="58"/>
        <v/>
      </c>
      <c r="J194" s="122" t="str">
        <f t="shared" ca="1" si="59"/>
        <v/>
      </c>
      <c r="K194" s="70" t="str">
        <f t="shared" ca="1" si="60"/>
        <v/>
      </c>
      <c r="L194" s="120" t="str">
        <f t="shared" ca="1" si="61"/>
        <v/>
      </c>
      <c r="M194" s="122" t="str">
        <f t="shared" ca="1" si="62"/>
        <v/>
      </c>
      <c r="N194" s="70" t="str">
        <f t="shared" ca="1" si="63"/>
        <v/>
      </c>
      <c r="O194" s="120" t="str">
        <f t="shared" ca="1" si="64"/>
        <v/>
      </c>
    </row>
    <row r="195" spans="1:15" ht="16.5" customHeight="1">
      <c r="A195" s="46">
        <v>22</v>
      </c>
      <c r="B195" s="132" t="str">
        <f>HYPERLINK("#'" &amp; TEXT(투자전략!$G$1+21, "[$-ko-KR]yyyy.mm.dd") &amp; "'!A121:O145", TEXT(투자전략!$G$1+21, "[$-ko-KR]yyyy.mm.dd"))</f>
        <v>2023.03.22</v>
      </c>
      <c r="C195" s="117" t="str">
        <f t="shared" ca="1" si="52"/>
        <v/>
      </c>
      <c r="D195" s="125" t="str">
        <f t="shared" ca="1" si="53"/>
        <v/>
      </c>
      <c r="E195" s="69" t="str">
        <f t="shared" ca="1" si="54"/>
        <v/>
      </c>
      <c r="F195" s="124" t="str">
        <f t="shared" ca="1" si="55"/>
        <v/>
      </c>
      <c r="G195" s="125" t="str">
        <f t="shared" ca="1" si="56"/>
        <v/>
      </c>
      <c r="H195" s="69" t="str">
        <f t="shared" ca="1" si="57"/>
        <v/>
      </c>
      <c r="I195" s="124" t="str">
        <f t="shared" ca="1" si="58"/>
        <v/>
      </c>
      <c r="J195" s="125" t="str">
        <f t="shared" ca="1" si="59"/>
        <v/>
      </c>
      <c r="K195" s="69" t="str">
        <f t="shared" ca="1" si="60"/>
        <v/>
      </c>
      <c r="L195" s="124" t="str">
        <f t="shared" ca="1" si="61"/>
        <v/>
      </c>
      <c r="M195" s="125" t="str">
        <f t="shared" ca="1" si="62"/>
        <v/>
      </c>
      <c r="N195" s="69" t="str">
        <f t="shared" ca="1" si="63"/>
        <v/>
      </c>
      <c r="O195" s="124" t="str">
        <f t="shared" ca="1" si="64"/>
        <v/>
      </c>
    </row>
    <row r="196" spans="1:15" ht="16.5" customHeight="1">
      <c r="A196" s="47">
        <v>23</v>
      </c>
      <c r="B196" s="133" t="str">
        <f>HYPERLINK("#'" &amp; TEXT(투자전략!$G$1+22, "[$-ko-KR]yyyy.mm.dd") &amp; "'!A121:O145", TEXT(투자전략!$G$1+22, "[$-ko-KR]yyyy.mm.dd"))</f>
        <v>2023.03.23</v>
      </c>
      <c r="C196" s="118" t="str">
        <f t="shared" ca="1" si="52"/>
        <v/>
      </c>
      <c r="D196" s="122" t="str">
        <f t="shared" ca="1" si="53"/>
        <v/>
      </c>
      <c r="E196" s="70" t="str">
        <f t="shared" ca="1" si="54"/>
        <v/>
      </c>
      <c r="F196" s="120" t="str">
        <f t="shared" ca="1" si="55"/>
        <v/>
      </c>
      <c r="G196" s="122" t="str">
        <f t="shared" ca="1" si="56"/>
        <v/>
      </c>
      <c r="H196" s="70" t="str">
        <f t="shared" ca="1" si="57"/>
        <v/>
      </c>
      <c r="I196" s="120" t="str">
        <f t="shared" ca="1" si="58"/>
        <v/>
      </c>
      <c r="J196" s="122" t="str">
        <f t="shared" ca="1" si="59"/>
        <v/>
      </c>
      <c r="K196" s="70" t="str">
        <f t="shared" ca="1" si="60"/>
        <v/>
      </c>
      <c r="L196" s="120" t="str">
        <f t="shared" ca="1" si="61"/>
        <v/>
      </c>
      <c r="M196" s="122" t="str">
        <f t="shared" ca="1" si="62"/>
        <v/>
      </c>
      <c r="N196" s="70" t="str">
        <f t="shared" ca="1" si="63"/>
        <v/>
      </c>
      <c r="O196" s="120" t="str">
        <f t="shared" ca="1" si="64"/>
        <v/>
      </c>
    </row>
    <row r="197" spans="1:15" ht="16.5" customHeight="1">
      <c r="A197" s="47">
        <v>24</v>
      </c>
      <c r="B197" s="133" t="str">
        <f>HYPERLINK("#'" &amp; TEXT(투자전략!$G$1+23, "[$-ko-KR]yyyy.mm.dd") &amp; "'!A121:O145", TEXT(투자전략!$G$1+23, "[$-ko-KR]yyyy.mm.dd"))</f>
        <v>2023.03.24</v>
      </c>
      <c r="C197" s="118" t="str">
        <f t="shared" ca="1" si="52"/>
        <v/>
      </c>
      <c r="D197" s="122" t="str">
        <f t="shared" ca="1" si="53"/>
        <v/>
      </c>
      <c r="E197" s="70" t="str">
        <f t="shared" ca="1" si="54"/>
        <v/>
      </c>
      <c r="F197" s="120" t="str">
        <f t="shared" ca="1" si="55"/>
        <v/>
      </c>
      <c r="G197" s="122" t="str">
        <f t="shared" ca="1" si="56"/>
        <v/>
      </c>
      <c r="H197" s="70" t="str">
        <f t="shared" ca="1" si="57"/>
        <v/>
      </c>
      <c r="I197" s="120" t="str">
        <f t="shared" ca="1" si="58"/>
        <v/>
      </c>
      <c r="J197" s="122" t="str">
        <f t="shared" ca="1" si="59"/>
        <v/>
      </c>
      <c r="K197" s="70" t="str">
        <f t="shared" ca="1" si="60"/>
        <v/>
      </c>
      <c r="L197" s="120" t="str">
        <f t="shared" ca="1" si="61"/>
        <v/>
      </c>
      <c r="M197" s="122" t="str">
        <f t="shared" ca="1" si="62"/>
        <v/>
      </c>
      <c r="N197" s="70" t="str">
        <f t="shared" ca="1" si="63"/>
        <v/>
      </c>
      <c r="O197" s="120" t="str">
        <f t="shared" ca="1" si="64"/>
        <v/>
      </c>
    </row>
    <row r="198" spans="1:15" ht="16.5" customHeight="1">
      <c r="A198" s="47">
        <v>25</v>
      </c>
      <c r="B198" s="133" t="str">
        <f>HYPERLINK("#'" &amp; TEXT(투자전략!$G$1+24, "[$-ko-KR]yyyy.mm.dd") &amp; "'!A121:O145", TEXT(투자전략!$G$1+24, "[$-ko-KR]yyyy.mm.dd"))</f>
        <v>2023.03.25</v>
      </c>
      <c r="C198" s="118" t="str">
        <f t="shared" ca="1" si="52"/>
        <v/>
      </c>
      <c r="D198" s="122" t="str">
        <f t="shared" ca="1" si="53"/>
        <v/>
      </c>
      <c r="E198" s="70" t="str">
        <f t="shared" ca="1" si="54"/>
        <v/>
      </c>
      <c r="F198" s="120" t="str">
        <f t="shared" ca="1" si="55"/>
        <v/>
      </c>
      <c r="G198" s="122" t="str">
        <f t="shared" ca="1" si="56"/>
        <v/>
      </c>
      <c r="H198" s="70" t="str">
        <f t="shared" ca="1" si="57"/>
        <v/>
      </c>
      <c r="I198" s="120" t="str">
        <f t="shared" ca="1" si="58"/>
        <v/>
      </c>
      <c r="J198" s="122" t="str">
        <f t="shared" ca="1" si="59"/>
        <v/>
      </c>
      <c r="K198" s="70" t="str">
        <f t="shared" ca="1" si="60"/>
        <v/>
      </c>
      <c r="L198" s="120" t="str">
        <f t="shared" ca="1" si="61"/>
        <v/>
      </c>
      <c r="M198" s="122" t="str">
        <f t="shared" ca="1" si="62"/>
        <v/>
      </c>
      <c r="N198" s="70" t="str">
        <f t="shared" ca="1" si="63"/>
        <v/>
      </c>
      <c r="O198" s="120" t="str">
        <f t="shared" ca="1" si="64"/>
        <v/>
      </c>
    </row>
    <row r="199" spans="1:15" ht="16.5" customHeight="1">
      <c r="A199" s="47">
        <v>26</v>
      </c>
      <c r="B199" s="133" t="str">
        <f>HYPERLINK("#'" &amp; TEXT(투자전략!$G$1+25, "[$-ko-KR]yyyy.mm.dd") &amp; "'!A121:O145", TEXT(투자전략!$G$1+25, "[$-ko-KR]yyyy.mm.dd"))</f>
        <v>2023.03.26</v>
      </c>
      <c r="C199" s="118" t="str">
        <f t="shared" ca="1" si="52"/>
        <v/>
      </c>
      <c r="D199" s="122" t="str">
        <f t="shared" ca="1" si="53"/>
        <v/>
      </c>
      <c r="E199" s="70" t="str">
        <f t="shared" ca="1" si="54"/>
        <v/>
      </c>
      <c r="F199" s="120" t="str">
        <f t="shared" ca="1" si="55"/>
        <v/>
      </c>
      <c r="G199" s="122" t="str">
        <f t="shared" ca="1" si="56"/>
        <v/>
      </c>
      <c r="H199" s="70" t="str">
        <f t="shared" ca="1" si="57"/>
        <v/>
      </c>
      <c r="I199" s="120" t="str">
        <f t="shared" ca="1" si="58"/>
        <v/>
      </c>
      <c r="J199" s="122" t="str">
        <f t="shared" ca="1" si="59"/>
        <v/>
      </c>
      <c r="K199" s="70" t="str">
        <f t="shared" ca="1" si="60"/>
        <v/>
      </c>
      <c r="L199" s="120" t="str">
        <f t="shared" ca="1" si="61"/>
        <v/>
      </c>
      <c r="M199" s="122" t="str">
        <f t="shared" ca="1" si="62"/>
        <v/>
      </c>
      <c r="N199" s="70" t="str">
        <f t="shared" ca="1" si="63"/>
        <v/>
      </c>
      <c r="O199" s="120" t="str">
        <f t="shared" ca="1" si="64"/>
        <v/>
      </c>
    </row>
    <row r="200" spans="1:15" ht="16.5" customHeight="1">
      <c r="A200" s="47">
        <v>27</v>
      </c>
      <c r="B200" s="133" t="str">
        <f>HYPERLINK("#'" &amp; TEXT(투자전략!$G$1+26, "[$-ko-KR]yyyy.mm.dd") &amp; "'!A121:O145", TEXT(투자전략!$G$1+26, "[$-ko-KR]yyyy.mm.dd"))</f>
        <v>2023.03.27</v>
      </c>
      <c r="C200" s="118" t="str">
        <f t="shared" ca="1" si="52"/>
        <v/>
      </c>
      <c r="D200" s="122" t="str">
        <f t="shared" ca="1" si="53"/>
        <v/>
      </c>
      <c r="E200" s="70" t="str">
        <f t="shared" ca="1" si="54"/>
        <v/>
      </c>
      <c r="F200" s="120" t="str">
        <f t="shared" ca="1" si="55"/>
        <v/>
      </c>
      <c r="G200" s="122" t="str">
        <f t="shared" ca="1" si="56"/>
        <v/>
      </c>
      <c r="H200" s="70" t="str">
        <f t="shared" ca="1" si="57"/>
        <v/>
      </c>
      <c r="I200" s="120" t="str">
        <f t="shared" ca="1" si="58"/>
        <v/>
      </c>
      <c r="J200" s="122" t="str">
        <f t="shared" ca="1" si="59"/>
        <v/>
      </c>
      <c r="K200" s="70" t="str">
        <f t="shared" ca="1" si="60"/>
        <v/>
      </c>
      <c r="L200" s="120" t="str">
        <f t="shared" ca="1" si="61"/>
        <v/>
      </c>
      <c r="M200" s="122" t="str">
        <f t="shared" ca="1" si="62"/>
        <v/>
      </c>
      <c r="N200" s="70" t="str">
        <f t="shared" ca="1" si="63"/>
        <v/>
      </c>
      <c r="O200" s="120" t="str">
        <f t="shared" ca="1" si="64"/>
        <v/>
      </c>
    </row>
    <row r="201" spans="1:15" ht="16.5" customHeight="1" thickBot="1">
      <c r="A201" s="48">
        <v>28</v>
      </c>
      <c r="B201" s="134" t="str">
        <f>HYPERLINK("#'" &amp; TEXT(투자전략!$G$1+27, "[$-ko-KR]yyyy.mm.dd") &amp; "'!A121:O145", TEXT(투자전략!$G$1+27, "[$-ko-KR]yyyy.mm.dd"))</f>
        <v>2023.03.28</v>
      </c>
      <c r="C201" s="119" t="str">
        <f t="shared" ca="1" si="52"/>
        <v/>
      </c>
      <c r="D201" s="123" t="str">
        <f t="shared" ca="1" si="53"/>
        <v/>
      </c>
      <c r="E201" s="72" t="str">
        <f t="shared" ca="1" si="54"/>
        <v/>
      </c>
      <c r="F201" s="121" t="str">
        <f t="shared" ca="1" si="55"/>
        <v/>
      </c>
      <c r="G201" s="123" t="str">
        <f t="shared" ca="1" si="56"/>
        <v/>
      </c>
      <c r="H201" s="72" t="str">
        <f t="shared" ca="1" si="57"/>
        <v/>
      </c>
      <c r="I201" s="121" t="str">
        <f t="shared" ca="1" si="58"/>
        <v/>
      </c>
      <c r="J201" s="123" t="str">
        <f t="shared" ca="1" si="59"/>
        <v/>
      </c>
      <c r="K201" s="72" t="str">
        <f t="shared" ca="1" si="60"/>
        <v/>
      </c>
      <c r="L201" s="121" t="str">
        <f t="shared" ca="1" si="61"/>
        <v/>
      </c>
      <c r="M201" s="123" t="str">
        <f t="shared" ca="1" si="62"/>
        <v/>
      </c>
      <c r="N201" s="72" t="str">
        <f t="shared" ca="1" si="63"/>
        <v/>
      </c>
      <c r="O201" s="121" t="str">
        <f t="shared" ca="1" si="64"/>
        <v/>
      </c>
    </row>
    <row r="202" spans="1:15" ht="16.5" customHeight="1">
      <c r="A202" s="105">
        <v>29</v>
      </c>
      <c r="B202" s="132" t="str">
        <f>HYPERLINK("#'" &amp; TEXT(투자전략!$G$1+28, "[$-ko-KR]yyyy.mm.dd") &amp; "'!A121:O145", TEXT(투자전략!$G$1+28, "[$-ko-KR]yyyy.mm.dd"))</f>
        <v>2023.03.29</v>
      </c>
      <c r="C202" s="118" t="str">
        <f t="shared" ca="1" si="52"/>
        <v/>
      </c>
      <c r="D202" s="122" t="str">
        <f t="shared" ca="1" si="53"/>
        <v/>
      </c>
      <c r="E202" s="70" t="str">
        <f t="shared" ca="1" si="54"/>
        <v/>
      </c>
      <c r="F202" s="120" t="str">
        <f t="shared" ca="1" si="55"/>
        <v/>
      </c>
      <c r="G202" s="122" t="str">
        <f t="shared" ca="1" si="56"/>
        <v/>
      </c>
      <c r="H202" s="70" t="str">
        <f t="shared" ca="1" si="57"/>
        <v/>
      </c>
      <c r="I202" s="120" t="str">
        <f t="shared" ca="1" si="58"/>
        <v/>
      </c>
      <c r="J202" s="122" t="str">
        <f t="shared" ca="1" si="59"/>
        <v/>
      </c>
      <c r="K202" s="70" t="str">
        <f t="shared" ca="1" si="60"/>
        <v/>
      </c>
      <c r="L202" s="120" t="str">
        <f t="shared" ca="1" si="61"/>
        <v/>
      </c>
      <c r="M202" s="122" t="str">
        <f t="shared" ca="1" si="62"/>
        <v/>
      </c>
      <c r="N202" s="70" t="str">
        <f t="shared" ca="1" si="63"/>
        <v/>
      </c>
      <c r="O202" s="120" t="str">
        <f t="shared" ca="1" si="64"/>
        <v/>
      </c>
    </row>
    <row r="203" spans="1:15" ht="16.5" customHeight="1">
      <c r="A203" s="105">
        <v>30</v>
      </c>
      <c r="B203" s="133" t="str">
        <f>HYPERLINK("#'" &amp; TEXT(투자전략!$G$1+29, "[$-ko-KR]yyyy.mm.dd") &amp; "'!A121:O145", TEXT(투자전략!$G$1+29, "[$-ko-KR]yyyy.mm.dd"))</f>
        <v>2023.03.30</v>
      </c>
      <c r="C203" s="118" t="str">
        <f t="shared" ca="1" si="52"/>
        <v/>
      </c>
      <c r="D203" s="122" t="str">
        <f t="shared" ca="1" si="53"/>
        <v/>
      </c>
      <c r="E203" s="70" t="str">
        <f t="shared" ca="1" si="54"/>
        <v/>
      </c>
      <c r="F203" s="120" t="str">
        <f t="shared" ca="1" si="55"/>
        <v/>
      </c>
      <c r="G203" s="122" t="str">
        <f t="shared" ca="1" si="56"/>
        <v/>
      </c>
      <c r="H203" s="70" t="str">
        <f t="shared" ca="1" si="57"/>
        <v/>
      </c>
      <c r="I203" s="120" t="str">
        <f t="shared" ca="1" si="58"/>
        <v/>
      </c>
      <c r="J203" s="122" t="str">
        <f t="shared" ca="1" si="59"/>
        <v/>
      </c>
      <c r="K203" s="70" t="str">
        <f t="shared" ca="1" si="60"/>
        <v/>
      </c>
      <c r="L203" s="120" t="str">
        <f t="shared" ca="1" si="61"/>
        <v/>
      </c>
      <c r="M203" s="122" t="str">
        <f t="shared" ca="1" si="62"/>
        <v/>
      </c>
      <c r="N203" s="70" t="str">
        <f t="shared" ca="1" si="63"/>
        <v/>
      </c>
      <c r="O203" s="120" t="str">
        <f t="shared" ca="1" si="64"/>
        <v/>
      </c>
    </row>
    <row r="204" spans="1:15" ht="16.5" customHeight="1" thickBot="1">
      <c r="A204" s="105">
        <v>31</v>
      </c>
      <c r="B204" s="133" t="str">
        <f>HYPERLINK("#'" &amp; TEXT(투자전략!$G$1+30, "[$-ko-KR]yyyy.mm.dd") &amp; "'!A121:O145", TEXT(투자전략!$G$1+30, "[$-ko-KR]yyyy.mm.dd"))</f>
        <v>2023.03.31</v>
      </c>
      <c r="C204" s="119" t="str">
        <f t="shared" ca="1" si="52"/>
        <v/>
      </c>
      <c r="D204" s="123" t="str">
        <f t="shared" ca="1" si="53"/>
        <v/>
      </c>
      <c r="E204" s="72" t="str">
        <f t="shared" ca="1" si="54"/>
        <v/>
      </c>
      <c r="F204" s="121" t="str">
        <f t="shared" ca="1" si="55"/>
        <v/>
      </c>
      <c r="G204" s="123" t="str">
        <f t="shared" ca="1" si="56"/>
        <v/>
      </c>
      <c r="H204" s="72" t="str">
        <f t="shared" ca="1" si="57"/>
        <v/>
      </c>
      <c r="I204" s="121" t="str">
        <f t="shared" ca="1" si="58"/>
        <v/>
      </c>
      <c r="J204" s="123" t="str">
        <f t="shared" ca="1" si="59"/>
        <v/>
      </c>
      <c r="K204" s="72" t="str">
        <f t="shared" ca="1" si="60"/>
        <v/>
      </c>
      <c r="L204" s="121" t="str">
        <f t="shared" ca="1" si="61"/>
        <v/>
      </c>
      <c r="M204" s="123" t="str">
        <f t="shared" ca="1" si="62"/>
        <v/>
      </c>
      <c r="N204" s="72" t="str">
        <f t="shared" ca="1" si="63"/>
        <v/>
      </c>
      <c r="O204" s="121" t="str">
        <f t="shared" ca="1" si="64"/>
        <v/>
      </c>
    </row>
    <row r="205" spans="1:15" ht="16.5" customHeight="1" thickBot="1">
      <c r="A205" s="185" t="s">
        <v>270</v>
      </c>
      <c r="B205" s="187"/>
      <c r="C205" s="116" t="s">
        <v>265</v>
      </c>
      <c r="D205" s="9" t="s">
        <v>266</v>
      </c>
      <c r="E205" s="63" t="s">
        <v>267</v>
      </c>
      <c r="F205" s="64" t="s">
        <v>268</v>
      </c>
      <c r="G205" s="9" t="s">
        <v>266</v>
      </c>
      <c r="H205" s="63" t="s">
        <v>267</v>
      </c>
      <c r="I205" s="64" t="s">
        <v>268</v>
      </c>
      <c r="J205" s="9" t="s">
        <v>266</v>
      </c>
      <c r="K205" s="63" t="s">
        <v>267</v>
      </c>
      <c r="L205" s="64" t="s">
        <v>268</v>
      </c>
      <c r="M205" s="9" t="s">
        <v>266</v>
      </c>
      <c r="N205" s="63" t="s">
        <v>267</v>
      </c>
      <c r="O205" s="64" t="s">
        <v>268</v>
      </c>
    </row>
    <row r="206" spans="1:15" ht="16.5" customHeight="1" thickBot="1">
      <c r="A206" s="178"/>
      <c r="B206" s="180"/>
      <c r="C206" s="119">
        <f ca="1">SUM(C174:C204)</f>
        <v>36000000</v>
      </c>
      <c r="D206" s="123">
        <f ca="1">SUM(D174:D204)</f>
        <v>36199521.961263619</v>
      </c>
      <c r="E206" s="72">
        <f ca="1">IFERROR(F206 / (SUM($C174:$C204) / COUNT($C174:$C204)), 0)</f>
        <v>6.6507320421207189E-2</v>
      </c>
      <c r="F206" s="121">
        <f ca="1">SUM(F174:F204)</f>
        <v>199521.96126362158</v>
      </c>
      <c r="G206" s="123">
        <f ca="1">SUM(G174:G204)</f>
        <v>35908512.510914914</v>
      </c>
      <c r="H206" s="72">
        <f ca="1">IFERROR(I206 / (SUM($C174:$C204) / COUNT($C174:$C204)), 0)</f>
        <v>-3.0495829695028506E-2</v>
      </c>
      <c r="I206" s="121">
        <f ca="1">SUM(I174:I204)</f>
        <v>-91487.489085085515</v>
      </c>
      <c r="J206" s="123">
        <f ca="1">SUM(J174:J204)</f>
        <v>36039943.925557733</v>
      </c>
      <c r="K206" s="72">
        <f ca="1">IFERROR(L206 / (SUM($C174:$C204) / COUNT($C174:$C204)), 0)</f>
        <v>1.3314641852578912E-2</v>
      </c>
      <c r="L206" s="121">
        <f ca="1">SUM(L174:L204)</f>
        <v>39943.925557736737</v>
      </c>
      <c r="M206" s="123">
        <f ca="1">SUM(M174:M204)</f>
        <v>36118793.648194298</v>
      </c>
      <c r="N206" s="72">
        <f ca="1">IFERROR(O206 / (SUM($C174:$C204) / COUNT($C174:$C204)), 0)</f>
        <v>3.9597882731434247E-2</v>
      </c>
      <c r="O206" s="121">
        <f ca="1">SUM(O174:O204)</f>
        <v>118793.64819430275</v>
      </c>
    </row>
    <row r="208" spans="1:15" ht="16.5" customHeight="1" thickBot="1"/>
    <row r="209" spans="1:15" ht="16.5" customHeight="1" thickBot="1">
      <c r="A209" s="157" t="str">
        <f>TEXT(투자전략!$G$1, "[$-ko-KR]yyyy년 mm월 ") &amp; "[동전코인] 전일대비 상승률 Bottom20 월말결산"</f>
        <v>2023년 03월 [동전코인] 전일대비 상승률 Bottom20 월말결산</v>
      </c>
      <c r="B209" s="158"/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9"/>
    </row>
    <row r="210" spans="1:15" ht="16.5" customHeight="1" thickBot="1">
      <c r="A210" s="201" t="s">
        <v>271</v>
      </c>
      <c r="B210" s="178" t="s">
        <v>269</v>
      </c>
      <c r="C210" s="180"/>
      <c r="D210" s="178" t="s">
        <v>261</v>
      </c>
      <c r="E210" s="179"/>
      <c r="F210" s="180"/>
      <c r="G210" s="178" t="s">
        <v>262</v>
      </c>
      <c r="H210" s="179"/>
      <c r="I210" s="180"/>
      <c r="J210" s="178" t="s">
        <v>263</v>
      </c>
      <c r="K210" s="179"/>
      <c r="L210" s="180"/>
      <c r="M210" s="178" t="s">
        <v>264</v>
      </c>
      <c r="N210" s="179"/>
      <c r="O210" s="180"/>
    </row>
    <row r="211" spans="1:15" ht="16.5" customHeight="1" thickBot="1">
      <c r="A211" s="194"/>
      <c r="B211" s="46" t="s">
        <v>259</v>
      </c>
      <c r="C211" s="46" t="s">
        <v>42</v>
      </c>
      <c r="D211" s="105" t="s">
        <v>260</v>
      </c>
      <c r="E211" s="106" t="s">
        <v>40</v>
      </c>
      <c r="F211" s="81" t="s">
        <v>41</v>
      </c>
      <c r="G211" s="105" t="s">
        <v>260</v>
      </c>
      <c r="H211" s="106" t="s">
        <v>40</v>
      </c>
      <c r="I211" s="81" t="s">
        <v>41</v>
      </c>
      <c r="J211" s="105" t="s">
        <v>260</v>
      </c>
      <c r="K211" s="106" t="s">
        <v>40</v>
      </c>
      <c r="L211" s="81" t="s">
        <v>41</v>
      </c>
      <c r="M211" s="105" t="s">
        <v>260</v>
      </c>
      <c r="N211" s="106" t="s">
        <v>40</v>
      </c>
      <c r="O211" s="81" t="s">
        <v>41</v>
      </c>
    </row>
    <row r="212" spans="1:15" ht="16.5" customHeight="1">
      <c r="A212" s="46">
        <v>1</v>
      </c>
      <c r="B212" s="132" t="str">
        <f>HYPERLINK("#'" &amp; TEXT(투자전략!$G$1+0, "[$-ko-KR]yyyy.mm.dd") &amp; "'!A148:O172", TEXT(투자전략!$G$1+0, "[$-ko-KR]yyyy.mm.dd"))</f>
        <v>2023.03.01</v>
      </c>
      <c r="C212" s="117">
        <f ca="1">IFERROR(COUNTA(INDIRECT($B212&amp;"!A152:A171")) * INDIRECT($B212&amp;"!B172"), "")</f>
        <v>3000000</v>
      </c>
      <c r="D212" s="125">
        <f ca="1">IFERROR($C212 * (1 + E212), "")</f>
        <v>3000000</v>
      </c>
      <c r="E212" s="69">
        <f ca="1">IFERROR(INDIRECT($B212&amp;"!E172"), "")</f>
        <v>0</v>
      </c>
      <c r="F212" s="124">
        <f ca="1">IFERROR(INDIRECT($B212&amp;"!F172"), "")</f>
        <v>0</v>
      </c>
      <c r="G212" s="125">
        <f ca="1">IFERROR($C212 * (1 + H212), "")</f>
        <v>3000000</v>
      </c>
      <c r="H212" s="69">
        <f ca="1">IFERROR(INDIRECT($B212&amp;"!H172"), "")</f>
        <v>0</v>
      </c>
      <c r="I212" s="124">
        <f ca="1">IFERROR(INDIRECT($B212&amp;"!I172"), "")</f>
        <v>0</v>
      </c>
      <c r="J212" s="125">
        <f ca="1">IFERROR($C212 * (1 + K212), "")</f>
        <v>3000000</v>
      </c>
      <c r="K212" s="69">
        <f ca="1">IFERROR(INDIRECT($B212&amp;"!K172"), "")</f>
        <v>0</v>
      </c>
      <c r="L212" s="124">
        <f ca="1">IFERROR(INDIRECT($B212&amp;"!L172"), "")</f>
        <v>0</v>
      </c>
      <c r="M212" s="125">
        <f ca="1">IFERROR($C212 * (1 + N212), "")</f>
        <v>3000000</v>
      </c>
      <c r="N212" s="69">
        <f ca="1">IFERROR(INDIRECT($B212&amp;"!N172"), "")</f>
        <v>0</v>
      </c>
      <c r="O212" s="124">
        <f ca="1">IFERROR(INDIRECT($B212&amp;"!O172"), "")</f>
        <v>0</v>
      </c>
    </row>
    <row r="213" spans="1:15" ht="16.5" customHeight="1">
      <c r="A213" s="47">
        <v>2</v>
      </c>
      <c r="B213" s="133" t="str">
        <f>HYPERLINK("#'" &amp; TEXT(투자전략!$G$1+1, "[$-ko-KR]yyyy.mm.dd") &amp; "'!A148:O172", TEXT(투자전략!$G$1+1, "[$-ko-KR]yyyy.mm.dd"))</f>
        <v>2023.03.02</v>
      </c>
      <c r="C213" s="118" t="str">
        <f t="shared" ref="C213:C242" ca="1" si="65">IFERROR(COUNTA(INDIRECT($B213&amp;"!A152:A171")) * INDIRECT($B213&amp;"!B172"), "")</f>
        <v/>
      </c>
      <c r="D213" s="122" t="str">
        <f t="shared" ref="D213:D242" ca="1" si="66">IFERROR($C213 * (1 + E213), "")</f>
        <v/>
      </c>
      <c r="E213" s="70" t="str">
        <f t="shared" ref="E213:E242" ca="1" si="67">IFERROR(INDIRECT($B213&amp;"!E172"), "")</f>
        <v/>
      </c>
      <c r="F213" s="120" t="str">
        <f t="shared" ref="F213:F242" ca="1" si="68">IFERROR(INDIRECT($B213&amp;"!F172"), "")</f>
        <v/>
      </c>
      <c r="G213" s="122" t="str">
        <f t="shared" ref="G213:G242" ca="1" si="69">IFERROR($C213 * (1 + H213), "")</f>
        <v/>
      </c>
      <c r="H213" s="70" t="str">
        <f t="shared" ref="H213:H242" ca="1" si="70">IFERROR(INDIRECT($B213&amp;"!H172"), "")</f>
        <v/>
      </c>
      <c r="I213" s="120" t="str">
        <f t="shared" ref="I213:I242" ca="1" si="71">IFERROR(INDIRECT($B213&amp;"!I172"), "")</f>
        <v/>
      </c>
      <c r="J213" s="122" t="str">
        <f t="shared" ref="J213:J242" ca="1" si="72">IFERROR($C213 * (1 + K213), "")</f>
        <v/>
      </c>
      <c r="K213" s="70" t="str">
        <f t="shared" ref="K213:K242" ca="1" si="73">IFERROR(INDIRECT($B213&amp;"!K172"), "")</f>
        <v/>
      </c>
      <c r="L213" s="120" t="str">
        <f t="shared" ref="L213:L242" ca="1" si="74">IFERROR(INDIRECT($B213&amp;"!L172"), "")</f>
        <v/>
      </c>
      <c r="M213" s="122" t="str">
        <f t="shared" ref="M213:M242" ca="1" si="75">IFERROR($C213 * (1 + N213), "")</f>
        <v/>
      </c>
      <c r="N213" s="70" t="str">
        <f t="shared" ref="N213:N242" ca="1" si="76">IFERROR(INDIRECT($B213&amp;"!N172"), "")</f>
        <v/>
      </c>
      <c r="O213" s="120" t="str">
        <f t="shared" ref="O213:O242" ca="1" si="77">IFERROR(INDIRECT($B213&amp;"!O172"), "")</f>
        <v/>
      </c>
    </row>
    <row r="214" spans="1:15" ht="16.5" customHeight="1">
      <c r="A214" s="47">
        <v>3</v>
      </c>
      <c r="B214" s="133" t="str">
        <f>HYPERLINK("#'" &amp; TEXT(투자전략!$G$1+2, "[$-ko-KR]yyyy.mm.dd") &amp; "'!A148:O172", TEXT(투자전략!$G$1+2, "[$-ko-KR]yyyy.mm.dd"))</f>
        <v>2023.03.03</v>
      </c>
      <c r="C214" s="118" t="str">
        <f t="shared" ca="1" si="65"/>
        <v/>
      </c>
      <c r="D214" s="122" t="str">
        <f t="shared" ca="1" si="66"/>
        <v/>
      </c>
      <c r="E214" s="70" t="str">
        <f t="shared" ca="1" si="67"/>
        <v/>
      </c>
      <c r="F214" s="120" t="str">
        <f t="shared" ca="1" si="68"/>
        <v/>
      </c>
      <c r="G214" s="122" t="str">
        <f t="shared" ca="1" si="69"/>
        <v/>
      </c>
      <c r="H214" s="70" t="str">
        <f t="shared" ca="1" si="70"/>
        <v/>
      </c>
      <c r="I214" s="120" t="str">
        <f t="shared" ca="1" si="71"/>
        <v/>
      </c>
      <c r="J214" s="122" t="str">
        <f t="shared" ca="1" si="72"/>
        <v/>
      </c>
      <c r="K214" s="70" t="str">
        <f t="shared" ca="1" si="73"/>
        <v/>
      </c>
      <c r="L214" s="120" t="str">
        <f t="shared" ca="1" si="74"/>
        <v/>
      </c>
      <c r="M214" s="122" t="str">
        <f t="shared" ca="1" si="75"/>
        <v/>
      </c>
      <c r="N214" s="70" t="str">
        <f t="shared" ca="1" si="76"/>
        <v/>
      </c>
      <c r="O214" s="120" t="str">
        <f t="shared" ca="1" si="77"/>
        <v/>
      </c>
    </row>
    <row r="215" spans="1:15" ht="16.5" customHeight="1">
      <c r="A215" s="47">
        <v>4</v>
      </c>
      <c r="B215" s="133" t="str">
        <f>HYPERLINK("#'" &amp; TEXT(투자전략!$G$1+3, "[$-ko-KR]yyyy.mm.dd") &amp; "'!A148:O172", TEXT(투자전략!$G$1+3, "[$-ko-KR]yyyy.mm.dd"))</f>
        <v>2023.03.04</v>
      </c>
      <c r="C215" s="118" t="str">
        <f t="shared" ca="1" si="65"/>
        <v/>
      </c>
      <c r="D215" s="122" t="str">
        <f t="shared" ca="1" si="66"/>
        <v/>
      </c>
      <c r="E215" s="70" t="str">
        <f t="shared" ca="1" si="67"/>
        <v/>
      </c>
      <c r="F215" s="120" t="str">
        <f t="shared" ca="1" si="68"/>
        <v/>
      </c>
      <c r="G215" s="122" t="str">
        <f t="shared" ca="1" si="69"/>
        <v/>
      </c>
      <c r="H215" s="70" t="str">
        <f t="shared" ca="1" si="70"/>
        <v/>
      </c>
      <c r="I215" s="120" t="str">
        <f t="shared" ca="1" si="71"/>
        <v/>
      </c>
      <c r="J215" s="122" t="str">
        <f t="shared" ca="1" si="72"/>
        <v/>
      </c>
      <c r="K215" s="70" t="str">
        <f t="shared" ca="1" si="73"/>
        <v/>
      </c>
      <c r="L215" s="120" t="str">
        <f t="shared" ca="1" si="74"/>
        <v/>
      </c>
      <c r="M215" s="122" t="str">
        <f t="shared" ca="1" si="75"/>
        <v/>
      </c>
      <c r="N215" s="70" t="str">
        <f t="shared" ca="1" si="76"/>
        <v/>
      </c>
      <c r="O215" s="120" t="str">
        <f t="shared" ca="1" si="77"/>
        <v/>
      </c>
    </row>
    <row r="216" spans="1:15" ht="16.5" customHeight="1">
      <c r="A216" s="47">
        <v>5</v>
      </c>
      <c r="B216" s="133" t="str">
        <f>HYPERLINK("#'" &amp; TEXT(투자전략!$G$1+4, "[$-ko-KR]yyyy.mm.dd") &amp; "'!A148:O172", TEXT(투자전략!$G$1+4, "[$-ko-KR]yyyy.mm.dd"))</f>
        <v>2023.03.05</v>
      </c>
      <c r="C216" s="118" t="str">
        <f t="shared" ca="1" si="65"/>
        <v/>
      </c>
      <c r="D216" s="122" t="str">
        <f t="shared" ca="1" si="66"/>
        <v/>
      </c>
      <c r="E216" s="70" t="str">
        <f t="shared" ca="1" si="67"/>
        <v/>
      </c>
      <c r="F216" s="120" t="str">
        <f t="shared" ca="1" si="68"/>
        <v/>
      </c>
      <c r="G216" s="122" t="str">
        <f t="shared" ca="1" si="69"/>
        <v/>
      </c>
      <c r="H216" s="70" t="str">
        <f t="shared" ca="1" si="70"/>
        <v/>
      </c>
      <c r="I216" s="120" t="str">
        <f t="shared" ca="1" si="71"/>
        <v/>
      </c>
      <c r="J216" s="122" t="str">
        <f t="shared" ca="1" si="72"/>
        <v/>
      </c>
      <c r="K216" s="70" t="str">
        <f t="shared" ca="1" si="73"/>
        <v/>
      </c>
      <c r="L216" s="120" t="str">
        <f t="shared" ca="1" si="74"/>
        <v/>
      </c>
      <c r="M216" s="122" t="str">
        <f t="shared" ca="1" si="75"/>
        <v/>
      </c>
      <c r="N216" s="70" t="str">
        <f t="shared" ca="1" si="76"/>
        <v/>
      </c>
      <c r="O216" s="120" t="str">
        <f t="shared" ca="1" si="77"/>
        <v/>
      </c>
    </row>
    <row r="217" spans="1:15" ht="16.5" customHeight="1">
      <c r="A217" s="47">
        <v>6</v>
      </c>
      <c r="B217" s="133" t="str">
        <f>HYPERLINK("#'" &amp; TEXT(투자전략!$G$1+5, "[$-ko-KR]yyyy.mm.dd") &amp; "'!A148:O172", TEXT(투자전략!$G$1+5, "[$-ko-KR]yyyy.mm.dd"))</f>
        <v>2023.03.06</v>
      </c>
      <c r="C217" s="118" t="str">
        <f t="shared" ca="1" si="65"/>
        <v/>
      </c>
      <c r="D217" s="122" t="str">
        <f t="shared" ca="1" si="66"/>
        <v/>
      </c>
      <c r="E217" s="70" t="str">
        <f t="shared" ca="1" si="67"/>
        <v/>
      </c>
      <c r="F217" s="120" t="str">
        <f t="shared" ca="1" si="68"/>
        <v/>
      </c>
      <c r="G217" s="122" t="str">
        <f t="shared" ca="1" si="69"/>
        <v/>
      </c>
      <c r="H217" s="70" t="str">
        <f t="shared" ca="1" si="70"/>
        <v/>
      </c>
      <c r="I217" s="120" t="str">
        <f t="shared" ca="1" si="71"/>
        <v/>
      </c>
      <c r="J217" s="122" t="str">
        <f t="shared" ca="1" si="72"/>
        <v/>
      </c>
      <c r="K217" s="70" t="str">
        <f t="shared" ca="1" si="73"/>
        <v/>
      </c>
      <c r="L217" s="120" t="str">
        <f t="shared" ca="1" si="74"/>
        <v/>
      </c>
      <c r="M217" s="122" t="str">
        <f t="shared" ca="1" si="75"/>
        <v/>
      </c>
      <c r="N217" s="70" t="str">
        <f t="shared" ca="1" si="76"/>
        <v/>
      </c>
      <c r="O217" s="120" t="str">
        <f t="shared" ca="1" si="77"/>
        <v/>
      </c>
    </row>
    <row r="218" spans="1:15" ht="16.5" customHeight="1" thickBot="1">
      <c r="A218" s="48">
        <v>7</v>
      </c>
      <c r="B218" s="134" t="str">
        <f>HYPERLINK("#'" &amp; TEXT(투자전략!$G$1+6, "[$-ko-KR]yyyy.mm.dd") &amp; "'!A148:O172", TEXT(투자전략!$G$1+6, "[$-ko-KR]yyyy.mm.dd"))</f>
        <v>2023.03.07</v>
      </c>
      <c r="C218" s="118">
        <f t="shared" ca="1" si="65"/>
        <v>3000000</v>
      </c>
      <c r="D218" s="122">
        <f t="shared" ca="1" si="66"/>
        <v>3000000</v>
      </c>
      <c r="E218" s="70">
        <f t="shared" ca="1" si="67"/>
        <v>0</v>
      </c>
      <c r="F218" s="120">
        <f t="shared" ca="1" si="68"/>
        <v>0</v>
      </c>
      <c r="G218" s="122">
        <f t="shared" ca="1" si="69"/>
        <v>2950110.7173100789</v>
      </c>
      <c r="H218" s="70">
        <f t="shared" ca="1" si="70"/>
        <v>-1.6629760896640332E-2</v>
      </c>
      <c r="I218" s="120">
        <f t="shared" ca="1" si="71"/>
        <v>-49889.28268992099</v>
      </c>
      <c r="J218" s="122">
        <f t="shared" ca="1" si="72"/>
        <v>2928334.5364939305</v>
      </c>
      <c r="K218" s="70">
        <f t="shared" ca="1" si="73"/>
        <v>-2.3888487835356475E-2</v>
      </c>
      <c r="L218" s="120">
        <f t="shared" ca="1" si="74"/>
        <v>-71665.463506069413</v>
      </c>
      <c r="M218" s="122">
        <f t="shared" ca="1" si="75"/>
        <v>2899249.3674940793</v>
      </c>
      <c r="N218" s="70">
        <f t="shared" ca="1" si="76"/>
        <v>-3.3583544168640296E-2</v>
      </c>
      <c r="O218" s="120">
        <f t="shared" ca="1" si="77"/>
        <v>-100750.63250592089</v>
      </c>
    </row>
    <row r="219" spans="1:15" ht="16.5" customHeight="1">
      <c r="A219" s="46">
        <v>8</v>
      </c>
      <c r="B219" s="132" t="str">
        <f>HYPERLINK("#'" &amp; TEXT(투자전략!$G$1+7, "[$-ko-KR]yyyy.mm.dd") &amp; "'!A148:O172", TEXT(투자전략!$G$1+7, "[$-ko-KR]yyyy.mm.dd"))</f>
        <v>2023.03.08</v>
      </c>
      <c r="C219" s="117">
        <f t="shared" ca="1" si="65"/>
        <v>3000000</v>
      </c>
      <c r="D219" s="125">
        <f t="shared" ca="1" si="66"/>
        <v>2942859.421880424</v>
      </c>
      <c r="E219" s="69">
        <f t="shared" ca="1" si="67"/>
        <v>-1.9046859373191935E-2</v>
      </c>
      <c r="F219" s="124">
        <f t="shared" ca="1" si="68"/>
        <v>-57140.578119575795</v>
      </c>
      <c r="G219" s="125">
        <f t="shared" ca="1" si="69"/>
        <v>2904173.3141342336</v>
      </c>
      <c r="H219" s="69">
        <f t="shared" ca="1" si="70"/>
        <v>-3.1942228621922211E-2</v>
      </c>
      <c r="I219" s="124">
        <f t="shared" ca="1" si="71"/>
        <v>-95826.685865766631</v>
      </c>
      <c r="J219" s="125">
        <f t="shared" ca="1" si="72"/>
        <v>2916527.0706764758</v>
      </c>
      <c r="K219" s="69">
        <f t="shared" ca="1" si="73"/>
        <v>-2.7824309774508015E-2</v>
      </c>
      <c r="L219" s="124">
        <f t="shared" ca="1" si="74"/>
        <v>-83472.929323524048</v>
      </c>
      <c r="M219" s="125">
        <f t="shared" ca="1" si="75"/>
        <v>2852484.6741027683</v>
      </c>
      <c r="N219" s="69">
        <f t="shared" ca="1" si="76"/>
        <v>-4.9171775299077188E-2</v>
      </c>
      <c r="O219" s="124">
        <f t="shared" ca="1" si="77"/>
        <v>-147515.32589723152</v>
      </c>
    </row>
    <row r="220" spans="1:15" ht="16.5" customHeight="1">
      <c r="A220" s="47">
        <v>9</v>
      </c>
      <c r="B220" s="133" t="str">
        <f>HYPERLINK("#'" &amp; TEXT(투자전략!$G$1+8, "[$-ko-KR]yyyy.mm.dd") &amp; "'!A148:O172", TEXT(투자전략!$G$1+8, "[$-ko-KR]yyyy.mm.dd"))</f>
        <v>2023.03.09</v>
      </c>
      <c r="C220" s="118">
        <f t="shared" ca="1" si="65"/>
        <v>3000000</v>
      </c>
      <c r="D220" s="122">
        <f t="shared" ca="1" si="66"/>
        <v>2975431.4413697496</v>
      </c>
      <c r="E220" s="70">
        <f t="shared" ca="1" si="67"/>
        <v>-8.1895195434168906E-3</v>
      </c>
      <c r="F220" s="120">
        <f t="shared" ca="1" si="68"/>
        <v>-24568.558630250674</v>
      </c>
      <c r="G220" s="122">
        <f t="shared" ca="1" si="69"/>
        <v>2948484.3481818084</v>
      </c>
      <c r="H220" s="70">
        <f t="shared" ca="1" si="70"/>
        <v>-1.717188393939726E-2</v>
      </c>
      <c r="I220" s="120">
        <f t="shared" ca="1" si="71"/>
        <v>-51515.651818191778</v>
      </c>
      <c r="J220" s="122">
        <f t="shared" ca="1" si="72"/>
        <v>2966377.6455094484</v>
      </c>
      <c r="K220" s="70">
        <f t="shared" ca="1" si="73"/>
        <v>-1.1207451496850535E-2</v>
      </c>
      <c r="L220" s="120">
        <f t="shared" ca="1" si="74"/>
        <v>-33622.354490551603</v>
      </c>
      <c r="M220" s="122">
        <f t="shared" ca="1" si="75"/>
        <v>3007961.0939213592</v>
      </c>
      <c r="N220" s="70">
        <f t="shared" ca="1" si="76"/>
        <v>2.6536979737864326E-3</v>
      </c>
      <c r="O220" s="120">
        <f t="shared" ca="1" si="77"/>
        <v>7961.0939213592974</v>
      </c>
    </row>
    <row r="221" spans="1:15" ht="16.5" customHeight="1">
      <c r="A221" s="47">
        <v>10</v>
      </c>
      <c r="B221" s="133" t="str">
        <f>HYPERLINK("#'" &amp; TEXT(투자전략!$G$1+9, "[$-ko-KR]yyyy.mm.dd") &amp; "'!A148:O172", TEXT(투자전략!$G$1+9, "[$-ko-KR]yyyy.mm.dd"))</f>
        <v>2023.03.10</v>
      </c>
      <c r="C221" s="118">
        <f t="shared" ca="1" si="65"/>
        <v>3000000</v>
      </c>
      <c r="D221" s="122">
        <f t="shared" ca="1" si="66"/>
        <v>2767263.7088375301</v>
      </c>
      <c r="E221" s="70">
        <f t="shared" ca="1" si="67"/>
        <v>-7.7578763720823313E-2</v>
      </c>
      <c r="F221" s="120">
        <f t="shared" ca="1" si="68"/>
        <v>-232736.29116246998</v>
      </c>
      <c r="G221" s="122">
        <f t="shared" ca="1" si="69"/>
        <v>2769173.371294823</v>
      </c>
      <c r="H221" s="70">
        <f t="shared" ca="1" si="70"/>
        <v>-7.6942209568392247E-2</v>
      </c>
      <c r="I221" s="120">
        <f t="shared" ca="1" si="71"/>
        <v>-230826.62870517676</v>
      </c>
      <c r="J221" s="122">
        <f t="shared" ca="1" si="72"/>
        <v>2759254.9312030855</v>
      </c>
      <c r="K221" s="70">
        <f t="shared" ca="1" si="73"/>
        <v>-8.0248356265638227E-2</v>
      </c>
      <c r="L221" s="120">
        <f t="shared" ca="1" si="74"/>
        <v>-240745.06879691477</v>
      </c>
      <c r="M221" s="122">
        <f t="shared" ca="1" si="75"/>
        <v>2778483.5956130857</v>
      </c>
      <c r="N221" s="70">
        <f t="shared" ca="1" si="76"/>
        <v>-7.3838801462304732E-2</v>
      </c>
      <c r="O221" s="120">
        <f t="shared" ca="1" si="77"/>
        <v>-221516.40438691416</v>
      </c>
    </row>
    <row r="222" spans="1:15" ht="16.5" customHeight="1">
      <c r="A222" s="47">
        <v>11</v>
      </c>
      <c r="B222" s="133" t="str">
        <f>HYPERLINK("#'" &amp; TEXT(투자전략!$G$1+10, "[$-ko-KR]yyyy.mm.dd") &amp; "'!A148:O172", TEXT(투자전략!$G$1+10, "[$-ko-KR]yyyy.mm.dd"))</f>
        <v>2023.03.11</v>
      </c>
      <c r="C222" s="118">
        <f t="shared" ca="1" si="65"/>
        <v>3000000</v>
      </c>
      <c r="D222" s="122">
        <f t="shared" ca="1" si="66"/>
        <v>3114322.3094779532</v>
      </c>
      <c r="E222" s="70">
        <f t="shared" ca="1" si="67"/>
        <v>3.8107436492651026E-2</v>
      </c>
      <c r="F222" s="120">
        <f t="shared" ca="1" si="68"/>
        <v>114322.30947795311</v>
      </c>
      <c r="G222" s="122">
        <f t="shared" ca="1" si="69"/>
        <v>3043642.1202508286</v>
      </c>
      <c r="H222" s="70">
        <f t="shared" ca="1" si="70"/>
        <v>1.4547373416942681E-2</v>
      </c>
      <c r="I222" s="120">
        <f t="shared" ca="1" si="71"/>
        <v>43642.12025082804</v>
      </c>
      <c r="J222" s="122">
        <f t="shared" ca="1" si="72"/>
        <v>3020833.042145378</v>
      </c>
      <c r="K222" s="70">
        <f t="shared" ca="1" si="73"/>
        <v>6.9443473817928005E-3</v>
      </c>
      <c r="L222" s="120">
        <f t="shared" ca="1" si="74"/>
        <v>20833.042145378407</v>
      </c>
      <c r="M222" s="122">
        <f t="shared" ca="1" si="75"/>
        <v>3032149.7577601005</v>
      </c>
      <c r="N222" s="70">
        <f t="shared" ca="1" si="76"/>
        <v>1.0716585920033508E-2</v>
      </c>
      <c r="O222" s="120">
        <f t="shared" ca="1" si="77"/>
        <v>32149.757760100525</v>
      </c>
    </row>
    <row r="223" spans="1:15" ht="16.5" customHeight="1">
      <c r="A223" s="47">
        <v>12</v>
      </c>
      <c r="B223" s="133" t="str">
        <f>HYPERLINK("#'" &amp; TEXT(투자전략!$G$1+11, "[$-ko-KR]yyyy.mm.dd") &amp; "'!A148:O172", TEXT(투자전략!$G$1+11, "[$-ko-KR]yyyy.mm.dd"))</f>
        <v>2023.03.12</v>
      </c>
      <c r="C223" s="118">
        <f t="shared" ca="1" si="65"/>
        <v>3000000</v>
      </c>
      <c r="D223" s="122">
        <f t="shared" ca="1" si="66"/>
        <v>3030400.6837498308</v>
      </c>
      <c r="E223" s="70">
        <f t="shared" ca="1" si="67"/>
        <v>1.0133561249943648E-2</v>
      </c>
      <c r="F223" s="120">
        <f t="shared" ca="1" si="68"/>
        <v>30400.68374983094</v>
      </c>
      <c r="G223" s="122">
        <f t="shared" ca="1" si="69"/>
        <v>3027587.0271843285</v>
      </c>
      <c r="H223" s="70">
        <f t="shared" ca="1" si="70"/>
        <v>9.1956757281094377E-3</v>
      </c>
      <c r="I223" s="120">
        <f t="shared" ca="1" si="71"/>
        <v>27587.027184328308</v>
      </c>
      <c r="J223" s="122">
        <f t="shared" ca="1" si="72"/>
        <v>3032781.5608629743</v>
      </c>
      <c r="K223" s="70">
        <f t="shared" ca="1" si="73"/>
        <v>1.0927186954324805E-2</v>
      </c>
      <c r="L223" s="120">
        <f t="shared" ca="1" si="74"/>
        <v>32781.560862974409</v>
      </c>
      <c r="M223" s="122">
        <f t="shared" ca="1" si="75"/>
        <v>2954854.1876198691</v>
      </c>
      <c r="N223" s="70">
        <f t="shared" ca="1" si="76"/>
        <v>-1.5048604126710247E-2</v>
      </c>
      <c r="O223" s="120">
        <f t="shared" ca="1" si="77"/>
        <v>-45145.812380130752</v>
      </c>
    </row>
    <row r="224" spans="1:15" ht="16.5" customHeight="1">
      <c r="A224" s="47">
        <v>13</v>
      </c>
      <c r="B224" s="133" t="str">
        <f>HYPERLINK("#'" &amp; TEXT(투자전략!$G$1+12, "[$-ko-KR]yyyy.mm.dd") &amp; "'!A148:O172", TEXT(투자전략!$G$1+12, "[$-ko-KR]yyyy.mm.dd"))</f>
        <v>2023.03.13</v>
      </c>
      <c r="C224" s="118">
        <f t="shared" ca="1" si="65"/>
        <v>3000000</v>
      </c>
      <c r="D224" s="122">
        <f t="shared" ca="1" si="66"/>
        <v>3310469.1604526411</v>
      </c>
      <c r="E224" s="70">
        <f t="shared" ca="1" si="67"/>
        <v>0.10348972015088043</v>
      </c>
      <c r="F224" s="120">
        <f t="shared" ca="1" si="68"/>
        <v>310469.16045264126</v>
      </c>
      <c r="G224" s="122">
        <f t="shared" ca="1" si="69"/>
        <v>3226411.9055317389</v>
      </c>
      <c r="H224" s="70">
        <f t="shared" ca="1" si="70"/>
        <v>7.5470635177246309E-2</v>
      </c>
      <c r="I224" s="120">
        <f t="shared" ca="1" si="71"/>
        <v>226411.905531739</v>
      </c>
      <c r="J224" s="122">
        <f t="shared" ca="1" si="72"/>
        <v>3271071.7072235253</v>
      </c>
      <c r="K224" s="70">
        <f t="shared" ca="1" si="73"/>
        <v>9.0357235741174949E-2</v>
      </c>
      <c r="L224" s="120">
        <f t="shared" ca="1" si="74"/>
        <v>271071.70722352481</v>
      </c>
      <c r="M224" s="122">
        <f t="shared" ca="1" si="75"/>
        <v>3406343.1598186488</v>
      </c>
      <c r="N224" s="70">
        <f t="shared" ca="1" si="76"/>
        <v>0.13544771993954963</v>
      </c>
      <c r="O224" s="120">
        <f t="shared" ca="1" si="77"/>
        <v>406343.15981864888</v>
      </c>
    </row>
    <row r="225" spans="1:15" ht="16.5" customHeight="1" thickBot="1">
      <c r="A225" s="48">
        <v>14</v>
      </c>
      <c r="B225" s="134" t="str">
        <f>HYPERLINK("#'" &amp; TEXT(투자전략!$G$1+13, "[$-ko-KR]yyyy.mm.dd") &amp; "'!A148:O172", TEXT(투자전략!$G$1+13, "[$-ko-KR]yyyy.mm.dd"))</f>
        <v>2023.03.14</v>
      </c>
      <c r="C225" s="119">
        <f t="shared" ca="1" si="65"/>
        <v>3000000</v>
      </c>
      <c r="D225" s="123">
        <f t="shared" ca="1" si="66"/>
        <v>3136671.8546051746</v>
      </c>
      <c r="E225" s="72">
        <f t="shared" ca="1" si="67"/>
        <v>4.5557284868391661E-2</v>
      </c>
      <c r="F225" s="121">
        <f t="shared" ca="1" si="68"/>
        <v>136671.85460517497</v>
      </c>
      <c r="G225" s="123">
        <f t="shared" ca="1" si="69"/>
        <v>3054638.8066839776</v>
      </c>
      <c r="H225" s="72">
        <f t="shared" ca="1" si="70"/>
        <v>1.8212935561325888E-2</v>
      </c>
      <c r="I225" s="121">
        <f t="shared" ca="1" si="71"/>
        <v>54638.806683977666</v>
      </c>
      <c r="J225" s="123">
        <f t="shared" ca="1" si="72"/>
        <v>3088279.5800164528</v>
      </c>
      <c r="K225" s="72">
        <f t="shared" ca="1" si="73"/>
        <v>2.9426526672150888E-2</v>
      </c>
      <c r="L225" s="121">
        <f t="shared" ca="1" si="74"/>
        <v>88279.58001645263</v>
      </c>
      <c r="M225" s="123">
        <f t="shared" ca="1" si="75"/>
        <v>3217032.4332938199</v>
      </c>
      <c r="N225" s="72">
        <f t="shared" ca="1" si="76"/>
        <v>7.2344144431273419E-2</v>
      </c>
      <c r="O225" s="121">
        <f t="shared" ca="1" si="77"/>
        <v>217032.43329382027</v>
      </c>
    </row>
    <row r="226" spans="1:15" ht="16.5" customHeight="1">
      <c r="A226" s="46">
        <v>15</v>
      </c>
      <c r="B226" s="132" t="str">
        <f>HYPERLINK("#'" &amp; TEXT(투자전략!$G$1+14, "[$-ko-KR]yyyy.mm.dd") &amp; "'!A148:O172", TEXT(투자전략!$G$1+14, "[$-ko-KR]yyyy.mm.dd"))</f>
        <v>2023.03.15</v>
      </c>
      <c r="C226" s="118">
        <f t="shared" ca="1" si="65"/>
        <v>3000000</v>
      </c>
      <c r="D226" s="122">
        <f t="shared" ca="1" si="66"/>
        <v>2995549.7833198123</v>
      </c>
      <c r="E226" s="70">
        <f t="shared" ca="1" si="67"/>
        <v>-1.4834055600625802E-3</v>
      </c>
      <c r="F226" s="120">
        <f t="shared" ca="1" si="68"/>
        <v>-4450.2166801877411</v>
      </c>
      <c r="G226" s="122">
        <f t="shared" ca="1" si="69"/>
        <v>2967548.685623582</v>
      </c>
      <c r="H226" s="70">
        <f t="shared" ca="1" si="70"/>
        <v>-1.0817104792139362E-2</v>
      </c>
      <c r="I226" s="120">
        <f t="shared" ca="1" si="71"/>
        <v>-32451.314376418086</v>
      </c>
      <c r="J226" s="122">
        <f t="shared" ca="1" si="72"/>
        <v>2966229.5813290039</v>
      </c>
      <c r="K226" s="70">
        <f t="shared" ca="1" si="73"/>
        <v>-1.1256806223665292E-2</v>
      </c>
      <c r="L226" s="120">
        <f t="shared" ca="1" si="74"/>
        <v>-33770.418670995874</v>
      </c>
      <c r="M226" s="122">
        <f t="shared" ca="1" si="75"/>
        <v>2933826.7116449708</v>
      </c>
      <c r="N226" s="70">
        <f t="shared" ca="1" si="76"/>
        <v>-2.2057762785009663E-2</v>
      </c>
      <c r="O226" s="120">
        <f t="shared" ca="1" si="77"/>
        <v>-66173.288355028984</v>
      </c>
    </row>
    <row r="227" spans="1:15" ht="16.5" customHeight="1">
      <c r="A227" s="47">
        <v>16</v>
      </c>
      <c r="B227" s="133" t="str">
        <f>HYPERLINK("#'" &amp; TEXT(투자전략!$G$1+15, "[$-ko-KR]yyyy.mm.dd") &amp; "'!A148:O172", TEXT(투자전략!$G$1+15, "[$-ko-KR]yyyy.mm.dd"))</f>
        <v>2023.03.16</v>
      </c>
      <c r="C227" s="118">
        <f t="shared" ca="1" si="65"/>
        <v>3000000</v>
      </c>
      <c r="D227" s="122">
        <f t="shared" ca="1" si="66"/>
        <v>2891764.076769155</v>
      </c>
      <c r="E227" s="70">
        <f t="shared" ca="1" si="67"/>
        <v>-3.6078641076948345E-2</v>
      </c>
      <c r="F227" s="120">
        <f t="shared" ca="1" si="68"/>
        <v>-108235.92323084502</v>
      </c>
      <c r="G227" s="122">
        <f t="shared" ca="1" si="69"/>
        <v>2938554.9339130195</v>
      </c>
      <c r="H227" s="70">
        <f t="shared" ca="1" si="70"/>
        <v>-2.0481688695660149E-2</v>
      </c>
      <c r="I227" s="120">
        <f t="shared" ca="1" si="71"/>
        <v>-61445.066086980449</v>
      </c>
      <c r="J227" s="122">
        <f t="shared" ca="1" si="72"/>
        <v>2958865.736801628</v>
      </c>
      <c r="K227" s="70">
        <f t="shared" ca="1" si="73"/>
        <v>-1.3711421066123941E-2</v>
      </c>
      <c r="L227" s="120">
        <f t="shared" ca="1" si="74"/>
        <v>-41134.263198371824</v>
      </c>
      <c r="M227" s="122">
        <f t="shared" ca="1" si="75"/>
        <v>2939267.3651133711</v>
      </c>
      <c r="N227" s="70">
        <f t="shared" ca="1" si="76"/>
        <v>-2.0244211628876345E-2</v>
      </c>
      <c r="O227" s="120">
        <f t="shared" ca="1" si="77"/>
        <v>-60732.634886629043</v>
      </c>
    </row>
    <row r="228" spans="1:15" ht="16.5" customHeight="1">
      <c r="A228" s="47">
        <v>17</v>
      </c>
      <c r="B228" s="133" t="str">
        <f>HYPERLINK("#'" &amp; TEXT(투자전략!$G$1+16, "[$-ko-KR]yyyy.mm.dd") &amp; "'!A148:O172", TEXT(투자전략!$G$1+16, "[$-ko-KR]yyyy.mm.dd"))</f>
        <v>2023.03.17</v>
      </c>
      <c r="C228" s="118">
        <f t="shared" ca="1" si="65"/>
        <v>3000000</v>
      </c>
      <c r="D228" s="122">
        <f t="shared" ca="1" si="66"/>
        <v>3000000</v>
      </c>
      <c r="E228" s="70">
        <f t="shared" ca="1" si="67"/>
        <v>0</v>
      </c>
      <c r="F228" s="120">
        <f t="shared" ca="1" si="68"/>
        <v>0</v>
      </c>
      <c r="G228" s="122">
        <f t="shared" ca="1" si="69"/>
        <v>3000000</v>
      </c>
      <c r="H228" s="70">
        <f t="shared" ca="1" si="70"/>
        <v>0</v>
      </c>
      <c r="I228" s="120">
        <f t="shared" ca="1" si="71"/>
        <v>0</v>
      </c>
      <c r="J228" s="122">
        <f t="shared" ca="1" si="72"/>
        <v>3000000</v>
      </c>
      <c r="K228" s="70">
        <f t="shared" ca="1" si="73"/>
        <v>0</v>
      </c>
      <c r="L228" s="120">
        <f t="shared" ca="1" si="74"/>
        <v>0</v>
      </c>
      <c r="M228" s="122">
        <f t="shared" ca="1" si="75"/>
        <v>3000000</v>
      </c>
      <c r="N228" s="70">
        <f t="shared" ca="1" si="76"/>
        <v>0</v>
      </c>
      <c r="O228" s="120">
        <f t="shared" ca="1" si="77"/>
        <v>0</v>
      </c>
    </row>
    <row r="229" spans="1:15" ht="16.5" customHeight="1">
      <c r="A229" s="47">
        <v>18</v>
      </c>
      <c r="B229" s="133" t="str">
        <f>HYPERLINK("#'" &amp; TEXT(투자전략!$G$1+17, "[$-ko-KR]yyyy.mm.dd") &amp; "'!A148:O172", TEXT(투자전략!$G$1+17, "[$-ko-KR]yyyy.mm.dd"))</f>
        <v>2023.03.18</v>
      </c>
      <c r="C229" s="118" t="str">
        <f t="shared" ca="1" si="65"/>
        <v/>
      </c>
      <c r="D229" s="122" t="str">
        <f t="shared" ca="1" si="66"/>
        <v/>
      </c>
      <c r="E229" s="70" t="str">
        <f t="shared" ca="1" si="67"/>
        <v/>
      </c>
      <c r="F229" s="120" t="str">
        <f t="shared" ca="1" si="68"/>
        <v/>
      </c>
      <c r="G229" s="122" t="str">
        <f t="shared" ca="1" si="69"/>
        <v/>
      </c>
      <c r="H229" s="70" t="str">
        <f t="shared" ca="1" si="70"/>
        <v/>
      </c>
      <c r="I229" s="120" t="str">
        <f t="shared" ca="1" si="71"/>
        <v/>
      </c>
      <c r="J229" s="122" t="str">
        <f t="shared" ca="1" si="72"/>
        <v/>
      </c>
      <c r="K229" s="70" t="str">
        <f t="shared" ca="1" si="73"/>
        <v/>
      </c>
      <c r="L229" s="120" t="str">
        <f t="shared" ca="1" si="74"/>
        <v/>
      </c>
      <c r="M229" s="122" t="str">
        <f t="shared" ca="1" si="75"/>
        <v/>
      </c>
      <c r="N229" s="70" t="str">
        <f t="shared" ca="1" si="76"/>
        <v/>
      </c>
      <c r="O229" s="120" t="str">
        <f t="shared" ca="1" si="77"/>
        <v/>
      </c>
    </row>
    <row r="230" spans="1:15" ht="16.5" customHeight="1">
      <c r="A230" s="47">
        <v>19</v>
      </c>
      <c r="B230" s="133" t="str">
        <f>HYPERLINK("#'" &amp; TEXT(투자전략!$G$1+18, "[$-ko-KR]yyyy.mm.dd") &amp; "'!A148:O172", TEXT(투자전략!$G$1+18, "[$-ko-KR]yyyy.mm.dd"))</f>
        <v>2023.03.19</v>
      </c>
      <c r="C230" s="118" t="str">
        <f t="shared" ca="1" si="65"/>
        <v/>
      </c>
      <c r="D230" s="122" t="str">
        <f t="shared" ca="1" si="66"/>
        <v/>
      </c>
      <c r="E230" s="70" t="str">
        <f t="shared" ca="1" si="67"/>
        <v/>
      </c>
      <c r="F230" s="120" t="str">
        <f t="shared" ca="1" si="68"/>
        <v/>
      </c>
      <c r="G230" s="122" t="str">
        <f t="shared" ca="1" si="69"/>
        <v/>
      </c>
      <c r="H230" s="70" t="str">
        <f t="shared" ca="1" si="70"/>
        <v/>
      </c>
      <c r="I230" s="120" t="str">
        <f t="shared" ca="1" si="71"/>
        <v/>
      </c>
      <c r="J230" s="122" t="str">
        <f t="shared" ca="1" si="72"/>
        <v/>
      </c>
      <c r="K230" s="70" t="str">
        <f t="shared" ca="1" si="73"/>
        <v/>
      </c>
      <c r="L230" s="120" t="str">
        <f t="shared" ca="1" si="74"/>
        <v/>
      </c>
      <c r="M230" s="122" t="str">
        <f t="shared" ca="1" si="75"/>
        <v/>
      </c>
      <c r="N230" s="70" t="str">
        <f t="shared" ca="1" si="76"/>
        <v/>
      </c>
      <c r="O230" s="120" t="str">
        <f t="shared" ca="1" si="77"/>
        <v/>
      </c>
    </row>
    <row r="231" spans="1:15" ht="16.5" customHeight="1">
      <c r="A231" s="47">
        <v>20</v>
      </c>
      <c r="B231" s="133" t="str">
        <f>HYPERLINK("#'" &amp; TEXT(투자전략!$G$1+19, "[$-ko-KR]yyyy.mm.dd") &amp; "'!A148:O172", TEXT(투자전략!$G$1+19, "[$-ko-KR]yyyy.mm.dd"))</f>
        <v>2023.03.20</v>
      </c>
      <c r="C231" s="118" t="str">
        <f t="shared" ca="1" si="65"/>
        <v/>
      </c>
      <c r="D231" s="122" t="str">
        <f t="shared" ca="1" si="66"/>
        <v/>
      </c>
      <c r="E231" s="70" t="str">
        <f t="shared" ca="1" si="67"/>
        <v/>
      </c>
      <c r="F231" s="120" t="str">
        <f t="shared" ca="1" si="68"/>
        <v/>
      </c>
      <c r="G231" s="122" t="str">
        <f t="shared" ca="1" si="69"/>
        <v/>
      </c>
      <c r="H231" s="70" t="str">
        <f t="shared" ca="1" si="70"/>
        <v/>
      </c>
      <c r="I231" s="120" t="str">
        <f t="shared" ca="1" si="71"/>
        <v/>
      </c>
      <c r="J231" s="122" t="str">
        <f t="shared" ca="1" si="72"/>
        <v/>
      </c>
      <c r="K231" s="70" t="str">
        <f t="shared" ca="1" si="73"/>
        <v/>
      </c>
      <c r="L231" s="120" t="str">
        <f t="shared" ca="1" si="74"/>
        <v/>
      </c>
      <c r="M231" s="122" t="str">
        <f t="shared" ca="1" si="75"/>
        <v/>
      </c>
      <c r="N231" s="70" t="str">
        <f t="shared" ca="1" si="76"/>
        <v/>
      </c>
      <c r="O231" s="120" t="str">
        <f t="shared" ca="1" si="77"/>
        <v/>
      </c>
    </row>
    <row r="232" spans="1:15" ht="16.5" customHeight="1" thickBot="1">
      <c r="A232" s="48">
        <v>21</v>
      </c>
      <c r="B232" s="134" t="str">
        <f>HYPERLINK("#'" &amp; TEXT(투자전략!$G$1+20, "[$-ko-KR]yyyy.mm.dd") &amp; "'!A148:O172", TEXT(투자전략!$G$1+20, "[$-ko-KR]yyyy.mm.dd"))</f>
        <v>2023.03.21</v>
      </c>
      <c r="C232" s="118" t="str">
        <f t="shared" ca="1" si="65"/>
        <v/>
      </c>
      <c r="D232" s="122" t="str">
        <f t="shared" ca="1" si="66"/>
        <v/>
      </c>
      <c r="E232" s="70" t="str">
        <f t="shared" ca="1" si="67"/>
        <v/>
      </c>
      <c r="F232" s="120" t="str">
        <f t="shared" ca="1" si="68"/>
        <v/>
      </c>
      <c r="G232" s="122" t="str">
        <f t="shared" ca="1" si="69"/>
        <v/>
      </c>
      <c r="H232" s="70" t="str">
        <f t="shared" ca="1" si="70"/>
        <v/>
      </c>
      <c r="I232" s="120" t="str">
        <f t="shared" ca="1" si="71"/>
        <v/>
      </c>
      <c r="J232" s="122" t="str">
        <f t="shared" ca="1" si="72"/>
        <v/>
      </c>
      <c r="K232" s="70" t="str">
        <f t="shared" ca="1" si="73"/>
        <v/>
      </c>
      <c r="L232" s="120" t="str">
        <f t="shared" ca="1" si="74"/>
        <v/>
      </c>
      <c r="M232" s="122" t="str">
        <f t="shared" ca="1" si="75"/>
        <v/>
      </c>
      <c r="N232" s="70" t="str">
        <f t="shared" ca="1" si="76"/>
        <v/>
      </c>
      <c r="O232" s="120" t="str">
        <f t="shared" ca="1" si="77"/>
        <v/>
      </c>
    </row>
    <row r="233" spans="1:15" ht="16.5" customHeight="1">
      <c r="A233" s="46">
        <v>22</v>
      </c>
      <c r="B233" s="132" t="str">
        <f>HYPERLINK("#'" &amp; TEXT(투자전략!$G$1+21, "[$-ko-KR]yyyy.mm.dd") &amp; "'!A148:O172", TEXT(투자전략!$G$1+21, "[$-ko-KR]yyyy.mm.dd"))</f>
        <v>2023.03.22</v>
      </c>
      <c r="C233" s="117" t="str">
        <f t="shared" ca="1" si="65"/>
        <v/>
      </c>
      <c r="D233" s="125" t="str">
        <f t="shared" ca="1" si="66"/>
        <v/>
      </c>
      <c r="E233" s="69" t="str">
        <f t="shared" ca="1" si="67"/>
        <v/>
      </c>
      <c r="F233" s="124" t="str">
        <f t="shared" ca="1" si="68"/>
        <v/>
      </c>
      <c r="G233" s="125" t="str">
        <f t="shared" ca="1" si="69"/>
        <v/>
      </c>
      <c r="H233" s="69" t="str">
        <f t="shared" ca="1" si="70"/>
        <v/>
      </c>
      <c r="I233" s="124" t="str">
        <f t="shared" ca="1" si="71"/>
        <v/>
      </c>
      <c r="J233" s="125" t="str">
        <f t="shared" ca="1" si="72"/>
        <v/>
      </c>
      <c r="K233" s="69" t="str">
        <f t="shared" ca="1" si="73"/>
        <v/>
      </c>
      <c r="L233" s="124" t="str">
        <f t="shared" ca="1" si="74"/>
        <v/>
      </c>
      <c r="M233" s="125" t="str">
        <f t="shared" ca="1" si="75"/>
        <v/>
      </c>
      <c r="N233" s="69" t="str">
        <f t="shared" ca="1" si="76"/>
        <v/>
      </c>
      <c r="O233" s="124" t="str">
        <f t="shared" ca="1" si="77"/>
        <v/>
      </c>
    </row>
    <row r="234" spans="1:15" ht="16.5" customHeight="1">
      <c r="A234" s="47">
        <v>23</v>
      </c>
      <c r="B234" s="133" t="str">
        <f>HYPERLINK("#'" &amp; TEXT(투자전략!$G$1+22, "[$-ko-KR]yyyy.mm.dd") &amp; "'!A148:O172", TEXT(투자전략!$G$1+22, "[$-ko-KR]yyyy.mm.dd"))</f>
        <v>2023.03.23</v>
      </c>
      <c r="C234" s="118" t="str">
        <f t="shared" ca="1" si="65"/>
        <v/>
      </c>
      <c r="D234" s="122" t="str">
        <f t="shared" ca="1" si="66"/>
        <v/>
      </c>
      <c r="E234" s="70" t="str">
        <f t="shared" ca="1" si="67"/>
        <v/>
      </c>
      <c r="F234" s="120" t="str">
        <f t="shared" ca="1" si="68"/>
        <v/>
      </c>
      <c r="G234" s="122" t="str">
        <f t="shared" ca="1" si="69"/>
        <v/>
      </c>
      <c r="H234" s="70" t="str">
        <f t="shared" ca="1" si="70"/>
        <v/>
      </c>
      <c r="I234" s="120" t="str">
        <f t="shared" ca="1" si="71"/>
        <v/>
      </c>
      <c r="J234" s="122" t="str">
        <f t="shared" ca="1" si="72"/>
        <v/>
      </c>
      <c r="K234" s="70" t="str">
        <f t="shared" ca="1" si="73"/>
        <v/>
      </c>
      <c r="L234" s="120" t="str">
        <f t="shared" ca="1" si="74"/>
        <v/>
      </c>
      <c r="M234" s="122" t="str">
        <f t="shared" ca="1" si="75"/>
        <v/>
      </c>
      <c r="N234" s="70" t="str">
        <f t="shared" ca="1" si="76"/>
        <v/>
      </c>
      <c r="O234" s="120" t="str">
        <f t="shared" ca="1" si="77"/>
        <v/>
      </c>
    </row>
    <row r="235" spans="1:15" ht="16.5" customHeight="1">
      <c r="A235" s="47">
        <v>24</v>
      </c>
      <c r="B235" s="133" t="str">
        <f>HYPERLINK("#'" &amp; TEXT(투자전략!$G$1+23, "[$-ko-KR]yyyy.mm.dd") &amp; "'!A148:O172", TEXT(투자전략!$G$1+23, "[$-ko-KR]yyyy.mm.dd"))</f>
        <v>2023.03.24</v>
      </c>
      <c r="C235" s="118" t="str">
        <f t="shared" ca="1" si="65"/>
        <v/>
      </c>
      <c r="D235" s="122" t="str">
        <f t="shared" ca="1" si="66"/>
        <v/>
      </c>
      <c r="E235" s="70" t="str">
        <f t="shared" ca="1" si="67"/>
        <v/>
      </c>
      <c r="F235" s="120" t="str">
        <f t="shared" ca="1" si="68"/>
        <v/>
      </c>
      <c r="G235" s="122" t="str">
        <f t="shared" ca="1" si="69"/>
        <v/>
      </c>
      <c r="H235" s="70" t="str">
        <f t="shared" ca="1" si="70"/>
        <v/>
      </c>
      <c r="I235" s="120" t="str">
        <f t="shared" ca="1" si="71"/>
        <v/>
      </c>
      <c r="J235" s="122" t="str">
        <f t="shared" ca="1" si="72"/>
        <v/>
      </c>
      <c r="K235" s="70" t="str">
        <f t="shared" ca="1" si="73"/>
        <v/>
      </c>
      <c r="L235" s="120" t="str">
        <f t="shared" ca="1" si="74"/>
        <v/>
      </c>
      <c r="M235" s="122" t="str">
        <f t="shared" ca="1" si="75"/>
        <v/>
      </c>
      <c r="N235" s="70" t="str">
        <f t="shared" ca="1" si="76"/>
        <v/>
      </c>
      <c r="O235" s="120" t="str">
        <f t="shared" ca="1" si="77"/>
        <v/>
      </c>
    </row>
    <row r="236" spans="1:15" ht="16.5" customHeight="1">
      <c r="A236" s="47">
        <v>25</v>
      </c>
      <c r="B236" s="133" t="str">
        <f>HYPERLINK("#'" &amp; TEXT(투자전략!$G$1+24, "[$-ko-KR]yyyy.mm.dd") &amp; "'!A148:O172", TEXT(투자전략!$G$1+24, "[$-ko-KR]yyyy.mm.dd"))</f>
        <v>2023.03.25</v>
      </c>
      <c r="C236" s="118" t="str">
        <f t="shared" ca="1" si="65"/>
        <v/>
      </c>
      <c r="D236" s="122" t="str">
        <f t="shared" ca="1" si="66"/>
        <v/>
      </c>
      <c r="E236" s="70" t="str">
        <f t="shared" ca="1" si="67"/>
        <v/>
      </c>
      <c r="F236" s="120" t="str">
        <f t="shared" ca="1" si="68"/>
        <v/>
      </c>
      <c r="G236" s="122" t="str">
        <f t="shared" ca="1" si="69"/>
        <v/>
      </c>
      <c r="H236" s="70" t="str">
        <f t="shared" ca="1" si="70"/>
        <v/>
      </c>
      <c r="I236" s="120" t="str">
        <f t="shared" ca="1" si="71"/>
        <v/>
      </c>
      <c r="J236" s="122" t="str">
        <f t="shared" ca="1" si="72"/>
        <v/>
      </c>
      <c r="K236" s="70" t="str">
        <f t="shared" ca="1" si="73"/>
        <v/>
      </c>
      <c r="L236" s="120" t="str">
        <f t="shared" ca="1" si="74"/>
        <v/>
      </c>
      <c r="M236" s="122" t="str">
        <f t="shared" ca="1" si="75"/>
        <v/>
      </c>
      <c r="N236" s="70" t="str">
        <f t="shared" ca="1" si="76"/>
        <v/>
      </c>
      <c r="O236" s="120" t="str">
        <f t="shared" ca="1" si="77"/>
        <v/>
      </c>
    </row>
    <row r="237" spans="1:15" ht="16.5" customHeight="1">
      <c r="A237" s="47">
        <v>26</v>
      </c>
      <c r="B237" s="133" t="str">
        <f>HYPERLINK("#'" &amp; TEXT(투자전략!$G$1+25, "[$-ko-KR]yyyy.mm.dd") &amp; "'!A148:O172", TEXT(투자전략!$G$1+25, "[$-ko-KR]yyyy.mm.dd"))</f>
        <v>2023.03.26</v>
      </c>
      <c r="C237" s="118" t="str">
        <f t="shared" ca="1" si="65"/>
        <v/>
      </c>
      <c r="D237" s="122" t="str">
        <f t="shared" ca="1" si="66"/>
        <v/>
      </c>
      <c r="E237" s="70" t="str">
        <f t="shared" ca="1" si="67"/>
        <v/>
      </c>
      <c r="F237" s="120" t="str">
        <f t="shared" ca="1" si="68"/>
        <v/>
      </c>
      <c r="G237" s="122" t="str">
        <f t="shared" ca="1" si="69"/>
        <v/>
      </c>
      <c r="H237" s="70" t="str">
        <f t="shared" ca="1" si="70"/>
        <v/>
      </c>
      <c r="I237" s="120" t="str">
        <f t="shared" ca="1" si="71"/>
        <v/>
      </c>
      <c r="J237" s="122" t="str">
        <f t="shared" ca="1" si="72"/>
        <v/>
      </c>
      <c r="K237" s="70" t="str">
        <f t="shared" ca="1" si="73"/>
        <v/>
      </c>
      <c r="L237" s="120" t="str">
        <f t="shared" ca="1" si="74"/>
        <v/>
      </c>
      <c r="M237" s="122" t="str">
        <f t="shared" ca="1" si="75"/>
        <v/>
      </c>
      <c r="N237" s="70" t="str">
        <f t="shared" ca="1" si="76"/>
        <v/>
      </c>
      <c r="O237" s="120" t="str">
        <f t="shared" ca="1" si="77"/>
        <v/>
      </c>
    </row>
    <row r="238" spans="1:15" ht="16.5" customHeight="1">
      <c r="A238" s="47">
        <v>27</v>
      </c>
      <c r="B238" s="133" t="str">
        <f>HYPERLINK("#'" &amp; TEXT(투자전략!$G$1+26, "[$-ko-KR]yyyy.mm.dd") &amp; "'!A148:O172", TEXT(투자전략!$G$1+26, "[$-ko-KR]yyyy.mm.dd"))</f>
        <v>2023.03.27</v>
      </c>
      <c r="C238" s="118" t="str">
        <f t="shared" ca="1" si="65"/>
        <v/>
      </c>
      <c r="D238" s="122" t="str">
        <f t="shared" ca="1" si="66"/>
        <v/>
      </c>
      <c r="E238" s="70" t="str">
        <f t="shared" ca="1" si="67"/>
        <v/>
      </c>
      <c r="F238" s="120" t="str">
        <f t="shared" ca="1" si="68"/>
        <v/>
      </c>
      <c r="G238" s="122" t="str">
        <f t="shared" ca="1" si="69"/>
        <v/>
      </c>
      <c r="H238" s="70" t="str">
        <f t="shared" ca="1" si="70"/>
        <v/>
      </c>
      <c r="I238" s="120" t="str">
        <f t="shared" ca="1" si="71"/>
        <v/>
      </c>
      <c r="J238" s="122" t="str">
        <f t="shared" ca="1" si="72"/>
        <v/>
      </c>
      <c r="K238" s="70" t="str">
        <f t="shared" ca="1" si="73"/>
        <v/>
      </c>
      <c r="L238" s="120" t="str">
        <f t="shared" ca="1" si="74"/>
        <v/>
      </c>
      <c r="M238" s="122" t="str">
        <f t="shared" ca="1" si="75"/>
        <v/>
      </c>
      <c r="N238" s="70" t="str">
        <f t="shared" ca="1" si="76"/>
        <v/>
      </c>
      <c r="O238" s="120" t="str">
        <f t="shared" ca="1" si="77"/>
        <v/>
      </c>
    </row>
    <row r="239" spans="1:15" ht="16.5" customHeight="1" thickBot="1">
      <c r="A239" s="48">
        <v>28</v>
      </c>
      <c r="B239" s="134" t="str">
        <f>HYPERLINK("#'" &amp; TEXT(투자전략!$G$1+27, "[$-ko-KR]yyyy.mm.dd") &amp; "'!A148:O172", TEXT(투자전략!$G$1+27, "[$-ko-KR]yyyy.mm.dd"))</f>
        <v>2023.03.28</v>
      </c>
      <c r="C239" s="119" t="str">
        <f t="shared" ca="1" si="65"/>
        <v/>
      </c>
      <c r="D239" s="123" t="str">
        <f t="shared" ca="1" si="66"/>
        <v/>
      </c>
      <c r="E239" s="72" t="str">
        <f t="shared" ca="1" si="67"/>
        <v/>
      </c>
      <c r="F239" s="121" t="str">
        <f t="shared" ca="1" si="68"/>
        <v/>
      </c>
      <c r="G239" s="123" t="str">
        <f t="shared" ca="1" si="69"/>
        <v/>
      </c>
      <c r="H239" s="72" t="str">
        <f t="shared" ca="1" si="70"/>
        <v/>
      </c>
      <c r="I239" s="121" t="str">
        <f t="shared" ca="1" si="71"/>
        <v/>
      </c>
      <c r="J239" s="123" t="str">
        <f t="shared" ca="1" si="72"/>
        <v/>
      </c>
      <c r="K239" s="72" t="str">
        <f t="shared" ca="1" si="73"/>
        <v/>
      </c>
      <c r="L239" s="121" t="str">
        <f t="shared" ca="1" si="74"/>
        <v/>
      </c>
      <c r="M239" s="123" t="str">
        <f t="shared" ca="1" si="75"/>
        <v/>
      </c>
      <c r="N239" s="72" t="str">
        <f t="shared" ca="1" si="76"/>
        <v/>
      </c>
      <c r="O239" s="121" t="str">
        <f t="shared" ca="1" si="77"/>
        <v/>
      </c>
    </row>
    <row r="240" spans="1:15" ht="16.5" customHeight="1">
      <c r="A240" s="105">
        <v>29</v>
      </c>
      <c r="B240" s="132" t="str">
        <f>HYPERLINK("#'" &amp; TEXT(투자전략!$G$1+28, "[$-ko-KR]yyyy.mm.dd") &amp; "'!A148:O172", TEXT(투자전략!$G$1+28, "[$-ko-KR]yyyy.mm.dd"))</f>
        <v>2023.03.29</v>
      </c>
      <c r="C240" s="118" t="str">
        <f t="shared" ca="1" si="65"/>
        <v/>
      </c>
      <c r="D240" s="122" t="str">
        <f t="shared" ca="1" si="66"/>
        <v/>
      </c>
      <c r="E240" s="70" t="str">
        <f t="shared" ca="1" si="67"/>
        <v/>
      </c>
      <c r="F240" s="120" t="str">
        <f t="shared" ca="1" si="68"/>
        <v/>
      </c>
      <c r="G240" s="122" t="str">
        <f t="shared" ca="1" si="69"/>
        <v/>
      </c>
      <c r="H240" s="70" t="str">
        <f t="shared" ca="1" si="70"/>
        <v/>
      </c>
      <c r="I240" s="120" t="str">
        <f t="shared" ca="1" si="71"/>
        <v/>
      </c>
      <c r="J240" s="122" t="str">
        <f t="shared" ca="1" si="72"/>
        <v/>
      </c>
      <c r="K240" s="70" t="str">
        <f t="shared" ca="1" si="73"/>
        <v/>
      </c>
      <c r="L240" s="120" t="str">
        <f t="shared" ca="1" si="74"/>
        <v/>
      </c>
      <c r="M240" s="122" t="str">
        <f t="shared" ca="1" si="75"/>
        <v/>
      </c>
      <c r="N240" s="70" t="str">
        <f t="shared" ca="1" si="76"/>
        <v/>
      </c>
      <c r="O240" s="120" t="str">
        <f t="shared" ca="1" si="77"/>
        <v/>
      </c>
    </row>
    <row r="241" spans="1:15" ht="16.5" customHeight="1">
      <c r="A241" s="105">
        <v>30</v>
      </c>
      <c r="B241" s="133" t="str">
        <f>HYPERLINK("#'" &amp; TEXT(투자전략!$G$1+29, "[$-ko-KR]yyyy.mm.dd") &amp; "'!A148:O172", TEXT(투자전략!$G$1+29, "[$-ko-KR]yyyy.mm.dd"))</f>
        <v>2023.03.30</v>
      </c>
      <c r="C241" s="118" t="str">
        <f t="shared" ca="1" si="65"/>
        <v/>
      </c>
      <c r="D241" s="122" t="str">
        <f t="shared" ca="1" si="66"/>
        <v/>
      </c>
      <c r="E241" s="70" t="str">
        <f t="shared" ca="1" si="67"/>
        <v/>
      </c>
      <c r="F241" s="120" t="str">
        <f t="shared" ca="1" si="68"/>
        <v/>
      </c>
      <c r="G241" s="122" t="str">
        <f t="shared" ca="1" si="69"/>
        <v/>
      </c>
      <c r="H241" s="70" t="str">
        <f t="shared" ca="1" si="70"/>
        <v/>
      </c>
      <c r="I241" s="120" t="str">
        <f t="shared" ca="1" si="71"/>
        <v/>
      </c>
      <c r="J241" s="122" t="str">
        <f t="shared" ca="1" si="72"/>
        <v/>
      </c>
      <c r="K241" s="70" t="str">
        <f t="shared" ca="1" si="73"/>
        <v/>
      </c>
      <c r="L241" s="120" t="str">
        <f t="shared" ca="1" si="74"/>
        <v/>
      </c>
      <c r="M241" s="122" t="str">
        <f t="shared" ca="1" si="75"/>
        <v/>
      </c>
      <c r="N241" s="70" t="str">
        <f t="shared" ca="1" si="76"/>
        <v/>
      </c>
      <c r="O241" s="120" t="str">
        <f t="shared" ca="1" si="77"/>
        <v/>
      </c>
    </row>
    <row r="242" spans="1:15" ht="16.5" customHeight="1" thickBot="1">
      <c r="A242" s="105">
        <v>31</v>
      </c>
      <c r="B242" s="133" t="str">
        <f>HYPERLINK("#'" &amp; TEXT(투자전략!$G$1+30, "[$-ko-KR]yyyy.mm.dd") &amp; "'!A148:O172", TEXT(투자전략!$G$1+30, "[$-ko-KR]yyyy.mm.dd"))</f>
        <v>2023.03.31</v>
      </c>
      <c r="C242" s="119" t="str">
        <f t="shared" ca="1" si="65"/>
        <v/>
      </c>
      <c r="D242" s="123" t="str">
        <f t="shared" ca="1" si="66"/>
        <v/>
      </c>
      <c r="E242" s="72" t="str">
        <f t="shared" ca="1" si="67"/>
        <v/>
      </c>
      <c r="F242" s="121" t="str">
        <f t="shared" ca="1" si="68"/>
        <v/>
      </c>
      <c r="G242" s="123" t="str">
        <f t="shared" ca="1" si="69"/>
        <v/>
      </c>
      <c r="H242" s="72" t="str">
        <f t="shared" ca="1" si="70"/>
        <v/>
      </c>
      <c r="I242" s="121" t="str">
        <f t="shared" ca="1" si="71"/>
        <v/>
      </c>
      <c r="J242" s="123" t="str">
        <f t="shared" ca="1" si="72"/>
        <v/>
      </c>
      <c r="K242" s="72" t="str">
        <f t="shared" ca="1" si="73"/>
        <v/>
      </c>
      <c r="L242" s="121" t="str">
        <f t="shared" ca="1" si="74"/>
        <v/>
      </c>
      <c r="M242" s="123" t="str">
        <f t="shared" ca="1" si="75"/>
        <v/>
      </c>
      <c r="N242" s="72" t="str">
        <f t="shared" ca="1" si="76"/>
        <v/>
      </c>
      <c r="O242" s="121" t="str">
        <f t="shared" ca="1" si="77"/>
        <v/>
      </c>
    </row>
    <row r="243" spans="1:15" ht="16.5" customHeight="1" thickBot="1">
      <c r="A243" s="185" t="s">
        <v>270</v>
      </c>
      <c r="B243" s="187"/>
      <c r="C243" s="116" t="s">
        <v>265</v>
      </c>
      <c r="D243" s="9" t="s">
        <v>266</v>
      </c>
      <c r="E243" s="63" t="s">
        <v>267</v>
      </c>
      <c r="F243" s="64" t="s">
        <v>268</v>
      </c>
      <c r="G243" s="9" t="s">
        <v>266</v>
      </c>
      <c r="H243" s="63" t="s">
        <v>267</v>
      </c>
      <c r="I243" s="64" t="s">
        <v>268</v>
      </c>
      <c r="J243" s="9" t="s">
        <v>266</v>
      </c>
      <c r="K243" s="63" t="s">
        <v>267</v>
      </c>
      <c r="L243" s="64" t="s">
        <v>268</v>
      </c>
      <c r="M243" s="9" t="s">
        <v>266</v>
      </c>
      <c r="N243" s="63" t="s">
        <v>267</v>
      </c>
      <c r="O243" s="64" t="s">
        <v>268</v>
      </c>
    </row>
    <row r="244" spans="1:15" ht="16.5" customHeight="1" thickBot="1">
      <c r="A244" s="178"/>
      <c r="B244" s="180"/>
      <c r="C244" s="119">
        <f ca="1">SUM(C212:C242)</f>
        <v>36000000</v>
      </c>
      <c r="D244" s="123">
        <f ca="1">SUM(D212:D242)</f>
        <v>36164732.440462276</v>
      </c>
      <c r="E244" s="72">
        <f ca="1">IFERROR(F244 / (SUM($C212:$C242) / COUNT($C212:$C242)), 0)</f>
        <v>5.4910813487423701E-2</v>
      </c>
      <c r="F244" s="121">
        <f ca="1">SUM(F212:F242)</f>
        <v>164732.4404622711</v>
      </c>
      <c r="G244" s="123">
        <f ca="1">SUM(G212:G242)</f>
        <v>35830325.230108418</v>
      </c>
      <c r="H244" s="72">
        <f ca="1">IFERROR(I244 / (SUM($C212:$C242) / COUNT($C212:$C242)), 0)</f>
        <v>-5.6558256630527243E-2</v>
      </c>
      <c r="I244" s="121">
        <f ca="1">SUM(I212:I242)</f>
        <v>-169674.76989158173</v>
      </c>
      <c r="J244" s="123">
        <f ca="1">SUM(J212:J242)</f>
        <v>35908555.3922619</v>
      </c>
      <c r="K244" s="72">
        <f ca="1">IFERROR(L244 / (SUM($C212:$C242) / COUNT($C212:$C242)), 0)</f>
        <v>-3.0481535912699087E-2</v>
      </c>
      <c r="L244" s="121">
        <f ca="1">SUM(L212:L242)</f>
        <v>-91444.607738097257</v>
      </c>
      <c r="M244" s="123">
        <f ca="1">SUM(M212:M242)</f>
        <v>36021652.346382067</v>
      </c>
      <c r="N244" s="72">
        <f ca="1">IFERROR(O244 / (SUM($C212:$C242) / COUNT($C212:$C242)), 0)</f>
        <v>7.2174487940245575E-3</v>
      </c>
      <c r="O244" s="121">
        <f ca="1">SUM(O212:O242)</f>
        <v>21652.346382073672</v>
      </c>
    </row>
    <row r="246" spans="1:15" ht="16.5" customHeight="1" thickBot="1"/>
    <row r="247" spans="1:15" ht="16.5" customHeight="1" thickBot="1">
      <c r="A247" s="157" t="str">
        <f>TEXT(투자전략!$G$1, "[$-ko-KR]yyyy년 mm월 ") &amp; "전일대비 상승률 Bottom20 월말결산"</f>
        <v>2023년 03월 전일대비 상승률 Bottom20 월말결산</v>
      </c>
      <c r="B247" s="158"/>
      <c r="C247" s="158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9"/>
    </row>
    <row r="248" spans="1:15" ht="16.5" customHeight="1" thickBot="1">
      <c r="A248" s="201" t="s">
        <v>271</v>
      </c>
      <c r="B248" s="178" t="s">
        <v>269</v>
      </c>
      <c r="C248" s="180"/>
      <c r="D248" s="178" t="s">
        <v>261</v>
      </c>
      <c r="E248" s="179"/>
      <c r="F248" s="180"/>
      <c r="G248" s="178" t="s">
        <v>262</v>
      </c>
      <c r="H248" s="179"/>
      <c r="I248" s="180"/>
      <c r="J248" s="178" t="s">
        <v>263</v>
      </c>
      <c r="K248" s="179"/>
      <c r="L248" s="180"/>
      <c r="M248" s="178" t="s">
        <v>264</v>
      </c>
      <c r="N248" s="179"/>
      <c r="O248" s="180"/>
    </row>
    <row r="249" spans="1:15" ht="16.5" customHeight="1" thickBot="1">
      <c r="A249" s="194"/>
      <c r="B249" s="46" t="s">
        <v>259</v>
      </c>
      <c r="C249" s="46" t="s">
        <v>42</v>
      </c>
      <c r="D249" s="105" t="s">
        <v>260</v>
      </c>
      <c r="E249" s="106" t="s">
        <v>40</v>
      </c>
      <c r="F249" s="81" t="s">
        <v>41</v>
      </c>
      <c r="G249" s="105" t="s">
        <v>260</v>
      </c>
      <c r="H249" s="106" t="s">
        <v>40</v>
      </c>
      <c r="I249" s="81" t="s">
        <v>41</v>
      </c>
      <c r="J249" s="105" t="s">
        <v>260</v>
      </c>
      <c r="K249" s="106" t="s">
        <v>40</v>
      </c>
      <c r="L249" s="81" t="s">
        <v>41</v>
      </c>
      <c r="M249" s="105" t="s">
        <v>260</v>
      </c>
      <c r="N249" s="106" t="s">
        <v>40</v>
      </c>
      <c r="O249" s="81" t="s">
        <v>41</v>
      </c>
    </row>
    <row r="250" spans="1:15" ht="16.5" customHeight="1">
      <c r="A250" s="46">
        <v>1</v>
      </c>
      <c r="B250" s="132" t="str">
        <f>HYPERLINK("#'" &amp; TEXT(투자전략!$G$1+0, "[$-ko-KR]yyyy.mm.dd") &amp; "'!A175:O199", TEXT(투자전략!$G$1+0, "[$-ko-KR]yyyy.mm.dd"))</f>
        <v>2023.03.01</v>
      </c>
      <c r="C250" s="117">
        <f ca="1">IFERROR(COUNTA(INDIRECT($B250&amp;"!A179:A198")) * INDIRECT($B250&amp;"!B199"), "")</f>
        <v>3000000</v>
      </c>
      <c r="D250" s="125">
        <f ca="1">IFERROR($C250 * (1 + E250), "")</f>
        <v>3000000</v>
      </c>
      <c r="E250" s="69">
        <f ca="1">IFERROR(INDIRECT($B250&amp;"!E199"), "")</f>
        <v>0</v>
      </c>
      <c r="F250" s="124">
        <f ca="1">IFERROR(INDIRECT($B250&amp;"!F199"), "")</f>
        <v>0</v>
      </c>
      <c r="G250" s="125">
        <f ca="1">IFERROR($C250 * (1 + H250), "")</f>
        <v>3000000</v>
      </c>
      <c r="H250" s="69">
        <f ca="1">IFERROR(INDIRECT($B250&amp;"!H199"), "")</f>
        <v>0</v>
      </c>
      <c r="I250" s="124">
        <f ca="1">IFERROR(INDIRECT($B250&amp;"!I199"), "")</f>
        <v>0</v>
      </c>
      <c r="J250" s="125">
        <f ca="1">IFERROR($C250 * (1 + K250), "")</f>
        <v>3000000</v>
      </c>
      <c r="K250" s="69">
        <f ca="1">IFERROR(INDIRECT($B250&amp;"!K199"), "")</f>
        <v>0</v>
      </c>
      <c r="L250" s="124">
        <f ca="1">IFERROR(INDIRECT($B250&amp;"!L199"), "")</f>
        <v>0</v>
      </c>
      <c r="M250" s="125">
        <f ca="1">IFERROR($C250 * (1 + N250), "")</f>
        <v>3000000</v>
      </c>
      <c r="N250" s="69">
        <f ca="1">IFERROR(INDIRECT($B250&amp;"!N199"), "")</f>
        <v>0</v>
      </c>
      <c r="O250" s="124">
        <f ca="1">IFERROR(INDIRECT($B250&amp;"!O199"), "")</f>
        <v>0</v>
      </c>
    </row>
    <row r="251" spans="1:15" ht="16.5" customHeight="1">
      <c r="A251" s="47">
        <v>2</v>
      </c>
      <c r="B251" s="133" t="str">
        <f>HYPERLINK("#'" &amp; TEXT(투자전략!$G$1+1, "[$-ko-KR]yyyy.mm.dd") &amp; "'!A175:O199", TEXT(투자전략!$G$1+1, "[$-ko-KR]yyyy.mm.dd"))</f>
        <v>2023.03.02</v>
      </c>
      <c r="C251" s="118" t="str">
        <f t="shared" ref="C251:C280" ca="1" si="78">IFERROR(COUNTA(INDIRECT($B251&amp;"!A179:A198")) * INDIRECT($B251&amp;"!B199"), "")</f>
        <v/>
      </c>
      <c r="D251" s="122" t="str">
        <f t="shared" ref="D251:D280" ca="1" si="79">IFERROR($C251 * (1 + E251), "")</f>
        <v/>
      </c>
      <c r="E251" s="70" t="str">
        <f t="shared" ref="E251:E280" ca="1" si="80">IFERROR(INDIRECT($B251&amp;"!E199"), "")</f>
        <v/>
      </c>
      <c r="F251" s="120" t="str">
        <f t="shared" ref="F251:F280" ca="1" si="81">IFERROR(INDIRECT($B251&amp;"!F199"), "")</f>
        <v/>
      </c>
      <c r="G251" s="122" t="str">
        <f t="shared" ref="G251:G280" ca="1" si="82">IFERROR($C251 * (1 + H251), "")</f>
        <v/>
      </c>
      <c r="H251" s="70" t="str">
        <f t="shared" ref="H251:H280" ca="1" si="83">IFERROR(INDIRECT($B251&amp;"!H199"), "")</f>
        <v/>
      </c>
      <c r="I251" s="120" t="str">
        <f t="shared" ref="I251:I280" ca="1" si="84">IFERROR(INDIRECT($B251&amp;"!I199"), "")</f>
        <v/>
      </c>
      <c r="J251" s="122" t="str">
        <f t="shared" ref="J251:J280" ca="1" si="85">IFERROR($C251 * (1 + K251), "")</f>
        <v/>
      </c>
      <c r="K251" s="70" t="str">
        <f t="shared" ref="K251:K280" ca="1" si="86">IFERROR(INDIRECT($B251&amp;"!K199"), "")</f>
        <v/>
      </c>
      <c r="L251" s="120" t="str">
        <f t="shared" ref="L251:L280" ca="1" si="87">IFERROR(INDIRECT($B251&amp;"!L199"), "")</f>
        <v/>
      </c>
      <c r="M251" s="122" t="str">
        <f t="shared" ref="M251:M280" ca="1" si="88">IFERROR($C251 * (1 + N251), "")</f>
        <v/>
      </c>
      <c r="N251" s="70" t="str">
        <f t="shared" ref="N251:N280" ca="1" si="89">IFERROR(INDIRECT($B251&amp;"!N199"), "")</f>
        <v/>
      </c>
      <c r="O251" s="120" t="str">
        <f t="shared" ref="O251:O280" ca="1" si="90">IFERROR(INDIRECT($B251&amp;"!O199"), "")</f>
        <v/>
      </c>
    </row>
    <row r="252" spans="1:15" ht="16.5" customHeight="1">
      <c r="A252" s="47">
        <v>3</v>
      </c>
      <c r="B252" s="133" t="str">
        <f>HYPERLINK("#'" &amp; TEXT(투자전략!$G$1+2, "[$-ko-KR]yyyy.mm.dd") &amp; "'!A175:O199", TEXT(투자전략!$G$1+2, "[$-ko-KR]yyyy.mm.dd"))</f>
        <v>2023.03.03</v>
      </c>
      <c r="C252" s="118" t="str">
        <f t="shared" ca="1" si="78"/>
        <v/>
      </c>
      <c r="D252" s="122" t="str">
        <f t="shared" ca="1" si="79"/>
        <v/>
      </c>
      <c r="E252" s="70" t="str">
        <f t="shared" ca="1" si="80"/>
        <v/>
      </c>
      <c r="F252" s="120" t="str">
        <f t="shared" ca="1" si="81"/>
        <v/>
      </c>
      <c r="G252" s="122" t="str">
        <f t="shared" ca="1" si="82"/>
        <v/>
      </c>
      <c r="H252" s="70" t="str">
        <f t="shared" ca="1" si="83"/>
        <v/>
      </c>
      <c r="I252" s="120" t="str">
        <f t="shared" ca="1" si="84"/>
        <v/>
      </c>
      <c r="J252" s="122" t="str">
        <f t="shared" ca="1" si="85"/>
        <v/>
      </c>
      <c r="K252" s="70" t="str">
        <f t="shared" ca="1" si="86"/>
        <v/>
      </c>
      <c r="L252" s="120" t="str">
        <f t="shared" ca="1" si="87"/>
        <v/>
      </c>
      <c r="M252" s="122" t="str">
        <f t="shared" ca="1" si="88"/>
        <v/>
      </c>
      <c r="N252" s="70" t="str">
        <f t="shared" ca="1" si="89"/>
        <v/>
      </c>
      <c r="O252" s="120" t="str">
        <f t="shared" ca="1" si="90"/>
        <v/>
      </c>
    </row>
    <row r="253" spans="1:15" ht="16.5" customHeight="1">
      <c r="A253" s="47">
        <v>4</v>
      </c>
      <c r="B253" s="133" t="str">
        <f>HYPERLINK("#'" &amp; TEXT(투자전략!$G$1+3, "[$-ko-KR]yyyy.mm.dd") &amp; "'!A175:O199", TEXT(투자전략!$G$1+3, "[$-ko-KR]yyyy.mm.dd"))</f>
        <v>2023.03.04</v>
      </c>
      <c r="C253" s="118" t="str">
        <f t="shared" ca="1" si="78"/>
        <v/>
      </c>
      <c r="D253" s="122" t="str">
        <f t="shared" ca="1" si="79"/>
        <v/>
      </c>
      <c r="E253" s="70" t="str">
        <f t="shared" ca="1" si="80"/>
        <v/>
      </c>
      <c r="F253" s="120" t="str">
        <f t="shared" ca="1" si="81"/>
        <v/>
      </c>
      <c r="G253" s="122" t="str">
        <f t="shared" ca="1" si="82"/>
        <v/>
      </c>
      <c r="H253" s="70" t="str">
        <f t="shared" ca="1" si="83"/>
        <v/>
      </c>
      <c r="I253" s="120" t="str">
        <f t="shared" ca="1" si="84"/>
        <v/>
      </c>
      <c r="J253" s="122" t="str">
        <f t="shared" ca="1" si="85"/>
        <v/>
      </c>
      <c r="K253" s="70" t="str">
        <f t="shared" ca="1" si="86"/>
        <v/>
      </c>
      <c r="L253" s="120" t="str">
        <f t="shared" ca="1" si="87"/>
        <v/>
      </c>
      <c r="M253" s="122" t="str">
        <f t="shared" ca="1" si="88"/>
        <v/>
      </c>
      <c r="N253" s="70" t="str">
        <f t="shared" ca="1" si="89"/>
        <v/>
      </c>
      <c r="O253" s="120" t="str">
        <f t="shared" ca="1" si="90"/>
        <v/>
      </c>
    </row>
    <row r="254" spans="1:15" ht="16.5" customHeight="1">
      <c r="A254" s="47">
        <v>5</v>
      </c>
      <c r="B254" s="133" t="str">
        <f>HYPERLINK("#'" &amp; TEXT(투자전략!$G$1+4, "[$-ko-KR]yyyy.mm.dd") &amp; "'!A175:O199", TEXT(투자전략!$G$1+4, "[$-ko-KR]yyyy.mm.dd"))</f>
        <v>2023.03.05</v>
      </c>
      <c r="C254" s="118" t="str">
        <f t="shared" ca="1" si="78"/>
        <v/>
      </c>
      <c r="D254" s="122" t="str">
        <f t="shared" ca="1" si="79"/>
        <v/>
      </c>
      <c r="E254" s="70" t="str">
        <f t="shared" ca="1" si="80"/>
        <v/>
      </c>
      <c r="F254" s="120" t="str">
        <f t="shared" ca="1" si="81"/>
        <v/>
      </c>
      <c r="G254" s="122" t="str">
        <f t="shared" ca="1" si="82"/>
        <v/>
      </c>
      <c r="H254" s="70" t="str">
        <f t="shared" ca="1" si="83"/>
        <v/>
      </c>
      <c r="I254" s="120" t="str">
        <f t="shared" ca="1" si="84"/>
        <v/>
      </c>
      <c r="J254" s="122" t="str">
        <f t="shared" ca="1" si="85"/>
        <v/>
      </c>
      <c r="K254" s="70" t="str">
        <f t="shared" ca="1" si="86"/>
        <v/>
      </c>
      <c r="L254" s="120" t="str">
        <f t="shared" ca="1" si="87"/>
        <v/>
      </c>
      <c r="M254" s="122" t="str">
        <f t="shared" ca="1" si="88"/>
        <v/>
      </c>
      <c r="N254" s="70" t="str">
        <f t="shared" ca="1" si="89"/>
        <v/>
      </c>
      <c r="O254" s="120" t="str">
        <f t="shared" ca="1" si="90"/>
        <v/>
      </c>
    </row>
    <row r="255" spans="1:15" ht="16.5" customHeight="1">
      <c r="A255" s="47">
        <v>6</v>
      </c>
      <c r="B255" s="133" t="str">
        <f>HYPERLINK("#'" &amp; TEXT(투자전략!$G$1+5, "[$-ko-KR]yyyy.mm.dd") &amp; "'!A175:O199", TEXT(투자전략!$G$1+5, "[$-ko-KR]yyyy.mm.dd"))</f>
        <v>2023.03.06</v>
      </c>
      <c r="C255" s="118" t="str">
        <f t="shared" ca="1" si="78"/>
        <v/>
      </c>
      <c r="D255" s="122" t="str">
        <f t="shared" ca="1" si="79"/>
        <v/>
      </c>
      <c r="E255" s="70" t="str">
        <f t="shared" ca="1" si="80"/>
        <v/>
      </c>
      <c r="F255" s="120" t="str">
        <f t="shared" ca="1" si="81"/>
        <v/>
      </c>
      <c r="G255" s="122" t="str">
        <f t="shared" ca="1" si="82"/>
        <v/>
      </c>
      <c r="H255" s="70" t="str">
        <f t="shared" ca="1" si="83"/>
        <v/>
      </c>
      <c r="I255" s="120" t="str">
        <f t="shared" ca="1" si="84"/>
        <v/>
      </c>
      <c r="J255" s="122" t="str">
        <f t="shared" ca="1" si="85"/>
        <v/>
      </c>
      <c r="K255" s="70" t="str">
        <f t="shared" ca="1" si="86"/>
        <v/>
      </c>
      <c r="L255" s="120" t="str">
        <f t="shared" ca="1" si="87"/>
        <v/>
      </c>
      <c r="M255" s="122" t="str">
        <f t="shared" ca="1" si="88"/>
        <v/>
      </c>
      <c r="N255" s="70" t="str">
        <f t="shared" ca="1" si="89"/>
        <v/>
      </c>
      <c r="O255" s="120" t="str">
        <f t="shared" ca="1" si="90"/>
        <v/>
      </c>
    </row>
    <row r="256" spans="1:15" ht="16.5" customHeight="1" thickBot="1">
      <c r="A256" s="48">
        <v>7</v>
      </c>
      <c r="B256" s="134" t="str">
        <f>HYPERLINK("#'" &amp; TEXT(투자전략!$G$1+6, "[$-ko-KR]yyyy.mm.dd") &amp; "'!A175:O199", TEXT(투자전략!$G$1+6, "[$-ko-KR]yyyy.mm.dd"))</f>
        <v>2023.03.07</v>
      </c>
      <c r="C256" s="118">
        <f t="shared" ca="1" si="78"/>
        <v>3000000</v>
      </c>
      <c r="D256" s="122">
        <f t="shared" ca="1" si="79"/>
        <v>3000000</v>
      </c>
      <c r="E256" s="70">
        <f t="shared" ca="1" si="80"/>
        <v>0</v>
      </c>
      <c r="F256" s="120">
        <f t="shared" ca="1" si="81"/>
        <v>0</v>
      </c>
      <c r="G256" s="122">
        <f t="shared" ca="1" si="82"/>
        <v>2947001.6750925421</v>
      </c>
      <c r="H256" s="70">
        <f t="shared" ca="1" si="83"/>
        <v>-1.7666108302486012E-2</v>
      </c>
      <c r="I256" s="120">
        <f t="shared" ca="1" si="84"/>
        <v>-52998.324907458045</v>
      </c>
      <c r="J256" s="122">
        <f t="shared" ca="1" si="85"/>
        <v>2933089.1310281195</v>
      </c>
      <c r="K256" s="70">
        <f t="shared" ca="1" si="86"/>
        <v>-2.2303622990626784E-2</v>
      </c>
      <c r="L256" s="120">
        <f t="shared" ca="1" si="87"/>
        <v>-66910.868971880351</v>
      </c>
      <c r="M256" s="122">
        <f t="shared" ca="1" si="88"/>
        <v>2899421.6536206231</v>
      </c>
      <c r="N256" s="70">
        <f t="shared" ca="1" si="89"/>
        <v>-3.3526115459792366E-2</v>
      </c>
      <c r="O256" s="120">
        <f t="shared" ca="1" si="90"/>
        <v>-100578.34637937711</v>
      </c>
    </row>
    <row r="257" spans="1:15" ht="16.5" customHeight="1">
      <c r="A257" s="46">
        <v>8</v>
      </c>
      <c r="B257" s="132" t="str">
        <f>HYPERLINK("#'" &amp; TEXT(투자전략!$G$1+7, "[$-ko-KR]yyyy.mm.dd") &amp; "'!A175:O199", TEXT(투자전략!$G$1+7, "[$-ko-KR]yyyy.mm.dd"))</f>
        <v>2023.03.08</v>
      </c>
      <c r="C257" s="117">
        <f t="shared" ca="1" si="78"/>
        <v>3000000</v>
      </c>
      <c r="D257" s="125">
        <f t="shared" ca="1" si="79"/>
        <v>2937040.5235526892</v>
      </c>
      <c r="E257" s="69">
        <f t="shared" ca="1" si="80"/>
        <v>-2.0986492149103485E-2</v>
      </c>
      <c r="F257" s="124">
        <f t="shared" ca="1" si="81"/>
        <v>-62959.476447310451</v>
      </c>
      <c r="G257" s="125">
        <f t="shared" ca="1" si="82"/>
        <v>2909056.8989658044</v>
      </c>
      <c r="H257" s="69">
        <f t="shared" ca="1" si="83"/>
        <v>-3.031436701139853E-2</v>
      </c>
      <c r="I257" s="124">
        <f t="shared" ca="1" si="84"/>
        <v>-90943.10103419557</v>
      </c>
      <c r="J257" s="125">
        <f t="shared" ca="1" si="85"/>
        <v>2942494.7742212163</v>
      </c>
      <c r="K257" s="69">
        <f t="shared" ca="1" si="86"/>
        <v>-1.9168408592927892E-2</v>
      </c>
      <c r="L257" s="124">
        <f t="shared" ca="1" si="87"/>
        <v>-57505.225778783664</v>
      </c>
      <c r="M257" s="125">
        <f t="shared" ca="1" si="88"/>
        <v>2875456.6538920226</v>
      </c>
      <c r="N257" s="69">
        <f t="shared" ca="1" si="89"/>
        <v>-4.1514448702659065E-2</v>
      </c>
      <c r="O257" s="124">
        <f t="shared" ca="1" si="90"/>
        <v>-124543.34610797721</v>
      </c>
    </row>
    <row r="258" spans="1:15" ht="16.5" customHeight="1">
      <c r="A258" s="47">
        <v>9</v>
      </c>
      <c r="B258" s="133" t="str">
        <f>HYPERLINK("#'" &amp; TEXT(투자전략!$G$1+8, "[$-ko-KR]yyyy.mm.dd") &amp; "'!A175:O199", TEXT(투자전략!$G$1+8, "[$-ko-KR]yyyy.mm.dd"))</f>
        <v>2023.03.09</v>
      </c>
      <c r="C258" s="118">
        <f t="shared" ca="1" si="78"/>
        <v>3000000</v>
      </c>
      <c r="D258" s="122">
        <f t="shared" ca="1" si="79"/>
        <v>2991646.1169061996</v>
      </c>
      <c r="E258" s="70">
        <f t="shared" ca="1" si="80"/>
        <v>-2.784627697933563E-3</v>
      </c>
      <c r="F258" s="120">
        <f t="shared" ca="1" si="81"/>
        <v>-8353.8830938006868</v>
      </c>
      <c r="G258" s="122">
        <f t="shared" ca="1" si="82"/>
        <v>2960384.0405762973</v>
      </c>
      <c r="H258" s="70">
        <f t="shared" ca="1" si="83"/>
        <v>-1.3205319807901008E-2</v>
      </c>
      <c r="I258" s="120">
        <f t="shared" ca="1" si="84"/>
        <v>-39615.959423703018</v>
      </c>
      <c r="J258" s="122">
        <f t="shared" ca="1" si="85"/>
        <v>2961776.3868775507</v>
      </c>
      <c r="K258" s="70">
        <f t="shared" ca="1" si="86"/>
        <v>-1.2741204374149809E-2</v>
      </c>
      <c r="L258" s="120">
        <f t="shared" ca="1" si="87"/>
        <v>-38223.613122449431</v>
      </c>
      <c r="M258" s="122">
        <f t="shared" ca="1" si="88"/>
        <v>3001628.7784534227</v>
      </c>
      <c r="N258" s="70">
        <f t="shared" ca="1" si="89"/>
        <v>5.42926151140888E-4</v>
      </c>
      <c r="O258" s="120">
        <f t="shared" ca="1" si="90"/>
        <v>1628.7784534226676</v>
      </c>
    </row>
    <row r="259" spans="1:15" ht="16.5" customHeight="1">
      <c r="A259" s="47">
        <v>10</v>
      </c>
      <c r="B259" s="133" t="str">
        <f>HYPERLINK("#'" &amp; TEXT(투자전략!$G$1+9, "[$-ko-KR]yyyy.mm.dd") &amp; "'!A175:O199", TEXT(투자전략!$G$1+9, "[$-ko-KR]yyyy.mm.dd"))</f>
        <v>2023.03.10</v>
      </c>
      <c r="C259" s="118">
        <f t="shared" ca="1" si="78"/>
        <v>3000000</v>
      </c>
      <c r="D259" s="122">
        <f t="shared" ca="1" si="79"/>
        <v>2808524.9133513323</v>
      </c>
      <c r="E259" s="70">
        <f t="shared" ca="1" si="80"/>
        <v>-6.3825028882889157E-2</v>
      </c>
      <c r="F259" s="120">
        <f t="shared" ca="1" si="81"/>
        <v>-191475.08664866746</v>
      </c>
      <c r="G259" s="122">
        <f t="shared" ca="1" si="82"/>
        <v>2811083.4201241583</v>
      </c>
      <c r="H259" s="70">
        <f t="shared" ca="1" si="83"/>
        <v>-6.2972193291947282E-2</v>
      </c>
      <c r="I259" s="120">
        <f t="shared" ca="1" si="84"/>
        <v>-188916.57987584188</v>
      </c>
      <c r="J259" s="122">
        <f t="shared" ca="1" si="85"/>
        <v>2775360.2150380975</v>
      </c>
      <c r="K259" s="70">
        <f t="shared" ca="1" si="86"/>
        <v>-7.487992832063417E-2</v>
      </c>
      <c r="L259" s="120">
        <f t="shared" ca="1" si="87"/>
        <v>-224639.78496190251</v>
      </c>
      <c r="M259" s="122">
        <f t="shared" ca="1" si="88"/>
        <v>2805945.0642969073</v>
      </c>
      <c r="N259" s="70">
        <f t="shared" ca="1" si="89"/>
        <v>-6.4684978567697546E-2</v>
      </c>
      <c r="O259" s="120">
        <f t="shared" ca="1" si="90"/>
        <v>-194054.93570309266</v>
      </c>
    </row>
    <row r="260" spans="1:15" ht="16.5" customHeight="1">
      <c r="A260" s="47">
        <v>11</v>
      </c>
      <c r="B260" s="133" t="str">
        <f>HYPERLINK("#'" &amp; TEXT(투자전략!$G$1+10, "[$-ko-KR]yyyy.mm.dd") &amp; "'!A175:O199", TEXT(투자전략!$G$1+10, "[$-ko-KR]yyyy.mm.dd"))</f>
        <v>2023.03.11</v>
      </c>
      <c r="C260" s="118">
        <f t="shared" ca="1" si="78"/>
        <v>3000000</v>
      </c>
      <c r="D260" s="122">
        <f t="shared" ca="1" si="79"/>
        <v>3103549.7066119523</v>
      </c>
      <c r="E260" s="70">
        <f t="shared" ca="1" si="80"/>
        <v>3.4516568870650757E-2</v>
      </c>
      <c r="F260" s="120">
        <f t="shared" ca="1" si="81"/>
        <v>103549.70661195224</v>
      </c>
      <c r="G260" s="122">
        <f t="shared" ca="1" si="82"/>
        <v>3028062.1046205419</v>
      </c>
      <c r="H260" s="70">
        <f t="shared" ca="1" si="83"/>
        <v>9.3540348735138695E-3</v>
      </c>
      <c r="I260" s="120">
        <f t="shared" ca="1" si="84"/>
        <v>28062.10462054161</v>
      </c>
      <c r="J260" s="122">
        <f t="shared" ca="1" si="85"/>
        <v>3009550.435884797</v>
      </c>
      <c r="K260" s="70">
        <f t="shared" ca="1" si="86"/>
        <v>3.1834786282656071E-3</v>
      </c>
      <c r="L260" s="120">
        <f t="shared" ca="1" si="87"/>
        <v>9550.4358847968215</v>
      </c>
      <c r="M260" s="122">
        <f t="shared" ca="1" si="88"/>
        <v>3006819.8028388754</v>
      </c>
      <c r="N260" s="70">
        <f t="shared" ca="1" si="89"/>
        <v>2.2732676129584282E-3</v>
      </c>
      <c r="O260" s="120">
        <f t="shared" ca="1" si="90"/>
        <v>6819.8028388752864</v>
      </c>
    </row>
    <row r="261" spans="1:15" ht="16.5" customHeight="1">
      <c r="A261" s="47">
        <v>12</v>
      </c>
      <c r="B261" s="133" t="str">
        <f>HYPERLINK("#'" &amp; TEXT(투자전략!$G$1+11, "[$-ko-KR]yyyy.mm.dd") &amp; "'!A175:O199", TEXT(투자전략!$G$1+11, "[$-ko-KR]yyyy.mm.dd"))</f>
        <v>2023.03.12</v>
      </c>
      <c r="C261" s="118">
        <f t="shared" ca="1" si="78"/>
        <v>3000000</v>
      </c>
      <c r="D261" s="122">
        <f t="shared" ca="1" si="79"/>
        <v>3029438.5091729993</v>
      </c>
      <c r="E261" s="70">
        <f t="shared" ca="1" si="80"/>
        <v>9.8128363909996599E-3</v>
      </c>
      <c r="F261" s="120">
        <f t="shared" ca="1" si="81"/>
        <v>29438.509172998984</v>
      </c>
      <c r="G261" s="122">
        <f t="shared" ca="1" si="82"/>
        <v>3021435.8483362244</v>
      </c>
      <c r="H261" s="70">
        <f t="shared" ca="1" si="83"/>
        <v>7.1452827787414092E-3</v>
      </c>
      <c r="I261" s="120">
        <f t="shared" ca="1" si="84"/>
        <v>21435.848336224226</v>
      </c>
      <c r="J261" s="122">
        <f t="shared" ca="1" si="85"/>
        <v>3035300.7011441384</v>
      </c>
      <c r="K261" s="70">
        <f t="shared" ca="1" si="86"/>
        <v>1.1766900381379508E-2</v>
      </c>
      <c r="L261" s="120">
        <f t="shared" ca="1" si="87"/>
        <v>35300.70114413854</v>
      </c>
      <c r="M261" s="122">
        <f t="shared" ca="1" si="88"/>
        <v>2959049.7429089863</v>
      </c>
      <c r="N261" s="70">
        <f t="shared" ca="1" si="89"/>
        <v>-1.3650085697004544E-2</v>
      </c>
      <c r="O261" s="120">
        <f t="shared" ca="1" si="90"/>
        <v>-40950.257091013635</v>
      </c>
    </row>
    <row r="262" spans="1:15" ht="16.5" customHeight="1">
      <c r="A262" s="47">
        <v>13</v>
      </c>
      <c r="B262" s="133" t="str">
        <f>HYPERLINK("#'" &amp; TEXT(투자전략!$G$1+12, "[$-ko-KR]yyyy.mm.dd") &amp; "'!A175:O199", TEXT(투자전략!$G$1+12, "[$-ko-KR]yyyy.mm.dd"))</f>
        <v>2023.03.13</v>
      </c>
      <c r="C262" s="118">
        <f t="shared" ca="1" si="78"/>
        <v>3000000</v>
      </c>
      <c r="D262" s="122">
        <f t="shared" ca="1" si="79"/>
        <v>3320333.2318272367</v>
      </c>
      <c r="E262" s="70">
        <f t="shared" ca="1" si="80"/>
        <v>0.10677774394241235</v>
      </c>
      <c r="F262" s="120">
        <f t="shared" ca="1" si="81"/>
        <v>320333.23182723706</v>
      </c>
      <c r="G262" s="122">
        <f t="shared" ca="1" si="82"/>
        <v>3250997.0160084893</v>
      </c>
      <c r="H262" s="70">
        <f t="shared" ca="1" si="83"/>
        <v>8.3665672002829622E-2</v>
      </c>
      <c r="I262" s="120">
        <f t="shared" ca="1" si="84"/>
        <v>250997.01600848892</v>
      </c>
      <c r="J262" s="122">
        <f t="shared" ca="1" si="85"/>
        <v>3331060.5807823422</v>
      </c>
      <c r="K262" s="70">
        <f t="shared" ca="1" si="86"/>
        <v>0.11035352692744731</v>
      </c>
      <c r="L262" s="120">
        <f t="shared" ca="1" si="87"/>
        <v>331060.58078234183</v>
      </c>
      <c r="M262" s="122">
        <f t="shared" ca="1" si="88"/>
        <v>3443615.8091241415</v>
      </c>
      <c r="N262" s="70">
        <f t="shared" ca="1" si="89"/>
        <v>0.14787193637471391</v>
      </c>
      <c r="O262" s="120">
        <f t="shared" ca="1" si="90"/>
        <v>443615.8091241417</v>
      </c>
    </row>
    <row r="263" spans="1:15" ht="16.5" customHeight="1" thickBot="1">
      <c r="A263" s="48">
        <v>14</v>
      </c>
      <c r="B263" s="134" t="str">
        <f>HYPERLINK("#'" &amp; TEXT(투자전략!$G$1+13, "[$-ko-KR]yyyy.mm.dd") &amp; "'!A175:O199", TEXT(투자전략!$G$1+13, "[$-ko-KR]yyyy.mm.dd"))</f>
        <v>2023.03.14</v>
      </c>
      <c r="C263" s="119">
        <f t="shared" ca="1" si="78"/>
        <v>3000000</v>
      </c>
      <c r="D263" s="123">
        <f t="shared" ca="1" si="79"/>
        <v>3090523.5450163875</v>
      </c>
      <c r="E263" s="72">
        <f t="shared" ca="1" si="80"/>
        <v>3.0174515005462338E-2</v>
      </c>
      <c r="F263" s="121">
        <f t="shared" ca="1" si="81"/>
        <v>90523.545016386997</v>
      </c>
      <c r="G263" s="123">
        <f t="shared" ca="1" si="82"/>
        <v>3024395.8563137818</v>
      </c>
      <c r="H263" s="72">
        <f t="shared" ca="1" si="83"/>
        <v>8.1319521045939598E-3</v>
      </c>
      <c r="I263" s="121">
        <f t="shared" ca="1" si="84"/>
        <v>24395.856313781878</v>
      </c>
      <c r="J263" s="123">
        <f t="shared" ca="1" si="85"/>
        <v>3048323.3334601582</v>
      </c>
      <c r="K263" s="72">
        <f t="shared" ca="1" si="86"/>
        <v>1.6107777820052582E-2</v>
      </c>
      <c r="L263" s="121">
        <f t="shared" ca="1" si="87"/>
        <v>48323.333460157752</v>
      </c>
      <c r="M263" s="123">
        <f t="shared" ca="1" si="88"/>
        <v>3210712.4606053084</v>
      </c>
      <c r="N263" s="72">
        <f t="shared" ca="1" si="89"/>
        <v>7.0237486868436144E-2</v>
      </c>
      <c r="O263" s="121">
        <f t="shared" ca="1" si="90"/>
        <v>210712.46060530838</v>
      </c>
    </row>
    <row r="264" spans="1:15" ht="16.5" customHeight="1">
      <c r="A264" s="46">
        <v>15</v>
      </c>
      <c r="B264" s="132" t="str">
        <f>HYPERLINK("#'" &amp; TEXT(투자전략!$G$1+14, "[$-ko-KR]yyyy.mm.dd") &amp; "'!A175:O199", TEXT(투자전략!$G$1+14, "[$-ko-KR]yyyy.mm.dd"))</f>
        <v>2023.03.15</v>
      </c>
      <c r="C264" s="118">
        <f t="shared" ca="1" si="78"/>
        <v>3000000</v>
      </c>
      <c r="D264" s="122">
        <f t="shared" ca="1" si="79"/>
        <v>3011044.5708705131</v>
      </c>
      <c r="E264" s="70">
        <f t="shared" ca="1" si="80"/>
        <v>3.6815236235042937E-3</v>
      </c>
      <c r="F264" s="120">
        <f t="shared" ca="1" si="81"/>
        <v>11044.57087051288</v>
      </c>
      <c r="G264" s="122">
        <f t="shared" ca="1" si="82"/>
        <v>2985916.2753080963</v>
      </c>
      <c r="H264" s="70">
        <f t="shared" ca="1" si="83"/>
        <v>-4.6945748973013382E-3</v>
      </c>
      <c r="I264" s="120">
        <f t="shared" ca="1" si="84"/>
        <v>-14083.724691904021</v>
      </c>
      <c r="J264" s="122">
        <f t="shared" ca="1" si="85"/>
        <v>2980322.178768001</v>
      </c>
      <c r="K264" s="70">
        <f t="shared" ca="1" si="86"/>
        <v>-6.5592737439996189E-3</v>
      </c>
      <c r="L264" s="120">
        <f t="shared" ca="1" si="87"/>
        <v>-19677.821231998856</v>
      </c>
      <c r="M264" s="122">
        <f t="shared" ca="1" si="88"/>
        <v>2950252.7174225245</v>
      </c>
      <c r="N264" s="70">
        <f t="shared" ca="1" si="89"/>
        <v>-1.6582427525825134E-2</v>
      </c>
      <c r="O264" s="120">
        <f t="shared" ca="1" si="90"/>
        <v>-49747.282577475387</v>
      </c>
    </row>
    <row r="265" spans="1:15" ht="16.5" customHeight="1">
      <c r="A265" s="47">
        <v>16</v>
      </c>
      <c r="B265" s="133" t="str">
        <f>HYPERLINK("#'" &amp; TEXT(투자전략!$G$1+15, "[$-ko-KR]yyyy.mm.dd") &amp; "'!A175:O199", TEXT(투자전략!$G$1+15, "[$-ko-KR]yyyy.mm.dd"))</f>
        <v>2023.03.16</v>
      </c>
      <c r="C265" s="118">
        <f t="shared" ca="1" si="78"/>
        <v>3000000</v>
      </c>
      <c r="D265" s="122">
        <f t="shared" ca="1" si="79"/>
        <v>2878768.1025434597</v>
      </c>
      <c r="E265" s="70">
        <f t="shared" ca="1" si="80"/>
        <v>-4.0410632485513444E-2</v>
      </c>
      <c r="F265" s="120">
        <f t="shared" ca="1" si="81"/>
        <v>-121231.89745654036</v>
      </c>
      <c r="G265" s="122">
        <f t="shared" ca="1" si="82"/>
        <v>2932181.2235365203</v>
      </c>
      <c r="H265" s="70">
        <f t="shared" ca="1" si="83"/>
        <v>-2.2606258821160012E-2</v>
      </c>
      <c r="I265" s="120">
        <f t="shared" ca="1" si="84"/>
        <v>-67818.776463480026</v>
      </c>
      <c r="J265" s="122">
        <f t="shared" ca="1" si="85"/>
        <v>2961740.6602589241</v>
      </c>
      <c r="K265" s="70">
        <f t="shared" ca="1" si="86"/>
        <v>-1.2753113247025272E-2</v>
      </c>
      <c r="L265" s="120">
        <f t="shared" ca="1" si="87"/>
        <v>-38259.339741075812</v>
      </c>
      <c r="M265" s="122">
        <f t="shared" ca="1" si="88"/>
        <v>2936948.9045632514</v>
      </c>
      <c r="N265" s="70">
        <f t="shared" ca="1" si="89"/>
        <v>-2.101703181224953E-2</v>
      </c>
      <c r="O265" s="120">
        <f t="shared" ca="1" si="90"/>
        <v>-63051.095436748583</v>
      </c>
    </row>
    <row r="266" spans="1:15" ht="16.5" customHeight="1">
      <c r="A266" s="47">
        <v>17</v>
      </c>
      <c r="B266" s="133" t="str">
        <f>HYPERLINK("#'" &amp; TEXT(투자전략!$G$1+16, "[$-ko-KR]yyyy.mm.dd") &amp; "'!A175:O199", TEXT(투자전략!$G$1+16, "[$-ko-KR]yyyy.mm.dd"))</f>
        <v>2023.03.17</v>
      </c>
      <c r="C266" s="118">
        <f t="shared" ca="1" si="78"/>
        <v>3000000</v>
      </c>
      <c r="D266" s="122">
        <f t="shared" ca="1" si="79"/>
        <v>3000000</v>
      </c>
      <c r="E266" s="70">
        <f t="shared" ca="1" si="80"/>
        <v>0</v>
      </c>
      <c r="F266" s="120">
        <f t="shared" ca="1" si="81"/>
        <v>0</v>
      </c>
      <c r="G266" s="122">
        <f t="shared" ca="1" si="82"/>
        <v>3000000</v>
      </c>
      <c r="H266" s="70">
        <f t="shared" ca="1" si="83"/>
        <v>0</v>
      </c>
      <c r="I266" s="120">
        <f t="shared" ca="1" si="84"/>
        <v>0</v>
      </c>
      <c r="J266" s="122">
        <f t="shared" ca="1" si="85"/>
        <v>3000000</v>
      </c>
      <c r="K266" s="70">
        <f t="shared" ca="1" si="86"/>
        <v>0</v>
      </c>
      <c r="L266" s="120">
        <f t="shared" ca="1" si="87"/>
        <v>0</v>
      </c>
      <c r="M266" s="122">
        <f t="shared" ca="1" si="88"/>
        <v>3000000</v>
      </c>
      <c r="N266" s="70">
        <f t="shared" ca="1" si="89"/>
        <v>0</v>
      </c>
      <c r="O266" s="120">
        <f t="shared" ca="1" si="90"/>
        <v>0</v>
      </c>
    </row>
    <row r="267" spans="1:15" ht="16.5" customHeight="1">
      <c r="A267" s="47">
        <v>18</v>
      </c>
      <c r="B267" s="133" t="str">
        <f>HYPERLINK("#'" &amp; TEXT(투자전략!$G$1+17, "[$-ko-KR]yyyy.mm.dd") &amp; "'!A175:O199", TEXT(투자전략!$G$1+17, "[$-ko-KR]yyyy.mm.dd"))</f>
        <v>2023.03.18</v>
      </c>
      <c r="C267" s="118" t="str">
        <f t="shared" ca="1" si="78"/>
        <v/>
      </c>
      <c r="D267" s="122" t="str">
        <f t="shared" ca="1" si="79"/>
        <v/>
      </c>
      <c r="E267" s="70" t="str">
        <f t="shared" ca="1" si="80"/>
        <v/>
      </c>
      <c r="F267" s="120" t="str">
        <f t="shared" ca="1" si="81"/>
        <v/>
      </c>
      <c r="G267" s="122" t="str">
        <f t="shared" ca="1" si="82"/>
        <v/>
      </c>
      <c r="H267" s="70" t="str">
        <f t="shared" ca="1" si="83"/>
        <v/>
      </c>
      <c r="I267" s="120" t="str">
        <f t="shared" ca="1" si="84"/>
        <v/>
      </c>
      <c r="J267" s="122" t="str">
        <f t="shared" ca="1" si="85"/>
        <v/>
      </c>
      <c r="K267" s="70" t="str">
        <f t="shared" ca="1" si="86"/>
        <v/>
      </c>
      <c r="L267" s="120" t="str">
        <f t="shared" ca="1" si="87"/>
        <v/>
      </c>
      <c r="M267" s="122" t="str">
        <f t="shared" ca="1" si="88"/>
        <v/>
      </c>
      <c r="N267" s="70" t="str">
        <f t="shared" ca="1" si="89"/>
        <v/>
      </c>
      <c r="O267" s="120" t="str">
        <f t="shared" ca="1" si="90"/>
        <v/>
      </c>
    </row>
    <row r="268" spans="1:15" ht="16.5" customHeight="1">
      <c r="A268" s="47">
        <v>19</v>
      </c>
      <c r="B268" s="133" t="str">
        <f>HYPERLINK("#'" &amp; TEXT(투자전략!$G$1+18, "[$-ko-KR]yyyy.mm.dd") &amp; "'!A175:O199", TEXT(투자전략!$G$1+18, "[$-ko-KR]yyyy.mm.dd"))</f>
        <v>2023.03.19</v>
      </c>
      <c r="C268" s="118" t="str">
        <f t="shared" ca="1" si="78"/>
        <v/>
      </c>
      <c r="D268" s="122" t="str">
        <f t="shared" ca="1" si="79"/>
        <v/>
      </c>
      <c r="E268" s="70" t="str">
        <f t="shared" ca="1" si="80"/>
        <v/>
      </c>
      <c r="F268" s="120" t="str">
        <f t="shared" ca="1" si="81"/>
        <v/>
      </c>
      <c r="G268" s="122" t="str">
        <f t="shared" ca="1" si="82"/>
        <v/>
      </c>
      <c r="H268" s="70" t="str">
        <f t="shared" ca="1" si="83"/>
        <v/>
      </c>
      <c r="I268" s="120" t="str">
        <f t="shared" ca="1" si="84"/>
        <v/>
      </c>
      <c r="J268" s="122" t="str">
        <f t="shared" ca="1" si="85"/>
        <v/>
      </c>
      <c r="K268" s="70" t="str">
        <f t="shared" ca="1" si="86"/>
        <v/>
      </c>
      <c r="L268" s="120" t="str">
        <f t="shared" ca="1" si="87"/>
        <v/>
      </c>
      <c r="M268" s="122" t="str">
        <f t="shared" ca="1" si="88"/>
        <v/>
      </c>
      <c r="N268" s="70" t="str">
        <f t="shared" ca="1" si="89"/>
        <v/>
      </c>
      <c r="O268" s="120" t="str">
        <f t="shared" ca="1" si="90"/>
        <v/>
      </c>
    </row>
    <row r="269" spans="1:15" ht="16.5" customHeight="1">
      <c r="A269" s="47">
        <v>20</v>
      </c>
      <c r="B269" s="133" t="str">
        <f>HYPERLINK("#'" &amp; TEXT(투자전략!$G$1+19, "[$-ko-KR]yyyy.mm.dd") &amp; "'!A175:O199", TEXT(투자전략!$G$1+19, "[$-ko-KR]yyyy.mm.dd"))</f>
        <v>2023.03.20</v>
      </c>
      <c r="C269" s="118" t="str">
        <f t="shared" ca="1" si="78"/>
        <v/>
      </c>
      <c r="D269" s="122" t="str">
        <f t="shared" ca="1" si="79"/>
        <v/>
      </c>
      <c r="E269" s="70" t="str">
        <f t="shared" ca="1" si="80"/>
        <v/>
      </c>
      <c r="F269" s="120" t="str">
        <f t="shared" ca="1" si="81"/>
        <v/>
      </c>
      <c r="G269" s="122" t="str">
        <f t="shared" ca="1" si="82"/>
        <v/>
      </c>
      <c r="H269" s="70" t="str">
        <f t="shared" ca="1" si="83"/>
        <v/>
      </c>
      <c r="I269" s="120" t="str">
        <f t="shared" ca="1" si="84"/>
        <v/>
      </c>
      <c r="J269" s="122" t="str">
        <f t="shared" ca="1" si="85"/>
        <v/>
      </c>
      <c r="K269" s="70" t="str">
        <f t="shared" ca="1" si="86"/>
        <v/>
      </c>
      <c r="L269" s="120" t="str">
        <f t="shared" ca="1" si="87"/>
        <v/>
      </c>
      <c r="M269" s="122" t="str">
        <f t="shared" ca="1" si="88"/>
        <v/>
      </c>
      <c r="N269" s="70" t="str">
        <f t="shared" ca="1" si="89"/>
        <v/>
      </c>
      <c r="O269" s="120" t="str">
        <f t="shared" ca="1" si="90"/>
        <v/>
      </c>
    </row>
    <row r="270" spans="1:15" ht="16.5" customHeight="1" thickBot="1">
      <c r="A270" s="48">
        <v>21</v>
      </c>
      <c r="B270" s="134" t="str">
        <f>HYPERLINK("#'" &amp; TEXT(투자전략!$G$1+20, "[$-ko-KR]yyyy.mm.dd") &amp; "'!A175:O199", TEXT(투자전략!$G$1+20, "[$-ko-KR]yyyy.mm.dd"))</f>
        <v>2023.03.21</v>
      </c>
      <c r="C270" s="118" t="str">
        <f t="shared" ca="1" si="78"/>
        <v/>
      </c>
      <c r="D270" s="122" t="str">
        <f t="shared" ca="1" si="79"/>
        <v/>
      </c>
      <c r="E270" s="70" t="str">
        <f t="shared" ca="1" si="80"/>
        <v/>
      </c>
      <c r="F270" s="120" t="str">
        <f t="shared" ca="1" si="81"/>
        <v/>
      </c>
      <c r="G270" s="122" t="str">
        <f t="shared" ca="1" si="82"/>
        <v/>
      </c>
      <c r="H270" s="70" t="str">
        <f t="shared" ca="1" si="83"/>
        <v/>
      </c>
      <c r="I270" s="120" t="str">
        <f t="shared" ca="1" si="84"/>
        <v/>
      </c>
      <c r="J270" s="122" t="str">
        <f t="shared" ca="1" si="85"/>
        <v/>
      </c>
      <c r="K270" s="70" t="str">
        <f t="shared" ca="1" si="86"/>
        <v/>
      </c>
      <c r="L270" s="120" t="str">
        <f t="shared" ca="1" si="87"/>
        <v/>
      </c>
      <c r="M270" s="122" t="str">
        <f t="shared" ca="1" si="88"/>
        <v/>
      </c>
      <c r="N270" s="70" t="str">
        <f t="shared" ca="1" si="89"/>
        <v/>
      </c>
      <c r="O270" s="120" t="str">
        <f t="shared" ca="1" si="90"/>
        <v/>
      </c>
    </row>
    <row r="271" spans="1:15" ht="16.5" customHeight="1">
      <c r="A271" s="46">
        <v>22</v>
      </c>
      <c r="B271" s="132" t="str">
        <f>HYPERLINK("#'" &amp; TEXT(투자전략!$G$1+21, "[$-ko-KR]yyyy.mm.dd") &amp; "'!A175:O199", TEXT(투자전략!$G$1+21, "[$-ko-KR]yyyy.mm.dd"))</f>
        <v>2023.03.22</v>
      </c>
      <c r="C271" s="117" t="str">
        <f t="shared" ca="1" si="78"/>
        <v/>
      </c>
      <c r="D271" s="125" t="str">
        <f t="shared" ca="1" si="79"/>
        <v/>
      </c>
      <c r="E271" s="69" t="str">
        <f t="shared" ca="1" si="80"/>
        <v/>
      </c>
      <c r="F271" s="124" t="str">
        <f t="shared" ca="1" si="81"/>
        <v/>
      </c>
      <c r="G271" s="125" t="str">
        <f t="shared" ca="1" si="82"/>
        <v/>
      </c>
      <c r="H271" s="69" t="str">
        <f t="shared" ca="1" si="83"/>
        <v/>
      </c>
      <c r="I271" s="124" t="str">
        <f t="shared" ca="1" si="84"/>
        <v/>
      </c>
      <c r="J271" s="125" t="str">
        <f t="shared" ca="1" si="85"/>
        <v/>
      </c>
      <c r="K271" s="69" t="str">
        <f t="shared" ca="1" si="86"/>
        <v/>
      </c>
      <c r="L271" s="124" t="str">
        <f t="shared" ca="1" si="87"/>
        <v/>
      </c>
      <c r="M271" s="125" t="str">
        <f t="shared" ca="1" si="88"/>
        <v/>
      </c>
      <c r="N271" s="69" t="str">
        <f t="shared" ca="1" si="89"/>
        <v/>
      </c>
      <c r="O271" s="124" t="str">
        <f t="shared" ca="1" si="90"/>
        <v/>
      </c>
    </row>
    <row r="272" spans="1:15" ht="16.5" customHeight="1">
      <c r="A272" s="47">
        <v>23</v>
      </c>
      <c r="B272" s="133" t="str">
        <f>HYPERLINK("#'" &amp; TEXT(투자전략!$G$1+22, "[$-ko-KR]yyyy.mm.dd") &amp; "'!A175:O199", TEXT(투자전략!$G$1+22, "[$-ko-KR]yyyy.mm.dd"))</f>
        <v>2023.03.23</v>
      </c>
      <c r="C272" s="118" t="str">
        <f t="shared" ca="1" si="78"/>
        <v/>
      </c>
      <c r="D272" s="122" t="str">
        <f t="shared" ca="1" si="79"/>
        <v/>
      </c>
      <c r="E272" s="70" t="str">
        <f t="shared" ca="1" si="80"/>
        <v/>
      </c>
      <c r="F272" s="120" t="str">
        <f t="shared" ca="1" si="81"/>
        <v/>
      </c>
      <c r="G272" s="122" t="str">
        <f t="shared" ca="1" si="82"/>
        <v/>
      </c>
      <c r="H272" s="70" t="str">
        <f t="shared" ca="1" si="83"/>
        <v/>
      </c>
      <c r="I272" s="120" t="str">
        <f t="shared" ca="1" si="84"/>
        <v/>
      </c>
      <c r="J272" s="122" t="str">
        <f t="shared" ca="1" si="85"/>
        <v/>
      </c>
      <c r="K272" s="70" t="str">
        <f t="shared" ca="1" si="86"/>
        <v/>
      </c>
      <c r="L272" s="120" t="str">
        <f t="shared" ca="1" si="87"/>
        <v/>
      </c>
      <c r="M272" s="122" t="str">
        <f t="shared" ca="1" si="88"/>
        <v/>
      </c>
      <c r="N272" s="70" t="str">
        <f t="shared" ca="1" si="89"/>
        <v/>
      </c>
      <c r="O272" s="120" t="str">
        <f t="shared" ca="1" si="90"/>
        <v/>
      </c>
    </row>
    <row r="273" spans="1:15" ht="16.5" customHeight="1">
      <c r="A273" s="47">
        <v>24</v>
      </c>
      <c r="B273" s="133" t="str">
        <f>HYPERLINK("#'" &amp; TEXT(투자전략!$G$1+23, "[$-ko-KR]yyyy.mm.dd") &amp; "'!A175:O199", TEXT(투자전략!$G$1+23, "[$-ko-KR]yyyy.mm.dd"))</f>
        <v>2023.03.24</v>
      </c>
      <c r="C273" s="118" t="str">
        <f t="shared" ca="1" si="78"/>
        <v/>
      </c>
      <c r="D273" s="122" t="str">
        <f t="shared" ca="1" si="79"/>
        <v/>
      </c>
      <c r="E273" s="70" t="str">
        <f t="shared" ca="1" si="80"/>
        <v/>
      </c>
      <c r="F273" s="120" t="str">
        <f t="shared" ca="1" si="81"/>
        <v/>
      </c>
      <c r="G273" s="122" t="str">
        <f t="shared" ca="1" si="82"/>
        <v/>
      </c>
      <c r="H273" s="70" t="str">
        <f t="shared" ca="1" si="83"/>
        <v/>
      </c>
      <c r="I273" s="120" t="str">
        <f t="shared" ca="1" si="84"/>
        <v/>
      </c>
      <c r="J273" s="122" t="str">
        <f t="shared" ca="1" si="85"/>
        <v/>
      </c>
      <c r="K273" s="70" t="str">
        <f t="shared" ca="1" si="86"/>
        <v/>
      </c>
      <c r="L273" s="120" t="str">
        <f t="shared" ca="1" si="87"/>
        <v/>
      </c>
      <c r="M273" s="122" t="str">
        <f t="shared" ca="1" si="88"/>
        <v/>
      </c>
      <c r="N273" s="70" t="str">
        <f t="shared" ca="1" si="89"/>
        <v/>
      </c>
      <c r="O273" s="120" t="str">
        <f t="shared" ca="1" si="90"/>
        <v/>
      </c>
    </row>
    <row r="274" spans="1:15" ht="16.5" customHeight="1">
      <c r="A274" s="47">
        <v>25</v>
      </c>
      <c r="B274" s="133" t="str">
        <f>HYPERLINK("#'" &amp; TEXT(투자전략!$G$1+24, "[$-ko-KR]yyyy.mm.dd") &amp; "'!A175:O199", TEXT(투자전략!$G$1+24, "[$-ko-KR]yyyy.mm.dd"))</f>
        <v>2023.03.25</v>
      </c>
      <c r="C274" s="118" t="str">
        <f t="shared" ca="1" si="78"/>
        <v/>
      </c>
      <c r="D274" s="122" t="str">
        <f t="shared" ca="1" si="79"/>
        <v/>
      </c>
      <c r="E274" s="70" t="str">
        <f t="shared" ca="1" si="80"/>
        <v/>
      </c>
      <c r="F274" s="120" t="str">
        <f t="shared" ca="1" si="81"/>
        <v/>
      </c>
      <c r="G274" s="122" t="str">
        <f t="shared" ca="1" si="82"/>
        <v/>
      </c>
      <c r="H274" s="70" t="str">
        <f t="shared" ca="1" si="83"/>
        <v/>
      </c>
      <c r="I274" s="120" t="str">
        <f t="shared" ca="1" si="84"/>
        <v/>
      </c>
      <c r="J274" s="122" t="str">
        <f t="shared" ca="1" si="85"/>
        <v/>
      </c>
      <c r="K274" s="70" t="str">
        <f t="shared" ca="1" si="86"/>
        <v/>
      </c>
      <c r="L274" s="120" t="str">
        <f t="shared" ca="1" si="87"/>
        <v/>
      </c>
      <c r="M274" s="122" t="str">
        <f t="shared" ca="1" si="88"/>
        <v/>
      </c>
      <c r="N274" s="70" t="str">
        <f t="shared" ca="1" si="89"/>
        <v/>
      </c>
      <c r="O274" s="120" t="str">
        <f t="shared" ca="1" si="90"/>
        <v/>
      </c>
    </row>
    <row r="275" spans="1:15" ht="16.5" customHeight="1">
      <c r="A275" s="47">
        <v>26</v>
      </c>
      <c r="B275" s="133" t="str">
        <f>HYPERLINK("#'" &amp; TEXT(투자전략!$G$1+25, "[$-ko-KR]yyyy.mm.dd") &amp; "'!A175:O199", TEXT(투자전략!$G$1+25, "[$-ko-KR]yyyy.mm.dd"))</f>
        <v>2023.03.26</v>
      </c>
      <c r="C275" s="118" t="str">
        <f t="shared" ca="1" si="78"/>
        <v/>
      </c>
      <c r="D275" s="122" t="str">
        <f t="shared" ca="1" si="79"/>
        <v/>
      </c>
      <c r="E275" s="70" t="str">
        <f t="shared" ca="1" si="80"/>
        <v/>
      </c>
      <c r="F275" s="120" t="str">
        <f t="shared" ca="1" si="81"/>
        <v/>
      </c>
      <c r="G275" s="122" t="str">
        <f t="shared" ca="1" si="82"/>
        <v/>
      </c>
      <c r="H275" s="70" t="str">
        <f t="shared" ca="1" si="83"/>
        <v/>
      </c>
      <c r="I275" s="120" t="str">
        <f t="shared" ca="1" si="84"/>
        <v/>
      </c>
      <c r="J275" s="122" t="str">
        <f t="shared" ca="1" si="85"/>
        <v/>
      </c>
      <c r="K275" s="70" t="str">
        <f t="shared" ca="1" si="86"/>
        <v/>
      </c>
      <c r="L275" s="120" t="str">
        <f t="shared" ca="1" si="87"/>
        <v/>
      </c>
      <c r="M275" s="122" t="str">
        <f t="shared" ca="1" si="88"/>
        <v/>
      </c>
      <c r="N275" s="70" t="str">
        <f t="shared" ca="1" si="89"/>
        <v/>
      </c>
      <c r="O275" s="120" t="str">
        <f t="shared" ca="1" si="90"/>
        <v/>
      </c>
    </row>
    <row r="276" spans="1:15" ht="16.5" customHeight="1">
      <c r="A276" s="47">
        <v>27</v>
      </c>
      <c r="B276" s="133" t="str">
        <f>HYPERLINK("#'" &amp; TEXT(투자전략!$G$1+26, "[$-ko-KR]yyyy.mm.dd") &amp; "'!A175:O199", TEXT(투자전략!$G$1+26, "[$-ko-KR]yyyy.mm.dd"))</f>
        <v>2023.03.27</v>
      </c>
      <c r="C276" s="118" t="str">
        <f t="shared" ca="1" si="78"/>
        <v/>
      </c>
      <c r="D276" s="122" t="str">
        <f t="shared" ca="1" si="79"/>
        <v/>
      </c>
      <c r="E276" s="70" t="str">
        <f t="shared" ca="1" si="80"/>
        <v/>
      </c>
      <c r="F276" s="120" t="str">
        <f t="shared" ca="1" si="81"/>
        <v/>
      </c>
      <c r="G276" s="122" t="str">
        <f t="shared" ca="1" si="82"/>
        <v/>
      </c>
      <c r="H276" s="70" t="str">
        <f t="shared" ca="1" si="83"/>
        <v/>
      </c>
      <c r="I276" s="120" t="str">
        <f t="shared" ca="1" si="84"/>
        <v/>
      </c>
      <c r="J276" s="122" t="str">
        <f t="shared" ca="1" si="85"/>
        <v/>
      </c>
      <c r="K276" s="70" t="str">
        <f t="shared" ca="1" si="86"/>
        <v/>
      </c>
      <c r="L276" s="120" t="str">
        <f t="shared" ca="1" si="87"/>
        <v/>
      </c>
      <c r="M276" s="122" t="str">
        <f t="shared" ca="1" si="88"/>
        <v/>
      </c>
      <c r="N276" s="70" t="str">
        <f t="shared" ca="1" si="89"/>
        <v/>
      </c>
      <c r="O276" s="120" t="str">
        <f t="shared" ca="1" si="90"/>
        <v/>
      </c>
    </row>
    <row r="277" spans="1:15" ht="16.5" customHeight="1" thickBot="1">
      <c r="A277" s="48">
        <v>28</v>
      </c>
      <c r="B277" s="134" t="str">
        <f>HYPERLINK("#'" &amp; TEXT(투자전략!$G$1+27, "[$-ko-KR]yyyy.mm.dd") &amp; "'!A175:O199", TEXT(투자전략!$G$1+27, "[$-ko-KR]yyyy.mm.dd"))</f>
        <v>2023.03.28</v>
      </c>
      <c r="C277" s="119" t="str">
        <f t="shared" ca="1" si="78"/>
        <v/>
      </c>
      <c r="D277" s="123" t="str">
        <f t="shared" ca="1" si="79"/>
        <v/>
      </c>
      <c r="E277" s="72" t="str">
        <f t="shared" ca="1" si="80"/>
        <v/>
      </c>
      <c r="F277" s="121" t="str">
        <f t="shared" ca="1" si="81"/>
        <v/>
      </c>
      <c r="G277" s="123" t="str">
        <f t="shared" ca="1" si="82"/>
        <v/>
      </c>
      <c r="H277" s="72" t="str">
        <f t="shared" ca="1" si="83"/>
        <v/>
      </c>
      <c r="I277" s="121" t="str">
        <f t="shared" ca="1" si="84"/>
        <v/>
      </c>
      <c r="J277" s="123" t="str">
        <f t="shared" ca="1" si="85"/>
        <v/>
      </c>
      <c r="K277" s="72" t="str">
        <f t="shared" ca="1" si="86"/>
        <v/>
      </c>
      <c r="L277" s="121" t="str">
        <f t="shared" ca="1" si="87"/>
        <v/>
      </c>
      <c r="M277" s="123" t="str">
        <f t="shared" ca="1" si="88"/>
        <v/>
      </c>
      <c r="N277" s="72" t="str">
        <f t="shared" ca="1" si="89"/>
        <v/>
      </c>
      <c r="O277" s="121" t="str">
        <f t="shared" ca="1" si="90"/>
        <v/>
      </c>
    </row>
    <row r="278" spans="1:15" ht="16.5" customHeight="1">
      <c r="A278" s="105">
        <v>29</v>
      </c>
      <c r="B278" s="132" t="str">
        <f>HYPERLINK("#'" &amp; TEXT(투자전략!$G$1+28, "[$-ko-KR]yyyy.mm.dd") &amp; "'!A175:O199", TEXT(투자전략!$G$1+28, "[$-ko-KR]yyyy.mm.dd"))</f>
        <v>2023.03.29</v>
      </c>
      <c r="C278" s="118" t="str">
        <f t="shared" ca="1" si="78"/>
        <v/>
      </c>
      <c r="D278" s="122" t="str">
        <f t="shared" ca="1" si="79"/>
        <v/>
      </c>
      <c r="E278" s="70" t="str">
        <f t="shared" ca="1" si="80"/>
        <v/>
      </c>
      <c r="F278" s="120" t="str">
        <f t="shared" ca="1" si="81"/>
        <v/>
      </c>
      <c r="G278" s="122" t="str">
        <f t="shared" ca="1" si="82"/>
        <v/>
      </c>
      <c r="H278" s="70" t="str">
        <f t="shared" ca="1" si="83"/>
        <v/>
      </c>
      <c r="I278" s="120" t="str">
        <f t="shared" ca="1" si="84"/>
        <v/>
      </c>
      <c r="J278" s="122" t="str">
        <f t="shared" ca="1" si="85"/>
        <v/>
      </c>
      <c r="K278" s="70" t="str">
        <f t="shared" ca="1" si="86"/>
        <v/>
      </c>
      <c r="L278" s="120" t="str">
        <f t="shared" ca="1" si="87"/>
        <v/>
      </c>
      <c r="M278" s="122" t="str">
        <f t="shared" ca="1" si="88"/>
        <v/>
      </c>
      <c r="N278" s="70" t="str">
        <f t="shared" ca="1" si="89"/>
        <v/>
      </c>
      <c r="O278" s="120" t="str">
        <f t="shared" ca="1" si="90"/>
        <v/>
      </c>
    </row>
    <row r="279" spans="1:15" ht="16.5" customHeight="1">
      <c r="A279" s="105">
        <v>30</v>
      </c>
      <c r="B279" s="133" t="str">
        <f>HYPERLINK("#'" &amp; TEXT(투자전략!$G$1+29, "[$-ko-KR]yyyy.mm.dd") &amp; "'!A175:O199", TEXT(투자전략!$G$1+29, "[$-ko-KR]yyyy.mm.dd"))</f>
        <v>2023.03.30</v>
      </c>
      <c r="C279" s="118" t="str">
        <f t="shared" ca="1" si="78"/>
        <v/>
      </c>
      <c r="D279" s="122" t="str">
        <f t="shared" ca="1" si="79"/>
        <v/>
      </c>
      <c r="E279" s="70" t="str">
        <f t="shared" ca="1" si="80"/>
        <v/>
      </c>
      <c r="F279" s="120" t="str">
        <f t="shared" ca="1" si="81"/>
        <v/>
      </c>
      <c r="G279" s="122" t="str">
        <f t="shared" ca="1" si="82"/>
        <v/>
      </c>
      <c r="H279" s="70" t="str">
        <f t="shared" ca="1" si="83"/>
        <v/>
      </c>
      <c r="I279" s="120" t="str">
        <f t="shared" ca="1" si="84"/>
        <v/>
      </c>
      <c r="J279" s="122" t="str">
        <f t="shared" ca="1" si="85"/>
        <v/>
      </c>
      <c r="K279" s="70" t="str">
        <f t="shared" ca="1" si="86"/>
        <v/>
      </c>
      <c r="L279" s="120" t="str">
        <f t="shared" ca="1" si="87"/>
        <v/>
      </c>
      <c r="M279" s="122" t="str">
        <f t="shared" ca="1" si="88"/>
        <v/>
      </c>
      <c r="N279" s="70" t="str">
        <f t="shared" ca="1" si="89"/>
        <v/>
      </c>
      <c r="O279" s="120" t="str">
        <f t="shared" ca="1" si="90"/>
        <v/>
      </c>
    </row>
    <row r="280" spans="1:15" ht="16.5" customHeight="1" thickBot="1">
      <c r="A280" s="105">
        <v>31</v>
      </c>
      <c r="B280" s="133" t="str">
        <f>HYPERLINK("#'" &amp; TEXT(투자전략!$G$1+30, "[$-ko-KR]yyyy.mm.dd") &amp; "'!A175:O199", TEXT(투자전략!$G$1+30, "[$-ko-KR]yyyy.mm.dd"))</f>
        <v>2023.03.31</v>
      </c>
      <c r="C280" s="119" t="str">
        <f t="shared" ca="1" si="78"/>
        <v/>
      </c>
      <c r="D280" s="123" t="str">
        <f t="shared" ca="1" si="79"/>
        <v/>
      </c>
      <c r="E280" s="72" t="str">
        <f t="shared" ca="1" si="80"/>
        <v/>
      </c>
      <c r="F280" s="121" t="str">
        <f t="shared" ca="1" si="81"/>
        <v/>
      </c>
      <c r="G280" s="123" t="str">
        <f t="shared" ca="1" si="82"/>
        <v/>
      </c>
      <c r="H280" s="72" t="str">
        <f t="shared" ca="1" si="83"/>
        <v/>
      </c>
      <c r="I280" s="121" t="str">
        <f t="shared" ca="1" si="84"/>
        <v/>
      </c>
      <c r="J280" s="123" t="str">
        <f t="shared" ca="1" si="85"/>
        <v/>
      </c>
      <c r="K280" s="72" t="str">
        <f t="shared" ca="1" si="86"/>
        <v/>
      </c>
      <c r="L280" s="121" t="str">
        <f t="shared" ca="1" si="87"/>
        <v/>
      </c>
      <c r="M280" s="123" t="str">
        <f t="shared" ca="1" si="88"/>
        <v/>
      </c>
      <c r="N280" s="72" t="str">
        <f t="shared" ca="1" si="89"/>
        <v/>
      </c>
      <c r="O280" s="121" t="str">
        <f t="shared" ca="1" si="90"/>
        <v/>
      </c>
    </row>
    <row r="281" spans="1:15" ht="16.5" customHeight="1" thickBot="1">
      <c r="A281" s="185" t="s">
        <v>270</v>
      </c>
      <c r="B281" s="187"/>
      <c r="C281" s="116" t="s">
        <v>265</v>
      </c>
      <c r="D281" s="9" t="s">
        <v>266</v>
      </c>
      <c r="E281" s="63" t="s">
        <v>267</v>
      </c>
      <c r="F281" s="64" t="s">
        <v>268</v>
      </c>
      <c r="G281" s="9" t="s">
        <v>266</v>
      </c>
      <c r="H281" s="63" t="s">
        <v>267</v>
      </c>
      <c r="I281" s="64" t="s">
        <v>268</v>
      </c>
      <c r="J281" s="9" t="s">
        <v>266</v>
      </c>
      <c r="K281" s="63" t="s">
        <v>267</v>
      </c>
      <c r="L281" s="64" t="s">
        <v>268</v>
      </c>
      <c r="M281" s="9" t="s">
        <v>266</v>
      </c>
      <c r="N281" s="63" t="s">
        <v>267</v>
      </c>
      <c r="O281" s="64" t="s">
        <v>268</v>
      </c>
    </row>
    <row r="282" spans="1:15" ht="16.5" customHeight="1" thickBot="1">
      <c r="A282" s="178"/>
      <c r="B282" s="180"/>
      <c r="C282" s="119">
        <f ca="1">SUM(C250:C280)</f>
        <v>36000000</v>
      </c>
      <c r="D282" s="123">
        <f ca="1">SUM(D250:D280)</f>
        <v>36170869.219852768</v>
      </c>
      <c r="E282" s="72">
        <f ca="1">IFERROR(F282 / (SUM($C250:$C280) / COUNT($C250:$C280)), 0)</f>
        <v>5.6956406617589703E-2</v>
      </c>
      <c r="F282" s="121">
        <f ca="1">SUM(F250:F280)</f>
        <v>170869.21985276911</v>
      </c>
      <c r="G282" s="123">
        <f ca="1">SUM(G250:G280)</f>
        <v>35870514.358882457</v>
      </c>
      <c r="H282" s="72">
        <f ca="1">IFERROR(I282 / (SUM($C250:$C280) / COUNT($C250:$C280)), 0)</f>
        <v>-4.3161880372515317E-2</v>
      </c>
      <c r="I282" s="121">
        <f ca="1">SUM(I250:I280)</f>
        <v>-129485.64111754595</v>
      </c>
      <c r="J282" s="123">
        <f ca="1">SUM(J250:J280)</f>
        <v>35979018.397463344</v>
      </c>
      <c r="K282" s="72">
        <f ca="1">IFERROR(L282 / (SUM($C250:$C280) / COUNT($C250:$C280)), 0)</f>
        <v>-6.9938675122185705E-3</v>
      </c>
      <c r="L282" s="121">
        <f ca="1">SUM(L250:L280)</f>
        <v>-20981.602536655711</v>
      </c>
      <c r="M282" s="123">
        <f ca="1">SUM(M250:M280)</f>
        <v>36089851.587726057</v>
      </c>
      <c r="N282" s="72">
        <f ca="1">IFERROR(O282 / (SUM($C250:$C280) / COUNT($C250:$C280)), 0)</f>
        <v>2.995052924202115E-2</v>
      </c>
      <c r="O282" s="121">
        <f ca="1">SUM(O250:O280)</f>
        <v>89851.587726063444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A7EB8-E494-49DC-A822-FED410452C6B}">
  <sheetPr codeName="Sheet6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44986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2023-03-01(수) 오전 00:00</v>
      </c>
      <c r="C15" s="196"/>
      <c r="D15" s="170" t="str">
        <f>TEXT($G$1, "[$-ko-KR]yyyy-mm-dd(ddd) ") &amp; "오후 14:00"</f>
        <v>2023-03-01(수) 오후 14:00</v>
      </c>
      <c r="E15" s="171"/>
      <c r="F15" s="172"/>
      <c r="G15" s="170" t="str">
        <f>TEXT($G$1, "[$-ko-KR]yyyy-mm-dd(ddd) ") &amp; "오후 19:00"</f>
        <v>2023-03-01(수) 오후 19:00</v>
      </c>
      <c r="H15" s="171"/>
      <c r="I15" s="172"/>
      <c r="J15" s="170" t="str">
        <f>TEXT($G$1, "[$-ko-KR]yyyy-mm-dd(ddd) ") &amp; "오후 21:00"</f>
        <v>2023-03-01(수) 오후 21:00</v>
      </c>
      <c r="K15" s="171"/>
      <c r="L15" s="172"/>
      <c r="M15" s="170" t="str">
        <f>TEXT($G$1+1, "[$-ko-KR]yyyy-mm-dd(ddd) ") &amp; "오전 00:00"</f>
        <v>2023-03-02(목)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2023-03-01(수) 오전 00:00</v>
      </c>
      <c r="C42" s="198"/>
      <c r="D42" s="170" t="str">
        <f>TEXT($G$1, "[$-ko-KR]yyyy-mm-dd(ddd) ") &amp; "오후 14:00"</f>
        <v>2023-03-01(수) 오후 14:00</v>
      </c>
      <c r="E42" s="171"/>
      <c r="F42" s="172"/>
      <c r="G42" s="170" t="str">
        <f>TEXT($G$1, "[$-ko-KR]yyyy-mm-dd(ddd) ") &amp; "오후 19:00"</f>
        <v>2023-03-01(수) 오후 19:00</v>
      </c>
      <c r="H42" s="171"/>
      <c r="I42" s="172"/>
      <c r="J42" s="170" t="str">
        <f>TEXT($G$1, "[$-ko-KR]yyyy-mm-dd(ddd) ") &amp; "오후 21:00"</f>
        <v>2023-03-01(수) 오후 21:00</v>
      </c>
      <c r="K42" s="171"/>
      <c r="L42" s="172"/>
      <c r="M42" s="170" t="str">
        <f>TEXT($G$1+1, "[$-ko-KR]yyyy-mm-dd(ddd) ") &amp; "오전 00:00"</f>
        <v>2023-03-02(목)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225</v>
      </c>
      <c r="B44" s="108">
        <v>81.7</v>
      </c>
      <c r="C44" s="69">
        <v>5.8290155400000002E-2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191</v>
      </c>
      <c r="B45" s="110">
        <v>94.2</v>
      </c>
      <c r="C45" s="70">
        <v>4.08839779E-2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221</v>
      </c>
      <c r="B46" s="110">
        <v>30.7</v>
      </c>
      <c r="C46" s="70">
        <v>4.0677966099999997E-2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09" t="s">
        <v>107</v>
      </c>
      <c r="B47" s="110">
        <v>58</v>
      </c>
      <c r="C47" s="70">
        <v>2.47349823E-2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11" t="s">
        <v>185</v>
      </c>
      <c r="B48" s="112">
        <v>47.4</v>
      </c>
      <c r="C48" s="71">
        <v>1.4989293399999999E-2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09" t="s">
        <v>132</v>
      </c>
      <c r="B49" s="113">
        <v>81.5</v>
      </c>
      <c r="C49" s="73">
        <v>9.9132590000000007E-3</v>
      </c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09" t="s">
        <v>97</v>
      </c>
      <c r="B50" s="110">
        <v>1E-3</v>
      </c>
      <c r="C50" s="70">
        <v>0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09" t="s">
        <v>193</v>
      </c>
      <c r="B51" s="110">
        <v>26.6</v>
      </c>
      <c r="C51" s="70">
        <v>0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09" t="s">
        <v>195</v>
      </c>
      <c r="B52" s="110">
        <v>9.1999999999999993</v>
      </c>
      <c r="C52" s="70">
        <v>-2.1691974E-3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145</v>
      </c>
      <c r="B53" s="115">
        <v>92.1</v>
      </c>
      <c r="C53" s="72">
        <v>-4.3243242999999997E-3</v>
      </c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07" t="s">
        <v>317</v>
      </c>
      <c r="B54" s="108">
        <v>1.6500000000000001E-2</v>
      </c>
      <c r="C54" s="69">
        <v>-6.0240963999999998E-3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09" t="s">
        <v>181</v>
      </c>
      <c r="B55" s="110">
        <v>6.28</v>
      </c>
      <c r="C55" s="70">
        <v>-6.3291138999999998E-3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09" t="s">
        <v>320</v>
      </c>
      <c r="B56" s="110">
        <v>7.01</v>
      </c>
      <c r="C56" s="70">
        <v>-8.4865628999999995E-3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09" t="s">
        <v>332</v>
      </c>
      <c r="B57" s="110">
        <v>9.48</v>
      </c>
      <c r="C57" s="70">
        <v>-1.35275754E-2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118</v>
      </c>
      <c r="B58" s="112">
        <v>9.15</v>
      </c>
      <c r="C58" s="71">
        <v>-1.5069967700000001E-2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334</v>
      </c>
      <c r="B59" s="113">
        <v>51.7</v>
      </c>
      <c r="C59" s="73">
        <v>-1.5238095199999999E-2</v>
      </c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09" t="s">
        <v>203</v>
      </c>
      <c r="B60" s="110">
        <v>5.15</v>
      </c>
      <c r="C60" s="70">
        <v>-1.52963671E-2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09" t="s">
        <v>335</v>
      </c>
      <c r="B61" s="110">
        <v>94.8</v>
      </c>
      <c r="C61" s="70">
        <v>-1.5576324000000001E-2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09" t="s">
        <v>197</v>
      </c>
      <c r="B62" s="110">
        <v>12.4</v>
      </c>
      <c r="C62" s="70">
        <v>-1.5873015899999999E-2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114" t="s">
        <v>338</v>
      </c>
      <c r="B63" s="115">
        <v>4.5900000000000003E-2</v>
      </c>
      <c r="C63" s="72">
        <v>-1.9230769200000001E-2</v>
      </c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2023-03-01(수) 오전 00:00</v>
      </c>
      <c r="C69" s="198"/>
      <c r="D69" s="170" t="str">
        <f>TEXT($G$1, "[$-ko-KR]yyyy-mm-dd(ddd) ") &amp; "오후 14:00"</f>
        <v>2023-03-01(수) 오후 14:00</v>
      </c>
      <c r="E69" s="171"/>
      <c r="F69" s="172"/>
      <c r="G69" s="170" t="str">
        <f>TEXT($G$1, "[$-ko-KR]yyyy-mm-dd(ddd) ") &amp; "오후 19:00"</f>
        <v>2023-03-01(수) 오후 19:00</v>
      </c>
      <c r="H69" s="171"/>
      <c r="I69" s="172"/>
      <c r="J69" s="170" t="str">
        <f>TEXT($G$1, "[$-ko-KR]yyyy-mm-dd(ddd) ") &amp; "오후 21:00"</f>
        <v>2023-03-01(수) 오후 21:00</v>
      </c>
      <c r="K69" s="171"/>
      <c r="L69" s="172"/>
      <c r="M69" s="170" t="str">
        <f>TEXT($G$1+1, "[$-ko-KR]yyyy-mm-dd(ddd) ") &amp; "오전 00:00"</f>
        <v>2023-03-02(목)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207</v>
      </c>
      <c r="B71" s="108">
        <v>101</v>
      </c>
      <c r="C71" s="69">
        <v>4.6632124400000002E-2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157</v>
      </c>
      <c r="B72" s="110">
        <v>371</v>
      </c>
      <c r="C72" s="70">
        <v>3.0555555599999999E-2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167</v>
      </c>
      <c r="B73" s="110">
        <v>291</v>
      </c>
      <c r="C73" s="70">
        <v>2.8268551199999999E-2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09" t="s">
        <v>120</v>
      </c>
      <c r="B74" s="110">
        <v>164</v>
      </c>
      <c r="C74" s="70">
        <v>2.5000000000000001E-2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11" t="s">
        <v>201</v>
      </c>
      <c r="B75" s="112">
        <v>359</v>
      </c>
      <c r="C75" s="71">
        <v>1.9886363600000002E-2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09" t="s">
        <v>85</v>
      </c>
      <c r="B76" s="113">
        <v>179</v>
      </c>
      <c r="C76" s="73">
        <v>5.6179775000000003E-3</v>
      </c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09" t="s">
        <v>103</v>
      </c>
      <c r="B77" s="110">
        <v>349</v>
      </c>
      <c r="C77" s="70">
        <v>2.8735632000000001E-3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09" t="s">
        <v>241</v>
      </c>
      <c r="B78" s="110">
        <v>141</v>
      </c>
      <c r="C78" s="70">
        <v>0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09" t="s">
        <v>253</v>
      </c>
      <c r="B79" s="110">
        <v>108</v>
      </c>
      <c r="C79" s="70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89</v>
      </c>
      <c r="B80" s="115">
        <v>502</v>
      </c>
      <c r="C80" s="72">
        <v>-1.9880715999999999E-3</v>
      </c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07" t="s">
        <v>219</v>
      </c>
      <c r="B81" s="108">
        <v>600</v>
      </c>
      <c r="C81" s="69">
        <v>-3.3222591000000002E-3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09" t="s">
        <v>239</v>
      </c>
      <c r="B82" s="110">
        <v>594</v>
      </c>
      <c r="C82" s="70">
        <v>-3.3557047E-3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09" t="s">
        <v>235</v>
      </c>
      <c r="B83" s="110">
        <v>810</v>
      </c>
      <c r="C83" s="70">
        <v>-6.1349693000000002E-3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09" t="s">
        <v>319</v>
      </c>
      <c r="B84" s="110">
        <v>267</v>
      </c>
      <c r="C84" s="70">
        <v>-7.4349441999999998E-3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81</v>
      </c>
      <c r="B85" s="112">
        <v>481</v>
      </c>
      <c r="C85" s="71">
        <v>-8.2474226999999997E-3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229</v>
      </c>
      <c r="B86" s="113">
        <v>358</v>
      </c>
      <c r="C86" s="73">
        <v>-8.3102492999999993E-3</v>
      </c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09" t="s">
        <v>51</v>
      </c>
      <c r="B87" s="110">
        <v>117</v>
      </c>
      <c r="C87" s="70">
        <v>-8.4745762999999998E-3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09" t="s">
        <v>60</v>
      </c>
      <c r="B88" s="110">
        <v>863</v>
      </c>
      <c r="C88" s="70">
        <v>-9.1848450000000005E-3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09" t="s">
        <v>323</v>
      </c>
      <c r="B89" s="110">
        <v>105</v>
      </c>
      <c r="C89" s="70">
        <v>-9.4339622999999994E-3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114" t="s">
        <v>153</v>
      </c>
      <c r="B90" s="115">
        <v>581</v>
      </c>
      <c r="C90" s="72">
        <v>-1.02214651E-2</v>
      </c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2023-03-01(수) 오전 00:00</v>
      </c>
      <c r="C96" s="198"/>
      <c r="D96" s="170" t="str">
        <f>TEXT($G$1, "[$-ko-KR]yyyy-mm-dd(ddd) ") &amp; "오후 14:00"</f>
        <v>2023-03-01(수) 오후 14:00</v>
      </c>
      <c r="E96" s="171"/>
      <c r="F96" s="172"/>
      <c r="G96" s="170" t="str">
        <f>TEXT($G$1, "[$-ko-KR]yyyy-mm-dd(ddd) ") &amp; "오후 19:00"</f>
        <v>2023-03-01(수) 오후 19:00</v>
      </c>
      <c r="H96" s="171"/>
      <c r="I96" s="172"/>
      <c r="J96" s="170" t="str">
        <f>TEXT($G$1, "[$-ko-KR]yyyy-mm-dd(ddd) ") &amp; "오후 21:00"</f>
        <v>2023-03-01(수) 오후 21:00</v>
      </c>
      <c r="K96" s="171"/>
      <c r="L96" s="172"/>
      <c r="M96" s="170" t="str">
        <f>TEXT($G$1+1, "[$-ko-KR]yyyy-mm-dd(ddd) ") &amp; "오전 00:00"</f>
        <v>2023-03-02(목)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225</v>
      </c>
      <c r="B98" s="108">
        <v>81.7</v>
      </c>
      <c r="C98" s="69">
        <v>5.8290155400000002E-2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83</v>
      </c>
      <c r="B99" s="110">
        <v>1575</v>
      </c>
      <c r="C99" s="70">
        <v>0.05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207</v>
      </c>
      <c r="B100" s="110">
        <v>101</v>
      </c>
      <c r="C100" s="70">
        <v>4.6632124400000002E-2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09" t="s">
        <v>191</v>
      </c>
      <c r="B101" s="110">
        <v>94.2</v>
      </c>
      <c r="C101" s="70">
        <v>4.08839779E-2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11" t="s">
        <v>221</v>
      </c>
      <c r="B102" s="112">
        <v>30.7</v>
      </c>
      <c r="C102" s="71">
        <v>4.0677966099999997E-2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09" t="s">
        <v>157</v>
      </c>
      <c r="B103" s="113">
        <v>371</v>
      </c>
      <c r="C103" s="73">
        <v>3.0555555599999999E-2</v>
      </c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09" t="s">
        <v>167</v>
      </c>
      <c r="B104" s="110">
        <v>291</v>
      </c>
      <c r="C104" s="70">
        <v>2.8268551199999999E-2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09" t="s">
        <v>116</v>
      </c>
      <c r="B105" s="110">
        <v>1700</v>
      </c>
      <c r="C105" s="70">
        <v>2.7190332300000002E-2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09" t="s">
        <v>120</v>
      </c>
      <c r="B106" s="110">
        <v>164</v>
      </c>
      <c r="C106" s="70">
        <v>2.5000000000000001E-2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107</v>
      </c>
      <c r="B107" s="115">
        <v>58</v>
      </c>
      <c r="C107" s="72">
        <v>2.47349823E-2</v>
      </c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07" t="s">
        <v>201</v>
      </c>
      <c r="B108" s="108">
        <v>359</v>
      </c>
      <c r="C108" s="69">
        <v>1.9886363600000002E-2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09" t="s">
        <v>185</v>
      </c>
      <c r="B109" s="110">
        <v>47.4</v>
      </c>
      <c r="C109" s="70">
        <v>1.4989293399999999E-2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09" t="s">
        <v>211</v>
      </c>
      <c r="B110" s="110">
        <v>1575</v>
      </c>
      <c r="C110" s="70">
        <v>1.2861736299999999E-2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09" t="s">
        <v>75</v>
      </c>
      <c r="B111" s="110">
        <v>9800</v>
      </c>
      <c r="C111" s="70">
        <v>1.13519092E-2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132</v>
      </c>
      <c r="B112" s="112">
        <v>81.5</v>
      </c>
      <c r="C112" s="71">
        <v>9.9132590000000007E-3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66</v>
      </c>
      <c r="B113" s="113">
        <v>1070</v>
      </c>
      <c r="C113" s="73">
        <v>9.4339622999999994E-3</v>
      </c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09" t="s">
        <v>85</v>
      </c>
      <c r="B114" s="110">
        <v>179</v>
      </c>
      <c r="C114" s="70">
        <v>5.6179775000000003E-3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09" t="s">
        <v>233</v>
      </c>
      <c r="B115" s="110">
        <v>4035</v>
      </c>
      <c r="C115" s="70">
        <v>3.7313432999999999E-3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09" t="s">
        <v>165</v>
      </c>
      <c r="B116" s="110">
        <v>1730</v>
      </c>
      <c r="C116" s="70">
        <v>2.8985507E-3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114" t="s">
        <v>103</v>
      </c>
      <c r="B117" s="115">
        <v>349</v>
      </c>
      <c r="C117" s="72">
        <v>2.8735632000000001E-3</v>
      </c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2023-03-01(수) 오전 00:00</v>
      </c>
      <c r="C123" s="198"/>
      <c r="D123" s="170" t="str">
        <f>TEXT($G$1, "[$-ko-KR]yyyy-mm-dd(ddd) ") &amp; "오후 14:00"</f>
        <v>2023-03-01(수) 오후 14:00</v>
      </c>
      <c r="E123" s="171"/>
      <c r="F123" s="172"/>
      <c r="G123" s="170" t="str">
        <f>TEXT($G$1, "[$-ko-KR]yyyy-mm-dd(ddd) ") &amp; "오후 19:00"</f>
        <v>2023-03-01(수) 오후 19:00</v>
      </c>
      <c r="H123" s="171"/>
      <c r="I123" s="172"/>
      <c r="J123" s="170" t="str">
        <f>TEXT($G$1, "[$-ko-KR]yyyy-mm-dd(ddd) ") &amp; "오후 21:00"</f>
        <v>2023-03-01(수) 오후 21:00</v>
      </c>
      <c r="K123" s="171"/>
      <c r="L123" s="172"/>
      <c r="M123" s="170" t="str">
        <f>TEXT($G$1+1, "[$-ko-KR]yyyy-mm-dd(ddd) ") &amp; "오전 00:00"</f>
        <v>2023-03-02(목)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320</v>
      </c>
      <c r="B125" s="108">
        <v>7.01</v>
      </c>
      <c r="C125" s="69">
        <v>-8.4865628999999995E-3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332</v>
      </c>
      <c r="B126" s="110">
        <v>9.48</v>
      </c>
      <c r="C126" s="70">
        <v>-1.35275754E-2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118</v>
      </c>
      <c r="B127" s="110">
        <v>9.15</v>
      </c>
      <c r="C127" s="70">
        <v>-1.5069967700000001E-2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09" t="s">
        <v>334</v>
      </c>
      <c r="B128" s="110">
        <v>51.7</v>
      </c>
      <c r="C128" s="70">
        <v>-1.5238095199999999E-2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11" t="s">
        <v>203</v>
      </c>
      <c r="B129" s="112">
        <v>5.15</v>
      </c>
      <c r="C129" s="71">
        <v>-1.52963671E-2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09" t="s">
        <v>335</v>
      </c>
      <c r="B130" s="113">
        <v>94.8</v>
      </c>
      <c r="C130" s="73">
        <v>-1.5576324000000001E-2</v>
      </c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09" t="s">
        <v>197</v>
      </c>
      <c r="B131" s="110">
        <v>12.4</v>
      </c>
      <c r="C131" s="70">
        <v>-1.5873015899999999E-2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09" t="s">
        <v>338</v>
      </c>
      <c r="B132" s="110">
        <v>4.5900000000000003E-2</v>
      </c>
      <c r="C132" s="70">
        <v>-1.9230769200000001E-2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09" t="s">
        <v>64</v>
      </c>
      <c r="B133" s="110">
        <v>15.1</v>
      </c>
      <c r="C133" s="70">
        <v>-1.9480519500000001E-2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126</v>
      </c>
      <c r="B134" s="115">
        <v>42.3</v>
      </c>
      <c r="C134" s="72">
        <v>-2.08333333E-2</v>
      </c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07" t="s">
        <v>141</v>
      </c>
      <c r="B135" s="108">
        <v>6.02</v>
      </c>
      <c r="C135" s="69">
        <v>-2.2727272699999999E-2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09" t="s">
        <v>143</v>
      </c>
      <c r="B136" s="110">
        <v>6.63</v>
      </c>
      <c r="C136" s="70">
        <v>-2.3564064799999999E-2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09" t="s">
        <v>122</v>
      </c>
      <c r="B137" s="110">
        <v>36.6</v>
      </c>
      <c r="C137" s="70">
        <v>-2.4E-2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09" t="s">
        <v>71</v>
      </c>
      <c r="B138" s="110">
        <v>15.5</v>
      </c>
      <c r="C138" s="70">
        <v>-2.5157232700000001E-2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227</v>
      </c>
      <c r="B139" s="112">
        <v>64.8</v>
      </c>
      <c r="C139" s="71">
        <v>-2.8485757099999998E-2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237</v>
      </c>
      <c r="B140" s="113">
        <v>39.4</v>
      </c>
      <c r="C140" s="73">
        <v>-2.9556650199999999E-2</v>
      </c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09" t="s">
        <v>155</v>
      </c>
      <c r="B141" s="110">
        <v>40.200000000000003</v>
      </c>
      <c r="C141" s="70">
        <v>-3.8277512E-2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09" t="s">
        <v>124</v>
      </c>
      <c r="B142" s="110">
        <v>47.1</v>
      </c>
      <c r="C142" s="70">
        <v>-3.8775510200000002E-2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09" t="s">
        <v>138</v>
      </c>
      <c r="B143" s="110">
        <v>53.5</v>
      </c>
      <c r="C143" s="70">
        <v>-4.97335702E-2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114" t="s">
        <v>56</v>
      </c>
      <c r="B144" s="115">
        <v>69</v>
      </c>
      <c r="C144" s="72">
        <v>-0.1198979592</v>
      </c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2023-03-01(수) 오전 00:00</v>
      </c>
      <c r="C150" s="198"/>
      <c r="D150" s="170" t="str">
        <f>TEXT($G$1, "[$-ko-KR]yyyy-mm-dd(ddd) ") &amp; "오후 14:00"</f>
        <v>2023-03-01(수) 오후 14:00</v>
      </c>
      <c r="E150" s="171"/>
      <c r="F150" s="172"/>
      <c r="G150" s="170" t="str">
        <f>TEXT($G$1, "[$-ko-KR]yyyy-mm-dd(ddd) ") &amp; "오후 19:00"</f>
        <v>2023-03-01(수) 오후 19:00</v>
      </c>
      <c r="H150" s="171"/>
      <c r="I150" s="172"/>
      <c r="J150" s="170" t="str">
        <f>TEXT($G$1, "[$-ko-KR]yyyy-mm-dd(ddd) ") &amp; "오후 21:00"</f>
        <v>2023-03-01(수) 오후 21:00</v>
      </c>
      <c r="K150" s="171"/>
      <c r="L150" s="172"/>
      <c r="M150" s="170" t="str">
        <f>TEXT($G$1+1, "[$-ko-KR]yyyy-mm-dd(ddd) ") &amp; "오전 00:00"</f>
        <v>2023-03-02(목)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231</v>
      </c>
      <c r="B152" s="108">
        <v>517</v>
      </c>
      <c r="C152" s="69">
        <v>-1.7110266200000002E-2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217</v>
      </c>
      <c r="B153" s="110">
        <v>111</v>
      </c>
      <c r="C153" s="70">
        <v>-1.7699115000000001E-2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176</v>
      </c>
      <c r="B154" s="110">
        <v>440</v>
      </c>
      <c r="C154" s="70">
        <v>-1.7857142900000001E-2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09" t="s">
        <v>169</v>
      </c>
      <c r="B155" s="110">
        <v>324</v>
      </c>
      <c r="C155" s="70">
        <v>-1.8181818200000002E-2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11" t="s">
        <v>336</v>
      </c>
      <c r="B156" s="112">
        <v>431</v>
      </c>
      <c r="C156" s="71">
        <v>-1.8223234599999999E-2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09" t="s">
        <v>223</v>
      </c>
      <c r="B157" s="113">
        <v>314</v>
      </c>
      <c r="C157" s="73">
        <v>-1.8749999999999999E-2</v>
      </c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09" t="s">
        <v>111</v>
      </c>
      <c r="B158" s="110">
        <v>930</v>
      </c>
      <c r="C158" s="70">
        <v>-1.8987341800000002E-2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09" t="s">
        <v>199</v>
      </c>
      <c r="B159" s="110">
        <v>423</v>
      </c>
      <c r="C159" s="70">
        <v>-2.08333333E-2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09" t="s">
        <v>149</v>
      </c>
      <c r="B160" s="110">
        <v>628</v>
      </c>
      <c r="C160" s="70">
        <v>-2.33281493E-2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209</v>
      </c>
      <c r="B161" s="115">
        <v>148</v>
      </c>
      <c r="C161" s="72">
        <v>-2.6315789499999999E-2</v>
      </c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07" t="s">
        <v>346</v>
      </c>
      <c r="B162" s="108">
        <v>331</v>
      </c>
      <c r="C162" s="69">
        <v>-2.6470588199999999E-2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09" t="s">
        <v>352</v>
      </c>
      <c r="B163" s="110">
        <v>199</v>
      </c>
      <c r="C163" s="70">
        <v>-2.92682927E-2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09" t="s">
        <v>79</v>
      </c>
      <c r="B164" s="110">
        <v>394</v>
      </c>
      <c r="C164" s="70">
        <v>-2.9556650199999999E-2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09" t="s">
        <v>213</v>
      </c>
      <c r="B165" s="110">
        <v>687</v>
      </c>
      <c r="C165" s="70">
        <v>-3.1029619200000001E-2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68</v>
      </c>
      <c r="B166" s="112">
        <v>639</v>
      </c>
      <c r="C166" s="71">
        <v>-3.6199095000000001E-2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215</v>
      </c>
      <c r="B167" s="113">
        <v>553</v>
      </c>
      <c r="C167" s="73">
        <v>-3.65853659E-2</v>
      </c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09" t="s">
        <v>105</v>
      </c>
      <c r="B168" s="110">
        <v>335</v>
      </c>
      <c r="C168" s="70">
        <v>-3.7356321800000002E-2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09" t="s">
        <v>101</v>
      </c>
      <c r="B169" s="110">
        <v>335</v>
      </c>
      <c r="C169" s="70">
        <v>-4.0114613200000003E-2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09" t="s">
        <v>159</v>
      </c>
      <c r="B170" s="110">
        <v>288</v>
      </c>
      <c r="C170" s="70">
        <v>-4.6357615900000003E-2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114" t="s">
        <v>205</v>
      </c>
      <c r="B171" s="115">
        <v>158</v>
      </c>
      <c r="C171" s="72">
        <v>-5.3892215600000001E-2</v>
      </c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2023-03-01(수) 오전 00:00</v>
      </c>
      <c r="C177" s="198"/>
      <c r="D177" s="170" t="str">
        <f>TEXT($G$1, "[$-ko-KR]yyyy-mm-dd(ddd) ") &amp; "오후 14:00"</f>
        <v>2023-03-01(수) 오후 14:00</v>
      </c>
      <c r="E177" s="171"/>
      <c r="F177" s="172"/>
      <c r="G177" s="170" t="str">
        <f>TEXT($G$1, "[$-ko-KR]yyyy-mm-dd(ddd) ") &amp; "오후 19:00"</f>
        <v>2023-03-01(수) 오후 19:00</v>
      </c>
      <c r="H177" s="171"/>
      <c r="I177" s="172"/>
      <c r="J177" s="170" t="str">
        <f>TEXT($G$1, "[$-ko-KR]yyyy-mm-dd(ddd) ") &amp; "오후 21:00"</f>
        <v>2023-03-01(수) 오후 21:00</v>
      </c>
      <c r="K177" s="171"/>
      <c r="L177" s="172"/>
      <c r="M177" s="170" t="str">
        <f>TEXT($G$1+1, "[$-ko-KR]yyyy-mm-dd(ddd) ") &amp; "오전 00:00"</f>
        <v>2023-03-02(목)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352</v>
      </c>
      <c r="B179" s="108">
        <v>199</v>
      </c>
      <c r="C179" s="69">
        <v>-2.92682927E-2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79</v>
      </c>
      <c r="B180" s="110">
        <v>394</v>
      </c>
      <c r="C180" s="70">
        <v>-2.9556650199999999E-2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237</v>
      </c>
      <c r="B181" s="110">
        <v>39.4</v>
      </c>
      <c r="C181" s="70">
        <v>-2.9556650199999999E-2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09" t="s">
        <v>213</v>
      </c>
      <c r="B182" s="110">
        <v>687</v>
      </c>
      <c r="C182" s="70">
        <v>-3.1029619200000001E-2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11" t="s">
        <v>68</v>
      </c>
      <c r="B183" s="112">
        <v>639</v>
      </c>
      <c r="C183" s="71">
        <v>-3.6199095000000001E-2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09" t="s">
        <v>215</v>
      </c>
      <c r="B184" s="113">
        <v>553</v>
      </c>
      <c r="C184" s="73">
        <v>-3.65853659E-2</v>
      </c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09" t="s">
        <v>105</v>
      </c>
      <c r="B185" s="110">
        <v>335</v>
      </c>
      <c r="C185" s="70">
        <v>-3.7356321800000002E-2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09" t="s">
        <v>134</v>
      </c>
      <c r="B186" s="110">
        <v>2295</v>
      </c>
      <c r="C186" s="70">
        <v>-3.7735849100000003E-2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09" t="s">
        <v>155</v>
      </c>
      <c r="B187" s="110">
        <v>40.200000000000003</v>
      </c>
      <c r="C187" s="70">
        <v>-3.8277512E-2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130</v>
      </c>
      <c r="B188" s="115">
        <v>1125</v>
      </c>
      <c r="C188" s="72">
        <v>-3.8461538500000003E-2</v>
      </c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07" t="s">
        <v>124</v>
      </c>
      <c r="B189" s="108">
        <v>47.1</v>
      </c>
      <c r="C189" s="69">
        <v>-3.8775510200000002E-2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09" t="s">
        <v>101</v>
      </c>
      <c r="B190" s="110">
        <v>335</v>
      </c>
      <c r="C190" s="70">
        <v>-4.0114613200000003E-2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09" t="s">
        <v>161</v>
      </c>
      <c r="B191" s="110">
        <v>1155</v>
      </c>
      <c r="C191" s="70">
        <v>-4.5454545499999999E-2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09" t="s">
        <v>159</v>
      </c>
      <c r="B192" s="110">
        <v>288</v>
      </c>
      <c r="C192" s="70">
        <v>-4.6357615900000003E-2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138</v>
      </c>
      <c r="B193" s="112">
        <v>53.5</v>
      </c>
      <c r="C193" s="71">
        <v>-4.97335702E-2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172</v>
      </c>
      <c r="B194" s="113">
        <v>4410</v>
      </c>
      <c r="C194" s="73">
        <v>-5.1612903199999997E-2</v>
      </c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09" t="s">
        <v>205</v>
      </c>
      <c r="B195" s="110">
        <v>158</v>
      </c>
      <c r="C195" s="70">
        <v>-5.3892215600000001E-2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09" t="s">
        <v>136</v>
      </c>
      <c r="B196" s="110">
        <v>4580</v>
      </c>
      <c r="C196" s="70">
        <v>-5.7613168700000002E-2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09" t="s">
        <v>62</v>
      </c>
      <c r="B197" s="110">
        <v>16410</v>
      </c>
      <c r="C197" s="70">
        <v>-6.7083570199999998E-2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114" t="s">
        <v>56</v>
      </c>
      <c r="B198" s="115">
        <v>69</v>
      </c>
      <c r="C198" s="72">
        <v>-0.1198979592</v>
      </c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BA36-C8DF-4172-981B-F3153D2DB757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44992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-59,047 KRW (-1.97%)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-81,318 KRW (-2.71%)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-79,797 KRW (-2.66%)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-100,578 KRW (-3.35%)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2023-03-07(화) 오전 00:00</v>
      </c>
      <c r="C15" s="196"/>
      <c r="D15" s="170" t="str">
        <f>TEXT($G$1, "[$-ko-KR]yyyy-mm-dd(ddd) ") &amp; "오후 14:00"</f>
        <v>2023-03-07(화) 오후 14:00</v>
      </c>
      <c r="E15" s="171"/>
      <c r="F15" s="172"/>
      <c r="G15" s="170" t="str">
        <f>TEXT($G$1, "[$-ko-KR]yyyy-mm-dd(ddd) ") &amp; "오후 19:00"</f>
        <v>2023-03-07(화) 오후 19:00</v>
      </c>
      <c r="H15" s="171"/>
      <c r="I15" s="172"/>
      <c r="J15" s="170" t="str">
        <f>TEXT($G$1, "[$-ko-KR]yyyy-mm-dd(ddd) ") &amp; "오후 21:00"</f>
        <v>2023-03-07(화) 오후 21:00</v>
      </c>
      <c r="K15" s="171"/>
      <c r="L15" s="172"/>
      <c r="M15" s="170" t="str">
        <f>TEXT($G$1+1, "[$-ko-KR]yyyy-mm-dd(ddd) ") &amp; "오전 00:00"</f>
        <v>2023-03-08(수)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2023-03-07(화) 오전 00:00</v>
      </c>
      <c r="C42" s="198"/>
      <c r="D42" s="170" t="str">
        <f>TEXT($G$1, "[$-ko-KR]yyyy-mm-dd(ddd) ") &amp; "오후 14:00"</f>
        <v>2023-03-07(화) 오후 14:00</v>
      </c>
      <c r="E42" s="171"/>
      <c r="F42" s="172"/>
      <c r="G42" s="170" t="str">
        <f>TEXT($G$1, "[$-ko-KR]yyyy-mm-dd(ddd) ") &amp; "오후 19:00"</f>
        <v>2023-03-07(화) 오후 19:00</v>
      </c>
      <c r="H42" s="171"/>
      <c r="I42" s="172"/>
      <c r="J42" s="170" t="str">
        <f>TEXT($G$1, "[$-ko-KR]yyyy-mm-dd(ddd) ") &amp; "오후 21:00"</f>
        <v>2023-03-07(화) 오후 21:00</v>
      </c>
      <c r="K42" s="171"/>
      <c r="L42" s="172"/>
      <c r="M42" s="170" t="str">
        <f>TEXT($G$1+1, "[$-ko-KR]yyyy-mm-dd(ddd) ") &amp; "오전 00:00"</f>
        <v>2023-03-08(수)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225</v>
      </c>
      <c r="B44" s="108">
        <v>86.1</v>
      </c>
      <c r="C44" s="69">
        <v>0.1138421734</v>
      </c>
      <c r="D44" s="13">
        <v>86.1</v>
      </c>
      <c r="E44" s="14">
        <f>IF(ISNUMBER(D44), (D44 - $B44) / $B44, "")</f>
        <v>0</v>
      </c>
      <c r="F44" s="16">
        <f>IF(ISNUMBER(D44), $B64 * E44, "")</f>
        <v>0</v>
      </c>
      <c r="G44" s="29">
        <v>81.900000000000006</v>
      </c>
      <c r="H44" s="14">
        <f>IF(ISNUMBER(G44), (G44 - $B44) / $B44, "")</f>
        <v>-4.8780487804877919E-2</v>
      </c>
      <c r="I44" s="90">
        <f>IF(ISNUMBER(G44), $B64 * H44, "")</f>
        <v>-7317.0731707316882</v>
      </c>
      <c r="J44" s="13">
        <v>90.9</v>
      </c>
      <c r="K44" s="14">
        <f>IF(ISNUMBER(J44), (J44 - $B44) / $B44, "")</f>
        <v>5.5749128919860766E-2</v>
      </c>
      <c r="L44" s="16">
        <f>IF(ISNUMBER(J44), $B64 * K44, "")</f>
        <v>8362.3693379791148</v>
      </c>
      <c r="M44" s="29">
        <v>87.4</v>
      </c>
      <c r="N44" s="14">
        <f>IF(ISNUMBER(M44), (M44 - $B44) / $B44, "")</f>
        <v>1.5098722415795719E-2</v>
      </c>
      <c r="O44" s="16">
        <f>IF(ISNUMBER(M44), $B64 * N44, "")</f>
        <v>2264.8083623693578</v>
      </c>
      <c r="Q44" s="156"/>
      <c r="R44" s="156"/>
      <c r="S44" s="156"/>
    </row>
    <row r="45" spans="1:19" ht="17.25" customHeight="1" thickBot="1">
      <c r="A45" s="109" t="s">
        <v>317</v>
      </c>
      <c r="B45" s="110">
        <v>1.4999999999999999E-2</v>
      </c>
      <c r="C45" s="70">
        <v>2.0408163300000001E-2</v>
      </c>
      <c r="D45" s="15">
        <v>1.4999999999999999E-2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1.47E-2</v>
      </c>
      <c r="H45" s="32">
        <f t="shared" ref="H45:H48" si="15">IF(ISNUMBER(G45), (G45 - $B45) / $B45, "")</f>
        <v>-1.9999999999999997E-2</v>
      </c>
      <c r="I45" s="91">
        <f>IF(ISNUMBER(G45), $B64 * H45, "")</f>
        <v>-2999.9999999999995</v>
      </c>
      <c r="J45" s="15">
        <v>1.4500000000000001E-2</v>
      </c>
      <c r="K45" s="32">
        <f t="shared" ref="K45:K48" si="16">IF(ISNUMBER(J45), (J45 - $B45) / $B45, "")</f>
        <v>-3.333333333333325E-2</v>
      </c>
      <c r="L45" s="18">
        <f>IF(ISNUMBER(J45), $B64 * K45, "")</f>
        <v>-4999.9999999999873</v>
      </c>
      <c r="M45" s="31">
        <v>1.4500000000000001E-2</v>
      </c>
      <c r="N45" s="32">
        <f t="shared" ref="N45:N48" si="17">IF(ISNUMBER(M45), (M45 - $B45) / $B45, "")</f>
        <v>-3.333333333333325E-2</v>
      </c>
      <c r="O45" s="18">
        <f>IF(ISNUMBER(M45), $B64 * N45, "")</f>
        <v>-4999.9999999999873</v>
      </c>
      <c r="Q45" s="156"/>
      <c r="R45" s="156"/>
      <c r="S45" s="156"/>
    </row>
    <row r="46" spans="1:19" ht="17.25" customHeight="1" thickBot="1">
      <c r="A46" s="109" t="s">
        <v>320</v>
      </c>
      <c r="B46" s="110">
        <v>6.14</v>
      </c>
      <c r="C46" s="70">
        <v>1.48760331E-2</v>
      </c>
      <c r="D46" s="15">
        <v>6.14</v>
      </c>
      <c r="E46" s="32">
        <f t="shared" si="14"/>
        <v>0</v>
      </c>
      <c r="F46" s="18">
        <f>IF(ISNUMBER(D46), $B64 * E46, "")</f>
        <v>0</v>
      </c>
      <c r="G46" s="31">
        <v>6.08</v>
      </c>
      <c r="H46" s="32">
        <f t="shared" si="15"/>
        <v>-9.7719869706839758E-3</v>
      </c>
      <c r="I46" s="91">
        <f>IF(ISNUMBER(G46), $B64 * H46, "")</f>
        <v>-1465.7980456025964</v>
      </c>
      <c r="J46" s="15">
        <v>6.16</v>
      </c>
      <c r="K46" s="32">
        <f t="shared" si="16"/>
        <v>3.2573289902280886E-3</v>
      </c>
      <c r="L46" s="18">
        <f>IF(ISNUMBER(J46), $B64 * K46, "")</f>
        <v>488.59934853421328</v>
      </c>
      <c r="M46" s="31">
        <v>6.07</v>
      </c>
      <c r="N46" s="32">
        <f t="shared" si="17"/>
        <v>-1.1400651465797948E-2</v>
      </c>
      <c r="O46" s="18">
        <f>IF(ISNUMBER(M46), $B64 * N46, "")</f>
        <v>-1710.0977198696924</v>
      </c>
      <c r="Q46" s="146"/>
      <c r="R46" s="146"/>
      <c r="S46" s="146"/>
    </row>
    <row r="47" spans="1:19" ht="17.25" customHeight="1" thickBot="1">
      <c r="A47" s="109" t="s">
        <v>132</v>
      </c>
      <c r="B47" s="110">
        <v>69.2</v>
      </c>
      <c r="C47" s="70">
        <v>1.1695906400000001E-2</v>
      </c>
      <c r="D47" s="15">
        <v>69.2</v>
      </c>
      <c r="E47" s="32">
        <f t="shared" si="14"/>
        <v>0</v>
      </c>
      <c r="F47" s="18">
        <f>IF(ISNUMBER(D47), $B64 * E47, "")</f>
        <v>0</v>
      </c>
      <c r="G47" s="31">
        <v>68.599999999999994</v>
      </c>
      <c r="H47" s="32">
        <f t="shared" si="15"/>
        <v>-8.6705202312139951E-3</v>
      </c>
      <c r="I47" s="91">
        <f>IF(ISNUMBER(G47), $B64 * H47, "")</f>
        <v>-1300.5780346820993</v>
      </c>
      <c r="J47" s="15">
        <v>69.900000000000006</v>
      </c>
      <c r="K47" s="32">
        <f t="shared" si="16"/>
        <v>1.0115606936416225E-2</v>
      </c>
      <c r="L47" s="18">
        <f>IF(ISNUMBER(J47), $B64 * K47, "")</f>
        <v>1517.3410404624337</v>
      </c>
      <c r="M47" s="31">
        <v>67.599999999999994</v>
      </c>
      <c r="N47" s="32">
        <f t="shared" si="17"/>
        <v>-2.3121387283237118E-2</v>
      </c>
      <c r="O47" s="18">
        <f>IF(ISNUMBER(M47), $B64 * N47, "")</f>
        <v>-3468.2080924855677</v>
      </c>
      <c r="Q47" s="146"/>
      <c r="R47" s="146"/>
      <c r="S47" s="146"/>
    </row>
    <row r="48" spans="1:19" ht="17.25" customHeight="1" thickBot="1">
      <c r="A48" s="111" t="s">
        <v>195</v>
      </c>
      <c r="B48" s="112">
        <v>8.5299999999999994</v>
      </c>
      <c r="C48" s="71">
        <v>9.4674556000000007E-3</v>
      </c>
      <c r="D48" s="20">
        <v>8.5299999999999994</v>
      </c>
      <c r="E48" s="21">
        <f t="shared" si="14"/>
        <v>0</v>
      </c>
      <c r="F48" s="22">
        <f>IF(ISNUMBER(D48), $B64 * E48, "")</f>
        <v>0</v>
      </c>
      <c r="G48" s="30">
        <v>8.35</v>
      </c>
      <c r="H48" s="21">
        <f t="shared" si="15"/>
        <v>-2.1101992966002313E-2</v>
      </c>
      <c r="I48" s="95">
        <f>IF(ISNUMBER(G48), $B64 * H48, "")</f>
        <v>-3165.2989449003471</v>
      </c>
      <c r="J48" s="20">
        <v>8.41</v>
      </c>
      <c r="K48" s="21">
        <f t="shared" si="16"/>
        <v>-1.4067995310668139E-2</v>
      </c>
      <c r="L48" s="22">
        <f>IF(ISNUMBER(J48), $B64 * K48, "")</f>
        <v>-2110.1992966002208</v>
      </c>
      <c r="M48" s="30">
        <v>8.32</v>
      </c>
      <c r="N48" s="21">
        <f t="shared" si="17"/>
        <v>-2.4618991793669297E-2</v>
      </c>
      <c r="O48" s="22">
        <f>IF(ISNUMBER(M48), $B64 * N48, "")</f>
        <v>-3692.8487690503944</v>
      </c>
      <c r="Q48" s="146"/>
      <c r="R48" s="146"/>
      <c r="S48" s="146"/>
    </row>
    <row r="49" spans="1:19" ht="17.25" customHeight="1" thickBot="1">
      <c r="A49" s="109" t="s">
        <v>118</v>
      </c>
      <c r="B49" s="113">
        <v>8.0399999999999991</v>
      </c>
      <c r="C49" s="73">
        <v>8.7829359999999999E-3</v>
      </c>
      <c r="D49" s="96">
        <v>8.0399999999999991</v>
      </c>
      <c r="E49" s="97">
        <f>IF(ISNUMBER(D49), (D49 - $B49) / $B49, "")</f>
        <v>0</v>
      </c>
      <c r="F49" s="98">
        <f>IF(ISNUMBER(D49), $B64 * E49, "")</f>
        <v>0</v>
      </c>
      <c r="G49" s="99">
        <v>8.1</v>
      </c>
      <c r="H49" s="97">
        <f>IF(ISNUMBER(G49), (G49 - $B49) / $B49, "")</f>
        <v>7.4626865671642414E-3</v>
      </c>
      <c r="I49" s="100">
        <f>IF(ISNUMBER(G49), $B64 * H49, "")</f>
        <v>1119.4029850746363</v>
      </c>
      <c r="J49" s="96">
        <v>8.1</v>
      </c>
      <c r="K49" s="97">
        <f>IF(ISNUMBER(J49), (J49 - $B49) / $B49, "")</f>
        <v>7.4626865671642414E-3</v>
      </c>
      <c r="L49" s="98">
        <f>IF(ISNUMBER(J49), $B64 * K49, "")</f>
        <v>1119.4029850746363</v>
      </c>
      <c r="M49" s="99">
        <v>7.94</v>
      </c>
      <c r="N49" s="97">
        <f>IF(ISNUMBER(M49), (M49 - $B49) / $B49, "")</f>
        <v>-1.2437810945273478E-2</v>
      </c>
      <c r="O49" s="98">
        <f>IF(ISNUMBER(M49), $B64 * N49, "")</f>
        <v>-1865.6716417910218</v>
      </c>
      <c r="Q49" s="146"/>
      <c r="R49" s="146"/>
      <c r="S49" s="146"/>
    </row>
    <row r="50" spans="1:19" ht="17.25" customHeight="1" thickBot="1">
      <c r="A50" s="109" t="s">
        <v>237</v>
      </c>
      <c r="B50" s="110">
        <v>36.200000000000003</v>
      </c>
      <c r="C50" s="70">
        <v>8.3565459999999994E-3</v>
      </c>
      <c r="D50" s="15">
        <v>36.200000000000003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36.5</v>
      </c>
      <c r="H50" s="32">
        <f t="shared" ref="H50:H53" si="19">IF(ISNUMBER(G50), (G50 - $B50) / $B50, "")</f>
        <v>8.2872928176794796E-3</v>
      </c>
      <c r="I50" s="91">
        <f>IF(ISNUMBER(G50), $B64 * H50, "")</f>
        <v>1243.093922651922</v>
      </c>
      <c r="J50" s="15">
        <v>35.700000000000003</v>
      </c>
      <c r="K50" s="32">
        <f t="shared" ref="K50:K53" si="20">IF(ISNUMBER(J50), (J50 - $B50) / $B50, "")</f>
        <v>-1.3812154696132596E-2</v>
      </c>
      <c r="L50" s="18">
        <f>IF(ISNUMBER(J50), $B64 * K50, "")</f>
        <v>-2071.8232044198894</v>
      </c>
      <c r="M50" s="31">
        <v>35.5</v>
      </c>
      <c r="N50" s="32">
        <f t="shared" ref="N50:N53" si="21">IF(ISNUMBER(M50), (M50 - $B50) / $B50, "")</f>
        <v>-1.9337016574585711E-2</v>
      </c>
      <c r="O50" s="18">
        <f>IF(ISNUMBER(M50), $B64 * N50, "")</f>
        <v>-2900.5524861878566</v>
      </c>
      <c r="Q50" s="146"/>
      <c r="R50" s="146"/>
      <c r="S50" s="146"/>
    </row>
    <row r="51" spans="1:19" ht="17.25" customHeight="1" thickBot="1">
      <c r="A51" s="109" t="s">
        <v>126</v>
      </c>
      <c r="B51" s="110">
        <v>36.6</v>
      </c>
      <c r="C51" s="70">
        <v>8.2644628000000005E-3</v>
      </c>
      <c r="D51" s="15">
        <v>36.6</v>
      </c>
      <c r="E51" s="32">
        <f t="shared" si="18"/>
        <v>0</v>
      </c>
      <c r="F51" s="18">
        <f>IF(ISNUMBER(D51), $B64 * E51, "")</f>
        <v>0</v>
      </c>
      <c r="G51" s="31">
        <v>35.9</v>
      </c>
      <c r="H51" s="32">
        <f t="shared" si="19"/>
        <v>-1.9125683060109366E-2</v>
      </c>
      <c r="I51" s="91">
        <f>IF(ISNUMBER(G51), $B64 * H51, "")</f>
        <v>-2868.8524590164047</v>
      </c>
      <c r="J51" s="15">
        <v>35.4</v>
      </c>
      <c r="K51" s="32">
        <f t="shared" si="20"/>
        <v>-3.2786885245901717E-2</v>
      </c>
      <c r="L51" s="18">
        <f>IF(ISNUMBER(J51), $B64 * K51, "")</f>
        <v>-4918.0327868852573</v>
      </c>
      <c r="M51" s="31">
        <v>35.200000000000003</v>
      </c>
      <c r="N51" s="32">
        <f t="shared" si="21"/>
        <v>-3.8251366120218538E-2</v>
      </c>
      <c r="O51" s="18">
        <f>IF(ISNUMBER(M51), $B64 * N51, "")</f>
        <v>-5737.7049180327804</v>
      </c>
      <c r="Q51" s="146"/>
      <c r="R51" s="146"/>
      <c r="S51" s="146"/>
    </row>
    <row r="52" spans="1:19" ht="17.25" customHeight="1" thickBot="1">
      <c r="A52" s="109" t="s">
        <v>181</v>
      </c>
      <c r="B52" s="110">
        <v>5.55</v>
      </c>
      <c r="C52" s="70">
        <v>7.2595280999999999E-3</v>
      </c>
      <c r="D52" s="15">
        <v>5.55</v>
      </c>
      <c r="E52" s="32">
        <f t="shared" si="18"/>
        <v>0</v>
      </c>
      <c r="F52" s="18">
        <f>IF(ISNUMBER(D52), $B64 * E52, "")</f>
        <v>0</v>
      </c>
      <c r="G52" s="31">
        <v>5.45</v>
      </c>
      <c r="H52" s="32">
        <f t="shared" si="19"/>
        <v>-1.8018018018017955E-2</v>
      </c>
      <c r="I52" s="91">
        <f>IF(ISNUMBER(G52), $B64 * H52, "")</f>
        <v>-2702.7027027026934</v>
      </c>
      <c r="J52" s="15">
        <v>5.46</v>
      </c>
      <c r="K52" s="32">
        <f t="shared" si="20"/>
        <v>-1.6216216216216193E-2</v>
      </c>
      <c r="L52" s="18">
        <f>IF(ISNUMBER(J52), $B64 * K52, "")</f>
        <v>-2432.4324324324289</v>
      </c>
      <c r="M52" s="31">
        <v>5.42</v>
      </c>
      <c r="N52" s="32">
        <f t="shared" si="21"/>
        <v>-2.3423423423423406E-2</v>
      </c>
      <c r="O52" s="18">
        <f>IF(ISNUMBER(M52), $B64 * N52, "")</f>
        <v>-3513.513513513511</v>
      </c>
      <c r="Q52" s="33"/>
      <c r="R52" s="33"/>
    </row>
    <row r="53" spans="1:19" ht="17.25" customHeight="1" thickBot="1">
      <c r="A53" s="114" t="s">
        <v>71</v>
      </c>
      <c r="B53" s="115">
        <v>13.9</v>
      </c>
      <c r="C53" s="72">
        <v>7.2463768E-3</v>
      </c>
      <c r="D53" s="24">
        <v>13.9</v>
      </c>
      <c r="E53" s="25">
        <f t="shared" si="18"/>
        <v>0</v>
      </c>
      <c r="F53" s="94">
        <f>IF(ISNUMBER(D53), $B64 * E53, "")</f>
        <v>0</v>
      </c>
      <c r="G53" s="92">
        <v>13.8</v>
      </c>
      <c r="H53" s="25">
        <f t="shared" si="19"/>
        <v>-7.1942446043165211E-3</v>
      </c>
      <c r="I53" s="93">
        <f>IF(ISNUMBER(G53), $B64 * H53, "")</f>
        <v>-1079.1366906474782</v>
      </c>
      <c r="J53" s="24">
        <v>13.8</v>
      </c>
      <c r="K53" s="25">
        <f t="shared" si="20"/>
        <v>-7.1942446043165211E-3</v>
      </c>
      <c r="L53" s="94">
        <f>IF(ISNUMBER(J53), $B64 * K53, "")</f>
        <v>-1079.1366906474782</v>
      </c>
      <c r="M53" s="92">
        <v>13.6</v>
      </c>
      <c r="N53" s="25">
        <f t="shared" si="21"/>
        <v>-2.158273381294969E-2</v>
      </c>
      <c r="O53" s="94">
        <f>IF(ISNUMBER(M53), $B64 * N53, "")</f>
        <v>-3237.4100719424537</v>
      </c>
      <c r="Q53" s="147"/>
      <c r="R53" s="148"/>
      <c r="S53" s="149"/>
    </row>
    <row r="54" spans="1:19" ht="17.25" customHeight="1">
      <c r="A54" s="107" t="s">
        <v>64</v>
      </c>
      <c r="B54" s="108">
        <v>14</v>
      </c>
      <c r="C54" s="69">
        <v>7.1942446E-3</v>
      </c>
      <c r="D54" s="13">
        <v>14</v>
      </c>
      <c r="E54" s="14">
        <f>IF(ISNUMBER(D54), (D54 - $B54) / $B54, "")</f>
        <v>0</v>
      </c>
      <c r="F54" s="16">
        <f>IF(ISNUMBER(D54), $B64 * E54, "")</f>
        <v>0</v>
      </c>
      <c r="G54" s="29">
        <v>13.7</v>
      </c>
      <c r="H54" s="14">
        <f>IF(ISNUMBER(G54), (G54 - $B54) / $B54, "")</f>
        <v>-2.1428571428571481E-2</v>
      </c>
      <c r="I54" s="90">
        <f>IF(ISNUMBER(G54), $B64 * H54, "")</f>
        <v>-3214.285714285722</v>
      </c>
      <c r="J54" s="13">
        <v>13.5</v>
      </c>
      <c r="K54" s="14">
        <f>IF(ISNUMBER(J54), (J54 - $B54) / $B54, "")</f>
        <v>-3.5714285714285712E-2</v>
      </c>
      <c r="L54" s="16">
        <f>IF(ISNUMBER(J54), $B64 * K54, "")</f>
        <v>-5357.1428571428569</v>
      </c>
      <c r="M54" s="29">
        <v>13.4</v>
      </c>
      <c r="N54" s="14">
        <f>IF(ISNUMBER(M54), (M54 - $B54) / $B54, "")</f>
        <v>-4.285714285714283E-2</v>
      </c>
      <c r="O54" s="16">
        <f>IF(ISNUMBER(M54), $B64 * N54, "")</f>
        <v>-6428.5714285714248</v>
      </c>
      <c r="Q54" s="150"/>
      <c r="R54" s="151"/>
      <c r="S54" s="152"/>
    </row>
    <row r="55" spans="1:19" ht="17.25" customHeight="1" thickBot="1">
      <c r="A55" s="109" t="s">
        <v>122</v>
      </c>
      <c r="B55" s="110">
        <v>32.799999999999997</v>
      </c>
      <c r="C55" s="70">
        <v>6.1349693000000002E-3</v>
      </c>
      <c r="D55" s="15">
        <v>32.799999999999997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32.200000000000003</v>
      </c>
      <c r="H55" s="32">
        <f t="shared" ref="H55:H58" si="23">IF(ISNUMBER(G55), (G55 - $B55) / $B55, "")</f>
        <v>-1.8292682926829097E-2</v>
      </c>
      <c r="I55" s="91">
        <f>IF(ISNUMBER(G55), $B64 * H55, "")</f>
        <v>-2743.9024390243644</v>
      </c>
      <c r="J55" s="15">
        <v>31.6</v>
      </c>
      <c r="K55" s="32">
        <f t="shared" ref="K55:K58" si="24">IF(ISNUMBER(J55), (J55 - $B55) / $B55, "")</f>
        <v>-3.6585365853658409E-2</v>
      </c>
      <c r="L55" s="18">
        <f>IF(ISNUMBER(J55), $B64 * K55, "")</f>
        <v>-5487.8048780487616</v>
      </c>
      <c r="M55" s="31">
        <v>31.6</v>
      </c>
      <c r="N55" s="32">
        <f t="shared" ref="N55:N58" si="25">IF(ISNUMBER(M55), (M55 - $B55) / $B55, "")</f>
        <v>-3.6585365853658409E-2</v>
      </c>
      <c r="O55" s="18">
        <f>IF(ISNUMBER(M55), $B64 * N55, "")</f>
        <v>-5487.8048780487616</v>
      </c>
      <c r="Q55" s="153"/>
      <c r="R55" s="154"/>
      <c r="S55" s="155"/>
    </row>
    <row r="56" spans="1:19" ht="17.25" customHeight="1" thickBot="1">
      <c r="A56" s="109" t="s">
        <v>191</v>
      </c>
      <c r="B56" s="110">
        <v>85</v>
      </c>
      <c r="C56" s="70">
        <v>5.9171598000000002E-3</v>
      </c>
      <c r="D56" s="15">
        <v>85</v>
      </c>
      <c r="E56" s="32">
        <f t="shared" si="22"/>
        <v>0</v>
      </c>
      <c r="F56" s="18">
        <f>IF(ISNUMBER(D56), $B64 * E56, "")</f>
        <v>0</v>
      </c>
      <c r="G56" s="31">
        <v>83</v>
      </c>
      <c r="H56" s="32">
        <f t="shared" si="23"/>
        <v>-2.3529411764705882E-2</v>
      </c>
      <c r="I56" s="91">
        <f>IF(ISNUMBER(G56), $B64 * H56, "")</f>
        <v>-3529.4117647058824</v>
      </c>
      <c r="J56" s="15">
        <v>83.5</v>
      </c>
      <c r="K56" s="32">
        <f t="shared" si="24"/>
        <v>-1.7647058823529412E-2</v>
      </c>
      <c r="L56" s="18">
        <f>IF(ISNUMBER(J56), $B64 * K56, "")</f>
        <v>-2647.0588235294117</v>
      </c>
      <c r="M56" s="31">
        <v>81.599999999999994</v>
      </c>
      <c r="N56" s="32">
        <f t="shared" si="25"/>
        <v>-4.000000000000007E-2</v>
      </c>
      <c r="O56" s="18">
        <f>IF(ISNUMBER(M56), $B64 * N56, "")</f>
        <v>-6000.0000000000109</v>
      </c>
      <c r="Q56" s="146"/>
      <c r="R56" s="146"/>
      <c r="S56" s="146"/>
    </row>
    <row r="57" spans="1:19" ht="17.25" customHeight="1" thickBot="1">
      <c r="A57" s="109" t="s">
        <v>338</v>
      </c>
      <c r="B57" s="110">
        <v>4.1300000000000003E-2</v>
      </c>
      <c r="C57" s="70">
        <v>4.8661800000000003E-3</v>
      </c>
      <c r="D57" s="15">
        <v>4.1300000000000003E-2</v>
      </c>
      <c r="E57" s="32">
        <f t="shared" si="22"/>
        <v>0</v>
      </c>
      <c r="F57" s="18">
        <f>IF(ISNUMBER(D57), $B64 * E57, "")</f>
        <v>0</v>
      </c>
      <c r="G57" s="31">
        <v>4.07E-2</v>
      </c>
      <c r="H57" s="32">
        <f t="shared" si="23"/>
        <v>-1.4527845036319691E-2</v>
      </c>
      <c r="I57" s="91">
        <f>IF(ISNUMBER(G57), $B64 * H57, "")</f>
        <v>-2179.1767554479538</v>
      </c>
      <c r="J57" s="15">
        <v>4.0599999999999997E-2</v>
      </c>
      <c r="K57" s="32">
        <f t="shared" si="24"/>
        <v>-1.694915254237303E-2</v>
      </c>
      <c r="L57" s="18">
        <f>IF(ISNUMBER(J57), $B64 * K57, "")</f>
        <v>-2542.3728813559546</v>
      </c>
      <c r="M57" s="31">
        <v>4.0399999999999998E-2</v>
      </c>
      <c r="N57" s="32">
        <f t="shared" si="25"/>
        <v>-2.1791767554479539E-2</v>
      </c>
      <c r="O57" s="18">
        <f>IF(ISNUMBER(M57), $B64 * N57, "")</f>
        <v>-3268.7651331719308</v>
      </c>
      <c r="Q57" s="156"/>
      <c r="R57" s="156"/>
      <c r="S57" s="156"/>
    </row>
    <row r="58" spans="1:19" ht="17.25" customHeight="1" thickBot="1">
      <c r="A58" s="111" t="s">
        <v>335</v>
      </c>
      <c r="B58" s="112">
        <v>85.2</v>
      </c>
      <c r="C58" s="71">
        <v>3.5335688999999998E-3</v>
      </c>
      <c r="D58" s="20">
        <v>85.2</v>
      </c>
      <c r="E58" s="21">
        <f t="shared" si="22"/>
        <v>0</v>
      </c>
      <c r="F58" s="22">
        <f>IF(ISNUMBER(D58), $B64 * E58, "")</f>
        <v>0</v>
      </c>
      <c r="G58" s="30">
        <v>84.6</v>
      </c>
      <c r="H58" s="21">
        <f t="shared" si="23"/>
        <v>-7.0422535211268605E-3</v>
      </c>
      <c r="I58" s="95">
        <f>IF(ISNUMBER(G58), $B64 * H58, "")</f>
        <v>-1056.338028169029</v>
      </c>
      <c r="J58" s="20">
        <v>83.5</v>
      </c>
      <c r="K58" s="21">
        <f t="shared" si="24"/>
        <v>-1.995305164319252E-2</v>
      </c>
      <c r="L58" s="22">
        <f>IF(ISNUMBER(J58), $B64 * K58, "")</f>
        <v>-2992.9577464788781</v>
      </c>
      <c r="M58" s="30">
        <v>83.5</v>
      </c>
      <c r="N58" s="21">
        <f t="shared" si="25"/>
        <v>-1.995305164319252E-2</v>
      </c>
      <c r="O58" s="22">
        <f>IF(ISNUMBER(M58), $B64 * N58, "")</f>
        <v>-2992.9577464788781</v>
      </c>
      <c r="Q58" s="156"/>
      <c r="R58" s="156"/>
      <c r="S58" s="156"/>
    </row>
    <row r="59" spans="1:19" ht="17.25" customHeight="1" thickBot="1">
      <c r="A59" s="109" t="s">
        <v>155</v>
      </c>
      <c r="B59" s="113">
        <v>35.200000000000003</v>
      </c>
      <c r="C59" s="73">
        <v>2.8490028000000001E-3</v>
      </c>
      <c r="D59" s="96">
        <v>35.200000000000003</v>
      </c>
      <c r="E59" s="97">
        <f>IF(ISNUMBER(D59), (D59 - $B59) / $B59, "")</f>
        <v>0</v>
      </c>
      <c r="F59" s="98">
        <f>IF(ISNUMBER(D59), $B64 * E59, "")</f>
        <v>0</v>
      </c>
      <c r="G59" s="99">
        <v>35.200000000000003</v>
      </c>
      <c r="H59" s="97">
        <f>IF(ISNUMBER(G59), (G59 - $B59) / $B59, "")</f>
        <v>0</v>
      </c>
      <c r="I59" s="100">
        <f>IF(ISNUMBER(G59), $B64 * H59, "")</f>
        <v>0</v>
      </c>
      <c r="J59" s="96">
        <v>35.200000000000003</v>
      </c>
      <c r="K59" s="97">
        <f>IF(ISNUMBER(J59), (J59 - $B59) / $B59, "")</f>
        <v>0</v>
      </c>
      <c r="L59" s="98">
        <f>IF(ISNUMBER(J59), $B64 * K59, "")</f>
        <v>0</v>
      </c>
      <c r="M59" s="99">
        <v>34.5</v>
      </c>
      <c r="N59" s="97">
        <f>IF(ISNUMBER(M59), (M59 - $B59) / $B59, "")</f>
        <v>-1.9886363636363716E-2</v>
      </c>
      <c r="O59" s="98">
        <f>IF(ISNUMBER(M59), $B64 * N59, "")</f>
        <v>-2982.9545454545573</v>
      </c>
      <c r="Q59" s="146"/>
      <c r="R59" s="146"/>
      <c r="S59" s="146"/>
    </row>
    <row r="60" spans="1:19" ht="17.25" customHeight="1" thickBot="1">
      <c r="A60" s="109" t="s">
        <v>141</v>
      </c>
      <c r="B60" s="110">
        <v>5.13</v>
      </c>
      <c r="C60" s="70">
        <v>1.953125E-3</v>
      </c>
      <c r="D60" s="15">
        <v>5.13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5.05</v>
      </c>
      <c r="H60" s="32">
        <f t="shared" ref="H60:H63" si="27">IF(ISNUMBER(G60), (G60 - $B60) / $B60, "")</f>
        <v>-1.5594541910331399E-2</v>
      </c>
      <c r="I60" s="91">
        <f>IF(ISNUMBER(G60), $B64 * H60, "")</f>
        <v>-2339.18128654971</v>
      </c>
      <c r="J60" s="15">
        <v>5.08</v>
      </c>
      <c r="K60" s="32">
        <f t="shared" ref="K60:K63" si="28">IF(ISNUMBER(J60), (J60 - $B60) / $B60, "")</f>
        <v>-9.7465886939570798E-3</v>
      </c>
      <c r="L60" s="18">
        <f>IF(ISNUMBER(J60), $B64 * K60, "")</f>
        <v>-1461.988304093562</v>
      </c>
      <c r="M60" s="31">
        <v>5.0199999999999996</v>
      </c>
      <c r="N60" s="32">
        <f t="shared" ref="N60:N63" si="29">IF(ISNUMBER(M60), (M60 - $B60) / $B60, "")</f>
        <v>-2.1442495126705714E-2</v>
      </c>
      <c r="O60" s="18">
        <f>IF(ISNUMBER(M60), $B64 * N60, "")</f>
        <v>-3216.3742690058571</v>
      </c>
      <c r="Q60" s="146"/>
      <c r="R60" s="146"/>
      <c r="S60" s="146"/>
    </row>
    <row r="61" spans="1:19" ht="17.25" customHeight="1" thickBot="1">
      <c r="A61" s="109" t="s">
        <v>227</v>
      </c>
      <c r="B61" s="110">
        <v>61.8</v>
      </c>
      <c r="C61" s="70">
        <v>1.6207455E-3</v>
      </c>
      <c r="D61" s="15">
        <v>61.8</v>
      </c>
      <c r="E61" s="32">
        <f t="shared" si="26"/>
        <v>0</v>
      </c>
      <c r="F61" s="18">
        <f>IF(ISNUMBER(D61), $B64 * E61, "")</f>
        <v>0</v>
      </c>
      <c r="G61" s="31">
        <v>60.7</v>
      </c>
      <c r="H61" s="32">
        <f t="shared" si="27"/>
        <v>-1.7799352750808971E-2</v>
      </c>
      <c r="I61" s="91">
        <f>IF(ISNUMBER(G61), $B64 * H61, "")</f>
        <v>-2669.9029126213459</v>
      </c>
      <c r="J61" s="15">
        <v>61.4</v>
      </c>
      <c r="K61" s="32">
        <f t="shared" si="28"/>
        <v>-6.4724919093850902E-3</v>
      </c>
      <c r="L61" s="18">
        <f>IF(ISNUMBER(J61), $B64 * K61, "")</f>
        <v>-970.87378640776353</v>
      </c>
      <c r="M61" s="31">
        <v>60.1</v>
      </c>
      <c r="N61" s="32">
        <f t="shared" si="29"/>
        <v>-2.7508090614886665E-2</v>
      </c>
      <c r="O61" s="18">
        <f>IF(ISNUMBER(M61), $B64 * N61, "")</f>
        <v>-4126.2135922329999</v>
      </c>
      <c r="Q61" s="146"/>
      <c r="R61" s="146"/>
      <c r="S61" s="146"/>
    </row>
    <row r="62" spans="1:19" ht="17.25" customHeight="1">
      <c r="A62" s="109" t="s">
        <v>97</v>
      </c>
      <c r="B62" s="110">
        <v>1E-3</v>
      </c>
      <c r="C62" s="70">
        <v>0</v>
      </c>
      <c r="D62" s="15">
        <v>1E-3</v>
      </c>
      <c r="E62" s="32">
        <f t="shared" si="26"/>
        <v>0</v>
      </c>
      <c r="F62" s="18">
        <f>IF(ISNUMBER(D62), $B64 * E62, "")</f>
        <v>0</v>
      </c>
      <c r="G62" s="31">
        <v>8.9999999999999998E-4</v>
      </c>
      <c r="H62" s="32">
        <f t="shared" si="27"/>
        <v>-0.10000000000000005</v>
      </c>
      <c r="I62" s="91">
        <f>IF(ISNUMBER(G62), $B64 * H62, "")</f>
        <v>-15000.000000000007</v>
      </c>
      <c r="J62" s="15">
        <v>8.9999999999999998E-4</v>
      </c>
      <c r="K62" s="32">
        <f t="shared" si="28"/>
        <v>-0.10000000000000005</v>
      </c>
      <c r="L62" s="18">
        <f>IF(ISNUMBER(J62), $B64 * K62, "")</f>
        <v>-15000.000000000007</v>
      </c>
      <c r="M62" s="31">
        <v>8.9999999999999998E-4</v>
      </c>
      <c r="N62" s="32">
        <f t="shared" si="29"/>
        <v>-0.10000000000000005</v>
      </c>
      <c r="O62" s="18">
        <f>IF(ISNUMBER(M62), $B64 * N62, "")</f>
        <v>-15000.000000000007</v>
      </c>
      <c r="Q62" s="135"/>
      <c r="R62" s="136"/>
      <c r="S62" s="137"/>
    </row>
    <row r="63" spans="1:19" ht="17.25" customHeight="1" thickBot="1">
      <c r="A63" s="114" t="s">
        <v>221</v>
      </c>
      <c r="B63" s="115">
        <v>25.4</v>
      </c>
      <c r="C63" s="72">
        <v>0</v>
      </c>
      <c r="D63" s="24">
        <v>25.4</v>
      </c>
      <c r="E63" s="25">
        <f t="shared" si="26"/>
        <v>0</v>
      </c>
      <c r="F63" s="94">
        <f>IF(ISNUMBER(D63), $B64 * E63, "")</f>
        <v>0</v>
      </c>
      <c r="G63" s="92">
        <v>25.2</v>
      </c>
      <c r="H63" s="25">
        <f t="shared" si="27"/>
        <v>-7.8740157480314682E-3</v>
      </c>
      <c r="I63" s="93">
        <f>IF(ISNUMBER(G63), $B64 * H63, "")</f>
        <v>-1181.1023622047203</v>
      </c>
      <c r="J63" s="24">
        <v>25.3</v>
      </c>
      <c r="K63" s="25">
        <f t="shared" si="28"/>
        <v>-3.9370078740156647E-3</v>
      </c>
      <c r="L63" s="94">
        <f>IF(ISNUMBER(J63), $B64 * K63, "")</f>
        <v>-590.55118110234969</v>
      </c>
      <c r="M63" s="92">
        <v>24.9</v>
      </c>
      <c r="N63" s="25">
        <f t="shared" si="29"/>
        <v>-1.968503937007874E-2</v>
      </c>
      <c r="O63" s="94">
        <f>IF(ISNUMBER(M63), $B64 * N63, "")</f>
        <v>-2952.7559055118109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-1.8150081467855163E-2</v>
      </c>
      <c r="I64" s="28">
        <f>SUM(I44:I63)</f>
        <v>-54450.244403565477</v>
      </c>
      <c r="J64" s="26" t="s">
        <v>258</v>
      </c>
      <c r="K64" s="27">
        <f>IF(COUNT(K44:K63), SUM(K44:K63) / COUNT(K44:K63), 0)</f>
        <v>-1.4391554052364804E-2</v>
      </c>
      <c r="L64" s="28">
        <f>SUM(L44:L63)</f>
        <v>-43174.662157094404</v>
      </c>
      <c r="M64" s="26" t="s">
        <v>258</v>
      </c>
      <c r="N64" s="27">
        <f>IF(COUNT(N44:N63), SUM(N44:N63) / COUNT(N44:N63), 0)</f>
        <v>-2.7105865449660049E-2</v>
      </c>
      <c r="O64" s="28">
        <f>SUM(O44:O63)</f>
        <v>-81317.596348980151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2023-03-07(화) 오전 00:00</v>
      </c>
      <c r="C69" s="198"/>
      <c r="D69" s="170" t="str">
        <f>TEXT($G$1, "[$-ko-KR]yyyy-mm-dd(ddd) ") &amp; "오후 14:00"</f>
        <v>2023-03-07(화) 오후 14:00</v>
      </c>
      <c r="E69" s="171"/>
      <c r="F69" s="172"/>
      <c r="G69" s="170" t="str">
        <f>TEXT($G$1, "[$-ko-KR]yyyy-mm-dd(ddd) ") &amp; "오후 19:00"</f>
        <v>2023-03-07(화) 오후 19:00</v>
      </c>
      <c r="H69" s="171"/>
      <c r="I69" s="172"/>
      <c r="J69" s="170" t="str">
        <f>TEXT($G$1, "[$-ko-KR]yyyy-mm-dd(ddd) ") &amp; "오후 21:00"</f>
        <v>2023-03-07(화) 오후 21:00</v>
      </c>
      <c r="K69" s="171"/>
      <c r="L69" s="172"/>
      <c r="M69" s="170" t="str">
        <f>TEXT($G$1+1, "[$-ko-KR]yyyy-mm-dd(ddd) ") &amp; "오전 00:00"</f>
        <v>2023-03-08(수)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167</v>
      </c>
      <c r="B71" s="108">
        <v>255</v>
      </c>
      <c r="C71" s="69">
        <v>5.8091286300000003E-2</v>
      </c>
      <c r="D71" s="13">
        <v>255</v>
      </c>
      <c r="E71" s="14">
        <f>IF(ISNUMBER(D71), (D71 - $B71) / $B71, "")</f>
        <v>0</v>
      </c>
      <c r="F71" s="16">
        <f>IF(ISNUMBER(D71), $B91 * E71, "")</f>
        <v>0</v>
      </c>
      <c r="G71" s="29">
        <v>248</v>
      </c>
      <c r="H71" s="14">
        <f>IF(ISNUMBER(G71), (G71 - $B71) / $B71, "")</f>
        <v>-2.7450980392156862E-2</v>
      </c>
      <c r="I71" s="90">
        <f>IF(ISNUMBER(G71), $B91 * H71, "")</f>
        <v>-4117.6470588235297</v>
      </c>
      <c r="J71" s="13">
        <v>253</v>
      </c>
      <c r="K71" s="14">
        <f>IF(ISNUMBER(J71), (J71 - $B71) / $B71, "")</f>
        <v>-7.8431372549019607E-3</v>
      </c>
      <c r="L71" s="16">
        <f>IF(ISNUMBER(J71), $B91 * K71, "")</f>
        <v>-1176.4705882352941</v>
      </c>
      <c r="M71" s="29">
        <v>251</v>
      </c>
      <c r="N71" s="14">
        <f>IF(ISNUMBER(M71), (M71 - $B71) / $B71, "")</f>
        <v>-1.5686274509803921E-2</v>
      </c>
      <c r="O71" s="16">
        <f>IF(ISNUMBER(M71), $B91 * N71, "")</f>
        <v>-2352.9411764705883</v>
      </c>
      <c r="Q71" s="156"/>
      <c r="R71" s="156"/>
      <c r="S71" s="156"/>
    </row>
    <row r="72" spans="1:19" ht="17.25" thickBot="1">
      <c r="A72" s="109" t="s">
        <v>149</v>
      </c>
      <c r="B72" s="110">
        <v>582</v>
      </c>
      <c r="C72" s="70">
        <v>3.0088495600000001E-2</v>
      </c>
      <c r="D72" s="15">
        <v>582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576</v>
      </c>
      <c r="H72" s="32">
        <f t="shared" ref="H72:H75" si="31">IF(ISNUMBER(G72), (G72 - $B72) / $B72, "")</f>
        <v>-1.0309278350515464E-2</v>
      </c>
      <c r="I72" s="91">
        <f>IF(ISNUMBER(G72), $B91 * H72, "")</f>
        <v>-1546.3917525773195</v>
      </c>
      <c r="J72" s="15">
        <v>579</v>
      </c>
      <c r="K72" s="32">
        <f t="shared" ref="K72:K75" si="32">IF(ISNUMBER(J72), (J72 - $B72) / $B72, "")</f>
        <v>-5.1546391752577319E-3</v>
      </c>
      <c r="L72" s="18">
        <f>IF(ISNUMBER(J72), $B91 * K72, "")</f>
        <v>-773.19587628865975</v>
      </c>
      <c r="M72" s="31">
        <v>580</v>
      </c>
      <c r="N72" s="32">
        <f t="shared" ref="N72:N75" si="33">IF(ISNUMBER(M72), (M72 - $B72) / $B72, "")</f>
        <v>-3.4364261168384879E-3</v>
      </c>
      <c r="O72" s="18">
        <f>IF(ISNUMBER(M72), $B91 * N72, "")</f>
        <v>-515.46391752577324</v>
      </c>
      <c r="Q72" s="156"/>
      <c r="R72" s="156"/>
      <c r="S72" s="156"/>
    </row>
    <row r="73" spans="1:19" ht="17.25" thickBot="1">
      <c r="A73" s="109" t="s">
        <v>187</v>
      </c>
      <c r="B73" s="110">
        <v>992</v>
      </c>
      <c r="C73" s="70">
        <v>2.6915113899999999E-2</v>
      </c>
      <c r="D73" s="15">
        <v>992</v>
      </c>
      <c r="E73" s="32">
        <f t="shared" si="30"/>
        <v>0</v>
      </c>
      <c r="F73" s="18">
        <f>IF(ISNUMBER(D73), $B91 * E73, "")</f>
        <v>0</v>
      </c>
      <c r="G73" s="31">
        <v>1025</v>
      </c>
      <c r="H73" s="32">
        <f t="shared" si="31"/>
        <v>3.3266129032258063E-2</v>
      </c>
      <c r="I73" s="91">
        <f>IF(ISNUMBER(G73), $B91 * H73, "")</f>
        <v>4989.9193548387093</v>
      </c>
      <c r="J73" s="15">
        <v>1050</v>
      </c>
      <c r="K73" s="32">
        <f t="shared" si="32"/>
        <v>5.8467741935483868E-2</v>
      </c>
      <c r="L73" s="18">
        <f>IF(ISNUMBER(J73), $B91 * K73, "")</f>
        <v>8770.1612903225796</v>
      </c>
      <c r="M73" s="31">
        <v>1005</v>
      </c>
      <c r="N73" s="32">
        <f t="shared" si="33"/>
        <v>1.310483870967742E-2</v>
      </c>
      <c r="O73" s="18">
        <f>IF(ISNUMBER(M73), $B91 * N73, "")</f>
        <v>1965.7258064516129</v>
      </c>
      <c r="Q73" s="146"/>
      <c r="R73" s="146"/>
      <c r="S73" s="146"/>
    </row>
    <row r="74" spans="1:19" ht="17.25" thickBot="1">
      <c r="A74" s="109" t="s">
        <v>51</v>
      </c>
      <c r="B74" s="110">
        <v>112</v>
      </c>
      <c r="C74" s="70">
        <v>1.8181818200000002E-2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111</v>
      </c>
      <c r="H74" s="32">
        <f t="shared" si="31"/>
        <v>-8.9285714285714281E-3</v>
      </c>
      <c r="I74" s="91">
        <f>IF(ISNUMBER(G74), $B91 * H74, "")</f>
        <v>-1339.2857142857142</v>
      </c>
      <c r="J74" s="15">
        <v>109</v>
      </c>
      <c r="K74" s="32">
        <f t="shared" si="32"/>
        <v>-2.6785714285714284E-2</v>
      </c>
      <c r="L74" s="18">
        <f>IF(ISNUMBER(J74), $B91 * K74, "")</f>
        <v>-4017.8571428571427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146"/>
      <c r="R74" s="146"/>
      <c r="S74" s="146"/>
    </row>
    <row r="75" spans="1:19" ht="17.25" thickBot="1">
      <c r="A75" s="111" t="s">
        <v>183</v>
      </c>
      <c r="B75" s="112">
        <v>169</v>
      </c>
      <c r="C75" s="71">
        <v>1.19760479E-2</v>
      </c>
      <c r="D75" s="20">
        <v>169</v>
      </c>
      <c r="E75" s="21">
        <f t="shared" si="30"/>
        <v>0</v>
      </c>
      <c r="F75" s="22">
        <f>IF(ISNUMBER(D75), $B91 * E75, "")</f>
        <v>0</v>
      </c>
      <c r="G75" s="30">
        <v>165</v>
      </c>
      <c r="H75" s="21">
        <f t="shared" si="31"/>
        <v>-2.3668639053254437E-2</v>
      </c>
      <c r="I75" s="95">
        <f>IF(ISNUMBER(G75), $B91 * H75, "")</f>
        <v>-3550.2958579881656</v>
      </c>
      <c r="J75" s="20">
        <v>167</v>
      </c>
      <c r="K75" s="21">
        <f t="shared" si="32"/>
        <v>-1.1834319526627219E-2</v>
      </c>
      <c r="L75" s="22">
        <f>IF(ISNUMBER(J75), $B91 * K75, "")</f>
        <v>-1775.1479289940828</v>
      </c>
      <c r="M75" s="30">
        <v>162</v>
      </c>
      <c r="N75" s="21">
        <f t="shared" si="33"/>
        <v>-4.142011834319527E-2</v>
      </c>
      <c r="O75" s="22">
        <f>IF(ISNUMBER(M75), $B91 * N75, "")</f>
        <v>-6213.0177514792904</v>
      </c>
      <c r="Q75" s="146"/>
      <c r="R75" s="146"/>
      <c r="S75" s="146"/>
    </row>
    <row r="76" spans="1:19" ht="17.25" thickBot="1">
      <c r="A76" s="109" t="s">
        <v>336</v>
      </c>
      <c r="B76" s="113">
        <v>378</v>
      </c>
      <c r="C76" s="73">
        <v>8.0000000000000002E-3</v>
      </c>
      <c r="D76" s="96">
        <v>378</v>
      </c>
      <c r="E76" s="97">
        <f>IF(ISNUMBER(D76), (D76 - $B76) / $B76, "")</f>
        <v>0</v>
      </c>
      <c r="F76" s="98">
        <f>IF(ISNUMBER(D76), $B91 * E76, "")</f>
        <v>0</v>
      </c>
      <c r="G76" s="99">
        <v>374</v>
      </c>
      <c r="H76" s="97">
        <f>IF(ISNUMBER(G76), (G76 - $B76) / $B76, "")</f>
        <v>-1.0582010582010581E-2</v>
      </c>
      <c r="I76" s="100">
        <f>IF(ISNUMBER(G76), $B91 * H76, "")</f>
        <v>-1587.3015873015872</v>
      </c>
      <c r="J76" s="96">
        <v>370</v>
      </c>
      <c r="K76" s="97">
        <f>IF(ISNUMBER(J76), (J76 - $B76) / $B76, "")</f>
        <v>-2.1164021164021163E-2</v>
      </c>
      <c r="L76" s="98">
        <f>IF(ISNUMBER(J76), $B91 * K76, "")</f>
        <v>-3174.6031746031745</v>
      </c>
      <c r="M76" s="99">
        <v>368</v>
      </c>
      <c r="N76" s="97">
        <f>IF(ISNUMBER(M76), (M76 - $B76) / $B76, "")</f>
        <v>-2.6455026455026454E-2</v>
      </c>
      <c r="O76" s="98">
        <f>IF(ISNUMBER(M76), $B91 * N76, "")</f>
        <v>-3968.2539682539682</v>
      </c>
      <c r="Q76" s="146"/>
      <c r="R76" s="146"/>
      <c r="S76" s="146"/>
    </row>
    <row r="77" spans="1:19" ht="17.25" thickBot="1">
      <c r="A77" s="109" t="s">
        <v>253</v>
      </c>
      <c r="B77" s="110">
        <v>100</v>
      </c>
      <c r="C77" s="70">
        <v>7.0493454000000004E-3</v>
      </c>
      <c r="D77" s="15">
        <v>100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99.2</v>
      </c>
      <c r="H77" s="32">
        <f t="shared" ref="H77:H80" si="35">IF(ISNUMBER(G77), (G77 - $B77) / $B77, "")</f>
        <v>-7.9999999999999724E-3</v>
      </c>
      <c r="I77" s="91">
        <f>IF(ISNUMBER(G77), $B91 * H77, "")</f>
        <v>-1199.9999999999959</v>
      </c>
      <c r="J77" s="15">
        <v>98.4</v>
      </c>
      <c r="K77" s="32">
        <f t="shared" ref="K77:K80" si="36">IF(ISNUMBER(J77), (J77 - $B77) / $B77, "")</f>
        <v>-1.5999999999999945E-2</v>
      </c>
      <c r="L77" s="18">
        <f>IF(ISNUMBER(J77), $B91 * K77, "")</f>
        <v>-2399.9999999999918</v>
      </c>
      <c r="M77" s="31">
        <v>98.4</v>
      </c>
      <c r="N77" s="32">
        <f t="shared" ref="N77:N80" si="37">IF(ISNUMBER(M77), (M77 - $B77) / $B77, "")</f>
        <v>-1.5999999999999945E-2</v>
      </c>
      <c r="O77" s="18">
        <f>IF(ISNUMBER(M77), $B91 * N77, "")</f>
        <v>-2399.9999999999918</v>
      </c>
      <c r="Q77" s="146"/>
      <c r="R77" s="146"/>
      <c r="S77" s="146"/>
    </row>
    <row r="78" spans="1:19" ht="17.25" thickBot="1">
      <c r="A78" s="109" t="s">
        <v>81</v>
      </c>
      <c r="B78" s="110">
        <v>442</v>
      </c>
      <c r="C78" s="70">
        <v>6.8337129999999999E-3</v>
      </c>
      <c r="D78" s="15">
        <v>442</v>
      </c>
      <c r="E78" s="32">
        <f t="shared" si="34"/>
        <v>0</v>
      </c>
      <c r="F78" s="18">
        <f>IF(ISNUMBER(D78), $B91 * E78, "")</f>
        <v>0</v>
      </c>
      <c r="G78" s="31">
        <v>440</v>
      </c>
      <c r="H78" s="32">
        <f t="shared" si="35"/>
        <v>-4.5248868778280547E-3</v>
      </c>
      <c r="I78" s="91">
        <f>IF(ISNUMBER(G78), $B91 * H78, "")</f>
        <v>-678.73303167420818</v>
      </c>
      <c r="J78" s="15">
        <v>434</v>
      </c>
      <c r="K78" s="32">
        <f t="shared" si="36"/>
        <v>-1.8099547511312219E-2</v>
      </c>
      <c r="L78" s="18">
        <f>IF(ISNUMBER(J78), $B91 * K78, "")</f>
        <v>-2714.9321266968327</v>
      </c>
      <c r="M78" s="31">
        <v>433</v>
      </c>
      <c r="N78" s="32">
        <f t="shared" si="37"/>
        <v>-2.0361990950226245E-2</v>
      </c>
      <c r="O78" s="18">
        <f>IF(ISNUMBER(M78), $B91 * N78, "")</f>
        <v>-3054.2986425339368</v>
      </c>
      <c r="Q78" s="146"/>
      <c r="R78" s="146"/>
      <c r="S78" s="146"/>
    </row>
    <row r="79" spans="1:19" ht="17.25" thickBot="1">
      <c r="A79" s="109" t="s">
        <v>120</v>
      </c>
      <c r="B79" s="110">
        <v>148</v>
      </c>
      <c r="C79" s="70">
        <v>6.8027210999999999E-3</v>
      </c>
      <c r="D79" s="15">
        <v>148</v>
      </c>
      <c r="E79" s="32">
        <f t="shared" si="34"/>
        <v>0</v>
      </c>
      <c r="F79" s="18">
        <f>IF(ISNUMBER(D79), $B91 * E79, "")</f>
        <v>0</v>
      </c>
      <c r="G79" s="31">
        <v>146</v>
      </c>
      <c r="H79" s="32">
        <f t="shared" si="35"/>
        <v>-1.3513513513513514E-2</v>
      </c>
      <c r="I79" s="91">
        <f>IF(ISNUMBER(G79), $B91 * H79, "")</f>
        <v>-2027.0270270270271</v>
      </c>
      <c r="J79" s="15">
        <v>143</v>
      </c>
      <c r="K79" s="32">
        <f t="shared" si="36"/>
        <v>-3.3783783783783786E-2</v>
      </c>
      <c r="L79" s="18">
        <f>IF(ISNUMBER(J79), $B91 * K79, "")</f>
        <v>-5067.5675675675675</v>
      </c>
      <c r="M79" s="31">
        <v>142</v>
      </c>
      <c r="N79" s="32">
        <f t="shared" si="37"/>
        <v>-4.0540540540540543E-2</v>
      </c>
      <c r="O79" s="18">
        <f>IF(ISNUMBER(M79), $B91 * N79, "")</f>
        <v>-6081.0810810810817</v>
      </c>
      <c r="Q79" s="33"/>
      <c r="R79" s="33"/>
    </row>
    <row r="80" spans="1:19" ht="17.25" thickBot="1">
      <c r="A80" s="114" t="s">
        <v>105</v>
      </c>
      <c r="B80" s="115">
        <v>300</v>
      </c>
      <c r="C80" s="72">
        <v>6.7114093999999999E-3</v>
      </c>
      <c r="D80" s="24">
        <v>300</v>
      </c>
      <c r="E80" s="25">
        <f t="shared" si="34"/>
        <v>0</v>
      </c>
      <c r="F80" s="94">
        <f>IF(ISNUMBER(D80), $B91 * E80, "")</f>
        <v>0</v>
      </c>
      <c r="G80" s="92">
        <v>296</v>
      </c>
      <c r="H80" s="25">
        <f t="shared" si="35"/>
        <v>-1.3333333333333334E-2</v>
      </c>
      <c r="I80" s="93">
        <f>IF(ISNUMBER(G80), $B91 * H80, "")</f>
        <v>-2000.0000000000002</v>
      </c>
      <c r="J80" s="24">
        <v>291</v>
      </c>
      <c r="K80" s="25">
        <f t="shared" si="36"/>
        <v>-0.03</v>
      </c>
      <c r="L80" s="94">
        <f>IF(ISNUMBER(J80), $B91 * K80, "")</f>
        <v>-4500</v>
      </c>
      <c r="M80" s="92">
        <v>290</v>
      </c>
      <c r="N80" s="25">
        <f t="shared" si="37"/>
        <v>-3.3333333333333333E-2</v>
      </c>
      <c r="O80" s="94">
        <f>IF(ISNUMBER(M80), $B91 * N80, "")</f>
        <v>-5000</v>
      </c>
      <c r="Q80" s="147"/>
      <c r="R80" s="148"/>
      <c r="S80" s="149"/>
    </row>
    <row r="81" spans="1:19">
      <c r="A81" s="107" t="s">
        <v>101</v>
      </c>
      <c r="B81" s="108">
        <v>301</v>
      </c>
      <c r="C81" s="69">
        <v>6.6889632000000001E-3</v>
      </c>
      <c r="D81" s="13">
        <v>301</v>
      </c>
      <c r="E81" s="14">
        <f>IF(ISNUMBER(D81), (D81 - $B81) / $B81, "")</f>
        <v>0</v>
      </c>
      <c r="F81" s="16">
        <f>IF(ISNUMBER(D81), $B91 * E81, "")</f>
        <v>0</v>
      </c>
      <c r="G81" s="29">
        <v>289</v>
      </c>
      <c r="H81" s="14">
        <f>IF(ISNUMBER(G81), (G81 - $B81) / $B81, "")</f>
        <v>-3.9867109634551492E-2</v>
      </c>
      <c r="I81" s="90">
        <f>IF(ISNUMBER(G81), $B91 * H81, "")</f>
        <v>-5980.0664451827242</v>
      </c>
      <c r="J81" s="13">
        <v>287</v>
      </c>
      <c r="K81" s="14">
        <f>IF(ISNUMBER(J81), (J81 - $B81) / $B81, "")</f>
        <v>-4.6511627906976744E-2</v>
      </c>
      <c r="L81" s="16">
        <f>IF(ISNUMBER(J81), $B91 * K81, "")</f>
        <v>-6976.7441860465115</v>
      </c>
      <c r="M81" s="29">
        <v>286</v>
      </c>
      <c r="N81" s="14">
        <f>IF(ISNUMBER(M81), (M81 - $B81) / $B81, "")</f>
        <v>-4.9833887043189369E-2</v>
      </c>
      <c r="O81" s="16">
        <f>IF(ISNUMBER(M81), $B91 * N81, "")</f>
        <v>-7475.0830564784055</v>
      </c>
      <c r="Q81" s="150"/>
      <c r="R81" s="151"/>
      <c r="S81" s="152"/>
    </row>
    <row r="82" spans="1:19" ht="17.25" thickBot="1">
      <c r="A82" s="109" t="s">
        <v>103</v>
      </c>
      <c r="B82" s="110">
        <v>320</v>
      </c>
      <c r="C82" s="70">
        <v>6.2893081999999996E-3</v>
      </c>
      <c r="D82" s="15">
        <v>320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313</v>
      </c>
      <c r="H82" s="32">
        <f t="shared" ref="H82:H85" si="39">IF(ISNUMBER(G82), (G82 - $B82) / $B82, "")</f>
        <v>-2.1874999999999999E-2</v>
      </c>
      <c r="I82" s="91">
        <f>IF(ISNUMBER(G82), $B91 * H82, "")</f>
        <v>-3281.25</v>
      </c>
      <c r="J82" s="15">
        <v>308</v>
      </c>
      <c r="K82" s="32">
        <f t="shared" ref="K82:K85" si="40">IF(ISNUMBER(J82), (J82 - $B82) / $B82, "")</f>
        <v>-3.7499999999999999E-2</v>
      </c>
      <c r="L82" s="18">
        <f>IF(ISNUMBER(J82), $B91 * K82, "")</f>
        <v>-5625</v>
      </c>
      <c r="M82" s="31">
        <v>307</v>
      </c>
      <c r="N82" s="32">
        <f t="shared" ref="N82:N85" si="41">IF(ISNUMBER(M82), (M82 - $B82) / $B82, "")</f>
        <v>-4.0625000000000001E-2</v>
      </c>
      <c r="O82" s="18">
        <f>IF(ISNUMBER(M82), $B91 * N82, "")</f>
        <v>-6093.75</v>
      </c>
      <c r="Q82" s="153"/>
      <c r="R82" s="154"/>
      <c r="S82" s="155"/>
    </row>
    <row r="83" spans="1:19" ht="17.25" thickBot="1">
      <c r="A83" s="109" t="s">
        <v>85</v>
      </c>
      <c r="B83" s="110">
        <v>164</v>
      </c>
      <c r="C83" s="70">
        <v>6.1349693000000002E-3</v>
      </c>
      <c r="D83" s="15">
        <v>164</v>
      </c>
      <c r="E83" s="32">
        <f t="shared" si="38"/>
        <v>0</v>
      </c>
      <c r="F83" s="18">
        <f>IF(ISNUMBER(D83), $B91 * E83, "")</f>
        <v>0</v>
      </c>
      <c r="G83" s="31">
        <v>162</v>
      </c>
      <c r="H83" s="32">
        <f t="shared" si="39"/>
        <v>-1.2195121951219513E-2</v>
      </c>
      <c r="I83" s="91">
        <f>IF(ISNUMBER(G83), $B91 * H83, "")</f>
        <v>-1829.2682926829268</v>
      </c>
      <c r="J83" s="15">
        <v>160</v>
      </c>
      <c r="K83" s="32">
        <f t="shared" si="40"/>
        <v>-2.4390243902439025E-2</v>
      </c>
      <c r="L83" s="18">
        <f>IF(ISNUMBER(J83), $B91 * K83, "")</f>
        <v>-3658.5365853658536</v>
      </c>
      <c r="M83" s="31">
        <v>161</v>
      </c>
      <c r="N83" s="32">
        <f t="shared" si="41"/>
        <v>-1.8292682926829267E-2</v>
      </c>
      <c r="O83" s="18">
        <f>IF(ISNUMBER(M83), $B91 * N83, "")</f>
        <v>-2743.9024390243899</v>
      </c>
      <c r="Q83" s="146"/>
      <c r="R83" s="146"/>
      <c r="S83" s="146"/>
    </row>
    <row r="84" spans="1:19" ht="17.25" thickBot="1">
      <c r="A84" s="109" t="s">
        <v>153</v>
      </c>
      <c r="B84" s="110">
        <v>505</v>
      </c>
      <c r="C84" s="70">
        <v>5.9760956E-3</v>
      </c>
      <c r="D84" s="15">
        <v>505</v>
      </c>
      <c r="E84" s="32">
        <f t="shared" si="38"/>
        <v>0</v>
      </c>
      <c r="F84" s="18">
        <f>IF(ISNUMBER(D84), $B91 * E84, "")</f>
        <v>0</v>
      </c>
      <c r="G84" s="31">
        <v>497</v>
      </c>
      <c r="H84" s="32">
        <f t="shared" si="39"/>
        <v>-1.5841584158415842E-2</v>
      </c>
      <c r="I84" s="91">
        <f>IF(ISNUMBER(G84), $B91 * H84, "")</f>
        <v>-2376.2376237623762</v>
      </c>
      <c r="J84" s="15">
        <v>489</v>
      </c>
      <c r="K84" s="32">
        <f t="shared" si="40"/>
        <v>-3.1683168316831684E-2</v>
      </c>
      <c r="L84" s="18">
        <f>IF(ISNUMBER(J84), $B91 * K84, "")</f>
        <v>-4752.4752475247524</v>
      </c>
      <c r="M84" s="31">
        <v>490</v>
      </c>
      <c r="N84" s="32">
        <f t="shared" si="41"/>
        <v>-2.9702970297029702E-2</v>
      </c>
      <c r="O84" s="18">
        <f>IF(ISNUMBER(M84), $B91 * N84, "")</f>
        <v>-4455.4455445544554</v>
      </c>
      <c r="Q84" s="156"/>
      <c r="R84" s="156"/>
      <c r="S84" s="156"/>
    </row>
    <row r="85" spans="1:19" ht="17.25" thickBot="1">
      <c r="A85" s="111" t="s">
        <v>60</v>
      </c>
      <c r="B85" s="112">
        <v>814</v>
      </c>
      <c r="C85" s="71">
        <v>3.6991368999999999E-3</v>
      </c>
      <c r="D85" s="20">
        <v>814</v>
      </c>
      <c r="E85" s="21">
        <f t="shared" si="38"/>
        <v>0</v>
      </c>
      <c r="F85" s="22">
        <f>IF(ISNUMBER(D85), $B91 * E85, "")</f>
        <v>0</v>
      </c>
      <c r="G85" s="30">
        <v>797</v>
      </c>
      <c r="H85" s="21">
        <f t="shared" si="39"/>
        <v>-2.0884520884520884E-2</v>
      </c>
      <c r="I85" s="95">
        <f>IF(ISNUMBER(G85), $B91 * H85, "")</f>
        <v>-3132.6781326781324</v>
      </c>
      <c r="J85" s="20">
        <v>786</v>
      </c>
      <c r="K85" s="21">
        <f t="shared" si="40"/>
        <v>-3.4398034398034398E-2</v>
      </c>
      <c r="L85" s="22">
        <f>IF(ISNUMBER(J85), $B91 * K85, "")</f>
        <v>-5159.7051597051595</v>
      </c>
      <c r="M85" s="30">
        <v>779</v>
      </c>
      <c r="N85" s="21">
        <f t="shared" si="41"/>
        <v>-4.2997542997542999E-2</v>
      </c>
      <c r="O85" s="22">
        <f>IF(ISNUMBER(M85), $B91 * N85, "")</f>
        <v>-6449.6314496314499</v>
      </c>
      <c r="Q85" s="156"/>
      <c r="R85" s="156"/>
      <c r="S85" s="156"/>
    </row>
    <row r="86" spans="1:19" ht="17.25" thickBot="1">
      <c r="A86" s="109" t="s">
        <v>169</v>
      </c>
      <c r="B86" s="113">
        <v>284</v>
      </c>
      <c r="C86" s="73">
        <v>3.5335688999999998E-3</v>
      </c>
      <c r="D86" s="96">
        <v>284</v>
      </c>
      <c r="E86" s="97">
        <f>IF(ISNUMBER(D86), (D86 - $B86) / $B86, "")</f>
        <v>0</v>
      </c>
      <c r="F86" s="98">
        <f>IF(ISNUMBER(D86), $B91 * E86, "")</f>
        <v>0</v>
      </c>
      <c r="G86" s="99">
        <v>280</v>
      </c>
      <c r="H86" s="97">
        <f>IF(ISNUMBER(G86), (G86 - $B86) / $B86, "")</f>
        <v>-1.4084507042253521E-2</v>
      </c>
      <c r="I86" s="100">
        <f>IF(ISNUMBER(G86), $B91 * H86, "")</f>
        <v>-2112.676056338028</v>
      </c>
      <c r="J86" s="96">
        <v>274</v>
      </c>
      <c r="K86" s="97">
        <f>IF(ISNUMBER(J86), (J86 - $B86) / $B86, "")</f>
        <v>-3.5211267605633804E-2</v>
      </c>
      <c r="L86" s="98">
        <f>IF(ISNUMBER(J86), $B91 * K86, "")</f>
        <v>-5281.6901408450703</v>
      </c>
      <c r="M86" s="99">
        <v>275</v>
      </c>
      <c r="N86" s="97">
        <f>IF(ISNUMBER(M86), (M86 - $B86) / $B86, "")</f>
        <v>-3.1690140845070422E-2</v>
      </c>
      <c r="O86" s="98">
        <f>IF(ISNUMBER(M86), $B91 * N86, "")</f>
        <v>-4753.5211267605637</v>
      </c>
      <c r="Q86" s="146"/>
      <c r="R86" s="146"/>
      <c r="S86" s="146"/>
    </row>
    <row r="87" spans="1:19" ht="17.25" thickBot="1">
      <c r="A87" s="109" t="s">
        <v>201</v>
      </c>
      <c r="B87" s="110">
        <v>297</v>
      </c>
      <c r="C87" s="70">
        <v>3.3783784000000002E-3</v>
      </c>
      <c r="D87" s="15">
        <v>297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293</v>
      </c>
      <c r="H87" s="32">
        <f t="shared" ref="H87:H90" si="43">IF(ISNUMBER(G87), (G87 - $B87) / $B87, "")</f>
        <v>-1.3468013468013467E-2</v>
      </c>
      <c r="I87" s="91">
        <f>IF(ISNUMBER(G87), $B91 * H87, "")</f>
        <v>-2020.2020202020201</v>
      </c>
      <c r="J87" s="15">
        <v>291</v>
      </c>
      <c r="K87" s="32">
        <f t="shared" ref="K87:K90" si="44">IF(ISNUMBER(J87), (J87 - $B87) / $B87, "")</f>
        <v>-2.0202020202020204E-2</v>
      </c>
      <c r="L87" s="18">
        <f>IF(ISNUMBER(J87), $B91 * K87, "")</f>
        <v>-3030.3030303030305</v>
      </c>
      <c r="M87" s="31">
        <v>284</v>
      </c>
      <c r="N87" s="32">
        <f t="shared" ref="N87:N90" si="45">IF(ISNUMBER(M87), (M87 - $B87) / $B87, "")</f>
        <v>-4.3771043771043773E-2</v>
      </c>
      <c r="O87" s="18">
        <f>IF(ISNUMBER(M87), $B91 * N87, "")</f>
        <v>-6565.6565656565663</v>
      </c>
      <c r="Q87" s="146"/>
      <c r="R87" s="146"/>
      <c r="S87" s="146"/>
    </row>
    <row r="88" spans="1:19" ht="17.25" thickBot="1">
      <c r="A88" s="109" t="s">
        <v>130</v>
      </c>
      <c r="B88" s="110">
        <v>981</v>
      </c>
      <c r="C88" s="70">
        <v>3.0674846999999999E-3</v>
      </c>
      <c r="D88" s="15">
        <v>981</v>
      </c>
      <c r="E88" s="32">
        <f t="shared" si="42"/>
        <v>0</v>
      </c>
      <c r="F88" s="18">
        <f>IF(ISNUMBER(D88), $B91 * E88, "")</f>
        <v>0</v>
      </c>
      <c r="G88" s="31">
        <v>963</v>
      </c>
      <c r="H88" s="32">
        <f t="shared" si="43"/>
        <v>-1.834862385321101E-2</v>
      </c>
      <c r="I88" s="91">
        <f>IF(ISNUMBER(G88), $B91 * H88, "")</f>
        <v>-2752.2935779816517</v>
      </c>
      <c r="J88" s="15">
        <v>954</v>
      </c>
      <c r="K88" s="32">
        <f t="shared" si="44"/>
        <v>-2.7522935779816515E-2</v>
      </c>
      <c r="L88" s="18">
        <f>IF(ISNUMBER(J88), $B91 * K88, "")</f>
        <v>-4128.440366972477</v>
      </c>
      <c r="M88" s="31">
        <v>949</v>
      </c>
      <c r="N88" s="32">
        <f t="shared" si="45"/>
        <v>-3.2619775739041797E-2</v>
      </c>
      <c r="O88" s="18">
        <f>IF(ISNUMBER(M88), $B91 * N88, "")</f>
        <v>-4892.9663608562696</v>
      </c>
      <c r="Q88" s="146"/>
      <c r="R88" s="146"/>
      <c r="S88" s="146"/>
    </row>
    <row r="89" spans="1:19">
      <c r="A89" s="109" t="s">
        <v>79</v>
      </c>
      <c r="B89" s="110">
        <v>346</v>
      </c>
      <c r="C89" s="70">
        <v>2.8985507E-3</v>
      </c>
      <c r="D89" s="15">
        <v>346</v>
      </c>
      <c r="E89" s="32">
        <f t="shared" si="42"/>
        <v>0</v>
      </c>
      <c r="F89" s="18">
        <f>IF(ISNUMBER(D89), $B91 * E89, "")</f>
        <v>0</v>
      </c>
      <c r="G89" s="31">
        <v>336</v>
      </c>
      <c r="H89" s="32">
        <f t="shared" si="43"/>
        <v>-2.8901734104046242E-2</v>
      </c>
      <c r="I89" s="91">
        <f>IF(ISNUMBER(G89), $B91 * H89, "")</f>
        <v>-4335.2601156069368</v>
      </c>
      <c r="J89" s="15">
        <v>333</v>
      </c>
      <c r="K89" s="32">
        <f t="shared" si="44"/>
        <v>-3.7572254335260118E-2</v>
      </c>
      <c r="L89" s="18">
        <f>IF(ISNUMBER(J89), $B91 * K89, "")</f>
        <v>-5635.8381502890179</v>
      </c>
      <c r="M89" s="31">
        <v>332</v>
      </c>
      <c r="N89" s="32">
        <f t="shared" si="45"/>
        <v>-4.046242774566474E-2</v>
      </c>
      <c r="O89" s="18">
        <f>IF(ISNUMBER(M89), $B91 * N89, "")</f>
        <v>-6069.3641618497113</v>
      </c>
      <c r="Q89" s="135"/>
      <c r="R89" s="136"/>
      <c r="S89" s="137"/>
    </row>
    <row r="90" spans="1:19" ht="17.25" thickBot="1">
      <c r="A90" s="114" t="s">
        <v>241</v>
      </c>
      <c r="B90" s="115">
        <v>124</v>
      </c>
      <c r="C90" s="72">
        <v>0</v>
      </c>
      <c r="D90" s="24">
        <v>124</v>
      </c>
      <c r="E90" s="25">
        <f t="shared" si="42"/>
        <v>0</v>
      </c>
      <c r="F90" s="94">
        <f>IF(ISNUMBER(D90), $B91 * E90, "")</f>
        <v>0</v>
      </c>
      <c r="G90" s="92">
        <v>125</v>
      </c>
      <c r="H90" s="25">
        <f t="shared" si="43"/>
        <v>8.0645161290322578E-3</v>
      </c>
      <c r="I90" s="93">
        <f>IF(ISNUMBER(G90), $B91 * H90, "")</f>
        <v>1209.6774193548388</v>
      </c>
      <c r="J90" s="24">
        <v>124</v>
      </c>
      <c r="K90" s="25">
        <f t="shared" si="44"/>
        <v>0</v>
      </c>
      <c r="L90" s="94">
        <f>IF(ISNUMBER(J90), $B91 * K90, "")</f>
        <v>0</v>
      </c>
      <c r="M90" s="92">
        <v>124</v>
      </c>
      <c r="N90" s="25">
        <f t="shared" si="45"/>
        <v>0</v>
      </c>
      <c r="O90" s="94">
        <f>IF(ISNUMBER(M90), $B91 * N90, "")</f>
        <v>0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-1.3222339173306267E-2</v>
      </c>
      <c r="I91" s="28">
        <f>SUM(I71:I90)</f>
        <v>-39667.017519918787</v>
      </c>
      <c r="J91" s="26" t="s">
        <v>258</v>
      </c>
      <c r="K91" s="27">
        <f>IF(COUNT(K71:K90), SUM(K71:K90) / COUNT(K71:K90), 0)</f>
        <v>-2.035944866065735E-2</v>
      </c>
      <c r="L91" s="28">
        <f>SUM(L71:L90)</f>
        <v>-61078.345981972045</v>
      </c>
      <c r="M91" s="26" t="s">
        <v>258</v>
      </c>
      <c r="N91" s="27">
        <f>IF(COUNT(N71:N90), SUM(N71:N90) / COUNT(N71:N90), 0)</f>
        <v>-2.6599074288092089E-2</v>
      </c>
      <c r="O91" s="28">
        <f>SUM(O71:O90)</f>
        <v>-79797.222864276249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2023-03-07(화) 오전 00:00</v>
      </c>
      <c r="C96" s="198"/>
      <c r="D96" s="170" t="str">
        <f>TEXT($G$1, "[$-ko-KR]yyyy-mm-dd(ddd) ") &amp; "오후 14:00"</f>
        <v>2023-03-07(화) 오후 14:00</v>
      </c>
      <c r="E96" s="171"/>
      <c r="F96" s="172"/>
      <c r="G96" s="170" t="str">
        <f>TEXT($G$1, "[$-ko-KR]yyyy-mm-dd(ddd) ") &amp; "오후 19:00"</f>
        <v>2023-03-07(화) 오후 19:00</v>
      </c>
      <c r="H96" s="171"/>
      <c r="I96" s="172"/>
      <c r="J96" s="170" t="str">
        <f>TEXT($G$1, "[$-ko-KR]yyyy-mm-dd(ddd) ") &amp; "오후 21:00"</f>
        <v>2023-03-07(화) 오후 21:00</v>
      </c>
      <c r="K96" s="171"/>
      <c r="L96" s="172"/>
      <c r="M96" s="170" t="str">
        <f>TEXT($G$1+1, "[$-ko-KR]yyyy-mm-dd(ddd) ") &amp; "오전 00:00"</f>
        <v>2023-03-08(수)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225</v>
      </c>
      <c r="B98" s="108">
        <v>86.1</v>
      </c>
      <c r="C98" s="69">
        <v>0.1138421734</v>
      </c>
      <c r="D98" s="13">
        <v>86.1</v>
      </c>
      <c r="E98" s="14">
        <f>IF(ISNUMBER(D98), (D98 - $B98) / $B98, "")</f>
        <v>0</v>
      </c>
      <c r="F98" s="16">
        <f>IF(ISNUMBER(D98), $B118 * E98, "")</f>
        <v>0</v>
      </c>
      <c r="G98" s="29">
        <v>81.900000000000006</v>
      </c>
      <c r="H98" s="14">
        <f>IF(ISNUMBER(G98), (G98 - $B98) / $B98, "")</f>
        <v>-4.8780487804877919E-2</v>
      </c>
      <c r="I98" s="90">
        <f>IF(ISNUMBER(G98), $B118 * H98, "")</f>
        <v>-7317.0731707316882</v>
      </c>
      <c r="J98" s="13">
        <v>90.9</v>
      </c>
      <c r="K98" s="14">
        <f>IF(ISNUMBER(J98), (J98 - $B98) / $B98, "")</f>
        <v>5.5749128919860766E-2</v>
      </c>
      <c r="L98" s="16">
        <f>IF(ISNUMBER(J98), $B118 * K98, "")</f>
        <v>8362.3693379791148</v>
      </c>
      <c r="M98" s="29">
        <v>87.4</v>
      </c>
      <c r="N98" s="14">
        <f>IF(ISNUMBER(M98), (M98 - $B98) / $B98, "")</f>
        <v>1.5098722415795719E-2</v>
      </c>
      <c r="O98" s="16">
        <f>IF(ISNUMBER(M98), $B118 * N98, "")</f>
        <v>2264.8083623693578</v>
      </c>
      <c r="Q98" s="156"/>
      <c r="R98" s="156"/>
      <c r="S98" s="156"/>
    </row>
    <row r="99" spans="1:19" ht="17.25" thickBot="1">
      <c r="A99" s="109" t="s">
        <v>167</v>
      </c>
      <c r="B99" s="110">
        <v>255</v>
      </c>
      <c r="C99" s="70">
        <v>5.8091286300000003E-2</v>
      </c>
      <c r="D99" s="15">
        <v>255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248</v>
      </c>
      <c r="H99" s="32">
        <f t="shared" ref="H99:H102" si="47">IF(ISNUMBER(G99), (G99 - $B99) / $B99, "")</f>
        <v>-2.7450980392156862E-2</v>
      </c>
      <c r="I99" s="91">
        <f>IF(ISNUMBER(G99), $B118 * H99, "")</f>
        <v>-4117.6470588235297</v>
      </c>
      <c r="J99" s="15">
        <v>253</v>
      </c>
      <c r="K99" s="32">
        <f t="shared" ref="K99:K102" si="48">IF(ISNUMBER(J99), (J99 - $B99) / $B99, "")</f>
        <v>-7.8431372549019607E-3</v>
      </c>
      <c r="L99" s="18">
        <f>IF(ISNUMBER(J99), $B118 * K99, "")</f>
        <v>-1176.4705882352941</v>
      </c>
      <c r="M99" s="31">
        <v>251</v>
      </c>
      <c r="N99" s="32">
        <f t="shared" ref="N99:N102" si="49">IF(ISNUMBER(M99), (M99 - $B99) / $B99, "")</f>
        <v>-1.5686274509803921E-2</v>
      </c>
      <c r="O99" s="18">
        <f>IF(ISNUMBER(M99), $B118 * N99, "")</f>
        <v>-2352.9411764705883</v>
      </c>
      <c r="Q99" s="156"/>
      <c r="R99" s="156"/>
      <c r="S99" s="156"/>
    </row>
    <row r="100" spans="1:19" ht="17.25" thickBot="1">
      <c r="A100" s="109" t="s">
        <v>149</v>
      </c>
      <c r="B100" s="110">
        <v>582</v>
      </c>
      <c r="C100" s="70">
        <v>3.0088495600000001E-2</v>
      </c>
      <c r="D100" s="15">
        <v>582</v>
      </c>
      <c r="E100" s="32">
        <f t="shared" si="46"/>
        <v>0</v>
      </c>
      <c r="F100" s="18">
        <f>IF(ISNUMBER(D100), $B118 * E100, "")</f>
        <v>0</v>
      </c>
      <c r="G100" s="31">
        <v>576</v>
      </c>
      <c r="H100" s="32">
        <f t="shared" si="47"/>
        <v>-1.0309278350515464E-2</v>
      </c>
      <c r="I100" s="91">
        <f>IF(ISNUMBER(G100), $B118 * H100, "")</f>
        <v>-1546.3917525773195</v>
      </c>
      <c r="J100" s="15">
        <v>579</v>
      </c>
      <c r="K100" s="32">
        <f t="shared" si="48"/>
        <v>-5.1546391752577319E-3</v>
      </c>
      <c r="L100" s="18">
        <f>IF(ISNUMBER(J100), $B118 * K100, "")</f>
        <v>-773.19587628865975</v>
      </c>
      <c r="M100" s="31">
        <v>580</v>
      </c>
      <c r="N100" s="32">
        <f t="shared" si="49"/>
        <v>-3.4364261168384879E-3</v>
      </c>
      <c r="O100" s="18">
        <f>IF(ISNUMBER(M100), $B118 * N100, "")</f>
        <v>-515.46391752577324</v>
      </c>
      <c r="Q100" s="146"/>
      <c r="R100" s="146"/>
      <c r="S100" s="146"/>
    </row>
    <row r="101" spans="1:19" ht="17.25" thickBot="1">
      <c r="A101" s="109" t="s">
        <v>62</v>
      </c>
      <c r="B101" s="110">
        <v>16110</v>
      </c>
      <c r="C101" s="70">
        <v>2.93929712E-2</v>
      </c>
      <c r="D101" s="15">
        <v>16110</v>
      </c>
      <c r="E101" s="32">
        <f t="shared" si="46"/>
        <v>0</v>
      </c>
      <c r="F101" s="18">
        <f>IF(ISNUMBER(D101), $B118 * E101, "")</f>
        <v>0</v>
      </c>
      <c r="G101" s="31">
        <v>15820</v>
      </c>
      <c r="H101" s="32">
        <f t="shared" si="47"/>
        <v>-1.8001241464928614E-2</v>
      </c>
      <c r="I101" s="91">
        <f>IF(ISNUMBER(G101), $B118 * H101, "")</f>
        <v>-2700.186219739292</v>
      </c>
      <c r="J101" s="15">
        <v>15390</v>
      </c>
      <c r="K101" s="32">
        <f t="shared" si="48"/>
        <v>-4.4692737430167599E-2</v>
      </c>
      <c r="L101" s="18">
        <f>IF(ISNUMBER(J101), $B118 * K101, "")</f>
        <v>-6703.9106145251399</v>
      </c>
      <c r="M101" s="31">
        <v>15370</v>
      </c>
      <c r="N101" s="32">
        <f t="shared" si="49"/>
        <v>-4.5934202358783364E-2</v>
      </c>
      <c r="O101" s="18">
        <f>IF(ISNUMBER(M101), $B118 * N101, "")</f>
        <v>-6890.1303538175043</v>
      </c>
      <c r="Q101" s="146"/>
      <c r="R101" s="146"/>
      <c r="S101" s="146"/>
    </row>
    <row r="102" spans="1:19" ht="17.25" thickBot="1">
      <c r="A102" s="111" t="s">
        <v>187</v>
      </c>
      <c r="B102" s="112">
        <v>992</v>
      </c>
      <c r="C102" s="71">
        <v>2.6915113899999999E-2</v>
      </c>
      <c r="D102" s="20">
        <v>992</v>
      </c>
      <c r="E102" s="21">
        <f t="shared" si="46"/>
        <v>0</v>
      </c>
      <c r="F102" s="22">
        <f>IF(ISNUMBER(D102), $B118 * E102, "")</f>
        <v>0</v>
      </c>
      <c r="G102" s="30">
        <v>1025</v>
      </c>
      <c r="H102" s="21">
        <f t="shared" si="47"/>
        <v>3.3266129032258063E-2</v>
      </c>
      <c r="I102" s="95">
        <f>IF(ISNUMBER(G102), $B118 * H102, "")</f>
        <v>4989.9193548387093</v>
      </c>
      <c r="J102" s="20">
        <v>1050</v>
      </c>
      <c r="K102" s="21">
        <f t="shared" si="48"/>
        <v>5.8467741935483868E-2</v>
      </c>
      <c r="L102" s="22">
        <f>IF(ISNUMBER(J102), $B118 * K102, "")</f>
        <v>8770.1612903225796</v>
      </c>
      <c r="M102" s="30">
        <v>1005</v>
      </c>
      <c r="N102" s="21">
        <f t="shared" si="49"/>
        <v>1.310483870967742E-2</v>
      </c>
      <c r="O102" s="22">
        <f>IF(ISNUMBER(M102), $B118 * N102, "")</f>
        <v>1965.7258064516129</v>
      </c>
      <c r="Q102" s="146"/>
      <c r="R102" s="146"/>
      <c r="S102" s="146"/>
    </row>
    <row r="103" spans="1:19" ht="17.25" thickBot="1">
      <c r="A103" s="109" t="s">
        <v>317</v>
      </c>
      <c r="B103" s="113">
        <v>1.4999999999999999E-2</v>
      </c>
      <c r="C103" s="73">
        <v>2.0408163300000001E-2</v>
      </c>
      <c r="D103" s="96">
        <v>1.4999999999999999E-2</v>
      </c>
      <c r="E103" s="97">
        <f>IF(ISNUMBER(D103), (D103 - $B103) / $B103, "")</f>
        <v>0</v>
      </c>
      <c r="F103" s="98">
        <f>IF(ISNUMBER(D103), $B118 * E103, "")</f>
        <v>0</v>
      </c>
      <c r="G103" s="99">
        <v>1.47E-2</v>
      </c>
      <c r="H103" s="97">
        <f>IF(ISNUMBER(G103), (G103 - $B103) / $B103, "")</f>
        <v>-1.9999999999999997E-2</v>
      </c>
      <c r="I103" s="100">
        <f>IF(ISNUMBER(G103), $B118 * H103, "")</f>
        <v>-2999.9999999999995</v>
      </c>
      <c r="J103" s="96">
        <v>1.4500000000000001E-2</v>
      </c>
      <c r="K103" s="97">
        <f>IF(ISNUMBER(J103), (J103 - $B103) / $B103, "")</f>
        <v>-3.333333333333325E-2</v>
      </c>
      <c r="L103" s="98">
        <f>IF(ISNUMBER(J103), $B118 * K103, "")</f>
        <v>-4999.9999999999873</v>
      </c>
      <c r="M103" s="99">
        <v>1.4500000000000001E-2</v>
      </c>
      <c r="N103" s="97">
        <f>IF(ISNUMBER(M103), (M103 - $B103) / $B103, "")</f>
        <v>-3.333333333333325E-2</v>
      </c>
      <c r="O103" s="98">
        <f>IF(ISNUMBER(M103), $B118 * N103, "")</f>
        <v>-4999.9999999999873</v>
      </c>
      <c r="Q103" s="146"/>
      <c r="R103" s="146"/>
      <c r="S103" s="146"/>
    </row>
    <row r="104" spans="1:19" ht="17.25" thickBot="1">
      <c r="A104" s="109" t="s">
        <v>344</v>
      </c>
      <c r="B104" s="110">
        <v>15280</v>
      </c>
      <c r="C104" s="70">
        <v>2.0026702300000001E-2</v>
      </c>
      <c r="D104" s="15">
        <v>15280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15040</v>
      </c>
      <c r="H104" s="32">
        <f t="shared" ref="H104:H107" si="51">IF(ISNUMBER(G104), (G104 - $B104) / $B104, "")</f>
        <v>-1.5706806282722512E-2</v>
      </c>
      <c r="I104" s="91">
        <f>IF(ISNUMBER(G104), $B118 * H104, "")</f>
        <v>-2356.0209424083769</v>
      </c>
      <c r="J104" s="15">
        <v>14750</v>
      </c>
      <c r="K104" s="32">
        <f t="shared" ref="K104:K107" si="52">IF(ISNUMBER(J104), (J104 - $B104) / $B104, "")</f>
        <v>-3.4685863874345552E-2</v>
      </c>
      <c r="L104" s="18">
        <f>IF(ISNUMBER(J104), $B118 * K104, "")</f>
        <v>-5202.879581151833</v>
      </c>
      <c r="M104" s="31">
        <v>14660</v>
      </c>
      <c r="N104" s="32">
        <f t="shared" ref="N104:N107" si="53">IF(ISNUMBER(M104), (M104 - $B104) / $B104, "")</f>
        <v>-4.0575916230366493E-2</v>
      </c>
      <c r="O104" s="18">
        <f>IF(ISNUMBER(M104), $B118 * N104, "")</f>
        <v>-6086.3874345549739</v>
      </c>
      <c r="Q104" s="146"/>
      <c r="R104" s="146"/>
      <c r="S104" s="146"/>
    </row>
    <row r="105" spans="1:19" ht="17.25" thickBot="1">
      <c r="A105" s="109" t="s">
        <v>51</v>
      </c>
      <c r="B105" s="110">
        <v>112</v>
      </c>
      <c r="C105" s="70">
        <v>1.8181818200000002E-2</v>
      </c>
      <c r="D105" s="15">
        <v>112</v>
      </c>
      <c r="E105" s="32">
        <f t="shared" si="50"/>
        <v>0</v>
      </c>
      <c r="F105" s="18">
        <f>IF(ISNUMBER(D105), $B118 * E105, "")</f>
        <v>0</v>
      </c>
      <c r="G105" s="31">
        <v>111</v>
      </c>
      <c r="H105" s="32">
        <f t="shared" si="51"/>
        <v>-8.9285714285714281E-3</v>
      </c>
      <c r="I105" s="91">
        <f>IF(ISNUMBER(G105), $B118 * H105, "")</f>
        <v>-1339.2857142857142</v>
      </c>
      <c r="J105" s="15">
        <v>109</v>
      </c>
      <c r="K105" s="32">
        <f t="shared" si="52"/>
        <v>-2.6785714285714284E-2</v>
      </c>
      <c r="L105" s="18">
        <f>IF(ISNUMBER(J105), $B118 * K105, "")</f>
        <v>-4017.8571428571427</v>
      </c>
      <c r="M105" s="31">
        <v>110</v>
      </c>
      <c r="N105" s="32">
        <f t="shared" si="53"/>
        <v>-1.7857142857142856E-2</v>
      </c>
      <c r="O105" s="18">
        <f>IF(ISNUMBER(M105), $B118 * N105, "")</f>
        <v>-2678.5714285714284</v>
      </c>
      <c r="Q105" s="146"/>
      <c r="R105" s="146"/>
      <c r="S105" s="146"/>
    </row>
    <row r="106" spans="1:19" ht="17.25" thickBot="1">
      <c r="A106" s="109" t="s">
        <v>322</v>
      </c>
      <c r="B106" s="110">
        <v>1530</v>
      </c>
      <c r="C106" s="70">
        <v>1.6611295700000001E-2</v>
      </c>
      <c r="D106" s="15">
        <v>1530</v>
      </c>
      <c r="E106" s="32">
        <f t="shared" si="50"/>
        <v>0</v>
      </c>
      <c r="F106" s="18">
        <f>IF(ISNUMBER(D106), $B118 * E106, "")</f>
        <v>0</v>
      </c>
      <c r="G106" s="31">
        <v>1535</v>
      </c>
      <c r="H106" s="32">
        <f t="shared" si="51"/>
        <v>3.2679738562091504E-3</v>
      </c>
      <c r="I106" s="91">
        <f>IF(ISNUMBER(G106), $B118 * H106, "")</f>
        <v>490.19607843137254</v>
      </c>
      <c r="J106" s="15">
        <v>1515</v>
      </c>
      <c r="K106" s="32">
        <f t="shared" si="52"/>
        <v>-9.8039215686274508E-3</v>
      </c>
      <c r="L106" s="18">
        <f>IF(ISNUMBER(J106), $B118 * K106, "")</f>
        <v>-1470.5882352941176</v>
      </c>
      <c r="M106" s="31">
        <v>1510</v>
      </c>
      <c r="N106" s="32">
        <f t="shared" si="53"/>
        <v>-1.3071895424836602E-2</v>
      </c>
      <c r="O106" s="18">
        <f>IF(ISNUMBER(M106), $B118 * N106, "")</f>
        <v>-1960.7843137254902</v>
      </c>
      <c r="Q106" s="33"/>
      <c r="R106" s="33"/>
    </row>
    <row r="107" spans="1:19" ht="17.25" thickBot="1">
      <c r="A107" s="114" t="s">
        <v>75</v>
      </c>
      <c r="B107" s="115">
        <v>9245</v>
      </c>
      <c r="C107" s="72">
        <v>1.53761669E-2</v>
      </c>
      <c r="D107" s="24">
        <v>9245</v>
      </c>
      <c r="E107" s="25">
        <f t="shared" si="50"/>
        <v>0</v>
      </c>
      <c r="F107" s="94">
        <f>IF(ISNUMBER(D107), $B118 * E107, "")</f>
        <v>0</v>
      </c>
      <c r="G107" s="92">
        <v>9130</v>
      </c>
      <c r="H107" s="25">
        <f t="shared" si="51"/>
        <v>-1.2439156300703082E-2</v>
      </c>
      <c r="I107" s="93">
        <f>IF(ISNUMBER(G107), $B118 * H107, "")</f>
        <v>-1865.8734451054622</v>
      </c>
      <c r="J107" s="24">
        <v>9060</v>
      </c>
      <c r="K107" s="25">
        <f t="shared" si="52"/>
        <v>-2.0010816657652784E-2</v>
      </c>
      <c r="L107" s="94">
        <f>IF(ISNUMBER(J107), $B118 * K107, "")</f>
        <v>-3001.6224986479174</v>
      </c>
      <c r="M107" s="92">
        <v>9035</v>
      </c>
      <c r="N107" s="25">
        <f t="shared" si="53"/>
        <v>-2.2714981070849107E-2</v>
      </c>
      <c r="O107" s="94">
        <f>IF(ISNUMBER(M107), $B118 * N107, "")</f>
        <v>-3407.2471606273662</v>
      </c>
      <c r="Q107" s="147"/>
      <c r="R107" s="148"/>
      <c r="S107" s="149"/>
    </row>
    <row r="108" spans="1:19">
      <c r="A108" s="107" t="s">
        <v>320</v>
      </c>
      <c r="B108" s="108">
        <v>6.14</v>
      </c>
      <c r="C108" s="69">
        <v>1.48760331E-2</v>
      </c>
      <c r="D108" s="13">
        <v>6.14</v>
      </c>
      <c r="E108" s="14">
        <f>IF(ISNUMBER(D108), (D108 - $B108) / $B108, "")</f>
        <v>0</v>
      </c>
      <c r="F108" s="16">
        <f>IF(ISNUMBER(D108), $B118 * E108, "")</f>
        <v>0</v>
      </c>
      <c r="G108" s="29">
        <v>6.08</v>
      </c>
      <c r="H108" s="14">
        <f>IF(ISNUMBER(G108), (G108 - $B108) / $B108, "")</f>
        <v>-9.7719869706839758E-3</v>
      </c>
      <c r="I108" s="90">
        <f>IF(ISNUMBER(G108), $B118 * H108, "")</f>
        <v>-1465.7980456025964</v>
      </c>
      <c r="J108" s="13">
        <v>6.16</v>
      </c>
      <c r="K108" s="14">
        <f>IF(ISNUMBER(J108), (J108 - $B108) / $B108, "")</f>
        <v>3.2573289902280886E-3</v>
      </c>
      <c r="L108" s="16">
        <f>IF(ISNUMBER(J108), $B118 * K108, "")</f>
        <v>488.59934853421328</v>
      </c>
      <c r="M108" s="29">
        <v>6.07</v>
      </c>
      <c r="N108" s="14">
        <f>IF(ISNUMBER(M108), (M108 - $B108) / $B108, "")</f>
        <v>-1.1400651465797948E-2</v>
      </c>
      <c r="O108" s="16">
        <f>IF(ISNUMBER(M108), $B118 * N108, "")</f>
        <v>-1710.0977198696924</v>
      </c>
      <c r="Q108" s="150"/>
      <c r="R108" s="151"/>
      <c r="S108" s="152"/>
    </row>
    <row r="109" spans="1:19" ht="17.25" thickBot="1">
      <c r="A109" s="109" t="s">
        <v>183</v>
      </c>
      <c r="B109" s="110">
        <v>169</v>
      </c>
      <c r="C109" s="70">
        <v>1.19760479E-2</v>
      </c>
      <c r="D109" s="15">
        <v>169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165</v>
      </c>
      <c r="H109" s="32">
        <f t="shared" ref="H109:H112" si="55">IF(ISNUMBER(G109), (G109 - $B109) / $B109, "")</f>
        <v>-2.3668639053254437E-2</v>
      </c>
      <c r="I109" s="91">
        <f>IF(ISNUMBER(G109), $B118 * H109, "")</f>
        <v>-3550.2958579881656</v>
      </c>
      <c r="J109" s="15">
        <v>167</v>
      </c>
      <c r="K109" s="32">
        <f t="shared" ref="K109:K112" si="56">IF(ISNUMBER(J109), (J109 - $B109) / $B109, "")</f>
        <v>-1.1834319526627219E-2</v>
      </c>
      <c r="L109" s="18">
        <f>IF(ISNUMBER(J109), $B118 * K109, "")</f>
        <v>-1775.1479289940828</v>
      </c>
      <c r="M109" s="31">
        <v>162</v>
      </c>
      <c r="N109" s="32">
        <f t="shared" ref="N109:N112" si="57">IF(ISNUMBER(M109), (M109 - $B109) / $B109, "")</f>
        <v>-4.142011834319527E-2</v>
      </c>
      <c r="O109" s="18">
        <f>IF(ISNUMBER(M109), $B118 * N109, "")</f>
        <v>-6213.0177514792904</v>
      </c>
      <c r="Q109" s="153"/>
      <c r="R109" s="154"/>
      <c r="S109" s="155"/>
    </row>
    <row r="110" spans="1:19" ht="17.25" thickBot="1">
      <c r="A110" s="109" t="s">
        <v>132</v>
      </c>
      <c r="B110" s="110">
        <v>69.2</v>
      </c>
      <c r="C110" s="70">
        <v>1.1695906400000001E-2</v>
      </c>
      <c r="D110" s="15">
        <v>69.2</v>
      </c>
      <c r="E110" s="32">
        <f t="shared" si="54"/>
        <v>0</v>
      </c>
      <c r="F110" s="18">
        <f>IF(ISNUMBER(D110), $B118 * E110, "")</f>
        <v>0</v>
      </c>
      <c r="G110" s="31">
        <v>68.599999999999994</v>
      </c>
      <c r="H110" s="32">
        <f t="shared" si="55"/>
        <v>-8.6705202312139951E-3</v>
      </c>
      <c r="I110" s="91">
        <f>IF(ISNUMBER(G110), $B118 * H110, "")</f>
        <v>-1300.5780346820993</v>
      </c>
      <c r="J110" s="15">
        <v>69.900000000000006</v>
      </c>
      <c r="K110" s="32">
        <f t="shared" si="56"/>
        <v>1.0115606936416225E-2</v>
      </c>
      <c r="L110" s="18">
        <f>IF(ISNUMBER(J110), $B118 * K110, "")</f>
        <v>1517.3410404624337</v>
      </c>
      <c r="M110" s="31">
        <v>67.599999999999994</v>
      </c>
      <c r="N110" s="32">
        <f t="shared" si="57"/>
        <v>-2.3121387283237118E-2</v>
      </c>
      <c r="O110" s="18">
        <f>IF(ISNUMBER(M110), $B118 * N110, "")</f>
        <v>-3468.2080924855677</v>
      </c>
      <c r="Q110" s="146"/>
      <c r="R110" s="146"/>
      <c r="S110" s="146"/>
    </row>
    <row r="111" spans="1:19" ht="17.25" thickBot="1">
      <c r="A111" s="109" t="s">
        <v>109</v>
      </c>
      <c r="B111" s="110">
        <v>1365</v>
      </c>
      <c r="C111" s="70">
        <v>1.11111111E-2</v>
      </c>
      <c r="D111" s="15">
        <v>1365</v>
      </c>
      <c r="E111" s="32">
        <f t="shared" si="54"/>
        <v>0</v>
      </c>
      <c r="F111" s="18">
        <f>IF(ISNUMBER(D111), $B118 * E111, "")</f>
        <v>0</v>
      </c>
      <c r="G111" s="31">
        <v>1335</v>
      </c>
      <c r="H111" s="32">
        <f t="shared" si="55"/>
        <v>-2.197802197802198E-2</v>
      </c>
      <c r="I111" s="91">
        <f>IF(ISNUMBER(G111), $B118 * H111, "")</f>
        <v>-3296.7032967032969</v>
      </c>
      <c r="J111" s="15">
        <v>1325</v>
      </c>
      <c r="K111" s="32">
        <f t="shared" si="56"/>
        <v>-2.9304029304029304E-2</v>
      </c>
      <c r="L111" s="18">
        <f>IF(ISNUMBER(J111), $B118 * K111, "")</f>
        <v>-4395.6043956043959</v>
      </c>
      <c r="M111" s="31">
        <v>1320</v>
      </c>
      <c r="N111" s="32">
        <f t="shared" si="57"/>
        <v>-3.2967032967032968E-2</v>
      </c>
      <c r="O111" s="18">
        <f>IF(ISNUMBER(M111), $B118 * N111, "")</f>
        <v>-4945.0549450549452</v>
      </c>
      <c r="Q111" s="156"/>
      <c r="R111" s="156"/>
      <c r="S111" s="156"/>
    </row>
    <row r="112" spans="1:19" ht="17.25" thickBot="1">
      <c r="A112" s="111" t="s">
        <v>331</v>
      </c>
      <c r="B112" s="112">
        <v>27690</v>
      </c>
      <c r="C112" s="71">
        <v>1.0583941600000001E-2</v>
      </c>
      <c r="D112" s="20">
        <v>27690</v>
      </c>
      <c r="E112" s="21">
        <f t="shared" si="54"/>
        <v>0</v>
      </c>
      <c r="F112" s="22">
        <f>IF(ISNUMBER(D112), $B118 * E112, "")</f>
        <v>0</v>
      </c>
      <c r="G112" s="30">
        <v>27420</v>
      </c>
      <c r="H112" s="21">
        <f t="shared" si="55"/>
        <v>-9.7508125677139759E-3</v>
      </c>
      <c r="I112" s="95">
        <f>IF(ISNUMBER(G112), $B118 * H112, "")</f>
        <v>-1462.6218851570964</v>
      </c>
      <c r="J112" s="20">
        <v>27020</v>
      </c>
      <c r="K112" s="21">
        <f t="shared" si="56"/>
        <v>-2.4196460816179127E-2</v>
      </c>
      <c r="L112" s="22">
        <f>IF(ISNUMBER(J112), $B118 * K112, "")</f>
        <v>-3629.469122426869</v>
      </c>
      <c r="M112" s="30">
        <v>26980</v>
      </c>
      <c r="N112" s="21">
        <f t="shared" si="57"/>
        <v>-2.564102564102564E-2</v>
      </c>
      <c r="O112" s="22">
        <f>IF(ISNUMBER(M112), $B118 * N112, "")</f>
        <v>-3846.1538461538462</v>
      </c>
      <c r="Q112" s="156"/>
      <c r="R112" s="156"/>
      <c r="S112" s="156"/>
    </row>
    <row r="113" spans="1:19" ht="17.25" thickBot="1">
      <c r="A113" s="109" t="s">
        <v>342</v>
      </c>
      <c r="B113" s="113">
        <v>102900</v>
      </c>
      <c r="C113" s="73">
        <v>1.03092784E-2</v>
      </c>
      <c r="D113" s="96">
        <v>102900</v>
      </c>
      <c r="E113" s="97">
        <f>IF(ISNUMBER(D113), (D113 - $B113) / $B113, "")</f>
        <v>0</v>
      </c>
      <c r="F113" s="98">
        <f>IF(ISNUMBER(D113), $B118 * E113, "")</f>
        <v>0</v>
      </c>
      <c r="G113" s="99">
        <v>102050</v>
      </c>
      <c r="H113" s="97">
        <f>IF(ISNUMBER(G113), (G113 - $B113) / $B113, "")</f>
        <v>-8.2604470359572395E-3</v>
      </c>
      <c r="I113" s="100">
        <f>IF(ISNUMBER(G113), $B118 * H113, "")</f>
        <v>-1239.0670553935859</v>
      </c>
      <c r="J113" s="96">
        <v>100800</v>
      </c>
      <c r="K113" s="97">
        <f>IF(ISNUMBER(J113), (J113 - $B113) / $B113, "")</f>
        <v>-2.0408163265306121E-2</v>
      </c>
      <c r="L113" s="98">
        <f>IF(ISNUMBER(J113), $B118 * K113, "")</f>
        <v>-3061.2244897959181</v>
      </c>
      <c r="M113" s="99">
        <v>100350</v>
      </c>
      <c r="N113" s="97">
        <f>IF(ISNUMBER(M113), (M113 - $B113) / $B113, "")</f>
        <v>-2.478134110787172E-2</v>
      </c>
      <c r="O113" s="98">
        <f>IF(ISNUMBER(M113), $B118 * N113, "")</f>
        <v>-3717.2011661807583</v>
      </c>
      <c r="Q113" s="146"/>
      <c r="R113" s="146"/>
      <c r="S113" s="146"/>
    </row>
    <row r="114" spans="1:19" ht="17.25" thickBot="1">
      <c r="A114" s="109" t="s">
        <v>195</v>
      </c>
      <c r="B114" s="110">
        <v>8.5299999999999994</v>
      </c>
      <c r="C114" s="70">
        <v>9.4674556000000007E-3</v>
      </c>
      <c r="D114" s="15">
        <v>8.5299999999999994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8.35</v>
      </c>
      <c r="H114" s="32">
        <f t="shared" ref="H114:H117" si="59">IF(ISNUMBER(G114), (G114 - $B114) / $B114, "")</f>
        <v>-2.1101992966002313E-2</v>
      </c>
      <c r="I114" s="91">
        <f>IF(ISNUMBER(G114), $B118 * H114, "")</f>
        <v>-3165.2989449003471</v>
      </c>
      <c r="J114" s="15">
        <v>8.41</v>
      </c>
      <c r="K114" s="32">
        <f t="shared" ref="K114:K117" si="60">IF(ISNUMBER(J114), (J114 - $B114) / $B114, "")</f>
        <v>-1.4067995310668139E-2</v>
      </c>
      <c r="L114" s="18">
        <f>IF(ISNUMBER(J114), $B118 * K114, "")</f>
        <v>-2110.1992966002208</v>
      </c>
      <c r="M114" s="31">
        <v>8.32</v>
      </c>
      <c r="N114" s="32">
        <f t="shared" ref="N114:N117" si="61">IF(ISNUMBER(M114), (M114 - $B114) / $B114, "")</f>
        <v>-2.4618991793669297E-2</v>
      </c>
      <c r="O114" s="18">
        <f>IF(ISNUMBER(M114), $B118 * N114, "")</f>
        <v>-3692.8487690503944</v>
      </c>
      <c r="Q114" s="146"/>
      <c r="R114" s="146"/>
      <c r="S114" s="146"/>
    </row>
    <row r="115" spans="1:19" ht="17.25" thickBot="1">
      <c r="A115" s="109" t="s">
        <v>77</v>
      </c>
      <c r="B115" s="110">
        <v>166500</v>
      </c>
      <c r="C115" s="70">
        <v>9.3967869000000006E-3</v>
      </c>
      <c r="D115" s="15">
        <v>166500</v>
      </c>
      <c r="E115" s="32">
        <f t="shared" si="58"/>
        <v>0</v>
      </c>
      <c r="F115" s="18">
        <f>IF(ISNUMBER(D115), $B118 * E115, "")</f>
        <v>0</v>
      </c>
      <c r="G115" s="31">
        <v>165250</v>
      </c>
      <c r="H115" s="32">
        <f t="shared" si="59"/>
        <v>-7.5075075075075074E-3</v>
      </c>
      <c r="I115" s="91">
        <f>IF(ISNUMBER(G115), $B118 * H115, "")</f>
        <v>-1126.1261261261261</v>
      </c>
      <c r="J115" s="15">
        <v>164300</v>
      </c>
      <c r="K115" s="32">
        <f t="shared" si="60"/>
        <v>-1.3213213213213212E-2</v>
      </c>
      <c r="L115" s="18">
        <f>IF(ISNUMBER(J115), $B118 * K115, "")</f>
        <v>-1981.9819819819818</v>
      </c>
      <c r="M115" s="31">
        <v>164250</v>
      </c>
      <c r="N115" s="32">
        <f t="shared" si="61"/>
        <v>-1.3513513513513514E-2</v>
      </c>
      <c r="O115" s="18">
        <f>IF(ISNUMBER(M115), $B118 * N115, "")</f>
        <v>-2027.0270270270271</v>
      </c>
      <c r="Q115" s="146"/>
      <c r="R115" s="146"/>
      <c r="S115" s="146"/>
    </row>
    <row r="116" spans="1:19">
      <c r="A116" s="109" t="s">
        <v>118</v>
      </c>
      <c r="B116" s="110">
        <v>8.0399999999999991</v>
      </c>
      <c r="C116" s="70">
        <v>8.7829359999999999E-3</v>
      </c>
      <c r="D116" s="15">
        <v>8.0399999999999991</v>
      </c>
      <c r="E116" s="32">
        <f t="shared" si="58"/>
        <v>0</v>
      </c>
      <c r="F116" s="18">
        <f>IF(ISNUMBER(D116), $B118 * E116, "")</f>
        <v>0</v>
      </c>
      <c r="G116" s="31">
        <v>8.1</v>
      </c>
      <c r="H116" s="32">
        <f t="shared" si="59"/>
        <v>7.4626865671642414E-3</v>
      </c>
      <c r="I116" s="91">
        <f>IF(ISNUMBER(G116), $B118 * H116, "")</f>
        <v>1119.4029850746363</v>
      </c>
      <c r="J116" s="15">
        <v>8.1</v>
      </c>
      <c r="K116" s="32">
        <f t="shared" si="60"/>
        <v>7.4626865671642414E-3</v>
      </c>
      <c r="L116" s="18">
        <f>IF(ISNUMBER(J116), $B118 * K116, "")</f>
        <v>1119.4029850746363</v>
      </c>
      <c r="M116" s="31">
        <v>7.94</v>
      </c>
      <c r="N116" s="32">
        <f t="shared" si="61"/>
        <v>-1.2437810945273478E-2</v>
      </c>
      <c r="O116" s="18">
        <f>IF(ISNUMBER(M116), $B118 * N116, "")</f>
        <v>-1865.6716417910218</v>
      </c>
      <c r="Q116" s="135"/>
      <c r="R116" s="136"/>
      <c r="S116" s="137"/>
    </row>
    <row r="117" spans="1:19" ht="17.25" thickBot="1">
      <c r="A117" s="114" t="s">
        <v>237</v>
      </c>
      <c r="B117" s="115">
        <v>36.200000000000003</v>
      </c>
      <c r="C117" s="72">
        <v>8.3565459999999994E-3</v>
      </c>
      <c r="D117" s="24">
        <v>36.200000000000003</v>
      </c>
      <c r="E117" s="25">
        <f t="shared" si="58"/>
        <v>0</v>
      </c>
      <c r="F117" s="94">
        <f>IF(ISNUMBER(D117), $B118 * E117, "")</f>
        <v>0</v>
      </c>
      <c r="G117" s="92">
        <v>36.5</v>
      </c>
      <c r="H117" s="25">
        <f t="shared" si="59"/>
        <v>8.2872928176794796E-3</v>
      </c>
      <c r="I117" s="93">
        <f>IF(ISNUMBER(G117), $B118 * H117, "")</f>
        <v>1243.093922651922</v>
      </c>
      <c r="J117" s="24">
        <v>35.700000000000003</v>
      </c>
      <c r="K117" s="25">
        <f t="shared" si="60"/>
        <v>-1.3812154696132596E-2</v>
      </c>
      <c r="L117" s="94">
        <f>IF(ISNUMBER(J117), $B118 * K117, "")</f>
        <v>-2071.8232044198894</v>
      </c>
      <c r="M117" s="92">
        <v>35.5</v>
      </c>
      <c r="N117" s="25">
        <f t="shared" si="61"/>
        <v>-1.9337016574585711E-2</v>
      </c>
      <c r="O117" s="94">
        <f>IF(ISNUMBER(M117), $B118 * N117, "")</f>
        <v>-2900.5524861878566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-1.100211840307602E-2</v>
      </c>
      <c r="I118" s="28">
        <f>SUM(I98:I117)</f>
        <v>-33006.355209228059</v>
      </c>
      <c r="J118" s="26" t="s">
        <v>258</v>
      </c>
      <c r="K118" s="27">
        <f>IF(COUNT(K98:K117), SUM(K98:K117) / COUNT(K98:K117), 0)</f>
        <v>-8.7047003181501582E-3</v>
      </c>
      <c r="L118" s="28">
        <f>SUM(L98:L117)</f>
        <v>-26114.10095445047</v>
      </c>
      <c r="M118" s="26" t="s">
        <v>258</v>
      </c>
      <c r="N118" s="27">
        <f>IF(COUNT(N98:N117), SUM(N98:N117) / COUNT(N98:N117), 0)</f>
        <v>-1.9682275020584179E-2</v>
      </c>
      <c r="O118" s="28">
        <f>SUM(O98:O117)</f>
        <v>-59046.825061752541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2023-03-07(화) 오전 00:00</v>
      </c>
      <c r="C123" s="198"/>
      <c r="D123" s="170" t="str">
        <f>TEXT($G$1, "[$-ko-KR]yyyy-mm-dd(ddd) ") &amp; "오후 14:00"</f>
        <v>2023-03-07(화) 오후 14:00</v>
      </c>
      <c r="E123" s="171"/>
      <c r="F123" s="172"/>
      <c r="G123" s="170" t="str">
        <f>TEXT($G$1, "[$-ko-KR]yyyy-mm-dd(ddd) ") &amp; "오후 19:00"</f>
        <v>2023-03-07(화) 오후 19:00</v>
      </c>
      <c r="H123" s="171"/>
      <c r="I123" s="172"/>
      <c r="J123" s="170" t="str">
        <f>TEXT($G$1, "[$-ko-KR]yyyy-mm-dd(ddd) ") &amp; "오후 21:00"</f>
        <v>2023-03-07(화) 오후 21:00</v>
      </c>
      <c r="K123" s="171"/>
      <c r="L123" s="172"/>
      <c r="M123" s="170" t="str">
        <f>TEXT($G$1+1, "[$-ko-KR]yyyy-mm-dd(ddd) ") &amp; "오전 00:00"</f>
        <v>2023-03-08(수)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155</v>
      </c>
      <c r="B125" s="108">
        <v>35.200000000000003</v>
      </c>
      <c r="C125" s="69">
        <v>2.8490028000000001E-3</v>
      </c>
      <c r="D125" s="13">
        <v>35.200000000000003</v>
      </c>
      <c r="E125" s="14">
        <f>IF(ISNUMBER(D125), (D125 - $B125) / $B125, "")</f>
        <v>0</v>
      </c>
      <c r="F125" s="16">
        <f>IF(ISNUMBER(D125), $B145 * E125, "")</f>
        <v>0</v>
      </c>
      <c r="G125" s="29">
        <v>35.200000000000003</v>
      </c>
      <c r="H125" s="14">
        <f>IF(ISNUMBER(G125), (G125 - $B125) / $B125, "")</f>
        <v>0</v>
      </c>
      <c r="I125" s="90">
        <f>IF(ISNUMBER(G125), $B145 * H125, "")</f>
        <v>0</v>
      </c>
      <c r="J125" s="13">
        <v>35.200000000000003</v>
      </c>
      <c r="K125" s="14">
        <f>IF(ISNUMBER(J125), (J125 - $B125) / $B125, "")</f>
        <v>0</v>
      </c>
      <c r="L125" s="16">
        <f>IF(ISNUMBER(J125), $B145 * K125, "")</f>
        <v>0</v>
      </c>
      <c r="M125" s="29">
        <v>34.5</v>
      </c>
      <c r="N125" s="14">
        <f>IF(ISNUMBER(M125), (M125 - $B125) / $B125, "")</f>
        <v>-1.9886363636363716E-2</v>
      </c>
      <c r="O125" s="16">
        <f>IF(ISNUMBER(M125), $B145 * N125, "")</f>
        <v>-2982.9545454545573</v>
      </c>
      <c r="Q125" s="156"/>
      <c r="R125" s="156"/>
      <c r="S125" s="156"/>
    </row>
    <row r="126" spans="1:19" ht="17.25" thickBot="1">
      <c r="A126" s="109" t="s">
        <v>141</v>
      </c>
      <c r="B126" s="110">
        <v>5.13</v>
      </c>
      <c r="C126" s="70">
        <v>1.953125E-3</v>
      </c>
      <c r="D126" s="15">
        <v>5.13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5.05</v>
      </c>
      <c r="H126" s="32">
        <f t="shared" ref="H126:H129" si="63">IF(ISNUMBER(G126), (G126 - $B126) / $B126, "")</f>
        <v>-1.5594541910331399E-2</v>
      </c>
      <c r="I126" s="91">
        <f>IF(ISNUMBER(G126), $B145 * H126, "")</f>
        <v>-2339.18128654971</v>
      </c>
      <c r="J126" s="15">
        <v>5.08</v>
      </c>
      <c r="K126" s="32">
        <f t="shared" ref="K126:K129" si="64">IF(ISNUMBER(J126), (J126 - $B126) / $B126, "")</f>
        <v>-9.7465886939570798E-3</v>
      </c>
      <c r="L126" s="18">
        <f>IF(ISNUMBER(J126), $B145 * K126, "")</f>
        <v>-1461.988304093562</v>
      </c>
      <c r="M126" s="31">
        <v>5.0199999999999996</v>
      </c>
      <c r="N126" s="32">
        <f t="shared" ref="N126:N129" si="65">IF(ISNUMBER(M126), (M126 - $B126) / $B126, "")</f>
        <v>-2.1442495126705714E-2</v>
      </c>
      <c r="O126" s="18">
        <f>IF(ISNUMBER(M126), $B145 * N126, "")</f>
        <v>-3216.3742690058571</v>
      </c>
      <c r="Q126" s="156"/>
      <c r="R126" s="156"/>
      <c r="S126" s="156"/>
    </row>
    <row r="127" spans="1:19" ht="17.25" thickBot="1">
      <c r="A127" s="109" t="s">
        <v>227</v>
      </c>
      <c r="B127" s="110">
        <v>61.8</v>
      </c>
      <c r="C127" s="70">
        <v>1.6207455E-3</v>
      </c>
      <c r="D127" s="15">
        <v>61.8</v>
      </c>
      <c r="E127" s="32">
        <f t="shared" si="62"/>
        <v>0</v>
      </c>
      <c r="F127" s="18">
        <f>IF(ISNUMBER(D127), $B145 * E127, "")</f>
        <v>0</v>
      </c>
      <c r="G127" s="31">
        <v>60.7</v>
      </c>
      <c r="H127" s="32">
        <f t="shared" si="63"/>
        <v>-1.7799352750808971E-2</v>
      </c>
      <c r="I127" s="91">
        <f>IF(ISNUMBER(G127), $B145 * H127, "")</f>
        <v>-2669.9029126213459</v>
      </c>
      <c r="J127" s="15">
        <v>61.4</v>
      </c>
      <c r="K127" s="32">
        <f t="shared" si="64"/>
        <v>-6.4724919093850902E-3</v>
      </c>
      <c r="L127" s="18">
        <f>IF(ISNUMBER(J127), $B145 * K127, "")</f>
        <v>-970.87378640776353</v>
      </c>
      <c r="M127" s="31">
        <v>60.1</v>
      </c>
      <c r="N127" s="32">
        <f t="shared" si="65"/>
        <v>-2.7508090614886665E-2</v>
      </c>
      <c r="O127" s="18">
        <f>IF(ISNUMBER(M127), $B145 * N127, "")</f>
        <v>-4126.2135922329999</v>
      </c>
      <c r="Q127" s="146"/>
      <c r="R127" s="146"/>
      <c r="S127" s="146"/>
    </row>
    <row r="128" spans="1:19" ht="17.25" thickBot="1">
      <c r="A128" s="109" t="s">
        <v>97</v>
      </c>
      <c r="B128" s="110">
        <v>1E-3</v>
      </c>
      <c r="C128" s="70">
        <v>0</v>
      </c>
      <c r="D128" s="15">
        <v>1E-3</v>
      </c>
      <c r="E128" s="32">
        <f t="shared" si="62"/>
        <v>0</v>
      </c>
      <c r="F128" s="18">
        <f>IF(ISNUMBER(D128), $B145 * E128, "")</f>
        <v>0</v>
      </c>
      <c r="G128" s="31">
        <v>8.9999999999999998E-4</v>
      </c>
      <c r="H128" s="32">
        <f t="shared" si="63"/>
        <v>-0.10000000000000005</v>
      </c>
      <c r="I128" s="91">
        <f>IF(ISNUMBER(G128), $B145 * H128, "")</f>
        <v>-15000.000000000007</v>
      </c>
      <c r="J128" s="15">
        <v>8.9999999999999998E-4</v>
      </c>
      <c r="K128" s="32">
        <f t="shared" si="64"/>
        <v>-0.10000000000000005</v>
      </c>
      <c r="L128" s="18">
        <f>IF(ISNUMBER(J128), $B145 * K128, "")</f>
        <v>-15000.000000000007</v>
      </c>
      <c r="M128" s="31">
        <v>8.9999999999999998E-4</v>
      </c>
      <c r="N128" s="32">
        <f t="shared" si="65"/>
        <v>-0.10000000000000005</v>
      </c>
      <c r="O128" s="18">
        <f>IF(ISNUMBER(M128), $B145 * N128, "")</f>
        <v>-15000.000000000007</v>
      </c>
      <c r="Q128" s="146"/>
      <c r="R128" s="146"/>
      <c r="S128" s="146"/>
    </row>
    <row r="129" spans="1:19" ht="17.25" thickBot="1">
      <c r="A129" s="111" t="s">
        <v>221</v>
      </c>
      <c r="B129" s="112">
        <v>25.4</v>
      </c>
      <c r="C129" s="71">
        <v>0</v>
      </c>
      <c r="D129" s="20">
        <v>25.4</v>
      </c>
      <c r="E129" s="21">
        <f t="shared" si="62"/>
        <v>0</v>
      </c>
      <c r="F129" s="22">
        <f>IF(ISNUMBER(D129), $B145 * E129, "")</f>
        <v>0</v>
      </c>
      <c r="G129" s="30">
        <v>25.2</v>
      </c>
      <c r="H129" s="21">
        <f t="shared" si="63"/>
        <v>-7.8740157480314682E-3</v>
      </c>
      <c r="I129" s="95">
        <f>IF(ISNUMBER(G129), $B145 * H129, "")</f>
        <v>-1181.1023622047203</v>
      </c>
      <c r="J129" s="20">
        <v>25.3</v>
      </c>
      <c r="K129" s="21">
        <f t="shared" si="64"/>
        <v>-3.9370078740156647E-3</v>
      </c>
      <c r="L129" s="22">
        <f>IF(ISNUMBER(J129), $B145 * K129, "")</f>
        <v>-590.55118110234969</v>
      </c>
      <c r="M129" s="30">
        <v>24.9</v>
      </c>
      <c r="N129" s="21">
        <f t="shared" si="65"/>
        <v>-1.968503937007874E-2</v>
      </c>
      <c r="O129" s="22">
        <f>IF(ISNUMBER(M129), $B145 * N129, "")</f>
        <v>-2952.7559055118109</v>
      </c>
      <c r="Q129" s="146"/>
      <c r="R129" s="146"/>
      <c r="S129" s="146"/>
    </row>
    <row r="130" spans="1:19" ht="17.25" thickBot="1">
      <c r="A130" s="109" t="s">
        <v>145</v>
      </c>
      <c r="B130" s="113">
        <v>89.5</v>
      </c>
      <c r="C130" s="73">
        <v>0</v>
      </c>
      <c r="D130" s="96">
        <v>89.5</v>
      </c>
      <c r="E130" s="97">
        <f>IF(ISNUMBER(D130), (D130 - $B130) / $B130, "")</f>
        <v>0</v>
      </c>
      <c r="F130" s="98">
        <f>IF(ISNUMBER(D130), $B145 * E130, "")</f>
        <v>0</v>
      </c>
      <c r="G130" s="99">
        <v>89.5</v>
      </c>
      <c r="H130" s="97">
        <f>IF(ISNUMBER(G130), (G130 - $B130) / $B130, "")</f>
        <v>0</v>
      </c>
      <c r="I130" s="100">
        <f>IF(ISNUMBER(G130), $B145 * H130, "")</f>
        <v>0</v>
      </c>
      <c r="J130" s="96">
        <v>89</v>
      </c>
      <c r="K130" s="97">
        <f>IF(ISNUMBER(J130), (J130 - $B130) / $B130, "")</f>
        <v>-5.5865921787709499E-3</v>
      </c>
      <c r="L130" s="98">
        <f>IF(ISNUMBER(J130), $B145 * K130, "")</f>
        <v>-837.98882681564248</v>
      </c>
      <c r="M130" s="99">
        <v>89</v>
      </c>
      <c r="N130" s="97">
        <f>IF(ISNUMBER(M130), (M130 - $B130) / $B130, "")</f>
        <v>-5.5865921787709499E-3</v>
      </c>
      <c r="O130" s="98">
        <f>IF(ISNUMBER(M130), $B145 * N130, "")</f>
        <v>-837.98882681564248</v>
      </c>
      <c r="Q130" s="146"/>
      <c r="R130" s="146"/>
      <c r="S130" s="146"/>
    </row>
    <row r="131" spans="1:19" ht="17.25" thickBot="1">
      <c r="A131" s="109" t="s">
        <v>138</v>
      </c>
      <c r="B131" s="110">
        <v>45.1</v>
      </c>
      <c r="C131" s="70">
        <v>-2.2123894000000001E-3</v>
      </c>
      <c r="D131" s="15">
        <v>45.1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44.2</v>
      </c>
      <c r="H131" s="32">
        <f t="shared" ref="H131:H134" si="67">IF(ISNUMBER(G131), (G131 - $B131) / $B131, "")</f>
        <v>-1.9955654101995533E-2</v>
      </c>
      <c r="I131" s="91">
        <f>IF(ISNUMBER(G131), $B145 * H131, "")</f>
        <v>-2993.3481152993299</v>
      </c>
      <c r="J131" s="15">
        <v>43.4</v>
      </c>
      <c r="K131" s="32">
        <f t="shared" ref="K131:K134" si="68">IF(ISNUMBER(J131), (J131 - $B131) / $B131, "")</f>
        <v>-3.7694013303769466E-2</v>
      </c>
      <c r="L131" s="18">
        <f>IF(ISNUMBER(J131), $B145 * K131, "")</f>
        <v>-5654.1019955654201</v>
      </c>
      <c r="M131" s="31">
        <v>43.3</v>
      </c>
      <c r="N131" s="32">
        <f t="shared" ref="N131:N134" si="69">IF(ISNUMBER(M131), (M131 - $B131) / $B131, "")</f>
        <v>-3.9911308203991226E-2</v>
      </c>
      <c r="O131" s="18">
        <f>IF(ISNUMBER(M131), $B145 * N131, "")</f>
        <v>-5986.6962305986835</v>
      </c>
      <c r="Q131" s="146"/>
      <c r="R131" s="146"/>
      <c r="S131" s="146"/>
    </row>
    <row r="132" spans="1:19" ht="17.25" thickBot="1">
      <c r="A132" s="109" t="s">
        <v>124</v>
      </c>
      <c r="B132" s="110">
        <v>42.3</v>
      </c>
      <c r="C132" s="70">
        <v>-2.3584906000000002E-3</v>
      </c>
      <c r="D132" s="15">
        <v>42.3</v>
      </c>
      <c r="E132" s="32">
        <f t="shared" si="66"/>
        <v>0</v>
      </c>
      <c r="F132" s="18">
        <f>IF(ISNUMBER(D132), $B145 * E132, "")</f>
        <v>0</v>
      </c>
      <c r="G132" s="31">
        <v>42</v>
      </c>
      <c r="H132" s="32">
        <f t="shared" si="67"/>
        <v>-7.0921985815602167E-3</v>
      </c>
      <c r="I132" s="91">
        <f>IF(ISNUMBER(G132), $B145 * H132, "")</f>
        <v>-1063.8297872340324</v>
      </c>
      <c r="J132" s="15">
        <v>41.7</v>
      </c>
      <c r="K132" s="32">
        <f t="shared" si="68"/>
        <v>-1.4184397163120433E-2</v>
      </c>
      <c r="L132" s="18">
        <f>IF(ISNUMBER(J132), $B145 * K132, "")</f>
        <v>-2127.6595744680649</v>
      </c>
      <c r="M132" s="31">
        <v>41.6</v>
      </c>
      <c r="N132" s="32">
        <f t="shared" si="69"/>
        <v>-1.6548463356973894E-2</v>
      </c>
      <c r="O132" s="18">
        <f>IF(ISNUMBER(M132), $B145 * N132, "")</f>
        <v>-2482.2695035460843</v>
      </c>
      <c r="Q132" s="146"/>
      <c r="R132" s="146"/>
      <c r="S132" s="146"/>
    </row>
    <row r="133" spans="1:19" ht="17.25" thickBot="1">
      <c r="A133" s="109" t="s">
        <v>323</v>
      </c>
      <c r="B133" s="110">
        <v>95.8</v>
      </c>
      <c r="C133" s="70">
        <v>-3.1217482000000002E-3</v>
      </c>
      <c r="D133" s="15">
        <v>95.8</v>
      </c>
      <c r="E133" s="32">
        <f t="shared" si="66"/>
        <v>0</v>
      </c>
      <c r="F133" s="18">
        <f>IF(ISNUMBER(D133), $B145 * E133, "")</f>
        <v>0</v>
      </c>
      <c r="G133" s="31">
        <v>95.4</v>
      </c>
      <c r="H133" s="32">
        <f t="shared" si="67"/>
        <v>-4.175365344467552E-3</v>
      </c>
      <c r="I133" s="91">
        <f>IF(ISNUMBER(G133), $B145 * H133, "")</f>
        <v>-626.30480167013286</v>
      </c>
      <c r="J133" s="15">
        <v>94.7</v>
      </c>
      <c r="K133" s="32">
        <f t="shared" si="68"/>
        <v>-1.1482254697285954E-2</v>
      </c>
      <c r="L133" s="18">
        <f>IF(ISNUMBER(J133), $B145 * K133, "")</f>
        <v>-1722.3382045928931</v>
      </c>
      <c r="M133" s="31">
        <v>94.7</v>
      </c>
      <c r="N133" s="32">
        <f t="shared" si="69"/>
        <v>-1.1482254697285954E-2</v>
      </c>
      <c r="O133" s="18">
        <f>IF(ISNUMBER(M133), $B145 * N133, "")</f>
        <v>-1722.3382045928931</v>
      </c>
      <c r="Q133" s="33"/>
      <c r="R133" s="33"/>
    </row>
    <row r="134" spans="1:19" ht="17.25" thickBot="1">
      <c r="A134" s="114" t="s">
        <v>332</v>
      </c>
      <c r="B134" s="115">
        <v>8.19</v>
      </c>
      <c r="C134" s="72">
        <v>-3.649635E-3</v>
      </c>
      <c r="D134" s="24">
        <v>8.19</v>
      </c>
      <c r="E134" s="25">
        <f t="shared" si="66"/>
        <v>0</v>
      </c>
      <c r="F134" s="94">
        <f>IF(ISNUMBER(D134), $B145 * E134, "")</f>
        <v>0</v>
      </c>
      <c r="G134" s="92">
        <v>8.08</v>
      </c>
      <c r="H134" s="25">
        <f t="shared" si="67"/>
        <v>-1.3431013431013362E-2</v>
      </c>
      <c r="I134" s="93">
        <f>IF(ISNUMBER(G134), $B145 * H134, "")</f>
        <v>-2014.6520146520045</v>
      </c>
      <c r="J134" s="24">
        <v>7.95</v>
      </c>
      <c r="K134" s="25">
        <f t="shared" si="68"/>
        <v>-2.9304029304029224E-2</v>
      </c>
      <c r="L134" s="94">
        <f>IF(ISNUMBER(J134), $B145 * K134, "")</f>
        <v>-4395.6043956043841</v>
      </c>
      <c r="M134" s="92">
        <v>7.87</v>
      </c>
      <c r="N134" s="25">
        <f t="shared" si="69"/>
        <v>-3.9072039072039003E-2</v>
      </c>
      <c r="O134" s="94">
        <f>IF(ISNUMBER(M134), $B145 * N134, "")</f>
        <v>-5860.80586080585</v>
      </c>
      <c r="Q134" s="147"/>
      <c r="R134" s="148"/>
      <c r="S134" s="149"/>
    </row>
    <row r="135" spans="1:19">
      <c r="A135" s="107" t="s">
        <v>203</v>
      </c>
      <c r="B135" s="108">
        <v>4.53</v>
      </c>
      <c r="C135" s="69">
        <v>-4.3956044000000001E-3</v>
      </c>
      <c r="D135" s="13">
        <v>4.53</v>
      </c>
      <c r="E135" s="14">
        <f>IF(ISNUMBER(D135), (D135 - $B135) / $B135, "")</f>
        <v>0</v>
      </c>
      <c r="F135" s="16">
        <f>IF(ISNUMBER(D135), $B145 * E135, "")</f>
        <v>0</v>
      </c>
      <c r="G135" s="29">
        <v>4.4800000000000004</v>
      </c>
      <c r="H135" s="14">
        <f>IF(ISNUMBER(G135), (G135 - $B135) / $B135, "")</f>
        <v>-1.1037527593818946E-2</v>
      </c>
      <c r="I135" s="90">
        <f>IF(ISNUMBER(G135), $B145 * H135, "")</f>
        <v>-1655.6291390728418</v>
      </c>
      <c r="J135" s="13">
        <v>4.4800000000000004</v>
      </c>
      <c r="K135" s="14">
        <f>IF(ISNUMBER(J135), (J135 - $B135) / $B135, "")</f>
        <v>-1.1037527593818946E-2</v>
      </c>
      <c r="L135" s="16">
        <f>IF(ISNUMBER(J135), $B145 * K135, "")</f>
        <v>-1655.6291390728418</v>
      </c>
      <c r="M135" s="29">
        <v>4.42</v>
      </c>
      <c r="N135" s="14">
        <f>IF(ISNUMBER(M135), (M135 - $B135) / $B135, "")</f>
        <v>-2.4282560706401835E-2</v>
      </c>
      <c r="O135" s="16">
        <f>IF(ISNUMBER(M135), $B145 * N135, "")</f>
        <v>-3642.3841059602751</v>
      </c>
      <c r="Q135" s="150"/>
      <c r="R135" s="151"/>
      <c r="S135" s="152"/>
    </row>
    <row r="136" spans="1:19" ht="17.25" thickBot="1">
      <c r="A136" s="109" t="s">
        <v>185</v>
      </c>
      <c r="B136" s="110">
        <v>40.9</v>
      </c>
      <c r="C136" s="70">
        <v>-4.8661800000000003E-3</v>
      </c>
      <c r="D136" s="15">
        <v>40.9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41</v>
      </c>
      <c r="H136" s="32">
        <f t="shared" ref="H136:H139" si="71">IF(ISNUMBER(G136), (G136 - $B136) / $B136, "")</f>
        <v>2.4449877750611594E-3</v>
      </c>
      <c r="I136" s="91">
        <f>IF(ISNUMBER(G136), $B145 * H136, "")</f>
        <v>366.7481662591739</v>
      </c>
      <c r="J136" s="15">
        <v>41.4</v>
      </c>
      <c r="K136" s="32">
        <f t="shared" ref="K136:K139" si="72">IF(ISNUMBER(J136), (J136 - $B136) / $B136, "")</f>
        <v>1.2224938875305624E-2</v>
      </c>
      <c r="L136" s="18">
        <f>IF(ISNUMBER(J136), $B145 * K136, "")</f>
        <v>1833.7408312958437</v>
      </c>
      <c r="M136" s="31">
        <v>40.6</v>
      </c>
      <c r="N136" s="32">
        <f t="shared" ref="N136:N139" si="73">IF(ISNUMBER(M136), (M136 - $B136) / $B136, "")</f>
        <v>-7.3349633251833047E-3</v>
      </c>
      <c r="O136" s="18">
        <f>IF(ISNUMBER(M136), $B145 * N136, "")</f>
        <v>-1100.2444987774957</v>
      </c>
      <c r="Q136" s="153"/>
      <c r="R136" s="154"/>
      <c r="S136" s="155"/>
    </row>
    <row r="137" spans="1:19" ht="17.25" thickBot="1">
      <c r="A137" s="109" t="s">
        <v>56</v>
      </c>
      <c r="B137" s="110">
        <v>54.7</v>
      </c>
      <c r="C137" s="70">
        <v>-5.4545454999999996E-3</v>
      </c>
      <c r="D137" s="15">
        <v>54.7</v>
      </c>
      <c r="E137" s="32">
        <f t="shared" si="70"/>
        <v>0</v>
      </c>
      <c r="F137" s="18">
        <f>IF(ISNUMBER(D137), $B145 * E137, "")</f>
        <v>0</v>
      </c>
      <c r="G137" s="31">
        <v>53.8</v>
      </c>
      <c r="H137" s="32">
        <f t="shared" si="71"/>
        <v>-1.6453382084095167E-2</v>
      </c>
      <c r="I137" s="91">
        <f>IF(ISNUMBER(G137), $B145 * H137, "")</f>
        <v>-2468.0073126142752</v>
      </c>
      <c r="J137" s="15">
        <v>53.2</v>
      </c>
      <c r="K137" s="32">
        <f t="shared" si="72"/>
        <v>-2.7422303473491772E-2</v>
      </c>
      <c r="L137" s="18">
        <f>IF(ISNUMBER(J137), $B145 * K137, "")</f>
        <v>-4113.3455210237662</v>
      </c>
      <c r="M137" s="31">
        <v>52.6</v>
      </c>
      <c r="N137" s="32">
        <f t="shared" si="73"/>
        <v>-3.8391224862888505E-2</v>
      </c>
      <c r="O137" s="18">
        <f>IF(ISNUMBER(M137), $B145 * N137, "")</f>
        <v>-5758.6837294332754</v>
      </c>
      <c r="Q137" s="146"/>
      <c r="R137" s="146"/>
      <c r="S137" s="146"/>
    </row>
    <row r="138" spans="1:19" ht="17.25" thickBot="1">
      <c r="A138" s="109" t="s">
        <v>193</v>
      </c>
      <c r="B138" s="110">
        <v>25.2</v>
      </c>
      <c r="C138" s="70">
        <v>-7.8740157000000005E-3</v>
      </c>
      <c r="D138" s="15">
        <v>25.2</v>
      </c>
      <c r="E138" s="32">
        <f t="shared" si="70"/>
        <v>0</v>
      </c>
      <c r="F138" s="18">
        <f>IF(ISNUMBER(D138), $B145 * E138, "")</f>
        <v>0</v>
      </c>
      <c r="G138" s="31">
        <v>25.5</v>
      </c>
      <c r="H138" s="32">
        <f t="shared" si="71"/>
        <v>1.1904761904761934E-2</v>
      </c>
      <c r="I138" s="91">
        <f>IF(ISNUMBER(G138), $B145 * H138, "")</f>
        <v>1785.7142857142901</v>
      </c>
      <c r="J138" s="15">
        <v>25.6</v>
      </c>
      <c r="K138" s="32">
        <f t="shared" si="72"/>
        <v>1.5873015873015959E-2</v>
      </c>
      <c r="L138" s="18">
        <f>IF(ISNUMBER(J138), $B145 * K138, "")</f>
        <v>2380.9523809523939</v>
      </c>
      <c r="M138" s="31">
        <v>25</v>
      </c>
      <c r="N138" s="32">
        <f t="shared" si="73"/>
        <v>-7.9365079365079083E-3</v>
      </c>
      <c r="O138" s="18">
        <f>IF(ISNUMBER(M138), $B145 * N138, "")</f>
        <v>-1190.4761904761863</v>
      </c>
      <c r="Q138" s="156"/>
      <c r="R138" s="156"/>
      <c r="S138" s="156"/>
    </row>
    <row r="139" spans="1:19" ht="17.25" thickBot="1">
      <c r="A139" s="111" t="s">
        <v>197</v>
      </c>
      <c r="B139" s="112">
        <v>12.3</v>
      </c>
      <c r="C139" s="71">
        <v>-8.0645161000000003E-3</v>
      </c>
      <c r="D139" s="20">
        <v>12.3</v>
      </c>
      <c r="E139" s="21">
        <f t="shared" si="70"/>
        <v>0</v>
      </c>
      <c r="F139" s="22">
        <f>IF(ISNUMBER(D139), $B145 * E139, "")</f>
        <v>0</v>
      </c>
      <c r="G139" s="30">
        <v>12</v>
      </c>
      <c r="H139" s="21">
        <f t="shared" si="71"/>
        <v>-2.4390243902439081E-2</v>
      </c>
      <c r="I139" s="95">
        <f>IF(ISNUMBER(G139), $B145 * H139, "")</f>
        <v>-3658.5365853658623</v>
      </c>
      <c r="J139" s="20">
        <v>11.9</v>
      </c>
      <c r="K139" s="21">
        <f t="shared" si="72"/>
        <v>-3.2520325203252057E-2</v>
      </c>
      <c r="L139" s="22">
        <f>IF(ISNUMBER(J139), $B145 * K139, "")</f>
        <v>-4878.0487804878085</v>
      </c>
      <c r="M139" s="30">
        <v>11.8</v>
      </c>
      <c r="N139" s="21">
        <f t="shared" si="73"/>
        <v>-4.065040650406504E-2</v>
      </c>
      <c r="O139" s="22">
        <f>IF(ISNUMBER(M139), $B145 * N139, "")</f>
        <v>-6097.5609756097556</v>
      </c>
      <c r="Q139" s="156"/>
      <c r="R139" s="156"/>
      <c r="S139" s="156"/>
    </row>
    <row r="140" spans="1:19" ht="17.25" thickBot="1">
      <c r="A140" s="109" t="s">
        <v>217</v>
      </c>
      <c r="B140" s="113">
        <v>93.9</v>
      </c>
      <c r="C140" s="73">
        <v>-9.4936709000000008E-3</v>
      </c>
      <c r="D140" s="96">
        <v>93.9</v>
      </c>
      <c r="E140" s="97">
        <f>IF(ISNUMBER(D140), (D140 - $B140) / $B140, "")</f>
        <v>0</v>
      </c>
      <c r="F140" s="98">
        <f>IF(ISNUMBER(D140), $B145 * E140, "")</f>
        <v>0</v>
      </c>
      <c r="G140" s="99">
        <v>92.7</v>
      </c>
      <c r="H140" s="97">
        <f>IF(ISNUMBER(G140), (G140 - $B140) / $B140, "")</f>
        <v>-1.2779552715654981E-2</v>
      </c>
      <c r="I140" s="100">
        <f>IF(ISNUMBER(G140), $B145 * H140, "")</f>
        <v>-1916.9329073482472</v>
      </c>
      <c r="J140" s="96">
        <v>92.2</v>
      </c>
      <c r="K140" s="97">
        <f>IF(ISNUMBER(J140), (J140 - $B140) / $B140, "")</f>
        <v>-1.8104366347177877E-2</v>
      </c>
      <c r="L140" s="98">
        <f>IF(ISNUMBER(J140), $B145 * K140, "")</f>
        <v>-2715.6549520766816</v>
      </c>
      <c r="M140" s="99">
        <v>90.9</v>
      </c>
      <c r="N140" s="97">
        <f>IF(ISNUMBER(M140), (M140 - $B140) / $B140, "")</f>
        <v>-3.1948881789137379E-2</v>
      </c>
      <c r="O140" s="98">
        <f>IF(ISNUMBER(M140), $B145 * N140, "")</f>
        <v>-4792.3322683706065</v>
      </c>
      <c r="Q140" s="146"/>
      <c r="R140" s="146"/>
      <c r="S140" s="146"/>
    </row>
    <row r="141" spans="1:19" ht="17.25" thickBot="1">
      <c r="A141" s="109" t="s">
        <v>207</v>
      </c>
      <c r="B141" s="110">
        <v>88.6</v>
      </c>
      <c r="C141" s="70">
        <v>-1.1160714299999999E-2</v>
      </c>
      <c r="D141" s="15">
        <v>88.6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87.5</v>
      </c>
      <c r="H141" s="32">
        <f t="shared" ref="H141:H144" si="75">IF(ISNUMBER(G141), (G141 - $B141) / $B141, "")</f>
        <v>-1.241534988713312E-2</v>
      </c>
      <c r="I141" s="91">
        <f>IF(ISNUMBER(G141), $B145 * H141, "")</f>
        <v>-1862.302483069968</v>
      </c>
      <c r="J141" s="15">
        <v>88.1</v>
      </c>
      <c r="K141" s="32">
        <f t="shared" ref="K141:K144" si="76">IF(ISNUMBER(J141), (J141 - $B141) / $B141, "")</f>
        <v>-5.6433408577878106E-3</v>
      </c>
      <c r="L141" s="18">
        <f>IF(ISNUMBER(J141), $B145 * K141, "")</f>
        <v>-846.50112866817153</v>
      </c>
      <c r="M141" s="31">
        <v>86.4</v>
      </c>
      <c r="N141" s="32">
        <f t="shared" ref="N141:N144" si="77">IF(ISNUMBER(M141), (M141 - $B141) / $B141, "")</f>
        <v>-2.4830699774266239E-2</v>
      </c>
      <c r="O141" s="18">
        <f>IF(ISNUMBER(M141), $B145 * N141, "")</f>
        <v>-3724.6049661399361</v>
      </c>
      <c r="Q141" s="146"/>
      <c r="R141" s="146"/>
      <c r="S141" s="146"/>
    </row>
    <row r="142" spans="1:19" ht="17.25" thickBot="1">
      <c r="A142" s="109" t="s">
        <v>143</v>
      </c>
      <c r="B142" s="110">
        <v>6</v>
      </c>
      <c r="C142" s="70">
        <v>-1.3157894700000001E-2</v>
      </c>
      <c r="D142" s="15">
        <v>6</v>
      </c>
      <c r="E142" s="32">
        <f t="shared" si="74"/>
        <v>0</v>
      </c>
      <c r="F142" s="18">
        <f>IF(ISNUMBER(D142), $B145 * E142, "")</f>
        <v>0</v>
      </c>
      <c r="G142" s="31">
        <v>5.88</v>
      </c>
      <c r="H142" s="32">
        <f t="shared" si="75"/>
        <v>-2.0000000000000018E-2</v>
      </c>
      <c r="I142" s="91">
        <f>IF(ISNUMBER(G142), $B145 * H142, "")</f>
        <v>-3000.0000000000027</v>
      </c>
      <c r="J142" s="15">
        <v>5.83</v>
      </c>
      <c r="K142" s="32">
        <f t="shared" si="76"/>
        <v>-2.8333333333333321E-2</v>
      </c>
      <c r="L142" s="18">
        <f>IF(ISNUMBER(J142), $B145 * K142, "")</f>
        <v>-4249.9999999999982</v>
      </c>
      <c r="M142" s="31">
        <v>5.79</v>
      </c>
      <c r="N142" s="32">
        <f t="shared" si="77"/>
        <v>-3.4999999999999996E-2</v>
      </c>
      <c r="O142" s="18">
        <f>IF(ISNUMBER(M142), $B145 * N142, "")</f>
        <v>-5249.9999999999991</v>
      </c>
      <c r="Q142" s="146"/>
      <c r="R142" s="146"/>
      <c r="S142" s="146"/>
    </row>
    <row r="143" spans="1:19">
      <c r="A143" s="109" t="s">
        <v>107</v>
      </c>
      <c r="B143" s="110">
        <v>50.3</v>
      </c>
      <c r="C143" s="70">
        <v>-1.3725490200000001E-2</v>
      </c>
      <c r="D143" s="15">
        <v>50.3</v>
      </c>
      <c r="E143" s="32">
        <f t="shared" si="74"/>
        <v>0</v>
      </c>
      <c r="F143" s="18">
        <f>IF(ISNUMBER(D143), $B145 * E143, "")</f>
        <v>0</v>
      </c>
      <c r="G143" s="31">
        <v>50.1</v>
      </c>
      <c r="H143" s="32">
        <f t="shared" si="75"/>
        <v>-3.976143141152997E-3</v>
      </c>
      <c r="I143" s="91">
        <f>IF(ISNUMBER(G143), $B145 * H143, "")</f>
        <v>-596.42147117294951</v>
      </c>
      <c r="J143" s="15">
        <v>49.8</v>
      </c>
      <c r="K143" s="32">
        <f t="shared" si="76"/>
        <v>-9.9403578528827041E-3</v>
      </c>
      <c r="L143" s="18">
        <f>IF(ISNUMBER(J143), $B145 * K143, "")</f>
        <v>-1491.0536779324057</v>
      </c>
      <c r="M143" s="31">
        <v>49.6</v>
      </c>
      <c r="N143" s="32">
        <f t="shared" si="77"/>
        <v>-1.3916500994035701E-2</v>
      </c>
      <c r="O143" s="18">
        <f>IF(ISNUMBER(M143), $B145 * N143, "")</f>
        <v>-2087.4751491053553</v>
      </c>
      <c r="Q143" s="135"/>
      <c r="R143" s="136"/>
      <c r="S143" s="137"/>
    </row>
    <row r="144" spans="1:19" ht="17.25" thickBot="1">
      <c r="A144" s="114" t="s">
        <v>334</v>
      </c>
      <c r="B144" s="115">
        <v>54.2</v>
      </c>
      <c r="C144" s="72">
        <v>-1.63339383E-2</v>
      </c>
      <c r="D144" s="24">
        <v>54.2</v>
      </c>
      <c r="E144" s="25">
        <f t="shared" si="74"/>
        <v>0</v>
      </c>
      <c r="F144" s="94">
        <f>IF(ISNUMBER(D144), $B145 * E144, "")</f>
        <v>0</v>
      </c>
      <c r="G144" s="92">
        <v>52.2</v>
      </c>
      <c r="H144" s="25">
        <f t="shared" si="75"/>
        <v>-3.6900369003690037E-2</v>
      </c>
      <c r="I144" s="93">
        <f>IF(ISNUMBER(G144), $B145 * H144, "")</f>
        <v>-5535.0553505535054</v>
      </c>
      <c r="J144" s="24">
        <v>52</v>
      </c>
      <c r="K144" s="25">
        <f t="shared" si="76"/>
        <v>-4.0590405904059088E-2</v>
      </c>
      <c r="L144" s="94">
        <f>IF(ISNUMBER(J144), $B145 * K144, "")</f>
        <v>-6088.5608856088629</v>
      </c>
      <c r="M144" s="92">
        <v>51.2</v>
      </c>
      <c r="N144" s="25">
        <f t="shared" si="77"/>
        <v>-5.5350553505535055E-2</v>
      </c>
      <c r="O144" s="94">
        <f>IF(ISNUMBER(M144), $B145 * N144, "")</f>
        <v>-8302.5830258302576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-1.5476248025818493E-2</v>
      </c>
      <c r="I145" s="28">
        <f>SUM(I125:I144)</f>
        <v>-46428.744077455463</v>
      </c>
      <c r="J145" s="26" t="s">
        <v>258</v>
      </c>
      <c r="K145" s="27">
        <f>IF(COUNT(K125:K144), SUM(K125:K144) / COUNT(K125:K144), 0)</f>
        <v>-1.8195069047090798E-2</v>
      </c>
      <c r="L145" s="28">
        <f>SUM(L125:L144)</f>
        <v>-54585.207141272374</v>
      </c>
      <c r="M145" s="26" t="s">
        <v>258</v>
      </c>
      <c r="N145" s="27">
        <f>IF(COUNT(N125:N144), SUM(N125:N144) / COUNT(N125:N144), 0)</f>
        <v>-2.9038247282755846E-2</v>
      </c>
      <c r="O145" s="28">
        <f>SUM(O125:O144)</f>
        <v>-87114.741848267528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2023-03-07(화) 오전 00:00</v>
      </c>
      <c r="C150" s="198"/>
      <c r="D150" s="170" t="str">
        <f>TEXT($G$1, "[$-ko-KR]yyyy-mm-dd(ddd) ") &amp; "오후 14:00"</f>
        <v>2023-03-07(화) 오후 14:00</v>
      </c>
      <c r="E150" s="171"/>
      <c r="F150" s="172"/>
      <c r="G150" s="170" t="str">
        <f>TEXT($G$1, "[$-ko-KR]yyyy-mm-dd(ddd) ") &amp; "오후 19:00"</f>
        <v>2023-03-07(화) 오후 19:00</v>
      </c>
      <c r="H150" s="171"/>
      <c r="I150" s="172"/>
      <c r="J150" s="170" t="str">
        <f>TEXT($G$1, "[$-ko-KR]yyyy-mm-dd(ddd) ") &amp; "오후 21:00"</f>
        <v>2023-03-07(화) 오후 21:00</v>
      </c>
      <c r="K150" s="171"/>
      <c r="L150" s="172"/>
      <c r="M150" s="170" t="str">
        <f>TEXT($G$1+1, "[$-ko-KR]yyyy-mm-dd(ddd) ") &amp; "오전 00:00"</f>
        <v>2023-03-08(수)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327</v>
      </c>
      <c r="B152" s="108">
        <v>494</v>
      </c>
      <c r="C152" s="69">
        <v>-2.020202E-3</v>
      </c>
      <c r="D152" s="13">
        <v>494</v>
      </c>
      <c r="E152" s="14">
        <f>IF(ISNUMBER(D152), (D152 - $B152) / $B152, "")</f>
        <v>0</v>
      </c>
      <c r="F152" s="16">
        <f>IF(ISNUMBER(D152), $B172 * E152, "")</f>
        <v>0</v>
      </c>
      <c r="G152" s="29">
        <v>486</v>
      </c>
      <c r="H152" s="14">
        <f>IF(ISNUMBER(G152), (G152 - $B152) / $B152, "")</f>
        <v>-1.6194331983805668E-2</v>
      </c>
      <c r="I152" s="90">
        <f>IF(ISNUMBER(G152), $B172 * H152, "")</f>
        <v>-2429.1497975708503</v>
      </c>
      <c r="J152" s="13">
        <v>475</v>
      </c>
      <c r="K152" s="14">
        <f>IF(ISNUMBER(J152), (J152 - $B152) / $B152, "")</f>
        <v>-3.8461538461538464E-2</v>
      </c>
      <c r="L152" s="16">
        <f>IF(ISNUMBER(J152), $B172 * K152, "")</f>
        <v>-5769.2307692307695</v>
      </c>
      <c r="M152" s="29">
        <v>470</v>
      </c>
      <c r="N152" s="14">
        <f>IF(ISNUMBER(M152), (M152 - $B152) / $B152, "")</f>
        <v>-4.8582995951417005E-2</v>
      </c>
      <c r="O152" s="16">
        <f>IF(ISNUMBER(M152), $B172 * N152, "")</f>
        <v>-7287.4493927125504</v>
      </c>
      <c r="Q152" s="156"/>
      <c r="R152" s="156"/>
      <c r="S152" s="156"/>
    </row>
    <row r="153" spans="1:19" ht="17.25" thickBot="1">
      <c r="A153" s="109" t="s">
        <v>111</v>
      </c>
      <c r="B153" s="110">
        <v>834</v>
      </c>
      <c r="C153" s="70">
        <v>-2.3923445E-3</v>
      </c>
      <c r="D153" s="15">
        <v>834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818</v>
      </c>
      <c r="H153" s="32">
        <f t="shared" ref="H153:H156" si="79">IF(ISNUMBER(G153), (G153 - $B153) / $B153, "")</f>
        <v>-1.9184652278177457E-2</v>
      </c>
      <c r="I153" s="91">
        <f>IF(ISNUMBER(G153), $B172 * H153, "")</f>
        <v>-2877.6978417266187</v>
      </c>
      <c r="J153" s="15">
        <v>809</v>
      </c>
      <c r="K153" s="32">
        <f t="shared" ref="K153:K156" si="80">IF(ISNUMBER(J153), (J153 - $B153) / $B153, "")</f>
        <v>-2.9976019184652279E-2</v>
      </c>
      <c r="L153" s="18">
        <f>IF(ISNUMBER(J153), $B172 * K153, "")</f>
        <v>-4496.4028776978421</v>
      </c>
      <c r="M153" s="31">
        <v>804</v>
      </c>
      <c r="N153" s="32">
        <f t="shared" ref="N153:N156" si="81">IF(ISNUMBER(M153), (M153 - $B153) / $B153, "")</f>
        <v>-3.5971223021582732E-2</v>
      </c>
      <c r="O153" s="18">
        <f>IF(ISNUMBER(M153), $B172 * N153, "")</f>
        <v>-5395.6834532374096</v>
      </c>
      <c r="Q153" s="156"/>
      <c r="R153" s="156"/>
      <c r="S153" s="156"/>
    </row>
    <row r="154" spans="1:19" ht="17.25" thickBot="1">
      <c r="A154" s="109" t="s">
        <v>176</v>
      </c>
      <c r="B154" s="110">
        <v>394</v>
      </c>
      <c r="C154" s="70">
        <v>-2.5316456000000001E-3</v>
      </c>
      <c r="D154" s="15">
        <v>394</v>
      </c>
      <c r="E154" s="32">
        <f t="shared" si="78"/>
        <v>0</v>
      </c>
      <c r="F154" s="18">
        <f>IF(ISNUMBER(D154), $B172 * E154, "")</f>
        <v>0</v>
      </c>
      <c r="G154" s="31">
        <v>389</v>
      </c>
      <c r="H154" s="32">
        <f t="shared" si="79"/>
        <v>-1.2690355329949238E-2</v>
      </c>
      <c r="I154" s="91">
        <f>IF(ISNUMBER(G154), $B172 * H154, "")</f>
        <v>-1903.5532994923858</v>
      </c>
      <c r="J154" s="15">
        <v>388</v>
      </c>
      <c r="K154" s="32">
        <f t="shared" si="80"/>
        <v>-1.5228426395939087E-2</v>
      </c>
      <c r="L154" s="18">
        <f>IF(ISNUMBER(J154), $B172 * K154, "")</f>
        <v>-2284.263959390863</v>
      </c>
      <c r="M154" s="31">
        <v>386</v>
      </c>
      <c r="N154" s="32">
        <f t="shared" si="81"/>
        <v>-2.030456852791878E-2</v>
      </c>
      <c r="O154" s="18">
        <f>IF(ISNUMBER(M154), $B172 * N154, "")</f>
        <v>-3045.6852791878168</v>
      </c>
      <c r="Q154" s="146"/>
      <c r="R154" s="146"/>
      <c r="S154" s="146"/>
    </row>
    <row r="155" spans="1:19" ht="17.25" thickBot="1">
      <c r="A155" s="109" t="s">
        <v>346</v>
      </c>
      <c r="B155" s="110">
        <v>299</v>
      </c>
      <c r="C155" s="70">
        <v>-3.3333333000000001E-3</v>
      </c>
      <c r="D155" s="15">
        <v>299</v>
      </c>
      <c r="E155" s="32">
        <f t="shared" si="78"/>
        <v>0</v>
      </c>
      <c r="F155" s="18">
        <f>IF(ISNUMBER(D155), $B172 * E155, "")</f>
        <v>0</v>
      </c>
      <c r="G155" s="31">
        <v>293</v>
      </c>
      <c r="H155" s="32">
        <f t="shared" si="79"/>
        <v>-2.0066889632107024E-2</v>
      </c>
      <c r="I155" s="91">
        <f>IF(ISNUMBER(G155), $B172 * H155, "")</f>
        <v>-3010.0334448160534</v>
      </c>
      <c r="J155" s="15">
        <v>289</v>
      </c>
      <c r="K155" s="32">
        <f t="shared" si="80"/>
        <v>-3.3444816053511704E-2</v>
      </c>
      <c r="L155" s="18">
        <f>IF(ISNUMBER(J155), $B172 * K155, "")</f>
        <v>-5016.7224080267561</v>
      </c>
      <c r="M155" s="31">
        <v>290</v>
      </c>
      <c r="N155" s="32">
        <f t="shared" si="81"/>
        <v>-3.0100334448160536E-2</v>
      </c>
      <c r="O155" s="18">
        <f>IF(ISNUMBER(M155), $B172 * N155, "")</f>
        <v>-4515.0501672240807</v>
      </c>
      <c r="Q155" s="146"/>
      <c r="R155" s="146"/>
      <c r="S155" s="146"/>
    </row>
    <row r="156" spans="1:19" ht="17.25" thickBot="1">
      <c r="A156" s="111" t="s">
        <v>235</v>
      </c>
      <c r="B156" s="112">
        <v>701</v>
      </c>
      <c r="C156" s="71">
        <v>-4.2613636E-3</v>
      </c>
      <c r="D156" s="20">
        <v>701</v>
      </c>
      <c r="E156" s="21">
        <f t="shared" si="78"/>
        <v>0</v>
      </c>
      <c r="F156" s="22">
        <f>IF(ISNUMBER(D156), $B172 * E156, "")</f>
        <v>0</v>
      </c>
      <c r="G156" s="30">
        <v>693</v>
      </c>
      <c r="H156" s="21">
        <f t="shared" si="79"/>
        <v>-1.1412268188302425E-2</v>
      </c>
      <c r="I156" s="95">
        <f>IF(ISNUMBER(G156), $B172 * H156, "")</f>
        <v>-1711.8402282453637</v>
      </c>
      <c r="J156" s="20">
        <v>692</v>
      </c>
      <c r="K156" s="21">
        <f t="shared" si="80"/>
        <v>-1.2838801711840228E-2</v>
      </c>
      <c r="L156" s="22">
        <f>IF(ISNUMBER(J156), $B172 * K156, "")</f>
        <v>-1925.8202567760341</v>
      </c>
      <c r="M156" s="30">
        <v>684</v>
      </c>
      <c r="N156" s="21">
        <f t="shared" si="81"/>
        <v>-2.4251069900142655E-2</v>
      </c>
      <c r="O156" s="22">
        <f>IF(ISNUMBER(M156), $B172 * N156, "")</f>
        <v>-3637.660485021398</v>
      </c>
      <c r="Q156" s="146"/>
      <c r="R156" s="146"/>
      <c r="S156" s="146"/>
    </row>
    <row r="157" spans="1:19" ht="17.25" thickBot="1">
      <c r="A157" s="109" t="s">
        <v>329</v>
      </c>
      <c r="B157" s="113">
        <v>600</v>
      </c>
      <c r="C157" s="73">
        <v>-4.9751244000000002E-3</v>
      </c>
      <c r="D157" s="96">
        <v>600</v>
      </c>
      <c r="E157" s="97">
        <f>IF(ISNUMBER(D157), (D157 - $B157) / $B157, "")</f>
        <v>0</v>
      </c>
      <c r="F157" s="98">
        <f>IF(ISNUMBER(D157), $B172 * E157, "")</f>
        <v>0</v>
      </c>
      <c r="G157" s="99">
        <v>594</v>
      </c>
      <c r="H157" s="97">
        <f>IF(ISNUMBER(G157), (G157 - $B157) / $B157, "")</f>
        <v>-0.01</v>
      </c>
      <c r="I157" s="100">
        <f>IF(ISNUMBER(G157), $B172 * H157, "")</f>
        <v>-1500</v>
      </c>
      <c r="J157" s="96">
        <v>592</v>
      </c>
      <c r="K157" s="97">
        <f>IF(ISNUMBER(J157), (J157 - $B157) / $B157, "")</f>
        <v>-1.3333333333333334E-2</v>
      </c>
      <c r="L157" s="98">
        <f>IF(ISNUMBER(J157), $B172 * K157, "")</f>
        <v>-2000.0000000000002</v>
      </c>
      <c r="M157" s="99">
        <v>587</v>
      </c>
      <c r="N157" s="97">
        <f>IF(ISNUMBER(M157), (M157 - $B157) / $B157, "")</f>
        <v>-2.1666666666666667E-2</v>
      </c>
      <c r="O157" s="98">
        <f>IF(ISNUMBER(M157), $B172 * N157, "")</f>
        <v>-3250</v>
      </c>
      <c r="Q157" s="146"/>
      <c r="R157" s="146"/>
      <c r="S157" s="146"/>
    </row>
    <row r="158" spans="1:19" ht="17.25" thickBot="1">
      <c r="A158" s="109" t="s">
        <v>199</v>
      </c>
      <c r="B158" s="110">
        <v>364</v>
      </c>
      <c r="C158" s="70">
        <v>-5.4644808999999997E-3</v>
      </c>
      <c r="D158" s="15">
        <v>364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361</v>
      </c>
      <c r="H158" s="32">
        <f t="shared" ref="H158:H161" si="83">IF(ISNUMBER(G158), (G158 - $B158) / $B158, "")</f>
        <v>-8.241758241758242E-3</v>
      </c>
      <c r="I158" s="91">
        <f>IF(ISNUMBER(G158), $B172 * H158, "")</f>
        <v>-1236.2637362637363</v>
      </c>
      <c r="J158" s="15">
        <v>357</v>
      </c>
      <c r="K158" s="32">
        <f t="shared" ref="K158:K161" si="84">IF(ISNUMBER(J158), (J158 - $B158) / $B158, "")</f>
        <v>-1.9230769230769232E-2</v>
      </c>
      <c r="L158" s="18">
        <f>IF(ISNUMBER(J158), $B172 * K158, "")</f>
        <v>-2884.6153846153848</v>
      </c>
      <c r="M158" s="31">
        <v>355</v>
      </c>
      <c r="N158" s="32">
        <f t="shared" ref="N158:N161" si="85">IF(ISNUMBER(M158), (M158 - $B158) / $B158, "")</f>
        <v>-2.4725274725274724E-2</v>
      </c>
      <c r="O158" s="18">
        <f>IF(ISNUMBER(M158), $B172 * N158, "")</f>
        <v>-3708.7912087912086</v>
      </c>
      <c r="Q158" s="146"/>
      <c r="R158" s="146"/>
      <c r="S158" s="146"/>
    </row>
    <row r="159" spans="1:19" ht="17.25" thickBot="1">
      <c r="A159" s="109" t="s">
        <v>325</v>
      </c>
      <c r="B159" s="110">
        <v>693</v>
      </c>
      <c r="C159" s="70">
        <v>-5.7388808999999999E-3</v>
      </c>
      <c r="D159" s="15">
        <v>693</v>
      </c>
      <c r="E159" s="32">
        <f t="shared" si="82"/>
        <v>0</v>
      </c>
      <c r="F159" s="18">
        <f>IF(ISNUMBER(D159), $B172 * E159, "")</f>
        <v>0</v>
      </c>
      <c r="G159" s="31">
        <v>681</v>
      </c>
      <c r="H159" s="32">
        <f t="shared" si="83"/>
        <v>-1.7316017316017316E-2</v>
      </c>
      <c r="I159" s="91">
        <f>IF(ISNUMBER(G159), $B172 * H159, "")</f>
        <v>-2597.4025974025976</v>
      </c>
      <c r="J159" s="15">
        <v>673</v>
      </c>
      <c r="K159" s="32">
        <f t="shared" si="84"/>
        <v>-2.886002886002886E-2</v>
      </c>
      <c r="L159" s="18">
        <f>IF(ISNUMBER(J159), $B172 * K159, "")</f>
        <v>-4329.0043290043286</v>
      </c>
      <c r="M159" s="31">
        <v>670</v>
      </c>
      <c r="N159" s="32">
        <f t="shared" si="85"/>
        <v>-3.3189033189033192E-2</v>
      </c>
      <c r="O159" s="18">
        <f>IF(ISNUMBER(M159), $B172 * N159, "")</f>
        <v>-4978.3549783549788</v>
      </c>
      <c r="Q159" s="146"/>
      <c r="R159" s="146"/>
      <c r="S159" s="146"/>
    </row>
    <row r="160" spans="1:19" ht="17.25" thickBot="1">
      <c r="A160" s="109" t="s">
        <v>66</v>
      </c>
      <c r="B160" s="110">
        <v>945</v>
      </c>
      <c r="C160" s="70">
        <v>-6.3091483000000002E-3</v>
      </c>
      <c r="D160" s="15">
        <v>945</v>
      </c>
      <c r="E160" s="32">
        <f t="shared" si="82"/>
        <v>0</v>
      </c>
      <c r="F160" s="18">
        <f>IF(ISNUMBER(D160), $B172 * E160, "")</f>
        <v>0</v>
      </c>
      <c r="G160" s="31">
        <v>937</v>
      </c>
      <c r="H160" s="32">
        <f t="shared" si="83"/>
        <v>-8.4656084656084662E-3</v>
      </c>
      <c r="I160" s="91">
        <f>IF(ISNUMBER(G160), $B172 * H160, "")</f>
        <v>-1269.8412698412699</v>
      </c>
      <c r="J160" s="15">
        <v>936</v>
      </c>
      <c r="K160" s="32">
        <f t="shared" si="84"/>
        <v>-9.5238095238095247E-3</v>
      </c>
      <c r="L160" s="18">
        <f>IF(ISNUMBER(J160), $B172 * K160, "")</f>
        <v>-1428.5714285714287</v>
      </c>
      <c r="M160" s="31">
        <v>922</v>
      </c>
      <c r="N160" s="32">
        <f t="shared" si="85"/>
        <v>-2.433862433862434E-2</v>
      </c>
      <c r="O160" s="18">
        <f>IF(ISNUMBER(M160), $B172 * N160, "")</f>
        <v>-3650.7936507936511</v>
      </c>
      <c r="Q160" s="33"/>
      <c r="R160" s="33"/>
    </row>
    <row r="161" spans="1:19" ht="17.25" thickBot="1">
      <c r="A161" s="114" t="s">
        <v>340</v>
      </c>
      <c r="B161" s="115">
        <v>887</v>
      </c>
      <c r="C161" s="72">
        <v>-6.7189249999999997E-3</v>
      </c>
      <c r="D161" s="24">
        <v>887</v>
      </c>
      <c r="E161" s="25">
        <f t="shared" si="82"/>
        <v>0</v>
      </c>
      <c r="F161" s="94">
        <f>IF(ISNUMBER(D161), $B172 * E161, "")</f>
        <v>0</v>
      </c>
      <c r="G161" s="92">
        <v>870</v>
      </c>
      <c r="H161" s="25">
        <f t="shared" si="83"/>
        <v>-1.9165727170236752E-2</v>
      </c>
      <c r="I161" s="93">
        <f>IF(ISNUMBER(G161), $B172 * H161, "")</f>
        <v>-2874.8590755355131</v>
      </c>
      <c r="J161" s="24">
        <v>857</v>
      </c>
      <c r="K161" s="25">
        <f t="shared" si="84"/>
        <v>-3.3821871476888386E-2</v>
      </c>
      <c r="L161" s="94">
        <f>IF(ISNUMBER(J161), $B172 * K161, "")</f>
        <v>-5073.2807215332577</v>
      </c>
      <c r="M161" s="92">
        <v>849</v>
      </c>
      <c r="N161" s="25">
        <f t="shared" si="85"/>
        <v>-4.2841037204058623E-2</v>
      </c>
      <c r="O161" s="94">
        <f>IF(ISNUMBER(M161), $B172 * N161, "")</f>
        <v>-6426.1555806087936</v>
      </c>
      <c r="Q161" s="147"/>
      <c r="R161" s="148"/>
      <c r="S161" s="149"/>
    </row>
    <row r="162" spans="1:19">
      <c r="A162" s="107" t="s">
        <v>223</v>
      </c>
      <c r="B162" s="108">
        <v>278</v>
      </c>
      <c r="C162" s="69">
        <v>-7.1428571000000003E-3</v>
      </c>
      <c r="D162" s="13">
        <v>278</v>
      </c>
      <c r="E162" s="14">
        <f>IF(ISNUMBER(D162), (D162 - $B162) / $B162, "")</f>
        <v>0</v>
      </c>
      <c r="F162" s="16">
        <f>IF(ISNUMBER(D162), $B172 * E162, "")</f>
        <v>0</v>
      </c>
      <c r="G162" s="29">
        <v>274</v>
      </c>
      <c r="H162" s="14">
        <f>IF(ISNUMBER(G162), (G162 - $B162) / $B162, "")</f>
        <v>-1.4388489208633094E-2</v>
      </c>
      <c r="I162" s="90">
        <f>IF(ISNUMBER(G162), $B172 * H162, "")</f>
        <v>-2158.2733812949641</v>
      </c>
      <c r="J162" s="13">
        <v>272</v>
      </c>
      <c r="K162" s="14">
        <f>IF(ISNUMBER(J162), (J162 - $B162) / $B162, "")</f>
        <v>-2.1582733812949641E-2</v>
      </c>
      <c r="L162" s="16">
        <f>IF(ISNUMBER(J162), $B172 * K162, "")</f>
        <v>-3237.4100719424464</v>
      </c>
      <c r="M162" s="29">
        <v>270</v>
      </c>
      <c r="N162" s="14">
        <f>IF(ISNUMBER(M162), (M162 - $B162) / $B162, "")</f>
        <v>-2.8776978417266189E-2</v>
      </c>
      <c r="O162" s="16">
        <f>IF(ISNUMBER(M162), $B172 * N162, "")</f>
        <v>-4316.5467625899282</v>
      </c>
      <c r="Q162" s="150"/>
      <c r="R162" s="151"/>
      <c r="S162" s="152"/>
    </row>
    <row r="163" spans="1:19" ht="17.25" thickBot="1">
      <c r="A163" s="109" t="s">
        <v>209</v>
      </c>
      <c r="B163" s="110">
        <v>133</v>
      </c>
      <c r="C163" s="70">
        <v>-7.4626865999999998E-3</v>
      </c>
      <c r="D163" s="15">
        <v>133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130</v>
      </c>
      <c r="H163" s="32">
        <f t="shared" ref="H163:H166" si="87">IF(ISNUMBER(G163), (G163 - $B163) / $B163, "")</f>
        <v>-2.2556390977443608E-2</v>
      </c>
      <c r="I163" s="91">
        <f>IF(ISNUMBER(G163), $B172 * H163, "")</f>
        <v>-3383.458646616541</v>
      </c>
      <c r="J163" s="15">
        <v>130</v>
      </c>
      <c r="K163" s="32">
        <f t="shared" ref="K163:K166" si="88">IF(ISNUMBER(J163), (J163 - $B163) / $B163, "")</f>
        <v>-2.2556390977443608E-2</v>
      </c>
      <c r="L163" s="18">
        <f>IF(ISNUMBER(J163), $B172 * K163, "")</f>
        <v>-3383.458646616541</v>
      </c>
      <c r="M163" s="31">
        <v>129</v>
      </c>
      <c r="N163" s="32">
        <f t="shared" ref="N163:N166" si="89">IF(ISNUMBER(M163), (M163 - $B163) / $B163, "")</f>
        <v>-3.007518796992481E-2</v>
      </c>
      <c r="O163" s="18">
        <f>IF(ISNUMBER(M163), $B172 * N163, "")</f>
        <v>-4511.2781954887214</v>
      </c>
      <c r="Q163" s="153"/>
      <c r="R163" s="154"/>
      <c r="S163" s="155"/>
    </row>
    <row r="164" spans="1:19" ht="17.25" thickBot="1">
      <c r="A164" s="109" t="s">
        <v>215</v>
      </c>
      <c r="B164" s="110">
        <v>493</v>
      </c>
      <c r="C164" s="70">
        <v>-8.0482897000000008E-3</v>
      </c>
      <c r="D164" s="15">
        <v>493</v>
      </c>
      <c r="E164" s="32">
        <f t="shared" si="86"/>
        <v>0</v>
      </c>
      <c r="F164" s="18">
        <f>IF(ISNUMBER(D164), $B172 * E164, "")</f>
        <v>0</v>
      </c>
      <c r="G164" s="31">
        <v>483</v>
      </c>
      <c r="H164" s="32">
        <f t="shared" si="87"/>
        <v>-2.0283975659229209E-2</v>
      </c>
      <c r="I164" s="91">
        <f>IF(ISNUMBER(G164), $B172 * H164, "")</f>
        <v>-3042.5963488843813</v>
      </c>
      <c r="J164" s="15">
        <v>485</v>
      </c>
      <c r="K164" s="32">
        <f t="shared" si="88"/>
        <v>-1.6227180527383367E-2</v>
      </c>
      <c r="L164" s="18">
        <f>IF(ISNUMBER(J164), $B172 * K164, "")</f>
        <v>-2434.0770791075051</v>
      </c>
      <c r="M164" s="31">
        <v>481</v>
      </c>
      <c r="N164" s="32">
        <f t="shared" si="89"/>
        <v>-2.434077079107505E-2</v>
      </c>
      <c r="O164" s="18">
        <f>IF(ISNUMBER(M164), $B172 * N164, "")</f>
        <v>-3651.1156186612575</v>
      </c>
      <c r="Q164" s="146"/>
      <c r="R164" s="146"/>
      <c r="S164" s="146"/>
    </row>
    <row r="165" spans="1:19" ht="17.25" thickBot="1">
      <c r="A165" s="109" t="s">
        <v>231</v>
      </c>
      <c r="B165" s="110">
        <v>445</v>
      </c>
      <c r="C165" s="70">
        <v>-8.9086860000000007E-3</v>
      </c>
      <c r="D165" s="15">
        <v>445</v>
      </c>
      <c r="E165" s="32">
        <f t="shared" si="86"/>
        <v>0</v>
      </c>
      <c r="F165" s="18">
        <f>IF(ISNUMBER(D165), $B172 * E165, "")</f>
        <v>0</v>
      </c>
      <c r="G165" s="31">
        <v>442</v>
      </c>
      <c r="H165" s="32">
        <f t="shared" si="87"/>
        <v>-6.7415730337078653E-3</v>
      </c>
      <c r="I165" s="91">
        <f>IF(ISNUMBER(G165), $B172 * H165, "")</f>
        <v>-1011.2359550561798</v>
      </c>
      <c r="J165" s="15">
        <v>440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438</v>
      </c>
      <c r="N165" s="32">
        <f t="shared" si="89"/>
        <v>-1.5730337078651686E-2</v>
      </c>
      <c r="O165" s="18">
        <f>IF(ISNUMBER(M165), $B172 * N165, "")</f>
        <v>-2359.5505617977528</v>
      </c>
      <c r="Q165" s="156"/>
      <c r="R165" s="156"/>
      <c r="S165" s="156"/>
    </row>
    <row r="166" spans="1:19" ht="17.25" thickBot="1">
      <c r="A166" s="111" t="s">
        <v>157</v>
      </c>
      <c r="B166" s="112">
        <v>376</v>
      </c>
      <c r="C166" s="71">
        <v>-1.05263158E-2</v>
      </c>
      <c r="D166" s="20">
        <v>376</v>
      </c>
      <c r="E166" s="21">
        <f t="shared" si="86"/>
        <v>0</v>
      </c>
      <c r="F166" s="22">
        <f>IF(ISNUMBER(D166), $B172 * E166, "")</f>
        <v>0</v>
      </c>
      <c r="G166" s="30">
        <v>370</v>
      </c>
      <c r="H166" s="21">
        <f t="shared" si="87"/>
        <v>-1.5957446808510637E-2</v>
      </c>
      <c r="I166" s="95">
        <f>IF(ISNUMBER(G166), $B172 * H166, "")</f>
        <v>-2393.6170212765956</v>
      </c>
      <c r="J166" s="20">
        <v>364</v>
      </c>
      <c r="K166" s="21">
        <f t="shared" si="88"/>
        <v>-3.1914893617021274E-2</v>
      </c>
      <c r="L166" s="22">
        <f>IF(ISNUMBER(J166), $B172 * K166, "")</f>
        <v>-4787.2340425531911</v>
      </c>
      <c r="M166" s="30">
        <v>362</v>
      </c>
      <c r="N166" s="21">
        <f t="shared" si="89"/>
        <v>-3.7234042553191488E-2</v>
      </c>
      <c r="O166" s="22">
        <f>IF(ISNUMBER(M166), $B172 * N166, "")</f>
        <v>-5585.1063829787236</v>
      </c>
      <c r="Q166" s="156"/>
      <c r="R166" s="156"/>
      <c r="S166" s="156"/>
    </row>
    <row r="167" spans="1:19" ht="17.25" thickBot="1">
      <c r="A167" s="109" t="s">
        <v>159</v>
      </c>
      <c r="B167" s="113">
        <v>252</v>
      </c>
      <c r="C167" s="73">
        <v>-1.17647059E-2</v>
      </c>
      <c r="D167" s="96">
        <v>252</v>
      </c>
      <c r="E167" s="97">
        <f>IF(ISNUMBER(D167), (D167 - $B167) / $B167, "")</f>
        <v>0</v>
      </c>
      <c r="F167" s="98">
        <f>IF(ISNUMBER(D167), $B172 * E167, "")</f>
        <v>0</v>
      </c>
      <c r="G167" s="99">
        <v>248</v>
      </c>
      <c r="H167" s="97">
        <f>IF(ISNUMBER(G167), (G167 - $B167) / $B167, "")</f>
        <v>-1.5873015873015872E-2</v>
      </c>
      <c r="I167" s="100">
        <f>IF(ISNUMBER(G167), $B172 * H167, "")</f>
        <v>-2380.9523809523807</v>
      </c>
      <c r="J167" s="96">
        <v>247</v>
      </c>
      <c r="K167" s="97">
        <f>IF(ISNUMBER(J167), (J167 - $B167) / $B167, "")</f>
        <v>-1.984126984126984E-2</v>
      </c>
      <c r="L167" s="98">
        <f>IF(ISNUMBER(J167), $B172 * K167, "")</f>
        <v>-2976.1904761904761</v>
      </c>
      <c r="M167" s="99">
        <v>245</v>
      </c>
      <c r="N167" s="97">
        <f>IF(ISNUMBER(M167), (M167 - $B167) / $B167, "")</f>
        <v>-2.7777777777777776E-2</v>
      </c>
      <c r="O167" s="98">
        <f>IF(ISNUMBER(M167), $B172 * N167, "")</f>
        <v>-4166.6666666666661</v>
      </c>
      <c r="Q167" s="146"/>
      <c r="R167" s="146"/>
      <c r="S167" s="146"/>
    </row>
    <row r="168" spans="1:19" ht="17.25" thickBot="1">
      <c r="A168" s="109" t="s">
        <v>205</v>
      </c>
      <c r="B168" s="110">
        <v>140</v>
      </c>
      <c r="C168" s="70">
        <v>-1.4084507E-2</v>
      </c>
      <c r="D168" s="15">
        <v>140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138</v>
      </c>
      <c r="H168" s="32">
        <f t="shared" ref="H168:H171" si="91">IF(ISNUMBER(G168), (G168 - $B168) / $B168, "")</f>
        <v>-1.4285714285714285E-2</v>
      </c>
      <c r="I168" s="91">
        <f>IF(ISNUMBER(G168), $B172 * H168, "")</f>
        <v>-2142.8571428571427</v>
      </c>
      <c r="J168" s="15">
        <v>139</v>
      </c>
      <c r="K168" s="32">
        <f t="shared" ref="K168:K171" si="92">IF(ISNUMBER(J168), (J168 - $B168) / $B168, "")</f>
        <v>-7.1428571428571426E-3</v>
      </c>
      <c r="L168" s="18">
        <f>IF(ISNUMBER(J168), $B172 * K168, "")</f>
        <v>-1071.4285714285713</v>
      </c>
      <c r="M168" s="31">
        <v>136</v>
      </c>
      <c r="N168" s="32">
        <f t="shared" ref="N168:N171" si="93">IF(ISNUMBER(M168), (M168 - $B168) / $B168, "")</f>
        <v>-2.8571428571428571E-2</v>
      </c>
      <c r="O168" s="18">
        <f>IF(ISNUMBER(M168), $B172 * N168, "")</f>
        <v>-4285.7142857142853</v>
      </c>
      <c r="Q168" s="146"/>
      <c r="R168" s="146"/>
      <c r="S168" s="146"/>
    </row>
    <row r="169" spans="1:19" ht="17.25" thickBot="1">
      <c r="A169" s="109" t="s">
        <v>161</v>
      </c>
      <c r="B169" s="110">
        <v>999</v>
      </c>
      <c r="C169" s="70">
        <v>-1.57635468E-2</v>
      </c>
      <c r="D169" s="15">
        <v>999</v>
      </c>
      <c r="E169" s="32">
        <f t="shared" si="90"/>
        <v>0</v>
      </c>
      <c r="F169" s="18">
        <f>IF(ISNUMBER(D169), $B172 * E169, "")</f>
        <v>0</v>
      </c>
      <c r="G169" s="31">
        <v>968</v>
      </c>
      <c r="H169" s="32">
        <f t="shared" si="91"/>
        <v>-3.1031031031031032E-2</v>
      </c>
      <c r="I169" s="91">
        <f>IF(ISNUMBER(G169), $B172 * H169, "")</f>
        <v>-4654.6546546546551</v>
      </c>
      <c r="J169" s="15">
        <v>934</v>
      </c>
      <c r="K169" s="32">
        <f t="shared" si="92"/>
        <v>-6.506506506506507E-2</v>
      </c>
      <c r="L169" s="18">
        <f>IF(ISNUMBER(J169), $B172 * K169, "")</f>
        <v>-9759.7597597597596</v>
      </c>
      <c r="M169" s="31">
        <v>930</v>
      </c>
      <c r="N169" s="32">
        <f t="shared" si="93"/>
        <v>-6.9069069069069067E-2</v>
      </c>
      <c r="O169" s="18">
        <f>IF(ISNUMBER(M169), $B172 * N169, "")</f>
        <v>-10360.360360360361</v>
      </c>
      <c r="Q169" s="146"/>
      <c r="R169" s="146"/>
      <c r="S169" s="146"/>
    </row>
    <row r="170" spans="1:19">
      <c r="A170" s="109" t="s">
        <v>68</v>
      </c>
      <c r="B170" s="110">
        <v>574</v>
      </c>
      <c r="C170" s="70">
        <v>-1.71232877E-2</v>
      </c>
      <c r="D170" s="15">
        <v>574</v>
      </c>
      <c r="E170" s="32">
        <f t="shared" si="90"/>
        <v>0</v>
      </c>
      <c r="F170" s="18">
        <f>IF(ISNUMBER(D170), $B172 * E170, "")</f>
        <v>0</v>
      </c>
      <c r="G170" s="31">
        <v>567</v>
      </c>
      <c r="H170" s="32">
        <f t="shared" si="91"/>
        <v>-1.2195121951219513E-2</v>
      </c>
      <c r="I170" s="91">
        <f>IF(ISNUMBER(G170), $B172 * H170, "")</f>
        <v>-1829.2682926829268</v>
      </c>
      <c r="J170" s="15">
        <v>562</v>
      </c>
      <c r="K170" s="32">
        <f t="shared" si="92"/>
        <v>-2.0905923344947737E-2</v>
      </c>
      <c r="L170" s="18">
        <f>IF(ISNUMBER(J170), $B172 * K170, "")</f>
        <v>-3135.8885017421603</v>
      </c>
      <c r="M170" s="31">
        <v>560</v>
      </c>
      <c r="N170" s="32">
        <f t="shared" si="93"/>
        <v>-2.4390243902439025E-2</v>
      </c>
      <c r="O170" s="18">
        <f>IF(ISNUMBER(M170), $B172 * N170, "")</f>
        <v>-3658.5365853658536</v>
      </c>
      <c r="Q170" s="135"/>
      <c r="R170" s="136"/>
      <c r="S170" s="137"/>
    </row>
    <row r="171" spans="1:19" ht="17.25" thickBot="1">
      <c r="A171" s="114" t="s">
        <v>352</v>
      </c>
      <c r="B171" s="115">
        <v>301</v>
      </c>
      <c r="C171" s="72">
        <v>-3.21543408E-2</v>
      </c>
      <c r="D171" s="24">
        <v>301</v>
      </c>
      <c r="E171" s="25">
        <f t="shared" si="90"/>
        <v>0</v>
      </c>
      <c r="F171" s="94">
        <f>IF(ISNUMBER(D171), $B172 * E171, "")</f>
        <v>0</v>
      </c>
      <c r="G171" s="92">
        <v>290</v>
      </c>
      <c r="H171" s="25">
        <f t="shared" si="91"/>
        <v>-3.6544850498338874E-2</v>
      </c>
      <c r="I171" s="93">
        <f>IF(ISNUMBER(G171), $B172 * H171, "")</f>
        <v>-5481.7275747508311</v>
      </c>
      <c r="J171" s="24">
        <v>293</v>
      </c>
      <c r="K171" s="25">
        <f t="shared" si="92"/>
        <v>-2.6578073089700997E-2</v>
      </c>
      <c r="L171" s="94">
        <f>IF(ISNUMBER(J171), $B172 * K171, "")</f>
        <v>-3986.7109634551498</v>
      </c>
      <c r="M171" s="92">
        <v>277</v>
      </c>
      <c r="N171" s="25">
        <f t="shared" si="93"/>
        <v>-7.9734219269102985E-2</v>
      </c>
      <c r="O171" s="94">
        <f>IF(ISNUMBER(M171), $B172 * N171, "")</f>
        <v>-11960.132890365448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-1.6629760896640332E-2</v>
      </c>
      <c r="I172" s="28">
        <f>SUM(I152:I171)</f>
        <v>-49889.28268992099</v>
      </c>
      <c r="J172" s="26" t="s">
        <v>258</v>
      </c>
      <c r="K172" s="27">
        <f>IF(COUNT(K152:K171), SUM(K152:K171) / COUNT(K152:K171), 0)</f>
        <v>-2.3888487835356475E-2</v>
      </c>
      <c r="L172" s="28">
        <f>SUM(L152:L171)</f>
        <v>-71665.463506069413</v>
      </c>
      <c r="M172" s="26" t="s">
        <v>258</v>
      </c>
      <c r="N172" s="27">
        <f>IF(COUNT(N152:N171), SUM(N152:N171) / COUNT(N152:N171), 0)</f>
        <v>-3.3583544168640296E-2</v>
      </c>
      <c r="O172" s="28">
        <f>SUM(O152:O171)</f>
        <v>-100750.63250592089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2023-03-07(화) 오전 00:00</v>
      </c>
      <c r="C177" s="198"/>
      <c r="D177" s="170" t="str">
        <f>TEXT($G$1, "[$-ko-KR]yyyy-mm-dd(ddd) ") &amp; "오후 14:00"</f>
        <v>2023-03-07(화) 오후 14:00</v>
      </c>
      <c r="E177" s="171"/>
      <c r="F177" s="172"/>
      <c r="G177" s="170" t="str">
        <f>TEXT($G$1, "[$-ko-KR]yyyy-mm-dd(ddd) ") &amp; "오후 19:00"</f>
        <v>2023-03-07(화) 오후 19:00</v>
      </c>
      <c r="H177" s="171"/>
      <c r="I177" s="172"/>
      <c r="J177" s="170" t="str">
        <f>TEXT($G$1, "[$-ko-KR]yyyy-mm-dd(ddd) ") &amp; "오후 21:00"</f>
        <v>2023-03-07(화) 오후 21:00</v>
      </c>
      <c r="K177" s="171"/>
      <c r="L177" s="172"/>
      <c r="M177" s="170" t="str">
        <f>TEXT($G$1+1, "[$-ko-KR]yyyy-mm-dd(ddd) ") &amp; "오전 00:00"</f>
        <v>2023-03-08(수)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209</v>
      </c>
      <c r="B179" s="108">
        <v>133</v>
      </c>
      <c r="C179" s="69">
        <v>-7.4626865999999998E-3</v>
      </c>
      <c r="D179" s="13">
        <v>133</v>
      </c>
      <c r="E179" s="14">
        <f>IF(ISNUMBER(D179), (D179 - $B179) / $B179, "")</f>
        <v>0</v>
      </c>
      <c r="F179" s="16">
        <f>IF(ISNUMBER(D179), $B199 * E179, "")</f>
        <v>0</v>
      </c>
      <c r="G179" s="29">
        <v>130</v>
      </c>
      <c r="H179" s="14">
        <f>IF(ISNUMBER(G179), (G179 - $B179) / $B179, "")</f>
        <v>-2.2556390977443608E-2</v>
      </c>
      <c r="I179" s="90">
        <f>IF(ISNUMBER(G179), $B199 * H179, "")</f>
        <v>-3383.458646616541</v>
      </c>
      <c r="J179" s="13">
        <v>130</v>
      </c>
      <c r="K179" s="14">
        <f>IF(ISNUMBER(J179), (J179 - $B179) / $B179, "")</f>
        <v>-2.2556390977443608E-2</v>
      </c>
      <c r="L179" s="16">
        <f>IF(ISNUMBER(J179), $B199 * K179, "")</f>
        <v>-3383.458646616541</v>
      </c>
      <c r="M179" s="29">
        <v>129</v>
      </c>
      <c r="N179" s="14">
        <f>IF(ISNUMBER(M179), (M179 - $B179) / $B179, "")</f>
        <v>-3.007518796992481E-2</v>
      </c>
      <c r="O179" s="16">
        <f>IF(ISNUMBER(M179), $B199 * N179, "")</f>
        <v>-4511.2781954887214</v>
      </c>
      <c r="Q179" s="156"/>
      <c r="R179" s="156"/>
      <c r="S179" s="156"/>
    </row>
    <row r="180" spans="1:19" ht="17.25" thickBot="1">
      <c r="A180" s="109" t="s">
        <v>193</v>
      </c>
      <c r="B180" s="110">
        <v>25.2</v>
      </c>
      <c r="C180" s="70">
        <v>-7.8740157000000005E-3</v>
      </c>
      <c r="D180" s="15">
        <v>25.2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25.5</v>
      </c>
      <c r="H180" s="32">
        <f t="shared" ref="H180:H183" si="95">IF(ISNUMBER(G180), (G180 - $B180) / $B180, "")</f>
        <v>1.1904761904761934E-2</v>
      </c>
      <c r="I180" s="91">
        <f>IF(ISNUMBER(G180), $B199 * H180, "")</f>
        <v>1785.7142857142901</v>
      </c>
      <c r="J180" s="15">
        <v>25.6</v>
      </c>
      <c r="K180" s="32">
        <f t="shared" ref="K180:K183" si="96">IF(ISNUMBER(J180), (J180 - $B180) / $B180, "")</f>
        <v>1.5873015873015959E-2</v>
      </c>
      <c r="L180" s="18">
        <f>IF(ISNUMBER(J180), $B199 * K180, "")</f>
        <v>2380.9523809523939</v>
      </c>
      <c r="M180" s="31">
        <v>25</v>
      </c>
      <c r="N180" s="32">
        <f t="shared" ref="N180:N183" si="97">IF(ISNUMBER(M180), (M180 - $B180) / $B180, "")</f>
        <v>-7.9365079365079083E-3</v>
      </c>
      <c r="O180" s="18">
        <f>IF(ISNUMBER(M180), $B199 * N180, "")</f>
        <v>-1190.4761904761863</v>
      </c>
      <c r="Q180" s="156"/>
      <c r="R180" s="156"/>
      <c r="S180" s="156"/>
    </row>
    <row r="181" spans="1:19" ht="17.25" thickBot="1">
      <c r="A181" s="109" t="s">
        <v>215</v>
      </c>
      <c r="B181" s="110">
        <v>493</v>
      </c>
      <c r="C181" s="70">
        <v>-8.0482897000000008E-3</v>
      </c>
      <c r="D181" s="15">
        <v>493</v>
      </c>
      <c r="E181" s="32">
        <f t="shared" si="94"/>
        <v>0</v>
      </c>
      <c r="F181" s="18">
        <f>IF(ISNUMBER(D181), $B199 * E181, "")</f>
        <v>0</v>
      </c>
      <c r="G181" s="31">
        <v>483</v>
      </c>
      <c r="H181" s="32">
        <f t="shared" si="95"/>
        <v>-2.0283975659229209E-2</v>
      </c>
      <c r="I181" s="91">
        <f>IF(ISNUMBER(G181), $B199 * H181, "")</f>
        <v>-3042.5963488843813</v>
      </c>
      <c r="J181" s="15">
        <v>485</v>
      </c>
      <c r="K181" s="32">
        <f t="shared" si="96"/>
        <v>-1.6227180527383367E-2</v>
      </c>
      <c r="L181" s="18">
        <f>IF(ISNUMBER(J181), $B199 * K181, "")</f>
        <v>-2434.0770791075051</v>
      </c>
      <c r="M181" s="31">
        <v>481</v>
      </c>
      <c r="N181" s="32">
        <f t="shared" si="97"/>
        <v>-2.434077079107505E-2</v>
      </c>
      <c r="O181" s="18">
        <f>IF(ISNUMBER(M181), $B199 * N181, "")</f>
        <v>-3651.1156186612575</v>
      </c>
      <c r="Q181" s="146"/>
      <c r="R181" s="146"/>
      <c r="S181" s="146"/>
    </row>
    <row r="182" spans="1:19" ht="17.25" thickBot="1">
      <c r="A182" s="109" t="s">
        <v>197</v>
      </c>
      <c r="B182" s="110">
        <v>12.3</v>
      </c>
      <c r="C182" s="70">
        <v>-8.0645161000000003E-3</v>
      </c>
      <c r="D182" s="15">
        <v>12.3</v>
      </c>
      <c r="E182" s="32">
        <f t="shared" si="94"/>
        <v>0</v>
      </c>
      <c r="F182" s="18">
        <f>IF(ISNUMBER(D182), $B199 * E182, "")</f>
        <v>0</v>
      </c>
      <c r="G182" s="31">
        <v>12</v>
      </c>
      <c r="H182" s="32">
        <f t="shared" si="95"/>
        <v>-2.4390243902439081E-2</v>
      </c>
      <c r="I182" s="91">
        <f>IF(ISNUMBER(G182), $B199 * H182, "")</f>
        <v>-3658.5365853658623</v>
      </c>
      <c r="J182" s="15">
        <v>11.9</v>
      </c>
      <c r="K182" s="32">
        <f t="shared" si="96"/>
        <v>-3.2520325203252057E-2</v>
      </c>
      <c r="L182" s="18">
        <f>IF(ISNUMBER(J182), $B199 * K182, "")</f>
        <v>-4878.0487804878085</v>
      </c>
      <c r="M182" s="31">
        <v>11.8</v>
      </c>
      <c r="N182" s="32">
        <f t="shared" si="97"/>
        <v>-4.065040650406504E-2</v>
      </c>
      <c r="O182" s="18">
        <f>IF(ISNUMBER(M182), $B199 * N182, "")</f>
        <v>-6097.5609756097556</v>
      </c>
      <c r="Q182" s="146"/>
      <c r="R182" s="146"/>
      <c r="S182" s="146"/>
    </row>
    <row r="183" spans="1:19" ht="17.25" thickBot="1">
      <c r="A183" s="111" t="s">
        <v>231</v>
      </c>
      <c r="B183" s="112">
        <v>445</v>
      </c>
      <c r="C183" s="71">
        <v>-8.9086860000000007E-3</v>
      </c>
      <c r="D183" s="20">
        <v>445</v>
      </c>
      <c r="E183" s="21">
        <f t="shared" si="94"/>
        <v>0</v>
      </c>
      <c r="F183" s="22">
        <f>IF(ISNUMBER(D183), $B199 * E183, "")</f>
        <v>0</v>
      </c>
      <c r="G183" s="30">
        <v>442</v>
      </c>
      <c r="H183" s="21">
        <f t="shared" si="95"/>
        <v>-6.7415730337078653E-3</v>
      </c>
      <c r="I183" s="95">
        <f>IF(ISNUMBER(G183), $B199 * H183, "")</f>
        <v>-1011.2359550561798</v>
      </c>
      <c r="J183" s="20">
        <v>440</v>
      </c>
      <c r="K183" s="21">
        <f t="shared" si="96"/>
        <v>-1.1235955056179775E-2</v>
      </c>
      <c r="L183" s="22">
        <f>IF(ISNUMBER(J183), $B199 * K183, "")</f>
        <v>-1685.3932584269662</v>
      </c>
      <c r="M183" s="30">
        <v>438</v>
      </c>
      <c r="N183" s="21">
        <f t="shared" si="97"/>
        <v>-1.5730337078651686E-2</v>
      </c>
      <c r="O183" s="22">
        <f>IF(ISNUMBER(M183), $B199 * N183, "")</f>
        <v>-2359.5505617977528</v>
      </c>
      <c r="Q183" s="146"/>
      <c r="R183" s="146"/>
      <c r="S183" s="146"/>
    </row>
    <row r="184" spans="1:19" ht="17.25" thickBot="1">
      <c r="A184" s="109" t="s">
        <v>163</v>
      </c>
      <c r="B184" s="113">
        <v>10660</v>
      </c>
      <c r="C184" s="73">
        <v>-9.2936802999999991E-3</v>
      </c>
      <c r="D184" s="96">
        <v>10660</v>
      </c>
      <c r="E184" s="97">
        <f>IF(ISNUMBER(D184), (D184 - $B184) / $B184, "")</f>
        <v>0</v>
      </c>
      <c r="F184" s="98">
        <f>IF(ISNUMBER(D184), $B199 * E184, "")</f>
        <v>0</v>
      </c>
      <c r="G184" s="99">
        <v>10480</v>
      </c>
      <c r="H184" s="97">
        <f>IF(ISNUMBER(G184), (G184 - $B184) / $B184, "")</f>
        <v>-1.6885553470919325E-2</v>
      </c>
      <c r="I184" s="100">
        <f>IF(ISNUMBER(G184), $B199 * H184, "")</f>
        <v>-2532.8330206378987</v>
      </c>
      <c r="J184" s="96">
        <v>10420</v>
      </c>
      <c r="K184" s="97">
        <f>IF(ISNUMBER(J184), (J184 - $B184) / $B184, "")</f>
        <v>-2.2514071294559099E-2</v>
      </c>
      <c r="L184" s="98">
        <f>IF(ISNUMBER(J184), $B199 * K184, "")</f>
        <v>-3377.1106941838648</v>
      </c>
      <c r="M184" s="99">
        <v>10350</v>
      </c>
      <c r="N184" s="97">
        <f>IF(ISNUMBER(M184), (M184 - $B184) / $B184, "")</f>
        <v>-2.9080675422138838E-2</v>
      </c>
      <c r="O184" s="98">
        <f>IF(ISNUMBER(M184), $B199 * N184, "")</f>
        <v>-4362.1013133208253</v>
      </c>
      <c r="Q184" s="146"/>
      <c r="R184" s="146"/>
      <c r="S184" s="146"/>
    </row>
    <row r="185" spans="1:19" ht="17.25" thickBot="1">
      <c r="A185" s="109" t="s">
        <v>217</v>
      </c>
      <c r="B185" s="110">
        <v>93.9</v>
      </c>
      <c r="C185" s="70">
        <v>-9.4936709000000008E-3</v>
      </c>
      <c r="D185" s="15">
        <v>93.9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92.7</v>
      </c>
      <c r="H185" s="32">
        <f t="shared" ref="H185:H188" si="99">IF(ISNUMBER(G185), (G185 - $B185) / $B185, "")</f>
        <v>-1.2779552715654981E-2</v>
      </c>
      <c r="I185" s="91">
        <f>IF(ISNUMBER(G185), $B199 * H185, "")</f>
        <v>-1916.9329073482472</v>
      </c>
      <c r="J185" s="15">
        <v>92.2</v>
      </c>
      <c r="K185" s="32">
        <f t="shared" ref="K185:K188" si="100">IF(ISNUMBER(J185), (J185 - $B185) / $B185, "")</f>
        <v>-1.8104366347177877E-2</v>
      </c>
      <c r="L185" s="18">
        <f>IF(ISNUMBER(J185), $B199 * K185, "")</f>
        <v>-2715.6549520766816</v>
      </c>
      <c r="M185" s="31">
        <v>90.9</v>
      </c>
      <c r="N185" s="32">
        <f t="shared" ref="N185:N188" si="101">IF(ISNUMBER(M185), (M185 - $B185) / $B185, "")</f>
        <v>-3.1948881789137379E-2</v>
      </c>
      <c r="O185" s="18">
        <f>IF(ISNUMBER(M185), $B199 * N185, "")</f>
        <v>-4792.3322683706065</v>
      </c>
      <c r="Q185" s="146"/>
      <c r="R185" s="146"/>
      <c r="S185" s="146"/>
    </row>
    <row r="186" spans="1:19" ht="17.25" thickBot="1">
      <c r="A186" s="109" t="s">
        <v>157</v>
      </c>
      <c r="B186" s="110">
        <v>376</v>
      </c>
      <c r="C186" s="70">
        <v>-1.05263158E-2</v>
      </c>
      <c r="D186" s="15">
        <v>376</v>
      </c>
      <c r="E186" s="32">
        <f t="shared" si="98"/>
        <v>0</v>
      </c>
      <c r="F186" s="18">
        <f>IF(ISNUMBER(D186), $B199 * E186, "")</f>
        <v>0</v>
      </c>
      <c r="G186" s="31">
        <v>370</v>
      </c>
      <c r="H186" s="32">
        <f t="shared" si="99"/>
        <v>-1.5957446808510637E-2</v>
      </c>
      <c r="I186" s="91">
        <f>IF(ISNUMBER(G186), $B199 * H186, "")</f>
        <v>-2393.6170212765956</v>
      </c>
      <c r="J186" s="15">
        <v>364</v>
      </c>
      <c r="K186" s="32">
        <f t="shared" si="100"/>
        <v>-3.1914893617021274E-2</v>
      </c>
      <c r="L186" s="18">
        <f>IF(ISNUMBER(J186), $B199 * K186, "")</f>
        <v>-4787.2340425531911</v>
      </c>
      <c r="M186" s="31">
        <v>362</v>
      </c>
      <c r="N186" s="32">
        <f t="shared" si="101"/>
        <v>-3.7234042553191488E-2</v>
      </c>
      <c r="O186" s="18">
        <f>IF(ISNUMBER(M186), $B199 * N186, "")</f>
        <v>-5585.1063829787236</v>
      </c>
      <c r="Q186" s="146"/>
      <c r="R186" s="146"/>
      <c r="S186" s="146"/>
    </row>
    <row r="187" spans="1:19" ht="17.25" thickBot="1">
      <c r="A187" s="109" t="s">
        <v>178</v>
      </c>
      <c r="B187" s="110">
        <v>2245</v>
      </c>
      <c r="C187" s="70">
        <v>-1.10132159E-2</v>
      </c>
      <c r="D187" s="15">
        <v>2245</v>
      </c>
      <c r="E187" s="32">
        <f t="shared" si="98"/>
        <v>0</v>
      </c>
      <c r="F187" s="18">
        <f>IF(ISNUMBER(D187), $B199 * E187, "")</f>
        <v>0</v>
      </c>
      <c r="G187" s="31">
        <v>2205</v>
      </c>
      <c r="H187" s="32">
        <f t="shared" si="99"/>
        <v>-1.7817371937639197E-2</v>
      </c>
      <c r="I187" s="91">
        <f>IF(ISNUMBER(G187), $B199 * H187, "")</f>
        <v>-2672.6057906458796</v>
      </c>
      <c r="J187" s="15">
        <v>2195</v>
      </c>
      <c r="K187" s="32">
        <f t="shared" si="100"/>
        <v>-2.2271714922048998E-2</v>
      </c>
      <c r="L187" s="18">
        <f>IF(ISNUMBER(J187), $B199 * K187, "")</f>
        <v>-3340.7572383073498</v>
      </c>
      <c r="M187" s="31">
        <v>2175</v>
      </c>
      <c r="N187" s="32">
        <f t="shared" si="101"/>
        <v>-3.1180400890868598E-2</v>
      </c>
      <c r="O187" s="18">
        <f>IF(ISNUMBER(M187), $B199 * N187, "")</f>
        <v>-4677.0601336302898</v>
      </c>
      <c r="Q187" s="33"/>
      <c r="R187" s="33"/>
    </row>
    <row r="188" spans="1:19" ht="17.25" thickBot="1">
      <c r="A188" s="114" t="s">
        <v>207</v>
      </c>
      <c r="B188" s="115">
        <v>88.6</v>
      </c>
      <c r="C188" s="72">
        <v>-1.1160714299999999E-2</v>
      </c>
      <c r="D188" s="24">
        <v>88.6</v>
      </c>
      <c r="E188" s="25">
        <f t="shared" si="98"/>
        <v>0</v>
      </c>
      <c r="F188" s="94">
        <f>IF(ISNUMBER(D188), $B199 * E188, "")</f>
        <v>0</v>
      </c>
      <c r="G188" s="92">
        <v>87.5</v>
      </c>
      <c r="H188" s="25">
        <f t="shared" si="99"/>
        <v>-1.241534988713312E-2</v>
      </c>
      <c r="I188" s="93">
        <f>IF(ISNUMBER(G188), $B199 * H188, "")</f>
        <v>-1862.302483069968</v>
      </c>
      <c r="J188" s="24">
        <v>88.1</v>
      </c>
      <c r="K188" s="25">
        <f t="shared" si="100"/>
        <v>-5.6433408577878106E-3</v>
      </c>
      <c r="L188" s="94">
        <f>IF(ISNUMBER(J188), $B199 * K188, "")</f>
        <v>-846.50112866817153</v>
      </c>
      <c r="M188" s="92">
        <v>86.4</v>
      </c>
      <c r="N188" s="25">
        <f t="shared" si="101"/>
        <v>-2.4830699774266239E-2</v>
      </c>
      <c r="O188" s="94">
        <f>IF(ISNUMBER(M188), $B199 * N188, "")</f>
        <v>-3724.6049661399361</v>
      </c>
      <c r="Q188" s="147"/>
      <c r="R188" s="148"/>
      <c r="S188" s="149"/>
    </row>
    <row r="189" spans="1:19">
      <c r="A189" s="107" t="s">
        <v>159</v>
      </c>
      <c r="B189" s="108">
        <v>252</v>
      </c>
      <c r="C189" s="69">
        <v>-1.17647059E-2</v>
      </c>
      <c r="D189" s="13">
        <v>252</v>
      </c>
      <c r="E189" s="14">
        <f>IF(ISNUMBER(D189), (D189 - $B189) / $B189, "")</f>
        <v>0</v>
      </c>
      <c r="F189" s="16">
        <f>IF(ISNUMBER(D189), $B199 * E189, "")</f>
        <v>0</v>
      </c>
      <c r="G189" s="29">
        <v>248</v>
      </c>
      <c r="H189" s="14">
        <f>IF(ISNUMBER(G189), (G189 - $B189) / $B189, "")</f>
        <v>-1.5873015873015872E-2</v>
      </c>
      <c r="I189" s="90">
        <f>IF(ISNUMBER(G189), $B199 * H189, "")</f>
        <v>-2380.9523809523807</v>
      </c>
      <c r="J189" s="13">
        <v>247</v>
      </c>
      <c r="K189" s="14">
        <f>IF(ISNUMBER(J189), (J189 - $B189) / $B189, "")</f>
        <v>-1.984126984126984E-2</v>
      </c>
      <c r="L189" s="16">
        <f>IF(ISNUMBER(J189), $B199 * K189, "")</f>
        <v>-2976.1904761904761</v>
      </c>
      <c r="M189" s="29">
        <v>245</v>
      </c>
      <c r="N189" s="14">
        <f>IF(ISNUMBER(M189), (M189 - $B189) / $B189, "")</f>
        <v>-2.7777777777777776E-2</v>
      </c>
      <c r="O189" s="16">
        <f>IF(ISNUMBER(M189), $B199 * N189, "")</f>
        <v>-4166.6666666666661</v>
      </c>
      <c r="Q189" s="150"/>
      <c r="R189" s="151"/>
      <c r="S189" s="152"/>
    </row>
    <row r="190" spans="1:19" ht="17.25" thickBot="1">
      <c r="A190" s="109" t="s">
        <v>165</v>
      </c>
      <c r="B190" s="110">
        <v>1550</v>
      </c>
      <c r="C190" s="70">
        <v>-1.2738853499999999E-2</v>
      </c>
      <c r="D190" s="15">
        <v>1550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1515</v>
      </c>
      <c r="H190" s="32">
        <f t="shared" ref="H190:H193" si="103">IF(ISNUMBER(G190), (G190 - $B190) / $B190, "")</f>
        <v>-2.2580645161290321E-2</v>
      </c>
      <c r="I190" s="91">
        <f>IF(ISNUMBER(G190), $B199 * H190, "")</f>
        <v>-3387.0967741935483</v>
      </c>
      <c r="J190" s="15">
        <v>1500</v>
      </c>
      <c r="K190" s="32">
        <f t="shared" ref="K190:K193" si="104">IF(ISNUMBER(J190), (J190 - $B190) / $B190, "")</f>
        <v>-3.2258064516129031E-2</v>
      </c>
      <c r="L190" s="18">
        <f>IF(ISNUMBER(J190), $B199 * K190, "")</f>
        <v>-4838.7096774193551</v>
      </c>
      <c r="M190" s="31">
        <v>1500</v>
      </c>
      <c r="N190" s="32">
        <f t="shared" ref="N190:N193" si="105">IF(ISNUMBER(M190), (M190 - $B190) / $B190, "")</f>
        <v>-3.2258064516129031E-2</v>
      </c>
      <c r="O190" s="18">
        <f>IF(ISNUMBER(M190), $B199 * N190, "")</f>
        <v>-4838.7096774193551</v>
      </c>
      <c r="Q190" s="153"/>
      <c r="R190" s="154"/>
      <c r="S190" s="155"/>
    </row>
    <row r="191" spans="1:19" ht="17.25" thickBot="1">
      <c r="A191" s="109" t="s">
        <v>143</v>
      </c>
      <c r="B191" s="110">
        <v>6</v>
      </c>
      <c r="C191" s="70">
        <v>-1.3157894700000001E-2</v>
      </c>
      <c r="D191" s="15">
        <v>6</v>
      </c>
      <c r="E191" s="32">
        <f t="shared" si="102"/>
        <v>0</v>
      </c>
      <c r="F191" s="18">
        <f>IF(ISNUMBER(D191), $B199 * E191, "")</f>
        <v>0</v>
      </c>
      <c r="G191" s="31">
        <v>5.88</v>
      </c>
      <c r="H191" s="32">
        <f t="shared" si="103"/>
        <v>-2.0000000000000018E-2</v>
      </c>
      <c r="I191" s="91">
        <f>IF(ISNUMBER(G191), $B199 * H191, "")</f>
        <v>-3000.0000000000027</v>
      </c>
      <c r="J191" s="15">
        <v>5.83</v>
      </c>
      <c r="K191" s="32">
        <f t="shared" si="104"/>
        <v>-2.8333333333333321E-2</v>
      </c>
      <c r="L191" s="18">
        <f>IF(ISNUMBER(J191), $B199 * K191, "")</f>
        <v>-4249.9999999999982</v>
      </c>
      <c r="M191" s="31">
        <v>5.79</v>
      </c>
      <c r="N191" s="32">
        <f t="shared" si="105"/>
        <v>-3.4999999999999996E-2</v>
      </c>
      <c r="O191" s="18">
        <f>IF(ISNUMBER(M191), $B199 * N191, "")</f>
        <v>-5249.9999999999991</v>
      </c>
      <c r="Q191" s="146"/>
      <c r="R191" s="146"/>
      <c r="S191" s="146"/>
    </row>
    <row r="192" spans="1:19" ht="17.25" thickBot="1">
      <c r="A192" s="109" t="s">
        <v>107</v>
      </c>
      <c r="B192" s="110">
        <v>50.3</v>
      </c>
      <c r="C192" s="70">
        <v>-1.3725490200000001E-2</v>
      </c>
      <c r="D192" s="15">
        <v>50.3</v>
      </c>
      <c r="E192" s="32">
        <f t="shared" si="102"/>
        <v>0</v>
      </c>
      <c r="F192" s="18">
        <f>IF(ISNUMBER(D192), $B199 * E192, "")</f>
        <v>0</v>
      </c>
      <c r="G192" s="31">
        <v>50.1</v>
      </c>
      <c r="H192" s="32">
        <f t="shared" si="103"/>
        <v>-3.976143141152997E-3</v>
      </c>
      <c r="I192" s="91">
        <f>IF(ISNUMBER(G192), $B199 * H192, "")</f>
        <v>-596.42147117294951</v>
      </c>
      <c r="J192" s="15">
        <v>49.8</v>
      </c>
      <c r="K192" s="32">
        <f t="shared" si="104"/>
        <v>-9.9403578528827041E-3</v>
      </c>
      <c r="L192" s="18">
        <f>IF(ISNUMBER(J192), $B199 * K192, "")</f>
        <v>-1491.0536779324057</v>
      </c>
      <c r="M192" s="31">
        <v>49.6</v>
      </c>
      <c r="N192" s="32">
        <f t="shared" si="105"/>
        <v>-1.3916500994035701E-2</v>
      </c>
      <c r="O192" s="18">
        <f>IF(ISNUMBER(M192), $B199 * N192, "")</f>
        <v>-2087.4751491053553</v>
      </c>
      <c r="Q192" s="156"/>
      <c r="R192" s="156"/>
      <c r="S192" s="156"/>
    </row>
    <row r="193" spans="1:19" ht="17.25" thickBot="1">
      <c r="A193" s="111" t="s">
        <v>205</v>
      </c>
      <c r="B193" s="112">
        <v>140</v>
      </c>
      <c r="C193" s="71">
        <v>-1.4084507E-2</v>
      </c>
      <c r="D193" s="20">
        <v>140</v>
      </c>
      <c r="E193" s="21">
        <f t="shared" si="102"/>
        <v>0</v>
      </c>
      <c r="F193" s="22">
        <f>IF(ISNUMBER(D193), $B199 * E193, "")</f>
        <v>0</v>
      </c>
      <c r="G193" s="30">
        <v>138</v>
      </c>
      <c r="H193" s="21">
        <f t="shared" si="103"/>
        <v>-1.4285714285714285E-2</v>
      </c>
      <c r="I193" s="95">
        <f>IF(ISNUMBER(G193), $B199 * H193, "")</f>
        <v>-2142.8571428571427</v>
      </c>
      <c r="J193" s="20">
        <v>139</v>
      </c>
      <c r="K193" s="21">
        <f t="shared" si="104"/>
        <v>-7.1428571428571426E-3</v>
      </c>
      <c r="L193" s="22">
        <f>IF(ISNUMBER(J193), $B199 * K193, "")</f>
        <v>-1071.4285714285713</v>
      </c>
      <c r="M193" s="30">
        <v>136</v>
      </c>
      <c r="N193" s="21">
        <f t="shared" si="105"/>
        <v>-2.8571428571428571E-2</v>
      </c>
      <c r="O193" s="22">
        <f>IF(ISNUMBER(M193), $B199 * N193, "")</f>
        <v>-4285.7142857142853</v>
      </c>
      <c r="Q193" s="156"/>
      <c r="R193" s="156"/>
      <c r="S193" s="156"/>
    </row>
    <row r="194" spans="1:19" ht="17.25" thickBot="1">
      <c r="A194" s="109" t="s">
        <v>161</v>
      </c>
      <c r="B194" s="113">
        <v>999</v>
      </c>
      <c r="C194" s="73">
        <v>-1.57635468E-2</v>
      </c>
      <c r="D194" s="96">
        <v>999</v>
      </c>
      <c r="E194" s="97">
        <f>IF(ISNUMBER(D194), (D194 - $B194) / $B194, "")</f>
        <v>0</v>
      </c>
      <c r="F194" s="98">
        <f>IF(ISNUMBER(D194), $B199 * E194, "")</f>
        <v>0</v>
      </c>
      <c r="G194" s="99">
        <v>968</v>
      </c>
      <c r="H194" s="97">
        <f>IF(ISNUMBER(G194), (G194 - $B194) / $B194, "")</f>
        <v>-3.1031031031031032E-2</v>
      </c>
      <c r="I194" s="100">
        <f>IF(ISNUMBER(G194), $B199 * H194, "")</f>
        <v>-4654.6546546546551</v>
      </c>
      <c r="J194" s="96">
        <v>934</v>
      </c>
      <c r="K194" s="97">
        <f>IF(ISNUMBER(J194), (J194 - $B194) / $B194, "")</f>
        <v>-6.506506506506507E-2</v>
      </c>
      <c r="L194" s="98">
        <f>IF(ISNUMBER(J194), $B199 * K194, "")</f>
        <v>-9759.7597597597596</v>
      </c>
      <c r="M194" s="99">
        <v>930</v>
      </c>
      <c r="N194" s="97">
        <f>IF(ISNUMBER(M194), (M194 - $B194) / $B194, "")</f>
        <v>-6.9069069069069067E-2</v>
      </c>
      <c r="O194" s="98">
        <f>IF(ISNUMBER(M194), $B199 * N194, "")</f>
        <v>-10360.360360360361</v>
      </c>
      <c r="Q194" s="146"/>
      <c r="R194" s="146"/>
      <c r="S194" s="146"/>
    </row>
    <row r="195" spans="1:19" ht="17.25" thickBot="1">
      <c r="A195" s="109" t="s">
        <v>334</v>
      </c>
      <c r="B195" s="110">
        <v>54.2</v>
      </c>
      <c r="C195" s="70">
        <v>-1.63339383E-2</v>
      </c>
      <c r="D195" s="15">
        <v>54.2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52.2</v>
      </c>
      <c r="H195" s="32">
        <f t="shared" ref="H195:H198" si="107">IF(ISNUMBER(G195), (G195 - $B195) / $B195, "")</f>
        <v>-3.6900369003690037E-2</v>
      </c>
      <c r="I195" s="91">
        <f>IF(ISNUMBER(G195), $B199 * H195, "")</f>
        <v>-5535.0553505535054</v>
      </c>
      <c r="J195" s="15">
        <v>52</v>
      </c>
      <c r="K195" s="32">
        <f t="shared" ref="K195:K198" si="108">IF(ISNUMBER(J195), (J195 - $B195) / $B195, "")</f>
        <v>-4.0590405904059088E-2</v>
      </c>
      <c r="L195" s="18">
        <f>IF(ISNUMBER(J195), $B199 * K195, "")</f>
        <v>-6088.5608856088629</v>
      </c>
      <c r="M195" s="31">
        <v>51.2</v>
      </c>
      <c r="N195" s="32">
        <f t="shared" ref="N195:N198" si="109">IF(ISNUMBER(M195), (M195 - $B195) / $B195, "")</f>
        <v>-5.5350553505535055E-2</v>
      </c>
      <c r="O195" s="18">
        <f>IF(ISNUMBER(M195), $B199 * N195, "")</f>
        <v>-8302.5830258302576</v>
      </c>
      <c r="Q195" s="146"/>
      <c r="R195" s="146"/>
      <c r="S195" s="146"/>
    </row>
    <row r="196" spans="1:19" ht="17.25" thickBot="1">
      <c r="A196" s="109" t="s">
        <v>68</v>
      </c>
      <c r="B196" s="110">
        <v>574</v>
      </c>
      <c r="C196" s="70">
        <v>-1.71232877E-2</v>
      </c>
      <c r="D196" s="15">
        <v>574</v>
      </c>
      <c r="E196" s="32">
        <f t="shared" si="106"/>
        <v>0</v>
      </c>
      <c r="F196" s="18">
        <f>IF(ISNUMBER(D196), $B199 * E196, "")</f>
        <v>0</v>
      </c>
      <c r="G196" s="31">
        <v>567</v>
      </c>
      <c r="H196" s="32">
        <f t="shared" si="107"/>
        <v>-1.2195121951219513E-2</v>
      </c>
      <c r="I196" s="91">
        <f>IF(ISNUMBER(G196), $B199 * H196, "")</f>
        <v>-1829.2682926829268</v>
      </c>
      <c r="J196" s="15">
        <v>562</v>
      </c>
      <c r="K196" s="32">
        <f t="shared" si="108"/>
        <v>-2.0905923344947737E-2</v>
      </c>
      <c r="L196" s="18">
        <f>IF(ISNUMBER(J196), $B199 * K196, "")</f>
        <v>-3135.8885017421603</v>
      </c>
      <c r="M196" s="31">
        <v>560</v>
      </c>
      <c r="N196" s="32">
        <f t="shared" si="109"/>
        <v>-2.4390243902439025E-2</v>
      </c>
      <c r="O196" s="18">
        <f>IF(ISNUMBER(M196), $B199 * N196, "")</f>
        <v>-3658.5365853658536</v>
      </c>
      <c r="Q196" s="146"/>
      <c r="R196" s="146"/>
      <c r="S196" s="146"/>
    </row>
    <row r="197" spans="1:19">
      <c r="A197" s="109" t="s">
        <v>116</v>
      </c>
      <c r="B197" s="110">
        <v>1590</v>
      </c>
      <c r="C197" s="70">
        <v>-1.8518518500000001E-2</v>
      </c>
      <c r="D197" s="15">
        <v>1590</v>
      </c>
      <c r="E197" s="32">
        <f t="shared" si="106"/>
        <v>0</v>
      </c>
      <c r="F197" s="18">
        <f>IF(ISNUMBER(D197), $B199 * E197, "")</f>
        <v>0</v>
      </c>
      <c r="G197" s="31">
        <v>1555</v>
      </c>
      <c r="H197" s="32">
        <f t="shared" si="107"/>
        <v>-2.20125786163522E-2</v>
      </c>
      <c r="I197" s="91">
        <f>IF(ISNUMBER(G197), $B199 * H197, "")</f>
        <v>-3301.8867924528299</v>
      </c>
      <c r="J197" s="15">
        <v>1545</v>
      </c>
      <c r="K197" s="32">
        <f t="shared" si="108"/>
        <v>-2.8301886792452831E-2</v>
      </c>
      <c r="L197" s="18">
        <f>IF(ISNUMBER(J197), $B199 * K197, "")</f>
        <v>-4245.2830188679245</v>
      </c>
      <c r="M197" s="31">
        <v>1540</v>
      </c>
      <c r="N197" s="32">
        <f t="shared" si="109"/>
        <v>-3.1446540880503145E-2</v>
      </c>
      <c r="O197" s="18">
        <f>IF(ISNUMBER(M197), $B199 * N197, "")</f>
        <v>-4716.9811320754716</v>
      </c>
      <c r="Q197" s="135"/>
      <c r="R197" s="136"/>
      <c r="S197" s="137"/>
    </row>
    <row r="198" spans="1:19" ht="17.25" thickBot="1">
      <c r="A198" s="114" t="s">
        <v>352</v>
      </c>
      <c r="B198" s="115">
        <v>301</v>
      </c>
      <c r="C198" s="72">
        <v>-3.21543408E-2</v>
      </c>
      <c r="D198" s="24">
        <v>301</v>
      </c>
      <c r="E198" s="25">
        <f t="shared" si="106"/>
        <v>0</v>
      </c>
      <c r="F198" s="94">
        <f>IF(ISNUMBER(D198), $B199 * E198, "")</f>
        <v>0</v>
      </c>
      <c r="G198" s="92">
        <v>290</v>
      </c>
      <c r="H198" s="25">
        <f t="shared" si="107"/>
        <v>-3.6544850498338874E-2</v>
      </c>
      <c r="I198" s="93">
        <f>IF(ISNUMBER(G198), $B199 * H198, "")</f>
        <v>-5481.7275747508311</v>
      </c>
      <c r="J198" s="24">
        <v>293</v>
      </c>
      <c r="K198" s="25">
        <f t="shared" si="108"/>
        <v>-2.6578073089700997E-2</v>
      </c>
      <c r="L198" s="94">
        <f>IF(ISNUMBER(J198), $B199 * K198, "")</f>
        <v>-3986.7109634551498</v>
      </c>
      <c r="M198" s="92">
        <v>277</v>
      </c>
      <c r="N198" s="25">
        <f t="shared" si="109"/>
        <v>-7.9734219269102985E-2</v>
      </c>
      <c r="O198" s="94">
        <f>IF(ISNUMBER(M198), $B199 * N198, "")</f>
        <v>-11960.132890365448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-1.7666108302486012E-2</v>
      </c>
      <c r="I199" s="28">
        <f>SUM(I179:I198)</f>
        <v>-52998.324907458045</v>
      </c>
      <c r="J199" s="26" t="s">
        <v>258</v>
      </c>
      <c r="K199" s="27">
        <f>IF(COUNT(K179:K198), SUM(K179:K198) / COUNT(K179:K198), 0)</f>
        <v>-2.2303622990626784E-2</v>
      </c>
      <c r="L199" s="28">
        <f>SUM(L179:L198)</f>
        <v>-66910.868971880351</v>
      </c>
      <c r="M199" s="26" t="s">
        <v>258</v>
      </c>
      <c r="N199" s="27">
        <f>IF(COUNT(N179:N198), SUM(N179:N198) / COUNT(N179:N198), 0)</f>
        <v>-3.3526115459792366E-2</v>
      </c>
      <c r="O199" s="28">
        <f>SUM(O179:O198)</f>
        <v>-100578.34637937711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B5549-D486-4159-AFD3-544A11540805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44993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-79,110 KRW (-2.64%)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-62,629 KRW (-2.09%)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-122,314 KRW (-4.08%)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-124,543 KRW (-4.15%)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2023-03-08(수) 오전 00:00</v>
      </c>
      <c r="C15" s="196"/>
      <c r="D15" s="170" t="str">
        <f>TEXT($G$1, "[$-ko-KR]yyyy-mm-dd(ddd) ") &amp; "오후 14:00"</f>
        <v>2023-03-08(수) 오후 14:00</v>
      </c>
      <c r="E15" s="171"/>
      <c r="F15" s="172"/>
      <c r="G15" s="170" t="str">
        <f>TEXT($G$1, "[$-ko-KR]yyyy-mm-dd(ddd) ") &amp; "오후 19:00"</f>
        <v>2023-03-08(수) 오후 19:00</v>
      </c>
      <c r="H15" s="171"/>
      <c r="I15" s="172"/>
      <c r="J15" s="170" t="str">
        <f>TEXT($G$1, "[$-ko-KR]yyyy-mm-dd(ddd) ") &amp; "오후 21:00"</f>
        <v>2023-03-08(수) 오후 21:00</v>
      </c>
      <c r="K15" s="171"/>
      <c r="L15" s="172"/>
      <c r="M15" s="170" t="str">
        <f>TEXT($G$1+1, "[$-ko-KR]yyyy-mm-dd(ddd) ") &amp; "오전 00:00"</f>
        <v>2023-03-09(목)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2023-03-08(수) 오전 00:00</v>
      </c>
      <c r="C42" s="198"/>
      <c r="D42" s="170" t="str">
        <f>TEXT($G$1, "[$-ko-KR]yyyy-mm-dd(ddd) ") &amp; "오후 14:00"</f>
        <v>2023-03-08(수) 오후 14:00</v>
      </c>
      <c r="E42" s="171"/>
      <c r="F42" s="172"/>
      <c r="G42" s="170" t="str">
        <f>TEXT($G$1, "[$-ko-KR]yyyy-mm-dd(ddd) ") &amp; "오후 19:00"</f>
        <v>2023-03-08(수) 오후 19:00</v>
      </c>
      <c r="H42" s="171"/>
      <c r="I42" s="172"/>
      <c r="J42" s="170" t="str">
        <f>TEXT($G$1, "[$-ko-KR]yyyy-mm-dd(ddd) ") &amp; "오후 21:00"</f>
        <v>2023-03-08(수) 오후 21:00</v>
      </c>
      <c r="K42" s="171"/>
      <c r="L42" s="172"/>
      <c r="M42" s="170" t="str">
        <f>TEXT($G$1+1, "[$-ko-KR]yyyy-mm-dd(ddd) ") &amp; "오전 00:00"</f>
        <v>2023-03-09(목)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225</v>
      </c>
      <c r="B44" s="108">
        <v>87.4</v>
      </c>
      <c r="C44" s="69">
        <v>0.13065976709999999</v>
      </c>
      <c r="D44" s="13">
        <v>92.6</v>
      </c>
      <c r="E44" s="14">
        <f>IF(ISNUMBER(D44), (D44 - $B44) / $B44, "")</f>
        <v>5.9496567505720688E-2</v>
      </c>
      <c r="F44" s="16">
        <f>IF(ISNUMBER(D44), $B64 * E44, "")</f>
        <v>8924.4851258581039</v>
      </c>
      <c r="G44" s="29">
        <v>91.7</v>
      </c>
      <c r="H44" s="14">
        <f>IF(ISNUMBER(G44), (G44 - $B44) / $B44, "")</f>
        <v>4.9199084668192186E-2</v>
      </c>
      <c r="I44" s="90">
        <f>IF(ISNUMBER(G44), $B64 * H44, "")</f>
        <v>7379.8627002288276</v>
      </c>
      <c r="J44" s="13">
        <v>90.5</v>
      </c>
      <c r="K44" s="14">
        <f>IF(ISNUMBER(J44), (J44 - $B44) / $B44, "")</f>
        <v>3.5469107551487349E-2</v>
      </c>
      <c r="L44" s="16">
        <f>IF(ISNUMBER(J44), $B64 * K44, "")</f>
        <v>5320.3661327231021</v>
      </c>
      <c r="M44" s="29">
        <v>88.7</v>
      </c>
      <c r="N44" s="14">
        <f>IF(ISNUMBER(M44), (M44 - $B44) / $B44, "")</f>
        <v>1.4874141876430172E-2</v>
      </c>
      <c r="O44" s="16">
        <f>IF(ISNUMBER(M44), $B64 * N44, "")</f>
        <v>2231.121281464526</v>
      </c>
      <c r="Q44" s="156"/>
      <c r="R44" s="156"/>
      <c r="S44" s="156"/>
    </row>
    <row r="45" spans="1:19" ht="17.25" customHeight="1" thickBot="1">
      <c r="A45" s="109" t="s">
        <v>320</v>
      </c>
      <c r="B45" s="110">
        <v>6.07</v>
      </c>
      <c r="C45" s="70">
        <v>3.3057850999999999E-3</v>
      </c>
      <c r="D45" s="15">
        <v>5.88</v>
      </c>
      <c r="E45" s="32">
        <f t="shared" ref="E45:E48" si="14">IF(ISNUMBER(D45), (D45 - $B45) / $B45, "")</f>
        <v>-3.1301482701812253E-2</v>
      </c>
      <c r="F45" s="18">
        <f>IF(ISNUMBER(D45), $B64 * E45, "")</f>
        <v>-4695.2224052718375</v>
      </c>
      <c r="G45" s="31">
        <v>5.84</v>
      </c>
      <c r="H45" s="32">
        <f t="shared" ref="H45:H48" si="15">IF(ISNUMBER(G45), (G45 - $B45) / $B45, "")</f>
        <v>-3.7891268533772719E-2</v>
      </c>
      <c r="I45" s="91">
        <f>IF(ISNUMBER(G45), $B64 * H45, "")</f>
        <v>-5683.6902800659082</v>
      </c>
      <c r="J45" s="15">
        <v>5.88</v>
      </c>
      <c r="K45" s="32">
        <f t="shared" ref="K45:K48" si="16">IF(ISNUMBER(J45), (J45 - $B45) / $B45, "")</f>
        <v>-3.1301482701812253E-2</v>
      </c>
      <c r="L45" s="18">
        <f>IF(ISNUMBER(J45), $B64 * K45, "")</f>
        <v>-4695.2224052718375</v>
      </c>
      <c r="M45" s="31">
        <v>5.87</v>
      </c>
      <c r="N45" s="32">
        <f t="shared" ref="N45:N48" si="17">IF(ISNUMBER(M45), (M45 - $B45) / $B45, "")</f>
        <v>-3.2948929159802333E-2</v>
      </c>
      <c r="O45" s="18">
        <f>IF(ISNUMBER(M45), $B64 * N45, "")</f>
        <v>-4942.3393739703497</v>
      </c>
      <c r="Q45" s="156"/>
      <c r="R45" s="156"/>
      <c r="S45" s="156"/>
    </row>
    <row r="46" spans="1:19" ht="17.25" customHeight="1" thickBot="1">
      <c r="A46" s="109" t="s">
        <v>118</v>
      </c>
      <c r="B46" s="110">
        <v>7.94</v>
      </c>
      <c r="C46" s="70">
        <v>-3.7641153999999999E-3</v>
      </c>
      <c r="D46" s="15">
        <v>8.23</v>
      </c>
      <c r="E46" s="32">
        <f t="shared" si="14"/>
        <v>3.6523929471032751E-2</v>
      </c>
      <c r="F46" s="18">
        <f>IF(ISNUMBER(D46), $B64 * E46, "")</f>
        <v>5478.5894206549128</v>
      </c>
      <c r="G46" s="31">
        <v>8.26</v>
      </c>
      <c r="H46" s="32">
        <f t="shared" si="15"/>
        <v>4.0302267002518814E-2</v>
      </c>
      <c r="I46" s="91">
        <f>IF(ISNUMBER(G46), $B64 * H46, "")</f>
        <v>6045.3400503778221</v>
      </c>
      <c r="J46" s="15">
        <v>8.18</v>
      </c>
      <c r="K46" s="32">
        <f t="shared" si="16"/>
        <v>3.0226700251889081E-2</v>
      </c>
      <c r="L46" s="18">
        <f>IF(ISNUMBER(J46), $B64 * K46, "")</f>
        <v>4534.0050377833622</v>
      </c>
      <c r="M46" s="31">
        <v>7.95</v>
      </c>
      <c r="N46" s="32">
        <f t="shared" si="17"/>
        <v>1.2594458438286884E-3</v>
      </c>
      <c r="O46" s="18">
        <f>IF(ISNUMBER(M46), $B64 * N46, "")</f>
        <v>188.91687657430327</v>
      </c>
      <c r="Q46" s="146"/>
      <c r="R46" s="146"/>
      <c r="S46" s="146"/>
    </row>
    <row r="47" spans="1:19" ht="17.25" customHeight="1" thickBot="1">
      <c r="A47" s="109" t="s">
        <v>145</v>
      </c>
      <c r="B47" s="110">
        <v>89</v>
      </c>
      <c r="C47" s="70">
        <v>-5.5865921999999997E-3</v>
      </c>
      <c r="D47" s="15">
        <v>88.5</v>
      </c>
      <c r="E47" s="32">
        <f t="shared" si="14"/>
        <v>-5.6179775280898875E-3</v>
      </c>
      <c r="F47" s="18">
        <f>IF(ISNUMBER(D47), $B64 * E47, "")</f>
        <v>-842.69662921348311</v>
      </c>
      <c r="G47" s="31">
        <v>87.9</v>
      </c>
      <c r="H47" s="32">
        <f t="shared" si="15"/>
        <v>-1.2359550561797689E-2</v>
      </c>
      <c r="I47" s="91">
        <f>IF(ISNUMBER(G47), $B64 * H47, "")</f>
        <v>-1853.9325842696533</v>
      </c>
      <c r="J47" s="15">
        <v>87.9</v>
      </c>
      <c r="K47" s="32">
        <f t="shared" si="16"/>
        <v>-1.2359550561797689E-2</v>
      </c>
      <c r="L47" s="18">
        <f>IF(ISNUMBER(J47), $B64 * K47, "")</f>
        <v>-1853.9325842696533</v>
      </c>
      <c r="M47" s="31">
        <v>87.4</v>
      </c>
      <c r="N47" s="32">
        <f t="shared" si="17"/>
        <v>-1.7977528089887576E-2</v>
      </c>
      <c r="O47" s="18">
        <f>IF(ISNUMBER(M47), $B64 * N47, "")</f>
        <v>-2696.6292134831365</v>
      </c>
      <c r="Q47" s="146"/>
      <c r="R47" s="146"/>
      <c r="S47" s="146"/>
    </row>
    <row r="48" spans="1:19" ht="17.25" customHeight="1" thickBot="1">
      <c r="A48" s="111" t="s">
        <v>253</v>
      </c>
      <c r="B48" s="112">
        <v>98.4</v>
      </c>
      <c r="C48" s="71">
        <v>-9.0634441E-3</v>
      </c>
      <c r="D48" s="20">
        <v>98.1</v>
      </c>
      <c r="E48" s="21">
        <f t="shared" si="14"/>
        <v>-3.0487804878049935E-3</v>
      </c>
      <c r="F48" s="22">
        <f>IF(ISNUMBER(D48), $B64 * E48, "")</f>
        <v>-457.31707317074904</v>
      </c>
      <c r="G48" s="30">
        <v>97.3</v>
      </c>
      <c r="H48" s="21">
        <f t="shared" si="15"/>
        <v>-1.1178861788617973E-2</v>
      </c>
      <c r="I48" s="95">
        <f>IF(ISNUMBER(G48), $B64 * H48, "")</f>
        <v>-1676.829268292696</v>
      </c>
      <c r="J48" s="20">
        <v>98.1</v>
      </c>
      <c r="K48" s="21">
        <f t="shared" si="16"/>
        <v>-3.0487804878049935E-3</v>
      </c>
      <c r="L48" s="22">
        <f>IF(ISNUMBER(J48), $B64 * K48, "")</f>
        <v>-457.31707317074904</v>
      </c>
      <c r="M48" s="30">
        <v>96.5</v>
      </c>
      <c r="N48" s="21">
        <f t="shared" si="17"/>
        <v>-1.9308943089430951E-2</v>
      </c>
      <c r="O48" s="22">
        <f>IF(ISNUMBER(M48), $B64 * N48, "")</f>
        <v>-2896.3414634146425</v>
      </c>
      <c r="Q48" s="146"/>
      <c r="R48" s="146"/>
      <c r="S48" s="146"/>
    </row>
    <row r="49" spans="1:19" ht="17.25" customHeight="1" thickBot="1">
      <c r="A49" s="109" t="s">
        <v>237</v>
      </c>
      <c r="B49" s="113">
        <v>35.5</v>
      </c>
      <c r="C49" s="73">
        <v>-1.1142061300000001E-2</v>
      </c>
      <c r="D49" s="96">
        <v>34.9</v>
      </c>
      <c r="E49" s="97">
        <f>IF(ISNUMBER(D49), (D49 - $B49) / $B49, "")</f>
        <v>-1.6901408450704265E-2</v>
      </c>
      <c r="F49" s="98">
        <f>IF(ISNUMBER(D49), $B64 * E49, "")</f>
        <v>-2535.2112676056399</v>
      </c>
      <c r="G49" s="99">
        <v>34.700000000000003</v>
      </c>
      <c r="H49" s="97">
        <f>IF(ISNUMBER(G49), (G49 - $B49) / $B49, "")</f>
        <v>-2.2535211267605555E-2</v>
      </c>
      <c r="I49" s="100">
        <f>IF(ISNUMBER(G49), $B64 * H49, "")</f>
        <v>-3380.2816901408332</v>
      </c>
      <c r="J49" s="96">
        <v>34.6</v>
      </c>
      <c r="K49" s="97">
        <f>IF(ISNUMBER(J49), (J49 - $B49) / $B49, "")</f>
        <v>-2.5352112676056297E-2</v>
      </c>
      <c r="L49" s="98">
        <f>IF(ISNUMBER(J49), $B64 * K49, "")</f>
        <v>-3802.8169014084447</v>
      </c>
      <c r="M49" s="99">
        <v>34.200000000000003</v>
      </c>
      <c r="N49" s="97">
        <f>IF(ISNUMBER(M49), (M49 - $B49) / $B49, "")</f>
        <v>-3.6619718309859071E-2</v>
      </c>
      <c r="O49" s="98">
        <f>IF(ISNUMBER(M49), $B64 * N49, "")</f>
        <v>-5492.9577464788608</v>
      </c>
      <c r="Q49" s="146"/>
      <c r="R49" s="146"/>
      <c r="S49" s="146"/>
    </row>
    <row r="50" spans="1:19" ht="17.25" customHeight="1" thickBot="1">
      <c r="A50" s="109" t="s">
        <v>132</v>
      </c>
      <c r="B50" s="110">
        <v>67.599999999999994</v>
      </c>
      <c r="C50" s="70">
        <v>-1.1695906400000001E-2</v>
      </c>
      <c r="D50" s="15">
        <v>70</v>
      </c>
      <c r="E50" s="32">
        <f t="shared" ref="E50:E53" si="18">IF(ISNUMBER(D50), (D50 - $B50) / $B50, "")</f>
        <v>3.5502958579881741E-2</v>
      </c>
      <c r="F50" s="18">
        <f>IF(ISNUMBER(D50), $B64 * E50, "")</f>
        <v>5325.4437869822614</v>
      </c>
      <c r="G50" s="31">
        <v>68</v>
      </c>
      <c r="H50" s="32">
        <f t="shared" ref="H50:H53" si="19">IF(ISNUMBER(G50), (G50 - $B50) / $B50, "")</f>
        <v>5.9171597633136943E-3</v>
      </c>
      <c r="I50" s="91">
        <f>IF(ISNUMBER(G50), $B64 * H50, "")</f>
        <v>887.57396449705413</v>
      </c>
      <c r="J50" s="15">
        <v>70.5</v>
      </c>
      <c r="K50" s="32">
        <f t="shared" ref="K50:K53" si="20">IF(ISNUMBER(J50), (J50 - $B50) / $B50, "")</f>
        <v>4.2899408284023756E-2</v>
      </c>
      <c r="L50" s="18">
        <f>IF(ISNUMBER(J50), $B64 * K50, "")</f>
        <v>6434.9112426035636</v>
      </c>
      <c r="M50" s="31">
        <v>69.099999999999994</v>
      </c>
      <c r="N50" s="32">
        <f t="shared" ref="N50:N53" si="21">IF(ISNUMBER(M50), (M50 - $B50) / $B50, "")</f>
        <v>2.2189349112426038E-2</v>
      </c>
      <c r="O50" s="18">
        <f>IF(ISNUMBER(M50), $B64 * N50, "")</f>
        <v>3328.4023668639056</v>
      </c>
      <c r="Q50" s="146"/>
      <c r="R50" s="146"/>
      <c r="S50" s="146"/>
    </row>
    <row r="51" spans="1:19" ht="17.25" customHeight="1" thickBot="1">
      <c r="A51" s="109" t="s">
        <v>185</v>
      </c>
      <c r="B51" s="110">
        <v>40.6</v>
      </c>
      <c r="C51" s="70">
        <v>-1.2165450100000001E-2</v>
      </c>
      <c r="D51" s="15">
        <v>39.9</v>
      </c>
      <c r="E51" s="32">
        <f t="shared" si="18"/>
        <v>-1.7241379310344897E-2</v>
      </c>
      <c r="F51" s="18">
        <f>IF(ISNUMBER(D51), $B64 * E51, "")</f>
        <v>-2586.2068965517346</v>
      </c>
      <c r="G51" s="31">
        <v>39.5</v>
      </c>
      <c r="H51" s="32">
        <f t="shared" si="19"/>
        <v>-2.7093596059113333E-2</v>
      </c>
      <c r="I51" s="91">
        <f>IF(ISNUMBER(G51), $B64 * H51, "")</f>
        <v>-4064.039408867</v>
      </c>
      <c r="J51" s="15">
        <v>39.9</v>
      </c>
      <c r="K51" s="32">
        <f t="shared" si="20"/>
        <v>-1.7241379310344897E-2</v>
      </c>
      <c r="L51" s="18">
        <f>IF(ISNUMBER(J51), $B64 * K51, "")</f>
        <v>-2586.2068965517346</v>
      </c>
      <c r="M51" s="31">
        <v>39.5</v>
      </c>
      <c r="N51" s="32">
        <f t="shared" si="21"/>
        <v>-2.7093596059113333E-2</v>
      </c>
      <c r="O51" s="18">
        <f>IF(ISNUMBER(M51), $B64 * N51, "")</f>
        <v>-4064.039408867</v>
      </c>
      <c r="Q51" s="146"/>
      <c r="R51" s="146"/>
      <c r="S51" s="146"/>
    </row>
    <row r="52" spans="1:19" ht="17.25" customHeight="1" thickBot="1">
      <c r="A52" s="109" t="s">
        <v>317</v>
      </c>
      <c r="B52" s="110">
        <v>1.4500000000000001E-2</v>
      </c>
      <c r="C52" s="70">
        <v>-1.36054422E-2</v>
      </c>
      <c r="D52" s="15">
        <v>1.46E-2</v>
      </c>
      <c r="E52" s="32">
        <f t="shared" si="18"/>
        <v>6.8965517241378893E-3</v>
      </c>
      <c r="F52" s="18">
        <f>IF(ISNUMBER(D52), $B64 * E52, "")</f>
        <v>1034.4827586206834</v>
      </c>
      <c r="G52" s="31">
        <v>1.46E-2</v>
      </c>
      <c r="H52" s="32">
        <f t="shared" si="19"/>
        <v>6.8965517241378893E-3</v>
      </c>
      <c r="I52" s="91">
        <f>IF(ISNUMBER(G52), $B64 * H52, "")</f>
        <v>1034.4827586206834</v>
      </c>
      <c r="J52" s="15">
        <v>1.4999999999999999E-2</v>
      </c>
      <c r="K52" s="32">
        <f t="shared" si="20"/>
        <v>3.4482758620689564E-2</v>
      </c>
      <c r="L52" s="18">
        <f>IF(ISNUMBER(J52), $B64 * K52, "")</f>
        <v>5172.4137931034347</v>
      </c>
      <c r="M52" s="31">
        <v>1.4999999999999999E-2</v>
      </c>
      <c r="N52" s="32">
        <f t="shared" si="21"/>
        <v>3.4482758620689564E-2</v>
      </c>
      <c r="O52" s="18">
        <f>IF(ISNUMBER(M52), $B64 * N52, "")</f>
        <v>5172.4137931034347</v>
      </c>
      <c r="Q52" s="33"/>
      <c r="R52" s="33"/>
    </row>
    <row r="53" spans="1:19" ht="17.25" customHeight="1" thickBot="1">
      <c r="A53" s="114" t="s">
        <v>71</v>
      </c>
      <c r="B53" s="115">
        <v>13.6</v>
      </c>
      <c r="C53" s="72">
        <v>-1.44927536E-2</v>
      </c>
      <c r="D53" s="24">
        <v>13.8</v>
      </c>
      <c r="E53" s="25">
        <f t="shared" si="18"/>
        <v>1.4705882352941256E-2</v>
      </c>
      <c r="F53" s="94">
        <f>IF(ISNUMBER(D53), $B64 * E53, "")</f>
        <v>2205.8823529411884</v>
      </c>
      <c r="G53" s="92">
        <v>13.6</v>
      </c>
      <c r="H53" s="25">
        <f t="shared" si="19"/>
        <v>0</v>
      </c>
      <c r="I53" s="93">
        <f>IF(ISNUMBER(G53), $B64 * H53, "")</f>
        <v>0</v>
      </c>
      <c r="J53" s="24">
        <v>13.5</v>
      </c>
      <c r="K53" s="25">
        <f t="shared" si="20"/>
        <v>-7.3529411764705621E-3</v>
      </c>
      <c r="L53" s="94">
        <f>IF(ISNUMBER(J53), $B64 * K53, "")</f>
        <v>-1102.9411764705844</v>
      </c>
      <c r="M53" s="92">
        <v>13.4</v>
      </c>
      <c r="N53" s="25">
        <f t="shared" si="21"/>
        <v>-1.4705882352941124E-2</v>
      </c>
      <c r="O53" s="94">
        <f>IF(ISNUMBER(M53), $B64 * N53, "")</f>
        <v>-2205.8823529411688</v>
      </c>
      <c r="Q53" s="147"/>
      <c r="R53" s="148"/>
      <c r="S53" s="149"/>
    </row>
    <row r="54" spans="1:19" ht="17.25" customHeight="1">
      <c r="A54" s="107" t="s">
        <v>323</v>
      </c>
      <c r="B54" s="108">
        <v>94.7</v>
      </c>
      <c r="C54" s="69">
        <v>-1.45681582E-2</v>
      </c>
      <c r="D54" s="13">
        <v>92.7</v>
      </c>
      <c r="E54" s="14">
        <f>IF(ISNUMBER(D54), (D54 - $B54) / $B54, "")</f>
        <v>-2.1119324181626188E-2</v>
      </c>
      <c r="F54" s="16">
        <f>IF(ISNUMBER(D54), $B64 * E54, "")</f>
        <v>-3167.8986272439283</v>
      </c>
      <c r="G54" s="29">
        <v>91.3</v>
      </c>
      <c r="H54" s="14">
        <f>IF(ISNUMBER(G54), (G54 - $B54) / $B54, "")</f>
        <v>-3.590285110876458E-2</v>
      </c>
      <c r="I54" s="90">
        <f>IF(ISNUMBER(G54), $B64 * H54, "")</f>
        <v>-5385.4276663146866</v>
      </c>
      <c r="J54" s="13">
        <v>91.9</v>
      </c>
      <c r="K54" s="14">
        <f>IF(ISNUMBER(J54), (J54 - $B54) / $B54, "")</f>
        <v>-2.9567053854276631E-2</v>
      </c>
      <c r="L54" s="16">
        <f>IF(ISNUMBER(J54), $B64 * K54, "")</f>
        <v>-4435.0580781414947</v>
      </c>
      <c r="M54" s="29">
        <v>90.8</v>
      </c>
      <c r="N54" s="14">
        <f>IF(ISNUMBER(M54), (M54 - $B54) / $B54, "")</f>
        <v>-4.1182682154171125E-2</v>
      </c>
      <c r="O54" s="16">
        <f>IF(ISNUMBER(M54), $B64 * N54, "")</f>
        <v>-6177.4023231256688</v>
      </c>
      <c r="Q54" s="150"/>
      <c r="R54" s="151"/>
      <c r="S54" s="152"/>
    </row>
    <row r="55" spans="1:19" ht="17.25" customHeight="1" thickBot="1">
      <c r="A55" s="109" t="s">
        <v>195</v>
      </c>
      <c r="B55" s="110">
        <v>8.32</v>
      </c>
      <c r="C55" s="70">
        <v>-1.5384615399999999E-2</v>
      </c>
      <c r="D55" s="15">
        <v>8.4</v>
      </c>
      <c r="E55" s="32">
        <f t="shared" ref="E55:E58" si="22">IF(ISNUMBER(D55), (D55 - $B55) / $B55, "")</f>
        <v>9.6153846153846229E-3</v>
      </c>
      <c r="F55" s="18">
        <f>IF(ISNUMBER(D55), $B64 * E55, "")</f>
        <v>1442.3076923076935</v>
      </c>
      <c r="G55" s="31">
        <v>8.36</v>
      </c>
      <c r="H55" s="32">
        <f t="shared" ref="H55:H58" si="23">IF(ISNUMBER(G55), (G55 - $B55) / $B55, "")</f>
        <v>4.8076923076922047E-3</v>
      </c>
      <c r="I55" s="91">
        <f>IF(ISNUMBER(G55), $B64 * H55, "")</f>
        <v>721.15384615383073</v>
      </c>
      <c r="J55" s="15">
        <v>8.36</v>
      </c>
      <c r="K55" s="32">
        <f t="shared" ref="K55:K58" si="24">IF(ISNUMBER(J55), (J55 - $B55) / $B55, "")</f>
        <v>4.8076923076922047E-3</v>
      </c>
      <c r="L55" s="18">
        <f>IF(ISNUMBER(J55), $B64 * K55, "")</f>
        <v>721.15384615383073</v>
      </c>
      <c r="M55" s="31">
        <v>8.32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153"/>
      <c r="R55" s="154"/>
      <c r="S55" s="155"/>
    </row>
    <row r="56" spans="1:19" ht="17.25" customHeight="1" thickBot="1">
      <c r="A56" s="109" t="s">
        <v>193</v>
      </c>
      <c r="B56" s="110">
        <v>25</v>
      </c>
      <c r="C56" s="70">
        <v>-1.5748031499999999E-2</v>
      </c>
      <c r="D56" s="15">
        <v>24</v>
      </c>
      <c r="E56" s="32">
        <f t="shared" si="22"/>
        <v>-0.04</v>
      </c>
      <c r="F56" s="18">
        <f>IF(ISNUMBER(D56), $B64 * E56, "")</f>
        <v>-6000</v>
      </c>
      <c r="G56" s="31">
        <v>23.7</v>
      </c>
      <c r="H56" s="32">
        <f t="shared" si="23"/>
        <v>-5.2000000000000025E-2</v>
      </c>
      <c r="I56" s="91">
        <f>IF(ISNUMBER(G56), $B64 * H56, "")</f>
        <v>-7800.0000000000036</v>
      </c>
      <c r="J56" s="15">
        <v>23.9</v>
      </c>
      <c r="K56" s="32">
        <f t="shared" si="24"/>
        <v>-4.400000000000006E-2</v>
      </c>
      <c r="L56" s="18">
        <f>IF(ISNUMBER(J56), $B64 * K56, "")</f>
        <v>-6600.0000000000091</v>
      </c>
      <c r="M56" s="31">
        <v>23.3</v>
      </c>
      <c r="N56" s="32">
        <f t="shared" si="25"/>
        <v>-6.7999999999999977E-2</v>
      </c>
      <c r="O56" s="18">
        <f>IF(ISNUMBER(M56), $B64 * N56, "")</f>
        <v>-10199.999999999996</v>
      </c>
      <c r="Q56" s="146"/>
      <c r="R56" s="146"/>
      <c r="S56" s="146"/>
    </row>
    <row r="57" spans="1:19" ht="17.25" customHeight="1" thickBot="1">
      <c r="A57" s="109" t="s">
        <v>181</v>
      </c>
      <c r="B57" s="110">
        <v>5.42</v>
      </c>
      <c r="C57" s="70">
        <v>-1.63339383E-2</v>
      </c>
      <c r="D57" s="15">
        <v>5.33</v>
      </c>
      <c r="E57" s="32">
        <f t="shared" si="22"/>
        <v>-1.6605166051660489E-2</v>
      </c>
      <c r="F57" s="18">
        <f>IF(ISNUMBER(D57), $B64 * E57, "")</f>
        <v>-2490.7749077490735</v>
      </c>
      <c r="G57" s="31">
        <v>5.29</v>
      </c>
      <c r="H57" s="32">
        <f t="shared" si="23"/>
        <v>-2.3985239852398504E-2</v>
      </c>
      <c r="I57" s="91">
        <f>IF(ISNUMBER(G57), $B64 * H57, "")</f>
        <v>-3597.7859778597758</v>
      </c>
      <c r="J57" s="15">
        <v>5.31</v>
      </c>
      <c r="K57" s="32">
        <f t="shared" si="24"/>
        <v>-2.0295202952029578E-2</v>
      </c>
      <c r="L57" s="18">
        <f>IF(ISNUMBER(J57), $B64 * K57, "")</f>
        <v>-3044.2804428044369</v>
      </c>
      <c r="M57" s="31">
        <v>5.25</v>
      </c>
      <c r="N57" s="32">
        <f t="shared" si="25"/>
        <v>-3.1365313653136516E-2</v>
      </c>
      <c r="O57" s="18">
        <f>IF(ISNUMBER(M57), $B64 * N57, "")</f>
        <v>-4704.7970479704773</v>
      </c>
      <c r="Q57" s="156"/>
      <c r="R57" s="156"/>
      <c r="S57" s="156"/>
    </row>
    <row r="58" spans="1:19" ht="17.25" customHeight="1" thickBot="1">
      <c r="A58" s="111" t="s">
        <v>335</v>
      </c>
      <c r="B58" s="112">
        <v>83.5</v>
      </c>
      <c r="C58" s="71">
        <v>-1.64899882E-2</v>
      </c>
      <c r="D58" s="20">
        <v>83.1</v>
      </c>
      <c r="E58" s="21">
        <f t="shared" si="22"/>
        <v>-4.7904191616767152E-3</v>
      </c>
      <c r="F58" s="22">
        <f>IF(ISNUMBER(D58), $B64 * E58, "")</f>
        <v>-718.56287425150731</v>
      </c>
      <c r="G58" s="30">
        <v>82.3</v>
      </c>
      <c r="H58" s="21">
        <f t="shared" si="23"/>
        <v>-1.4371257485029975E-2</v>
      </c>
      <c r="I58" s="95">
        <f>IF(ISNUMBER(G58), $B64 * H58, "")</f>
        <v>-2155.688622754496</v>
      </c>
      <c r="J58" s="20">
        <v>83.6</v>
      </c>
      <c r="K58" s="21">
        <f t="shared" si="24"/>
        <v>1.1976047904190936E-3</v>
      </c>
      <c r="L58" s="22">
        <f>IF(ISNUMBER(J58), $B64 * K58, "")</f>
        <v>179.64071856286404</v>
      </c>
      <c r="M58" s="30">
        <v>81.7</v>
      </c>
      <c r="N58" s="21">
        <f t="shared" si="25"/>
        <v>-2.1556886227544876E-2</v>
      </c>
      <c r="O58" s="22">
        <f>IF(ISNUMBER(M58), $B64 * N58, "")</f>
        <v>-3233.5329341317315</v>
      </c>
      <c r="Q58" s="156"/>
      <c r="R58" s="156"/>
      <c r="S58" s="156"/>
    </row>
    <row r="59" spans="1:19" ht="17.25" customHeight="1" thickBot="1">
      <c r="A59" s="109" t="s">
        <v>338</v>
      </c>
      <c r="B59" s="113">
        <v>4.0399999999999998E-2</v>
      </c>
      <c r="C59" s="73">
        <v>-1.7031630200000002E-2</v>
      </c>
      <c r="D59" s="96">
        <v>0.04</v>
      </c>
      <c r="E59" s="97">
        <f>IF(ISNUMBER(D59), (D59 - $B59) / $B59, "")</f>
        <v>-9.9009900990098421E-3</v>
      </c>
      <c r="F59" s="98">
        <f>IF(ISNUMBER(D59), $B64 * E59, "")</f>
        <v>-1485.1485148514764</v>
      </c>
      <c r="G59" s="99">
        <v>3.95E-2</v>
      </c>
      <c r="H59" s="97">
        <f>IF(ISNUMBER(G59), (G59 - $B59) / $B59, "")</f>
        <v>-2.2277227722772228E-2</v>
      </c>
      <c r="I59" s="100">
        <f>IF(ISNUMBER(G59), $B64 * H59, "")</f>
        <v>-3341.5841584158343</v>
      </c>
      <c r="J59" s="96">
        <v>3.9699999999999999E-2</v>
      </c>
      <c r="K59" s="97">
        <f>IF(ISNUMBER(J59), (J59 - $B59) / $B59, "")</f>
        <v>-1.7326732673267307E-2</v>
      </c>
      <c r="L59" s="98">
        <f>IF(ISNUMBER(J59), $B64 * K59, "")</f>
        <v>-2599.009900990096</v>
      </c>
      <c r="M59" s="99">
        <v>3.9E-2</v>
      </c>
      <c r="N59" s="97">
        <f>IF(ISNUMBER(M59), (M59 - $B59) / $B59, "")</f>
        <v>-3.4653465346534615E-2</v>
      </c>
      <c r="O59" s="98">
        <f>IF(ISNUMBER(M59), $B64 * N59, "")</f>
        <v>-5198.0198019801919</v>
      </c>
      <c r="Q59" s="146"/>
      <c r="R59" s="146"/>
      <c r="S59" s="146"/>
    </row>
    <row r="60" spans="1:19" ht="17.25" customHeight="1" thickBot="1">
      <c r="A60" s="109" t="s">
        <v>155</v>
      </c>
      <c r="B60" s="110">
        <v>34.5</v>
      </c>
      <c r="C60" s="70">
        <v>-1.7094017100000001E-2</v>
      </c>
      <c r="D60" s="15">
        <v>34.4</v>
      </c>
      <c r="E60" s="32">
        <f t="shared" ref="E60:E63" si="26">IF(ISNUMBER(D60), (D60 - $B60) / $B60, "")</f>
        <v>-2.8985507246377224E-3</v>
      </c>
      <c r="F60" s="18">
        <f>IF(ISNUMBER(D60), $B64 * E60, "")</f>
        <v>-434.78260869565838</v>
      </c>
      <c r="G60" s="31">
        <v>33.6</v>
      </c>
      <c r="H60" s="32">
        <f t="shared" ref="H60:H63" si="27">IF(ISNUMBER(G60), (G60 - $B60) / $B60, "")</f>
        <v>-2.6086956521739091E-2</v>
      </c>
      <c r="I60" s="91">
        <f>IF(ISNUMBER(G60), $B64 * H60, "")</f>
        <v>-3913.0434782608636</v>
      </c>
      <c r="J60" s="15">
        <v>33.799999999999997</v>
      </c>
      <c r="K60" s="32">
        <f t="shared" ref="K60:K63" si="28">IF(ISNUMBER(J60), (J60 - $B60) / $B60, "")</f>
        <v>-2.028985507246385E-2</v>
      </c>
      <c r="L60" s="18">
        <f>IF(ISNUMBER(J60), $B64 * K60, "")</f>
        <v>-3043.4782608695773</v>
      </c>
      <c r="M60" s="31">
        <v>33.200000000000003</v>
      </c>
      <c r="N60" s="32">
        <f t="shared" ref="N60:N63" si="29">IF(ISNUMBER(M60), (M60 - $B60) / $B60, "")</f>
        <v>-3.7681159420289774E-2</v>
      </c>
      <c r="O60" s="18">
        <f>IF(ISNUMBER(M60), $B64 * N60, "")</f>
        <v>-5652.1739130434662</v>
      </c>
      <c r="Q60" s="146"/>
      <c r="R60" s="146"/>
      <c r="S60" s="146"/>
    </row>
    <row r="61" spans="1:19" ht="17.25" customHeight="1" thickBot="1">
      <c r="A61" s="109" t="s">
        <v>124</v>
      </c>
      <c r="B61" s="110">
        <v>41.6</v>
      </c>
      <c r="C61" s="70">
        <v>-1.8867924500000001E-2</v>
      </c>
      <c r="D61" s="15">
        <v>40.200000000000003</v>
      </c>
      <c r="E61" s="32">
        <f t="shared" si="26"/>
        <v>-3.3653846153846118E-2</v>
      </c>
      <c r="F61" s="18">
        <f>IF(ISNUMBER(D61), $B64 * E61, "")</f>
        <v>-5048.0769230769174</v>
      </c>
      <c r="G61" s="31">
        <v>39.799999999999997</v>
      </c>
      <c r="H61" s="32">
        <f t="shared" si="27"/>
        <v>-4.3269230769230872E-2</v>
      </c>
      <c r="I61" s="91">
        <f>IF(ISNUMBER(G61), $B64 * H61, "")</f>
        <v>-6490.3846153846307</v>
      </c>
      <c r="J61" s="15">
        <v>40</v>
      </c>
      <c r="K61" s="32">
        <f t="shared" si="28"/>
        <v>-3.8461538461538491E-2</v>
      </c>
      <c r="L61" s="18">
        <f>IF(ISNUMBER(J61), $B64 * K61, "")</f>
        <v>-5769.2307692307741</v>
      </c>
      <c r="M61" s="31">
        <v>40.299999999999997</v>
      </c>
      <c r="N61" s="32">
        <f t="shared" si="29"/>
        <v>-3.1250000000000104E-2</v>
      </c>
      <c r="O61" s="18">
        <f>IF(ISNUMBER(M61), $B64 * N61, "")</f>
        <v>-4687.5000000000155</v>
      </c>
      <c r="Q61" s="146"/>
      <c r="R61" s="146"/>
      <c r="S61" s="146"/>
    </row>
    <row r="62" spans="1:19" ht="17.25" customHeight="1">
      <c r="A62" s="109" t="s">
        <v>141</v>
      </c>
      <c r="B62" s="110">
        <v>5.0199999999999996</v>
      </c>
      <c r="C62" s="70">
        <v>-1.953125E-2</v>
      </c>
      <c r="D62" s="15">
        <v>4.9000000000000004</v>
      </c>
      <c r="E62" s="32">
        <f t="shared" si="26"/>
        <v>-2.3904382470119369E-2</v>
      </c>
      <c r="F62" s="18">
        <f>IF(ISNUMBER(D62), $B64 * E62, "")</f>
        <v>-3585.6573705179053</v>
      </c>
      <c r="G62" s="31">
        <v>4.84</v>
      </c>
      <c r="H62" s="32">
        <f t="shared" si="27"/>
        <v>-3.585657370517923E-2</v>
      </c>
      <c r="I62" s="91">
        <f>IF(ISNUMBER(G62), $B64 * H62, "")</f>
        <v>-5378.4860557768843</v>
      </c>
      <c r="J62" s="15">
        <v>4.8899999999999997</v>
      </c>
      <c r="K62" s="32">
        <f t="shared" si="28"/>
        <v>-2.5896414342629463E-2</v>
      </c>
      <c r="L62" s="18">
        <f>IF(ISNUMBER(J62), $B64 * K62, "")</f>
        <v>-3884.4621513944194</v>
      </c>
      <c r="M62" s="31">
        <v>4.82</v>
      </c>
      <c r="N62" s="32">
        <f t="shared" si="29"/>
        <v>-3.9840637450199064E-2</v>
      </c>
      <c r="O62" s="18">
        <f>IF(ISNUMBER(M62), $B64 * N62, "")</f>
        <v>-5976.0956175298597</v>
      </c>
      <c r="Q62" s="135"/>
      <c r="R62" s="136"/>
      <c r="S62" s="137"/>
    </row>
    <row r="63" spans="1:19" ht="17.25" customHeight="1" thickBot="1">
      <c r="A63" s="114" t="s">
        <v>221</v>
      </c>
      <c r="B63" s="115">
        <v>24.9</v>
      </c>
      <c r="C63" s="72">
        <v>-1.96850394E-2</v>
      </c>
      <c r="D63" s="24">
        <v>24.6</v>
      </c>
      <c r="E63" s="25">
        <f t="shared" si="26"/>
        <v>-1.2048192771084223E-2</v>
      </c>
      <c r="F63" s="94">
        <f>IF(ISNUMBER(D63), $B64 * E63, "")</f>
        <v>-1807.2289156626334</v>
      </c>
      <c r="G63" s="92">
        <v>24</v>
      </c>
      <c r="H63" s="25">
        <f t="shared" si="27"/>
        <v>-3.6144578313252955E-2</v>
      </c>
      <c r="I63" s="93">
        <f>IF(ISNUMBER(G63), $B64 * H63, "")</f>
        <v>-5421.6867469879435</v>
      </c>
      <c r="J63" s="24">
        <v>24.3</v>
      </c>
      <c r="K63" s="25">
        <f t="shared" si="28"/>
        <v>-2.4096385542168589E-2</v>
      </c>
      <c r="L63" s="94">
        <f>IF(ISNUMBER(J63), $B64 * K63, "")</f>
        <v>-3614.4578313252882</v>
      </c>
      <c r="M63" s="92">
        <v>24</v>
      </c>
      <c r="N63" s="25">
        <f t="shared" si="29"/>
        <v>-3.6144578313252955E-2</v>
      </c>
      <c r="O63" s="94">
        <f>IF(ISNUMBER(M63), $B64 * N63, "")</f>
        <v>-5421.6867469879435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-3.8145312921659008E-3</v>
      </c>
      <c r="F64" s="28">
        <f>SUM(F44:F63)</f>
        <v>-11443.593876497704</v>
      </c>
      <c r="G64" s="26" t="s">
        <v>258</v>
      </c>
      <c r="H64" s="27">
        <f>IF(COUNT(H44:H63), SUM(H44:H63) / COUNT(H44:H63), 0)</f>
        <v>-1.4691482411170997E-2</v>
      </c>
      <c r="I64" s="28">
        <f>SUM(I44:I63)</f>
        <v>-44074.44723351299</v>
      </c>
      <c r="J64" s="26" t="s">
        <v>258</v>
      </c>
      <c r="K64" s="27">
        <f>IF(COUNT(K44:K63), SUM(K44:K63) / COUNT(K44:K63), 0)</f>
        <v>-8.3753079003229796E-3</v>
      </c>
      <c r="L64" s="28">
        <f>SUM(L44:L63)</f>
        <v>-25125.923700968942</v>
      </c>
      <c r="M64" s="26" t="s">
        <v>258</v>
      </c>
      <c r="N64" s="27">
        <f>IF(COUNT(N44:N63), SUM(N44:N63) / COUNT(N44:N63), 0)</f>
        <v>-2.0876181208639447E-2</v>
      </c>
      <c r="O64" s="28">
        <f>SUM(O44:O63)</f>
        <v>-62628.543625918341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2023-03-08(수) 오전 00:00</v>
      </c>
      <c r="C69" s="198"/>
      <c r="D69" s="170" t="str">
        <f>TEXT($G$1, "[$-ko-KR]yyyy-mm-dd(ddd) ") &amp; "오후 14:00"</f>
        <v>2023-03-08(수) 오후 14:00</v>
      </c>
      <c r="E69" s="171"/>
      <c r="F69" s="172"/>
      <c r="G69" s="170" t="str">
        <f>TEXT($G$1, "[$-ko-KR]yyyy-mm-dd(ddd) ") &amp; "오후 19:00"</f>
        <v>2023-03-08(수) 오후 19:00</v>
      </c>
      <c r="H69" s="171"/>
      <c r="I69" s="172"/>
      <c r="J69" s="170" t="str">
        <f>TEXT($G$1, "[$-ko-KR]yyyy-mm-dd(ddd) ") &amp; "오후 21:00"</f>
        <v>2023-03-08(수) 오후 21:00</v>
      </c>
      <c r="K69" s="171"/>
      <c r="L69" s="172"/>
      <c r="M69" s="170" t="str">
        <f>TEXT($G$1+1, "[$-ko-KR]yyyy-mm-dd(ddd) ") &amp; "오전 00:00"</f>
        <v>2023-03-09(목)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167</v>
      </c>
      <c r="B71" s="108">
        <v>251</v>
      </c>
      <c r="C71" s="69">
        <v>4.1493775900000002E-2</v>
      </c>
      <c r="D71" s="13">
        <v>237</v>
      </c>
      <c r="E71" s="14">
        <f>IF(ISNUMBER(D71), (D71 - $B71) / $B71, "")</f>
        <v>-5.5776892430278883E-2</v>
      </c>
      <c r="F71" s="16">
        <f>IF(ISNUMBER(D71), $B91 * E71, "")</f>
        <v>-8366.5338645418324</v>
      </c>
      <c r="G71" s="29">
        <v>234</v>
      </c>
      <c r="H71" s="14">
        <f>IF(ISNUMBER(G71), (G71 - $B71) / $B71, "")</f>
        <v>-6.7729083665338641E-2</v>
      </c>
      <c r="I71" s="90">
        <f>IF(ISNUMBER(G71), $B91 * H71, "")</f>
        <v>-10159.362549800797</v>
      </c>
      <c r="J71" s="13">
        <v>233</v>
      </c>
      <c r="K71" s="14">
        <f>IF(ISNUMBER(J71), (J71 - $B71) / $B71, "")</f>
        <v>-7.1713147410358571E-2</v>
      </c>
      <c r="L71" s="16">
        <f>IF(ISNUMBER(J71), $B91 * K71, "")</f>
        <v>-10756.972111553785</v>
      </c>
      <c r="M71" s="29">
        <v>232</v>
      </c>
      <c r="N71" s="14">
        <f>IF(ISNUMBER(M71), (M71 - $B71) / $B71, "")</f>
        <v>-7.5697211155378488E-2</v>
      </c>
      <c r="O71" s="16">
        <f>IF(ISNUMBER(M71), $B91 * N71, "")</f>
        <v>-11354.581673306773</v>
      </c>
      <c r="Q71" s="156"/>
      <c r="R71" s="156"/>
      <c r="S71" s="156"/>
    </row>
    <row r="72" spans="1:19" ht="17.25" thickBot="1">
      <c r="A72" s="109" t="s">
        <v>149</v>
      </c>
      <c r="B72" s="110">
        <v>580</v>
      </c>
      <c r="C72" s="70">
        <v>2.65486726E-2</v>
      </c>
      <c r="D72" s="15">
        <v>558</v>
      </c>
      <c r="E72" s="32">
        <f t="shared" ref="E72:E75" si="30">IF(ISNUMBER(D72), (D72 - $B72) / $B72, "")</f>
        <v>-3.793103448275862E-2</v>
      </c>
      <c r="F72" s="18">
        <f>IF(ISNUMBER(D72), $B91 * E72, "")</f>
        <v>-5689.6551724137926</v>
      </c>
      <c r="G72" s="31">
        <v>540</v>
      </c>
      <c r="H72" s="32">
        <f t="shared" ref="H72:H75" si="31">IF(ISNUMBER(G72), (G72 - $B72) / $B72, "")</f>
        <v>-6.8965517241379309E-2</v>
      </c>
      <c r="I72" s="91">
        <f>IF(ISNUMBER(G72), $B91 * H72, "")</f>
        <v>-10344.827586206897</v>
      </c>
      <c r="J72" s="15">
        <v>542</v>
      </c>
      <c r="K72" s="32">
        <f t="shared" ref="K72:K75" si="32">IF(ISNUMBER(J72), (J72 - $B72) / $B72, "")</f>
        <v>-6.5517241379310351E-2</v>
      </c>
      <c r="L72" s="18">
        <f>IF(ISNUMBER(J72), $B91 * K72, "")</f>
        <v>-9827.5862068965525</v>
      </c>
      <c r="M72" s="31">
        <v>526</v>
      </c>
      <c r="N72" s="32">
        <f t="shared" ref="N72:N75" si="33">IF(ISNUMBER(M72), (M72 - $B72) / $B72, "")</f>
        <v>-9.3103448275862075E-2</v>
      </c>
      <c r="O72" s="18">
        <f>IF(ISNUMBER(M72), $B91 * N72, "")</f>
        <v>-13965.517241379312</v>
      </c>
      <c r="Q72" s="156"/>
      <c r="R72" s="156"/>
      <c r="S72" s="156"/>
    </row>
    <row r="73" spans="1:19" ht="17.25" thickBot="1">
      <c r="A73" s="109" t="s">
        <v>89</v>
      </c>
      <c r="B73" s="110">
        <v>500</v>
      </c>
      <c r="C73" s="70">
        <v>1.8329938899999999E-2</v>
      </c>
      <c r="D73" s="15">
        <v>507</v>
      </c>
      <c r="E73" s="32">
        <f t="shared" si="30"/>
        <v>1.4E-2</v>
      </c>
      <c r="F73" s="18">
        <f>IF(ISNUMBER(D73), $B91 * E73, "")</f>
        <v>2100</v>
      </c>
      <c r="G73" s="31">
        <v>510</v>
      </c>
      <c r="H73" s="32">
        <f t="shared" si="31"/>
        <v>0.02</v>
      </c>
      <c r="I73" s="91">
        <f>IF(ISNUMBER(G73), $B91 * H73, "")</f>
        <v>3000</v>
      </c>
      <c r="J73" s="15">
        <v>515</v>
      </c>
      <c r="K73" s="32">
        <f t="shared" si="32"/>
        <v>0.03</v>
      </c>
      <c r="L73" s="18">
        <f>IF(ISNUMBER(J73), $B91 * K73, "")</f>
        <v>4500</v>
      </c>
      <c r="M73" s="31">
        <v>520</v>
      </c>
      <c r="N73" s="32">
        <f t="shared" si="33"/>
        <v>0.04</v>
      </c>
      <c r="O73" s="18">
        <f>IF(ISNUMBER(M73), $B91 * N73, "")</f>
        <v>6000</v>
      </c>
      <c r="Q73" s="146"/>
      <c r="R73" s="146"/>
      <c r="S73" s="146"/>
    </row>
    <row r="74" spans="1:19" ht="17.25" thickBot="1">
      <c r="A74" s="109" t="s">
        <v>241</v>
      </c>
      <c r="B74" s="110">
        <v>124</v>
      </c>
      <c r="C74" s="70">
        <v>0</v>
      </c>
      <c r="D74" s="15">
        <v>120</v>
      </c>
      <c r="E74" s="32">
        <f t="shared" si="30"/>
        <v>-3.2258064516129031E-2</v>
      </c>
      <c r="F74" s="18">
        <f>IF(ISNUMBER(D74), $B91 * E74, "")</f>
        <v>-4838.7096774193551</v>
      </c>
      <c r="G74" s="31">
        <v>118</v>
      </c>
      <c r="H74" s="32">
        <f t="shared" si="31"/>
        <v>-4.8387096774193547E-2</v>
      </c>
      <c r="I74" s="91">
        <f>IF(ISNUMBER(G74), $B91 * H74, "")</f>
        <v>-7258.0645161290322</v>
      </c>
      <c r="J74" s="15">
        <v>118</v>
      </c>
      <c r="K74" s="32">
        <f t="shared" si="32"/>
        <v>-4.8387096774193547E-2</v>
      </c>
      <c r="L74" s="18">
        <f>IF(ISNUMBER(J74), $B91 * K74, "")</f>
        <v>-7258.0645161290322</v>
      </c>
      <c r="M74" s="31">
        <v>118</v>
      </c>
      <c r="N74" s="32">
        <f t="shared" si="33"/>
        <v>-4.8387096774193547E-2</v>
      </c>
      <c r="O74" s="18">
        <f>IF(ISNUMBER(M74), $B91 * N74, "")</f>
        <v>-7258.0645161290322</v>
      </c>
      <c r="Q74" s="146"/>
      <c r="R74" s="146"/>
      <c r="S74" s="146"/>
    </row>
    <row r="75" spans="1:19" ht="17.25" thickBot="1">
      <c r="A75" s="111" t="s">
        <v>51</v>
      </c>
      <c r="B75" s="112">
        <v>110</v>
      </c>
      <c r="C75" s="71">
        <v>0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108</v>
      </c>
      <c r="H75" s="21">
        <f t="shared" si="31"/>
        <v>-1.8181818181818181E-2</v>
      </c>
      <c r="I75" s="95">
        <f>IF(ISNUMBER(G75), $B91 * H75, "")</f>
        <v>-2727.272727272727</v>
      </c>
      <c r="J75" s="20">
        <v>109</v>
      </c>
      <c r="K75" s="21">
        <f t="shared" si="32"/>
        <v>-9.0909090909090905E-3</v>
      </c>
      <c r="L75" s="22">
        <f>IF(ISNUMBER(J75), $B91 * K75, "")</f>
        <v>-1363.6363636363635</v>
      </c>
      <c r="M75" s="30">
        <v>112</v>
      </c>
      <c r="N75" s="21">
        <f t="shared" si="33"/>
        <v>1.8181818181818181E-2</v>
      </c>
      <c r="O75" s="22">
        <f>IF(ISNUMBER(M75), $B91 * N75, "")</f>
        <v>2727.272727272727</v>
      </c>
      <c r="Q75" s="146"/>
      <c r="R75" s="146"/>
      <c r="S75" s="146"/>
    </row>
    <row r="76" spans="1:19" ht="17.25" thickBot="1">
      <c r="A76" s="109" t="s">
        <v>85</v>
      </c>
      <c r="B76" s="113">
        <v>161</v>
      </c>
      <c r="C76" s="73">
        <v>-1.22699387E-2</v>
      </c>
      <c r="D76" s="96">
        <v>160</v>
      </c>
      <c r="E76" s="97">
        <f>IF(ISNUMBER(D76), (D76 - $B76) / $B76, "")</f>
        <v>-6.2111801242236021E-3</v>
      </c>
      <c r="F76" s="98">
        <f>IF(ISNUMBER(D76), $B91 * E76, "")</f>
        <v>-931.67701863354034</v>
      </c>
      <c r="G76" s="99">
        <v>158</v>
      </c>
      <c r="H76" s="97">
        <f>IF(ISNUMBER(G76), (G76 - $B76) / $B76, "")</f>
        <v>-1.8633540372670808E-2</v>
      </c>
      <c r="I76" s="100">
        <f>IF(ISNUMBER(G76), $B91 * H76, "")</f>
        <v>-2795.0310559006211</v>
      </c>
      <c r="J76" s="96">
        <v>158</v>
      </c>
      <c r="K76" s="97">
        <f>IF(ISNUMBER(J76), (J76 - $B76) / $B76, "")</f>
        <v>-1.8633540372670808E-2</v>
      </c>
      <c r="L76" s="98">
        <f>IF(ISNUMBER(J76), $B91 * K76, "")</f>
        <v>-2795.0310559006211</v>
      </c>
      <c r="M76" s="99">
        <v>154</v>
      </c>
      <c r="N76" s="97">
        <f>IF(ISNUMBER(M76), (M76 - $B76) / $B76, "")</f>
        <v>-4.3478260869565216E-2</v>
      </c>
      <c r="O76" s="98">
        <f>IF(ISNUMBER(M76), $B91 * N76, "")</f>
        <v>-6521.7391304347821</v>
      </c>
      <c r="Q76" s="146"/>
      <c r="R76" s="146"/>
      <c r="S76" s="146"/>
    </row>
    <row r="77" spans="1:19" ht="17.25" thickBot="1">
      <c r="A77" s="109" t="s">
        <v>81</v>
      </c>
      <c r="B77" s="110">
        <v>433</v>
      </c>
      <c r="C77" s="70">
        <v>-1.3667426E-2</v>
      </c>
      <c r="D77" s="15">
        <v>438</v>
      </c>
      <c r="E77" s="32">
        <f t="shared" ref="E77:E80" si="34">IF(ISNUMBER(D77), (D77 - $B77) / $B77, "")</f>
        <v>1.1547344110854504E-2</v>
      </c>
      <c r="F77" s="18">
        <f>IF(ISNUMBER(D77), $B91 * E77, "")</f>
        <v>1732.1016166281756</v>
      </c>
      <c r="G77" s="31">
        <v>431</v>
      </c>
      <c r="H77" s="32">
        <f t="shared" ref="H77:H80" si="35">IF(ISNUMBER(G77), (G77 - $B77) / $B77, "")</f>
        <v>-4.6189376443418013E-3</v>
      </c>
      <c r="I77" s="91">
        <f>IF(ISNUMBER(G77), $B91 * H77, "")</f>
        <v>-692.84064665127016</v>
      </c>
      <c r="J77" s="15">
        <v>432</v>
      </c>
      <c r="K77" s="32">
        <f t="shared" ref="K77:K80" si="36">IF(ISNUMBER(J77), (J77 - $B77) / $B77, "")</f>
        <v>-2.3094688221709007E-3</v>
      </c>
      <c r="L77" s="18">
        <f>IF(ISNUMBER(J77), $B91 * K77, "")</f>
        <v>-346.42032332563508</v>
      </c>
      <c r="M77" s="31">
        <v>426</v>
      </c>
      <c r="N77" s="32">
        <f t="shared" ref="N77:N80" si="37">IF(ISNUMBER(M77), (M77 - $B77) / $B77, "")</f>
        <v>-1.6166281755196306E-2</v>
      </c>
      <c r="O77" s="18">
        <f>IF(ISNUMBER(M77), $B91 * N77, "")</f>
        <v>-2424.9422632794458</v>
      </c>
      <c r="Q77" s="146"/>
      <c r="R77" s="146"/>
      <c r="S77" s="146"/>
    </row>
    <row r="78" spans="1:19" ht="17.25" thickBot="1">
      <c r="A78" s="109" t="s">
        <v>239</v>
      </c>
      <c r="B78" s="110">
        <v>531</v>
      </c>
      <c r="C78" s="70">
        <v>-1.84842884E-2</v>
      </c>
      <c r="D78" s="15">
        <v>549</v>
      </c>
      <c r="E78" s="32">
        <f t="shared" si="34"/>
        <v>3.3898305084745763E-2</v>
      </c>
      <c r="F78" s="18">
        <f>IF(ISNUMBER(D78), $B91 * E78, "")</f>
        <v>5084.7457627118647</v>
      </c>
      <c r="G78" s="31">
        <v>559</v>
      </c>
      <c r="H78" s="32">
        <f t="shared" si="35"/>
        <v>5.2730696798493411E-2</v>
      </c>
      <c r="I78" s="91">
        <f>IF(ISNUMBER(G78), $B91 * H78, "")</f>
        <v>7909.6045197740114</v>
      </c>
      <c r="J78" s="15">
        <v>547</v>
      </c>
      <c r="K78" s="32">
        <f t="shared" si="36"/>
        <v>3.0131826741996232E-2</v>
      </c>
      <c r="L78" s="18">
        <f>IF(ISNUMBER(J78), $B91 * K78, "")</f>
        <v>4519.7740112994352</v>
      </c>
      <c r="M78" s="31">
        <v>517</v>
      </c>
      <c r="N78" s="32">
        <f t="shared" si="37"/>
        <v>-2.6365348399246705E-2</v>
      </c>
      <c r="O78" s="18">
        <f>IF(ISNUMBER(M78), $B91 * N78, "")</f>
        <v>-3954.8022598870057</v>
      </c>
      <c r="Q78" s="146"/>
      <c r="R78" s="146"/>
      <c r="S78" s="146"/>
    </row>
    <row r="79" spans="1:19" ht="17.25" thickBot="1">
      <c r="A79" s="109" t="s">
        <v>336</v>
      </c>
      <c r="B79" s="110">
        <v>368</v>
      </c>
      <c r="C79" s="70">
        <v>-1.8666666700000001E-2</v>
      </c>
      <c r="D79" s="15">
        <v>364</v>
      </c>
      <c r="E79" s="32">
        <f t="shared" si="34"/>
        <v>-1.0869565217391304E-2</v>
      </c>
      <c r="F79" s="18">
        <f>IF(ISNUMBER(D79), $B91 * E79, "")</f>
        <v>-1630.4347826086955</v>
      </c>
      <c r="G79" s="31">
        <v>355</v>
      </c>
      <c r="H79" s="32">
        <f t="shared" si="35"/>
        <v>-3.5326086956521736E-2</v>
      </c>
      <c r="I79" s="91">
        <f>IF(ISNUMBER(G79), $B91 * H79, "")</f>
        <v>-5298.9130434782601</v>
      </c>
      <c r="J79" s="15">
        <v>356</v>
      </c>
      <c r="K79" s="32">
        <f t="shared" si="36"/>
        <v>-3.2608695652173912E-2</v>
      </c>
      <c r="L79" s="18">
        <f>IF(ISNUMBER(J79), $B91 * K79, "")</f>
        <v>-4891.304347826087</v>
      </c>
      <c r="M79" s="31">
        <v>350</v>
      </c>
      <c r="N79" s="32">
        <f t="shared" si="37"/>
        <v>-4.8913043478260872E-2</v>
      </c>
      <c r="O79" s="18">
        <f>IF(ISNUMBER(M79), $B91 * N79, "")</f>
        <v>-7336.9565217391309</v>
      </c>
      <c r="Q79" s="33"/>
      <c r="R79" s="33"/>
    </row>
    <row r="80" spans="1:19" ht="17.25" thickBot="1">
      <c r="A80" s="114" t="s">
        <v>176</v>
      </c>
      <c r="B80" s="115">
        <v>386</v>
      </c>
      <c r="C80" s="72">
        <v>-2.27848101E-2</v>
      </c>
      <c r="D80" s="24">
        <v>373</v>
      </c>
      <c r="E80" s="25">
        <f t="shared" si="34"/>
        <v>-3.367875647668394E-2</v>
      </c>
      <c r="F80" s="94">
        <f>IF(ISNUMBER(D80), $B91 * E80, "")</f>
        <v>-5051.8134715025908</v>
      </c>
      <c r="G80" s="92">
        <v>366</v>
      </c>
      <c r="H80" s="25">
        <f t="shared" si="35"/>
        <v>-5.181347150259067E-2</v>
      </c>
      <c r="I80" s="93">
        <f>IF(ISNUMBER(G80), $B91 * H80, "")</f>
        <v>-7772.0207253886001</v>
      </c>
      <c r="J80" s="24">
        <v>370</v>
      </c>
      <c r="K80" s="25">
        <f t="shared" si="36"/>
        <v>-4.145077720207254E-2</v>
      </c>
      <c r="L80" s="94">
        <f>IF(ISNUMBER(J80), $B91 * K80, "")</f>
        <v>-6217.6165803108806</v>
      </c>
      <c r="M80" s="92">
        <v>365</v>
      </c>
      <c r="N80" s="25">
        <f t="shared" si="37"/>
        <v>-5.4404145077720206E-2</v>
      </c>
      <c r="O80" s="94">
        <f>IF(ISNUMBER(M80), $B91 * N80, "")</f>
        <v>-8160.6217616580307</v>
      </c>
      <c r="Q80" s="147"/>
      <c r="R80" s="148"/>
      <c r="S80" s="149"/>
    </row>
    <row r="81" spans="1:19">
      <c r="A81" s="107" t="s">
        <v>153</v>
      </c>
      <c r="B81" s="108">
        <v>490</v>
      </c>
      <c r="C81" s="69">
        <v>-2.3904382500000002E-2</v>
      </c>
      <c r="D81" s="13">
        <v>480</v>
      </c>
      <c r="E81" s="14">
        <f>IF(ISNUMBER(D81), (D81 - $B81) / $B81, "")</f>
        <v>-2.0408163265306121E-2</v>
      </c>
      <c r="F81" s="16">
        <f>IF(ISNUMBER(D81), $B91 * E81, "")</f>
        <v>-3061.2244897959181</v>
      </c>
      <c r="G81" s="29">
        <v>467</v>
      </c>
      <c r="H81" s="14">
        <f>IF(ISNUMBER(G81), (G81 - $B81) / $B81, "")</f>
        <v>-4.6938775510204082E-2</v>
      </c>
      <c r="I81" s="90">
        <f>IF(ISNUMBER(G81), $B91 * H81, "")</f>
        <v>-7040.8163265306121</v>
      </c>
      <c r="J81" s="13">
        <v>469</v>
      </c>
      <c r="K81" s="14">
        <f>IF(ISNUMBER(J81), (J81 - $B81) / $B81, "")</f>
        <v>-4.2857142857142858E-2</v>
      </c>
      <c r="L81" s="16">
        <f>IF(ISNUMBER(J81), $B91 * K81, "")</f>
        <v>-6428.5714285714284</v>
      </c>
      <c r="M81" s="29">
        <v>459</v>
      </c>
      <c r="N81" s="14">
        <f>IF(ISNUMBER(M81), (M81 - $B81) / $B81, "")</f>
        <v>-6.3265306122448975E-2</v>
      </c>
      <c r="O81" s="16">
        <f>IF(ISNUMBER(M81), $B91 * N81, "")</f>
        <v>-9489.7959183673465</v>
      </c>
      <c r="Q81" s="150"/>
      <c r="R81" s="151"/>
      <c r="S81" s="152"/>
    </row>
    <row r="82" spans="1:19" ht="17.25" thickBot="1">
      <c r="A82" s="109" t="s">
        <v>231</v>
      </c>
      <c r="B82" s="110">
        <v>438</v>
      </c>
      <c r="C82" s="70">
        <v>-2.4498886399999999E-2</v>
      </c>
      <c r="D82" s="15">
        <v>426</v>
      </c>
      <c r="E82" s="32">
        <f t="shared" ref="E82:E85" si="38">IF(ISNUMBER(D82), (D82 - $B82) / $B82, "")</f>
        <v>-2.7397260273972601E-2</v>
      </c>
      <c r="F82" s="18">
        <f>IF(ISNUMBER(D82), $B91 * E82, "")</f>
        <v>-4109.58904109589</v>
      </c>
      <c r="G82" s="31">
        <v>424</v>
      </c>
      <c r="H82" s="32">
        <f t="shared" ref="H82:H85" si="39">IF(ISNUMBER(G82), (G82 - $B82) / $B82, "")</f>
        <v>-3.1963470319634701E-2</v>
      </c>
      <c r="I82" s="91">
        <f>IF(ISNUMBER(G82), $B91 * H82, "")</f>
        <v>-4794.5205479452052</v>
      </c>
      <c r="J82" s="15">
        <v>423</v>
      </c>
      <c r="K82" s="32">
        <f t="shared" ref="K82:K85" si="40">IF(ISNUMBER(J82), (J82 - $B82) / $B82, "")</f>
        <v>-3.4246575342465752E-2</v>
      </c>
      <c r="L82" s="18">
        <f>IF(ISNUMBER(J82), $B91 * K82, "")</f>
        <v>-5136.9863013698623</v>
      </c>
      <c r="M82" s="31">
        <v>417</v>
      </c>
      <c r="N82" s="32">
        <f t="shared" ref="N82:N85" si="41">IF(ISNUMBER(M82), (M82 - $B82) / $B82, "")</f>
        <v>-4.7945205479452052E-2</v>
      </c>
      <c r="O82" s="18">
        <f>IF(ISNUMBER(M82), $B91 * N82, "")</f>
        <v>-7191.7808219178078</v>
      </c>
      <c r="Q82" s="153"/>
      <c r="R82" s="154"/>
      <c r="S82" s="155"/>
    </row>
    <row r="83" spans="1:19" ht="17.25" thickBot="1">
      <c r="A83" s="109" t="s">
        <v>329</v>
      </c>
      <c r="B83" s="110">
        <v>587</v>
      </c>
      <c r="C83" s="70">
        <v>-2.65339967E-2</v>
      </c>
      <c r="D83" s="15">
        <v>576</v>
      </c>
      <c r="E83" s="32">
        <f t="shared" si="38"/>
        <v>-1.8739352640545145E-2</v>
      </c>
      <c r="F83" s="18">
        <f>IF(ISNUMBER(D83), $B91 * E83, "")</f>
        <v>-2810.9028960817718</v>
      </c>
      <c r="G83" s="31">
        <v>568</v>
      </c>
      <c r="H83" s="32">
        <f t="shared" si="39"/>
        <v>-3.2367972742759793E-2</v>
      </c>
      <c r="I83" s="91">
        <f>IF(ISNUMBER(G83), $B91 * H83, "")</f>
        <v>-4855.195911413969</v>
      </c>
      <c r="J83" s="15">
        <v>570</v>
      </c>
      <c r="K83" s="32">
        <f t="shared" si="40"/>
        <v>-2.8960817717206135E-2</v>
      </c>
      <c r="L83" s="18">
        <f>IF(ISNUMBER(J83), $B91 * K83, "")</f>
        <v>-4344.1226575809205</v>
      </c>
      <c r="M83" s="31">
        <v>562</v>
      </c>
      <c r="N83" s="32">
        <f t="shared" si="41"/>
        <v>-4.2589437819420782E-2</v>
      </c>
      <c r="O83" s="18">
        <f>IF(ISNUMBER(M83), $B91 * N83, "")</f>
        <v>-6388.4156729131173</v>
      </c>
      <c r="Q83" s="146"/>
      <c r="R83" s="146"/>
      <c r="S83" s="146"/>
    </row>
    <row r="84" spans="1:19" ht="17.25" thickBot="1">
      <c r="A84" s="109" t="s">
        <v>105</v>
      </c>
      <c r="B84" s="110">
        <v>290</v>
      </c>
      <c r="C84" s="70">
        <v>-2.68456376E-2</v>
      </c>
      <c r="D84" s="15">
        <v>285</v>
      </c>
      <c r="E84" s="32">
        <f t="shared" si="38"/>
        <v>-1.7241379310344827E-2</v>
      </c>
      <c r="F84" s="18">
        <f>IF(ISNUMBER(D84), $B91 * E84, "")</f>
        <v>-2586.2068965517242</v>
      </c>
      <c r="G84" s="31">
        <v>277</v>
      </c>
      <c r="H84" s="32">
        <f t="shared" si="39"/>
        <v>-4.4827586206896551E-2</v>
      </c>
      <c r="I84" s="91">
        <f>IF(ISNUMBER(G84), $B91 * H84, "")</f>
        <v>-6724.1379310344828</v>
      </c>
      <c r="J84" s="15">
        <v>277</v>
      </c>
      <c r="K84" s="32">
        <f t="shared" si="40"/>
        <v>-4.4827586206896551E-2</v>
      </c>
      <c r="L84" s="18">
        <f>IF(ISNUMBER(J84), $B91 * K84, "")</f>
        <v>-6724.1379310344828</v>
      </c>
      <c r="M84" s="31">
        <v>272</v>
      </c>
      <c r="N84" s="32">
        <f t="shared" si="41"/>
        <v>-6.2068965517241378E-2</v>
      </c>
      <c r="O84" s="18">
        <f>IF(ISNUMBER(M84), $B91 * N84, "")</f>
        <v>-9310.3448275862065</v>
      </c>
      <c r="Q84" s="156"/>
      <c r="R84" s="156"/>
      <c r="S84" s="156"/>
    </row>
    <row r="85" spans="1:19" ht="17.25" thickBot="1">
      <c r="A85" s="111" t="s">
        <v>169</v>
      </c>
      <c r="B85" s="112">
        <v>275</v>
      </c>
      <c r="C85" s="71">
        <v>-2.8268551199999999E-2</v>
      </c>
      <c r="D85" s="20">
        <v>273</v>
      </c>
      <c r="E85" s="21">
        <f t="shared" si="38"/>
        <v>-7.2727272727272727E-3</v>
      </c>
      <c r="F85" s="22">
        <f>IF(ISNUMBER(D85), $B91 * E85, "")</f>
        <v>-1090.909090909091</v>
      </c>
      <c r="G85" s="30">
        <v>271</v>
      </c>
      <c r="H85" s="21">
        <f t="shared" si="39"/>
        <v>-1.4545454545454545E-2</v>
      </c>
      <c r="I85" s="95">
        <f>IF(ISNUMBER(G85), $B91 * H85, "")</f>
        <v>-2181.818181818182</v>
      </c>
      <c r="J85" s="20">
        <v>271</v>
      </c>
      <c r="K85" s="21">
        <f t="shared" si="40"/>
        <v>-1.4545454545454545E-2</v>
      </c>
      <c r="L85" s="22">
        <f>IF(ISNUMBER(J85), $B91 * K85, "")</f>
        <v>-2181.818181818182</v>
      </c>
      <c r="M85" s="30">
        <v>267</v>
      </c>
      <c r="N85" s="21">
        <f t="shared" si="41"/>
        <v>-2.9090909090909091E-2</v>
      </c>
      <c r="O85" s="22">
        <f>IF(ISNUMBER(M85), $B91 * N85, "")</f>
        <v>-4363.636363636364</v>
      </c>
      <c r="Q85" s="156"/>
      <c r="R85" s="156"/>
      <c r="S85" s="156"/>
    </row>
    <row r="86" spans="1:19" ht="17.25" thickBot="1">
      <c r="A86" s="109" t="s">
        <v>235</v>
      </c>
      <c r="B86" s="113">
        <v>684</v>
      </c>
      <c r="C86" s="73">
        <v>-2.84090909E-2</v>
      </c>
      <c r="D86" s="96">
        <v>694</v>
      </c>
      <c r="E86" s="97">
        <f>IF(ISNUMBER(D86), (D86 - $B86) / $B86, "")</f>
        <v>1.4619883040935672E-2</v>
      </c>
      <c r="F86" s="98">
        <f>IF(ISNUMBER(D86), $B91 * E86, "")</f>
        <v>2192.9824561403507</v>
      </c>
      <c r="G86" s="99">
        <v>674</v>
      </c>
      <c r="H86" s="97">
        <f>IF(ISNUMBER(G86), (G86 - $B86) / $B86, "")</f>
        <v>-1.4619883040935672E-2</v>
      </c>
      <c r="I86" s="100">
        <f>IF(ISNUMBER(G86), $B91 * H86, "")</f>
        <v>-2192.9824561403507</v>
      </c>
      <c r="J86" s="96">
        <v>673</v>
      </c>
      <c r="K86" s="97">
        <f>IF(ISNUMBER(J86), (J86 - $B86) / $B86, "")</f>
        <v>-1.6081871345029239E-2</v>
      </c>
      <c r="L86" s="98">
        <f>IF(ISNUMBER(J86), $B91 * K86, "")</f>
        <v>-2412.280701754386</v>
      </c>
      <c r="M86" s="99">
        <v>661</v>
      </c>
      <c r="N86" s="97">
        <f>IF(ISNUMBER(M86), (M86 - $B86) / $B86, "")</f>
        <v>-3.3625730994152045E-2</v>
      </c>
      <c r="O86" s="98">
        <f>IF(ISNUMBER(M86), $B91 * N86, "")</f>
        <v>-5043.8596491228063</v>
      </c>
      <c r="Q86" s="146"/>
      <c r="R86" s="146"/>
      <c r="S86" s="146"/>
    </row>
    <row r="87" spans="1:19" ht="17.25" thickBot="1">
      <c r="A87" s="109" t="s">
        <v>130</v>
      </c>
      <c r="B87" s="110">
        <v>949</v>
      </c>
      <c r="C87" s="70">
        <v>-2.9652351699999999E-2</v>
      </c>
      <c r="D87" s="15">
        <v>950</v>
      </c>
      <c r="E87" s="32">
        <f t="shared" ref="E87:E90" si="42">IF(ISNUMBER(D87), (D87 - $B87) / $B87, "")</f>
        <v>1.053740779768177E-3</v>
      </c>
      <c r="F87" s="18">
        <f>IF(ISNUMBER(D87), $B91 * E87, "")</f>
        <v>158.06111696522655</v>
      </c>
      <c r="G87" s="31">
        <v>933</v>
      </c>
      <c r="H87" s="32">
        <f t="shared" ref="H87:H90" si="43">IF(ISNUMBER(G87), (G87 - $B87) / $B87, "")</f>
        <v>-1.6859852476290831E-2</v>
      </c>
      <c r="I87" s="91">
        <f>IF(ISNUMBER(G87), $B91 * H87, "")</f>
        <v>-2528.9778714436247</v>
      </c>
      <c r="J87" s="15">
        <v>940</v>
      </c>
      <c r="K87" s="32">
        <f t="shared" ref="K87:K90" si="44">IF(ISNUMBER(J87), (J87 - $B87) / $B87, "")</f>
        <v>-9.4836670179135937E-3</v>
      </c>
      <c r="L87" s="18">
        <f>IF(ISNUMBER(J87), $B91 * K87, "")</f>
        <v>-1422.5500526870389</v>
      </c>
      <c r="M87" s="31">
        <v>918</v>
      </c>
      <c r="N87" s="32">
        <f t="shared" ref="N87:N90" si="45">IF(ISNUMBER(M87), (M87 - $B87) / $B87, "")</f>
        <v>-3.2665964172813484E-2</v>
      </c>
      <c r="O87" s="18">
        <f>IF(ISNUMBER(M87), $B91 * N87, "")</f>
        <v>-4899.8946259220229</v>
      </c>
      <c r="Q87" s="146"/>
      <c r="R87" s="146"/>
      <c r="S87" s="146"/>
    </row>
    <row r="88" spans="1:19" ht="17.25" thickBot="1">
      <c r="A88" s="109" t="s">
        <v>183</v>
      </c>
      <c r="B88" s="110">
        <v>162</v>
      </c>
      <c r="C88" s="70">
        <v>-2.9940119800000001E-2</v>
      </c>
      <c r="D88" s="15">
        <v>160</v>
      </c>
      <c r="E88" s="32">
        <f t="shared" si="42"/>
        <v>-1.2345679012345678E-2</v>
      </c>
      <c r="F88" s="18">
        <f>IF(ISNUMBER(D88), $B91 * E88, "")</f>
        <v>-1851.8518518518517</v>
      </c>
      <c r="G88" s="31">
        <v>156</v>
      </c>
      <c r="H88" s="32">
        <f t="shared" si="43"/>
        <v>-3.7037037037037035E-2</v>
      </c>
      <c r="I88" s="91">
        <f>IF(ISNUMBER(G88), $B91 * H88, "")</f>
        <v>-5555.5555555555557</v>
      </c>
      <c r="J88" s="15">
        <v>157</v>
      </c>
      <c r="K88" s="32">
        <f t="shared" si="44"/>
        <v>-3.0864197530864196E-2</v>
      </c>
      <c r="L88" s="18">
        <f>IF(ISNUMBER(J88), $B91 * K88, "")</f>
        <v>-4629.6296296296296</v>
      </c>
      <c r="M88" s="31">
        <v>153</v>
      </c>
      <c r="N88" s="32">
        <f t="shared" si="45"/>
        <v>-5.5555555555555552E-2</v>
      </c>
      <c r="O88" s="18">
        <f>IF(ISNUMBER(M88), $B91 * N88, "")</f>
        <v>-8333.3333333333321</v>
      </c>
      <c r="Q88" s="146"/>
      <c r="R88" s="146"/>
      <c r="S88" s="146"/>
    </row>
    <row r="89" spans="1:19">
      <c r="A89" s="109" t="s">
        <v>199</v>
      </c>
      <c r="B89" s="110">
        <v>355</v>
      </c>
      <c r="C89" s="70">
        <v>-3.0054644799999999E-2</v>
      </c>
      <c r="D89" s="15">
        <v>352</v>
      </c>
      <c r="E89" s="32">
        <f t="shared" si="42"/>
        <v>-8.4507042253521118E-3</v>
      </c>
      <c r="F89" s="18">
        <f>IF(ISNUMBER(D89), $B91 * E89, "")</f>
        <v>-1267.6056338028168</v>
      </c>
      <c r="G89" s="31">
        <v>344</v>
      </c>
      <c r="H89" s="32">
        <f t="shared" si="43"/>
        <v>-3.0985915492957747E-2</v>
      </c>
      <c r="I89" s="91">
        <f>IF(ISNUMBER(G89), $B91 * H89, "")</f>
        <v>-4647.8873239436616</v>
      </c>
      <c r="J89" s="15">
        <v>346</v>
      </c>
      <c r="K89" s="32">
        <f t="shared" si="44"/>
        <v>-2.5352112676056339E-2</v>
      </c>
      <c r="L89" s="18">
        <f>IF(ISNUMBER(J89), $B91 * K89, "")</f>
        <v>-3802.816901408451</v>
      </c>
      <c r="M89" s="31">
        <v>340</v>
      </c>
      <c r="N89" s="32">
        <f t="shared" si="45"/>
        <v>-4.2253521126760563E-2</v>
      </c>
      <c r="O89" s="18">
        <f>IF(ISNUMBER(M89), $B91 * N89, "")</f>
        <v>-6338.0281690140846</v>
      </c>
      <c r="Q89" s="135"/>
      <c r="R89" s="136"/>
      <c r="S89" s="137"/>
    </row>
    <row r="90" spans="1:19" ht="17.25" thickBot="1">
      <c r="A90" s="114" t="s">
        <v>319</v>
      </c>
      <c r="B90" s="115">
        <v>224</v>
      </c>
      <c r="C90" s="72">
        <v>-3.0303030299999999E-2</v>
      </c>
      <c r="D90" s="24">
        <v>217</v>
      </c>
      <c r="E90" s="25">
        <f t="shared" si="42"/>
        <v>-3.125E-2</v>
      </c>
      <c r="F90" s="94">
        <f>IF(ISNUMBER(D90), $B91 * E90, "")</f>
        <v>-4687.5</v>
      </c>
      <c r="G90" s="92">
        <v>215</v>
      </c>
      <c r="H90" s="25">
        <f t="shared" si="43"/>
        <v>-4.0178571428571432E-2</v>
      </c>
      <c r="I90" s="93">
        <f>IF(ISNUMBER(G90), $B91 * H90, "")</f>
        <v>-6026.7857142857147</v>
      </c>
      <c r="J90" s="24">
        <v>217</v>
      </c>
      <c r="K90" s="25">
        <f t="shared" si="44"/>
        <v>-3.125E-2</v>
      </c>
      <c r="L90" s="94">
        <f>IF(ISNUMBER(J90), $B91 * K90, "")</f>
        <v>-4687.5</v>
      </c>
      <c r="M90" s="92">
        <v>211</v>
      </c>
      <c r="N90" s="25">
        <f t="shared" si="45"/>
        <v>-5.8035714285714288E-2</v>
      </c>
      <c r="O90" s="94">
        <f>IF(ISNUMBER(M90), $B91 * N90, "")</f>
        <v>-8705.3571428571431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-1.2235574311587751E-2</v>
      </c>
      <c r="F91" s="28">
        <f>SUM(F71:F90)</f>
        <v>-36706.722934763253</v>
      </c>
      <c r="G91" s="26" t="s">
        <v>258</v>
      </c>
      <c r="H91" s="27">
        <f>IF(COUNT(H71:H90), SUM(H71:H90) / COUNT(H71:H90), 0)</f>
        <v>-2.7562468717055179E-2</v>
      </c>
      <c r="I91" s="28">
        <f>SUM(I71:I90)</f>
        <v>-82687.40615116556</v>
      </c>
      <c r="J91" s="26" t="s">
        <v>258</v>
      </c>
      <c r="K91" s="27">
        <f>IF(COUNT(K71:K90), SUM(K71:K90) / COUNT(K71:K90), 0)</f>
        <v>-2.5402423760044635E-2</v>
      </c>
      <c r="L91" s="28">
        <f>SUM(L71:L90)</f>
        <v>-76207.271280133922</v>
      </c>
      <c r="M91" s="26" t="s">
        <v>258</v>
      </c>
      <c r="N91" s="27">
        <f>IF(COUNT(N71:N90), SUM(N71:N90) / COUNT(N71:N90), 0)</f>
        <v>-4.077146638840367E-2</v>
      </c>
      <c r="O91" s="28">
        <f>SUM(O71:O90)</f>
        <v>-122314.39916521103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2023-03-08(수) 오전 00:00</v>
      </c>
      <c r="C96" s="198"/>
      <c r="D96" s="170" t="str">
        <f>TEXT($G$1, "[$-ko-KR]yyyy-mm-dd(ddd) ") &amp; "오후 14:00"</f>
        <v>2023-03-08(수) 오후 14:00</v>
      </c>
      <c r="E96" s="171"/>
      <c r="F96" s="172"/>
      <c r="G96" s="170" t="str">
        <f>TEXT($G$1, "[$-ko-KR]yyyy-mm-dd(ddd) ") &amp; "오후 19:00"</f>
        <v>2023-03-08(수) 오후 19:00</v>
      </c>
      <c r="H96" s="171"/>
      <c r="I96" s="172"/>
      <c r="J96" s="170" t="str">
        <f>TEXT($G$1, "[$-ko-KR]yyyy-mm-dd(ddd) ") &amp; "오후 21:00"</f>
        <v>2023-03-08(수) 오후 21:00</v>
      </c>
      <c r="K96" s="171"/>
      <c r="L96" s="172"/>
      <c r="M96" s="170" t="str">
        <f>TEXT($G$1+1, "[$-ko-KR]yyyy-mm-dd(ddd) ") &amp; "오전 00:00"</f>
        <v>2023-03-09(목)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354</v>
      </c>
      <c r="B98" s="108">
        <v>5035</v>
      </c>
      <c r="C98" s="69">
        <v>0.162817552</v>
      </c>
      <c r="D98" s="13">
        <v>4990</v>
      </c>
      <c r="E98" s="14">
        <f>IF(ISNUMBER(D98), (D98 - $B98) / $B98, "")</f>
        <v>-8.9374379344587893E-3</v>
      </c>
      <c r="F98" s="16">
        <f>IF(ISNUMBER(D98), $B118 * E98, "")</f>
        <v>-1340.6156901688184</v>
      </c>
      <c r="G98" s="29">
        <v>4795</v>
      </c>
      <c r="H98" s="14">
        <f>IF(ISNUMBER(G98), (G98 - $B98) / $B98, "")</f>
        <v>-4.7666335650446874E-2</v>
      </c>
      <c r="I98" s="90">
        <f>IF(ISNUMBER(G98), $B118 * H98, "")</f>
        <v>-7149.9503475670308</v>
      </c>
      <c r="J98" s="13">
        <v>4770</v>
      </c>
      <c r="K98" s="14">
        <f>IF(ISNUMBER(J98), (J98 - $B98) / $B98, "")</f>
        <v>-5.2631578947368418E-2</v>
      </c>
      <c r="L98" s="16">
        <f>IF(ISNUMBER(J98), $B118 * K98, "")</f>
        <v>-7894.7368421052624</v>
      </c>
      <c r="M98" s="29">
        <v>4635</v>
      </c>
      <c r="N98" s="14">
        <f>IF(ISNUMBER(M98), (M98 - $B98) / $B98, "")</f>
        <v>-7.9443892750744788E-2</v>
      </c>
      <c r="O98" s="16">
        <f>IF(ISNUMBER(M98), $B118 * N98, "")</f>
        <v>-11916.583912611719</v>
      </c>
      <c r="Q98" s="156"/>
      <c r="R98" s="156"/>
      <c r="S98" s="156"/>
    </row>
    <row r="99" spans="1:19" ht="17.25" thickBot="1">
      <c r="A99" s="109" t="s">
        <v>225</v>
      </c>
      <c r="B99" s="110">
        <v>87.4</v>
      </c>
      <c r="C99" s="70">
        <v>0.13065976709999999</v>
      </c>
      <c r="D99" s="15">
        <v>92.6</v>
      </c>
      <c r="E99" s="32">
        <f t="shared" ref="E99:E102" si="46">IF(ISNUMBER(D99), (D99 - $B99) / $B99, "")</f>
        <v>5.9496567505720688E-2</v>
      </c>
      <c r="F99" s="18">
        <f>IF(ISNUMBER(D99), $B118 * E99, "")</f>
        <v>8924.4851258581039</v>
      </c>
      <c r="G99" s="31">
        <v>91.7</v>
      </c>
      <c r="H99" s="32">
        <f t="shared" ref="H99:H102" si="47">IF(ISNUMBER(G99), (G99 - $B99) / $B99, "")</f>
        <v>4.9199084668192186E-2</v>
      </c>
      <c r="I99" s="91">
        <f>IF(ISNUMBER(G99), $B118 * H99, "")</f>
        <v>7379.8627002288276</v>
      </c>
      <c r="J99" s="15">
        <v>90.5</v>
      </c>
      <c r="K99" s="32">
        <f t="shared" ref="K99:K102" si="48">IF(ISNUMBER(J99), (J99 - $B99) / $B99, "")</f>
        <v>3.5469107551487349E-2</v>
      </c>
      <c r="L99" s="18">
        <f>IF(ISNUMBER(J99), $B118 * K99, "")</f>
        <v>5320.3661327231021</v>
      </c>
      <c r="M99" s="31">
        <v>88.7</v>
      </c>
      <c r="N99" s="32">
        <f t="shared" ref="N99:N102" si="49">IF(ISNUMBER(M99), (M99 - $B99) / $B99, "")</f>
        <v>1.4874141876430172E-2</v>
      </c>
      <c r="O99" s="18">
        <f>IF(ISNUMBER(M99), $B118 * N99, "")</f>
        <v>2231.121281464526</v>
      </c>
      <c r="Q99" s="156"/>
      <c r="R99" s="156"/>
      <c r="S99" s="156"/>
    </row>
    <row r="100" spans="1:19" ht="17.25" thickBot="1">
      <c r="A100" s="109" t="s">
        <v>167</v>
      </c>
      <c r="B100" s="110">
        <v>251</v>
      </c>
      <c r="C100" s="70">
        <v>4.1493775900000002E-2</v>
      </c>
      <c r="D100" s="15">
        <v>237</v>
      </c>
      <c r="E100" s="32">
        <f t="shared" si="46"/>
        <v>-5.5776892430278883E-2</v>
      </c>
      <c r="F100" s="18">
        <f>IF(ISNUMBER(D100), $B118 * E100, "")</f>
        <v>-8366.5338645418324</v>
      </c>
      <c r="G100" s="31">
        <v>234</v>
      </c>
      <c r="H100" s="32">
        <f t="shared" si="47"/>
        <v>-6.7729083665338641E-2</v>
      </c>
      <c r="I100" s="91">
        <f>IF(ISNUMBER(G100), $B118 * H100, "")</f>
        <v>-10159.362549800797</v>
      </c>
      <c r="J100" s="15">
        <v>233</v>
      </c>
      <c r="K100" s="32">
        <f t="shared" si="48"/>
        <v>-7.1713147410358571E-2</v>
      </c>
      <c r="L100" s="18">
        <f>IF(ISNUMBER(J100), $B118 * K100, "")</f>
        <v>-10756.972111553785</v>
      </c>
      <c r="M100" s="31">
        <v>232</v>
      </c>
      <c r="N100" s="32">
        <f t="shared" si="49"/>
        <v>-7.5697211155378488E-2</v>
      </c>
      <c r="O100" s="18">
        <f>IF(ISNUMBER(M100), $B118 * N100, "")</f>
        <v>-11354.581673306773</v>
      </c>
      <c r="Q100" s="146"/>
      <c r="R100" s="146"/>
      <c r="S100" s="146"/>
    </row>
    <row r="101" spans="1:19" ht="17.25" thickBot="1">
      <c r="A101" s="109" t="s">
        <v>187</v>
      </c>
      <c r="B101" s="110">
        <v>1005</v>
      </c>
      <c r="C101" s="70">
        <v>4.0372670800000003E-2</v>
      </c>
      <c r="D101" s="15">
        <v>961</v>
      </c>
      <c r="E101" s="32">
        <f t="shared" si="46"/>
        <v>-4.3781094527363187E-2</v>
      </c>
      <c r="F101" s="18">
        <f>IF(ISNUMBER(D101), $B118 * E101, "")</f>
        <v>-6567.1641791044785</v>
      </c>
      <c r="G101" s="31">
        <v>950</v>
      </c>
      <c r="H101" s="32">
        <f t="shared" si="47"/>
        <v>-5.4726368159203981E-2</v>
      </c>
      <c r="I101" s="91">
        <f>IF(ISNUMBER(G101), $B118 * H101, "")</f>
        <v>-8208.9552238805973</v>
      </c>
      <c r="J101" s="15">
        <v>952</v>
      </c>
      <c r="K101" s="32">
        <f t="shared" si="48"/>
        <v>-5.2736318407960198E-2</v>
      </c>
      <c r="L101" s="18">
        <f>IF(ISNUMBER(J101), $B118 * K101, "")</f>
        <v>-7910.4477611940292</v>
      </c>
      <c r="M101" s="31">
        <v>930</v>
      </c>
      <c r="N101" s="32">
        <f t="shared" si="49"/>
        <v>-7.4626865671641784E-2</v>
      </c>
      <c r="O101" s="18">
        <f>IF(ISNUMBER(M101), $B118 * N101, "")</f>
        <v>-11194.029850746268</v>
      </c>
      <c r="Q101" s="146"/>
      <c r="R101" s="146"/>
      <c r="S101" s="146"/>
    </row>
    <row r="102" spans="1:19" ht="17.25" thickBot="1">
      <c r="A102" s="111" t="s">
        <v>149</v>
      </c>
      <c r="B102" s="112">
        <v>580</v>
      </c>
      <c r="C102" s="71">
        <v>2.65486726E-2</v>
      </c>
      <c r="D102" s="20">
        <v>558</v>
      </c>
      <c r="E102" s="21">
        <f t="shared" si="46"/>
        <v>-3.793103448275862E-2</v>
      </c>
      <c r="F102" s="22">
        <f>IF(ISNUMBER(D102), $B118 * E102, "")</f>
        <v>-5689.6551724137926</v>
      </c>
      <c r="G102" s="30">
        <v>540</v>
      </c>
      <c r="H102" s="21">
        <f t="shared" si="47"/>
        <v>-6.8965517241379309E-2</v>
      </c>
      <c r="I102" s="95">
        <f>IF(ISNUMBER(G102), $B118 * H102, "")</f>
        <v>-10344.827586206897</v>
      </c>
      <c r="J102" s="20">
        <v>542</v>
      </c>
      <c r="K102" s="21">
        <f t="shared" si="48"/>
        <v>-6.5517241379310351E-2</v>
      </c>
      <c r="L102" s="22">
        <f>IF(ISNUMBER(J102), $B118 * K102, "")</f>
        <v>-9827.5862068965525</v>
      </c>
      <c r="M102" s="30">
        <v>526</v>
      </c>
      <c r="N102" s="21">
        <f t="shared" si="49"/>
        <v>-9.3103448275862075E-2</v>
      </c>
      <c r="O102" s="22">
        <f>IF(ISNUMBER(M102), $B118 * N102, "")</f>
        <v>-13965.517241379312</v>
      </c>
      <c r="Q102" s="146"/>
      <c r="R102" s="146"/>
      <c r="S102" s="146"/>
    </row>
    <row r="103" spans="1:19" ht="17.25" thickBot="1">
      <c r="A103" s="109" t="s">
        <v>89</v>
      </c>
      <c r="B103" s="113">
        <v>500</v>
      </c>
      <c r="C103" s="73">
        <v>1.8329938899999999E-2</v>
      </c>
      <c r="D103" s="96">
        <v>507</v>
      </c>
      <c r="E103" s="97">
        <f>IF(ISNUMBER(D103), (D103 - $B103) / $B103, "")</f>
        <v>1.4E-2</v>
      </c>
      <c r="F103" s="98">
        <f>IF(ISNUMBER(D103), $B118 * E103, "")</f>
        <v>2100</v>
      </c>
      <c r="G103" s="99">
        <v>510</v>
      </c>
      <c r="H103" s="97">
        <f>IF(ISNUMBER(G103), (G103 - $B103) / $B103, "")</f>
        <v>0.02</v>
      </c>
      <c r="I103" s="100">
        <f>IF(ISNUMBER(G103), $B118 * H103, "")</f>
        <v>3000</v>
      </c>
      <c r="J103" s="96">
        <v>515</v>
      </c>
      <c r="K103" s="97">
        <f>IF(ISNUMBER(J103), (J103 - $B103) / $B103, "")</f>
        <v>0.03</v>
      </c>
      <c r="L103" s="98">
        <f>IF(ISNUMBER(J103), $B118 * K103, "")</f>
        <v>4500</v>
      </c>
      <c r="M103" s="99">
        <v>520</v>
      </c>
      <c r="N103" s="97">
        <f>IF(ISNUMBER(M103), (M103 - $B103) / $B103, "")</f>
        <v>0.04</v>
      </c>
      <c r="O103" s="98">
        <f>IF(ISNUMBER(M103), $B118 * N103, "")</f>
        <v>6000</v>
      </c>
      <c r="Q103" s="146"/>
      <c r="R103" s="146"/>
      <c r="S103" s="146"/>
    </row>
    <row r="104" spans="1:19" ht="17.25" thickBot="1">
      <c r="A104" s="109" t="s">
        <v>322</v>
      </c>
      <c r="B104" s="110">
        <v>1510</v>
      </c>
      <c r="C104" s="70">
        <v>3.3222591000000002E-3</v>
      </c>
      <c r="D104" s="15">
        <v>1520</v>
      </c>
      <c r="E104" s="32">
        <f t="shared" ref="E104:E107" si="50">IF(ISNUMBER(D104), (D104 - $B104) / $B104, "")</f>
        <v>6.6225165562913907E-3</v>
      </c>
      <c r="F104" s="18">
        <f>IF(ISNUMBER(D104), $B118 * E104, "")</f>
        <v>993.37748344370857</v>
      </c>
      <c r="G104" s="31">
        <v>1495</v>
      </c>
      <c r="H104" s="32">
        <f t="shared" ref="H104:H107" si="51">IF(ISNUMBER(G104), (G104 - $B104) / $B104, "")</f>
        <v>-9.9337748344370865E-3</v>
      </c>
      <c r="I104" s="91">
        <f>IF(ISNUMBER(G104), $B118 * H104, "")</f>
        <v>-1490.0662251655631</v>
      </c>
      <c r="J104" s="15">
        <v>1490</v>
      </c>
      <c r="K104" s="32">
        <f t="shared" ref="K104:K107" si="52">IF(ISNUMBER(J104), (J104 - $B104) / $B104, "")</f>
        <v>-1.3245033112582781E-2</v>
      </c>
      <c r="L104" s="18">
        <f>IF(ISNUMBER(J104), $B118 * K104, "")</f>
        <v>-1986.7549668874171</v>
      </c>
      <c r="M104" s="31">
        <v>1455</v>
      </c>
      <c r="N104" s="32">
        <f t="shared" ref="N104:N107" si="53">IF(ISNUMBER(M104), (M104 - $B104) / $B104, "")</f>
        <v>-3.6423841059602648E-2</v>
      </c>
      <c r="O104" s="18">
        <f>IF(ISNUMBER(M104), $B118 * N104, "")</f>
        <v>-5463.5761589403974</v>
      </c>
      <c r="Q104" s="146"/>
      <c r="R104" s="146"/>
      <c r="S104" s="146"/>
    </row>
    <row r="105" spans="1:19" ht="17.25" thickBot="1">
      <c r="A105" s="109" t="s">
        <v>320</v>
      </c>
      <c r="B105" s="110">
        <v>6.07</v>
      </c>
      <c r="C105" s="70">
        <v>3.3057850999999999E-3</v>
      </c>
      <c r="D105" s="15">
        <v>5.88</v>
      </c>
      <c r="E105" s="32">
        <f t="shared" si="50"/>
        <v>-3.1301482701812253E-2</v>
      </c>
      <c r="F105" s="18">
        <f>IF(ISNUMBER(D105), $B118 * E105, "")</f>
        <v>-4695.2224052718375</v>
      </c>
      <c r="G105" s="31">
        <v>5.84</v>
      </c>
      <c r="H105" s="32">
        <f t="shared" si="51"/>
        <v>-3.7891268533772719E-2</v>
      </c>
      <c r="I105" s="91">
        <f>IF(ISNUMBER(G105), $B118 * H105, "")</f>
        <v>-5683.6902800659082</v>
      </c>
      <c r="J105" s="15">
        <v>5.88</v>
      </c>
      <c r="K105" s="32">
        <f t="shared" si="52"/>
        <v>-3.1301482701812253E-2</v>
      </c>
      <c r="L105" s="18">
        <f>IF(ISNUMBER(J105), $B118 * K105, "")</f>
        <v>-4695.2224052718375</v>
      </c>
      <c r="M105" s="31">
        <v>5.87</v>
      </c>
      <c r="N105" s="32">
        <f t="shared" si="53"/>
        <v>-3.2948929159802333E-2</v>
      </c>
      <c r="O105" s="18">
        <f>IF(ISNUMBER(M105), $B118 * N105, "")</f>
        <v>-4942.3393739703497</v>
      </c>
      <c r="Q105" s="146"/>
      <c r="R105" s="146"/>
      <c r="S105" s="146"/>
    </row>
    <row r="106" spans="1:19" ht="17.25" thickBot="1">
      <c r="A106" s="109" t="s">
        <v>241</v>
      </c>
      <c r="B106" s="110">
        <v>124</v>
      </c>
      <c r="C106" s="70">
        <v>0</v>
      </c>
      <c r="D106" s="15">
        <v>120</v>
      </c>
      <c r="E106" s="32">
        <f t="shared" si="50"/>
        <v>-3.2258064516129031E-2</v>
      </c>
      <c r="F106" s="18">
        <f>IF(ISNUMBER(D106), $B118 * E106, "")</f>
        <v>-4838.7096774193551</v>
      </c>
      <c r="G106" s="31">
        <v>118</v>
      </c>
      <c r="H106" s="32">
        <f t="shared" si="51"/>
        <v>-4.8387096774193547E-2</v>
      </c>
      <c r="I106" s="91">
        <f>IF(ISNUMBER(G106), $B118 * H106, "")</f>
        <v>-7258.0645161290322</v>
      </c>
      <c r="J106" s="15">
        <v>118</v>
      </c>
      <c r="K106" s="32">
        <f t="shared" si="52"/>
        <v>-4.8387096774193547E-2</v>
      </c>
      <c r="L106" s="18">
        <f>IF(ISNUMBER(J106), $B118 * K106, "")</f>
        <v>-7258.0645161290322</v>
      </c>
      <c r="M106" s="31">
        <v>118</v>
      </c>
      <c r="N106" s="32">
        <f t="shared" si="53"/>
        <v>-4.8387096774193547E-2</v>
      </c>
      <c r="O106" s="18">
        <f>IF(ISNUMBER(M106), $B118 * N106, "")</f>
        <v>-7258.0645161290322</v>
      </c>
      <c r="Q106" s="33"/>
      <c r="R106" s="33"/>
    </row>
    <row r="107" spans="1:19" ht="17.25" thickBot="1">
      <c r="A107" s="114" t="s">
        <v>51</v>
      </c>
      <c r="B107" s="115">
        <v>110</v>
      </c>
      <c r="C107" s="72">
        <v>0</v>
      </c>
      <c r="D107" s="24">
        <v>110</v>
      </c>
      <c r="E107" s="25">
        <f t="shared" si="50"/>
        <v>0</v>
      </c>
      <c r="F107" s="94">
        <f>IF(ISNUMBER(D107), $B118 * E107, "")</f>
        <v>0</v>
      </c>
      <c r="G107" s="92">
        <v>108</v>
      </c>
      <c r="H107" s="25">
        <f t="shared" si="51"/>
        <v>-1.8181818181818181E-2</v>
      </c>
      <c r="I107" s="93">
        <f>IF(ISNUMBER(G107), $B118 * H107, "")</f>
        <v>-2727.272727272727</v>
      </c>
      <c r="J107" s="24">
        <v>109</v>
      </c>
      <c r="K107" s="25">
        <f t="shared" si="52"/>
        <v>-9.0909090909090905E-3</v>
      </c>
      <c r="L107" s="94">
        <f>IF(ISNUMBER(J107), $B118 * K107, "")</f>
        <v>-1363.6363636363635</v>
      </c>
      <c r="M107" s="92">
        <v>112</v>
      </c>
      <c r="N107" s="25">
        <f t="shared" si="53"/>
        <v>1.8181818181818181E-2</v>
      </c>
      <c r="O107" s="94">
        <f>IF(ISNUMBER(M107), $B118 * N107, "")</f>
        <v>2727.272727272727</v>
      </c>
      <c r="Q107" s="147"/>
      <c r="R107" s="148"/>
      <c r="S107" s="149"/>
    </row>
    <row r="108" spans="1:19">
      <c r="A108" s="107" t="s">
        <v>93</v>
      </c>
      <c r="B108" s="108">
        <v>2078000</v>
      </c>
      <c r="C108" s="69">
        <v>-9.6153850000000002E-4</v>
      </c>
      <c r="D108" s="13">
        <v>2080000</v>
      </c>
      <c r="E108" s="14">
        <f>IF(ISNUMBER(D108), (D108 - $B108) / $B108, "")</f>
        <v>9.6246390760346492E-4</v>
      </c>
      <c r="F108" s="16">
        <f>IF(ISNUMBER(D108), $B118 * E108, "")</f>
        <v>144.36958614051974</v>
      </c>
      <c r="G108" s="29">
        <v>2068000</v>
      </c>
      <c r="H108" s="14">
        <f>IF(ISNUMBER(G108), (G108 - $B108) / $B108, "")</f>
        <v>-4.8123195380173241E-3</v>
      </c>
      <c r="I108" s="90">
        <f>IF(ISNUMBER(G108), $B118 * H108, "")</f>
        <v>-721.84793070259866</v>
      </c>
      <c r="J108" s="13">
        <v>2071000</v>
      </c>
      <c r="K108" s="14">
        <f>IF(ISNUMBER(J108), (J108 - $B108) / $B108, "")</f>
        <v>-3.3686236766121268E-3</v>
      </c>
      <c r="L108" s="16">
        <f>IF(ISNUMBER(J108), $B118 * K108, "")</f>
        <v>-505.29355149181902</v>
      </c>
      <c r="M108" s="29">
        <v>2064000</v>
      </c>
      <c r="N108" s="14">
        <f>IF(ISNUMBER(M108), (M108 - $B108) / $B108, "")</f>
        <v>-6.7372473532242537E-3</v>
      </c>
      <c r="O108" s="16">
        <f>IF(ISNUMBER(M108), $B118 * N108, "")</f>
        <v>-1010.587102983638</v>
      </c>
      <c r="Q108" s="150"/>
      <c r="R108" s="151"/>
      <c r="S108" s="152"/>
    </row>
    <row r="109" spans="1:19" ht="17.25" thickBot="1">
      <c r="A109" s="109" t="s">
        <v>49</v>
      </c>
      <c r="B109" s="110">
        <v>29707000</v>
      </c>
      <c r="C109" s="70">
        <v>-2.0827035000000002E-3</v>
      </c>
      <c r="D109" s="15">
        <v>29479000</v>
      </c>
      <c r="E109" s="32">
        <f t="shared" ref="E109:E112" si="54">IF(ISNUMBER(D109), (D109 - $B109) / $B109, "")</f>
        <v>-7.6749587639276936E-3</v>
      </c>
      <c r="F109" s="18">
        <f>IF(ISNUMBER(D109), $B118 * E109, "")</f>
        <v>-1151.243814589154</v>
      </c>
      <c r="G109" s="31">
        <v>29264000</v>
      </c>
      <c r="H109" s="32">
        <f t="shared" ref="H109:H112" si="55">IF(ISNUMBER(G109), (G109 - $B109) / $B109, "")</f>
        <v>-1.4912310229912141E-2</v>
      </c>
      <c r="I109" s="91">
        <f>IF(ISNUMBER(G109), $B118 * H109, "")</f>
        <v>-2236.8465344868214</v>
      </c>
      <c r="J109" s="15">
        <v>29403000</v>
      </c>
      <c r="K109" s="32">
        <f t="shared" ref="K109:K112" si="56">IF(ISNUMBER(J109), (J109 - $B109) / $B109, "")</f>
        <v>-1.0233278351903592E-2</v>
      </c>
      <c r="L109" s="18">
        <f>IF(ISNUMBER(J109), $B118 * K109, "")</f>
        <v>-1534.9917527855387</v>
      </c>
      <c r="M109" s="31">
        <v>29302000</v>
      </c>
      <c r="N109" s="32">
        <f t="shared" ref="N109:N112" si="57">IF(ISNUMBER(M109), (M109 - $B109) / $B109, "")</f>
        <v>-1.3633150435924193E-2</v>
      </c>
      <c r="O109" s="18">
        <f>IF(ISNUMBER(M109), $B118 * N109, "")</f>
        <v>-2044.9725653886289</v>
      </c>
      <c r="Q109" s="153"/>
      <c r="R109" s="154"/>
      <c r="S109" s="155"/>
    </row>
    <row r="110" spans="1:19" ht="17.25" thickBot="1">
      <c r="A110" s="109" t="s">
        <v>118</v>
      </c>
      <c r="B110" s="110">
        <v>7.94</v>
      </c>
      <c r="C110" s="70">
        <v>-3.7641153999999999E-3</v>
      </c>
      <c r="D110" s="15">
        <v>8.23</v>
      </c>
      <c r="E110" s="32">
        <f t="shared" si="54"/>
        <v>3.6523929471032751E-2</v>
      </c>
      <c r="F110" s="18">
        <f>IF(ISNUMBER(D110), $B118 * E110, "")</f>
        <v>5478.5894206549128</v>
      </c>
      <c r="G110" s="31">
        <v>8.26</v>
      </c>
      <c r="H110" s="32">
        <f t="shared" si="55"/>
        <v>4.0302267002518814E-2</v>
      </c>
      <c r="I110" s="91">
        <f>IF(ISNUMBER(G110), $B118 * H110, "")</f>
        <v>6045.3400503778221</v>
      </c>
      <c r="J110" s="15">
        <v>8.18</v>
      </c>
      <c r="K110" s="32">
        <f t="shared" si="56"/>
        <v>3.0226700251889081E-2</v>
      </c>
      <c r="L110" s="18">
        <f>IF(ISNUMBER(J110), $B118 * K110, "")</f>
        <v>4534.0050377833622</v>
      </c>
      <c r="M110" s="31">
        <v>7.95</v>
      </c>
      <c r="N110" s="32">
        <f t="shared" si="57"/>
        <v>1.2594458438286884E-3</v>
      </c>
      <c r="O110" s="18">
        <f>IF(ISNUMBER(M110), $B118 * N110, "")</f>
        <v>188.91687657430327</v>
      </c>
      <c r="Q110" s="146"/>
      <c r="R110" s="146"/>
      <c r="S110" s="146"/>
    </row>
    <row r="111" spans="1:19" ht="17.25" thickBot="1">
      <c r="A111" s="109" t="s">
        <v>77</v>
      </c>
      <c r="B111" s="110">
        <v>164250</v>
      </c>
      <c r="C111" s="70">
        <v>-4.2437102000000004E-3</v>
      </c>
      <c r="D111" s="15">
        <v>161650</v>
      </c>
      <c r="E111" s="32">
        <f t="shared" si="54"/>
        <v>-1.5829528158295282E-2</v>
      </c>
      <c r="F111" s="18">
        <f>IF(ISNUMBER(D111), $B118 * E111, "")</f>
        <v>-2374.4292237442924</v>
      </c>
      <c r="G111" s="31">
        <v>160550</v>
      </c>
      <c r="H111" s="32">
        <f t="shared" si="55"/>
        <v>-2.2526636225266364E-2</v>
      </c>
      <c r="I111" s="91">
        <f>IF(ISNUMBER(G111), $B118 * H111, "")</f>
        <v>-3378.9954337899544</v>
      </c>
      <c r="J111" s="15">
        <v>161100</v>
      </c>
      <c r="K111" s="32">
        <f t="shared" si="56"/>
        <v>-1.9178082191780823E-2</v>
      </c>
      <c r="L111" s="18">
        <f>IF(ISNUMBER(J111), $B118 * K111, "")</f>
        <v>-2876.7123287671234</v>
      </c>
      <c r="M111" s="31">
        <v>157900</v>
      </c>
      <c r="N111" s="32">
        <f t="shared" si="57"/>
        <v>-3.8660578386605783E-2</v>
      </c>
      <c r="O111" s="18">
        <f>IF(ISNUMBER(M111), $B118 * N111, "")</f>
        <v>-5799.0867579908672</v>
      </c>
      <c r="Q111" s="156"/>
      <c r="R111" s="156"/>
      <c r="S111" s="156"/>
    </row>
    <row r="112" spans="1:19" ht="17.25" thickBot="1">
      <c r="A112" s="111" t="s">
        <v>145</v>
      </c>
      <c r="B112" s="112">
        <v>89</v>
      </c>
      <c r="C112" s="71">
        <v>-5.5865921999999997E-3</v>
      </c>
      <c r="D112" s="20">
        <v>88.5</v>
      </c>
      <c r="E112" s="21">
        <f t="shared" si="54"/>
        <v>-5.6179775280898875E-3</v>
      </c>
      <c r="F112" s="22">
        <f>IF(ISNUMBER(D112), $B118 * E112, "")</f>
        <v>-842.69662921348311</v>
      </c>
      <c r="G112" s="30">
        <v>87.9</v>
      </c>
      <c r="H112" s="21">
        <f t="shared" si="55"/>
        <v>-1.2359550561797689E-2</v>
      </c>
      <c r="I112" s="95">
        <f>IF(ISNUMBER(G112), $B118 * H112, "")</f>
        <v>-1853.9325842696533</v>
      </c>
      <c r="J112" s="20">
        <v>87.9</v>
      </c>
      <c r="K112" s="21">
        <f t="shared" si="56"/>
        <v>-1.2359550561797689E-2</v>
      </c>
      <c r="L112" s="22">
        <f>IF(ISNUMBER(J112), $B118 * K112, "")</f>
        <v>-1853.9325842696533</v>
      </c>
      <c r="M112" s="30">
        <v>87.4</v>
      </c>
      <c r="N112" s="21">
        <f t="shared" si="57"/>
        <v>-1.7977528089887576E-2</v>
      </c>
      <c r="O112" s="22">
        <f>IF(ISNUMBER(M112), $B118 * N112, "")</f>
        <v>-2696.6292134831365</v>
      </c>
      <c r="Q112" s="156"/>
      <c r="R112" s="156"/>
      <c r="S112" s="156"/>
    </row>
    <row r="113" spans="1:19" ht="17.25" thickBot="1">
      <c r="A113" s="109" t="s">
        <v>75</v>
      </c>
      <c r="B113" s="113">
        <v>9035</v>
      </c>
      <c r="C113" s="73">
        <v>-7.6880834999999998E-3</v>
      </c>
      <c r="D113" s="96">
        <v>9195</v>
      </c>
      <c r="E113" s="97">
        <f>IF(ISNUMBER(D113), (D113 - $B113) / $B113, "")</f>
        <v>1.7708909795240729E-2</v>
      </c>
      <c r="F113" s="98">
        <f>IF(ISNUMBER(D113), $B118 * E113, "")</f>
        <v>2656.3364692861096</v>
      </c>
      <c r="G113" s="99">
        <v>9065</v>
      </c>
      <c r="H113" s="97">
        <f>IF(ISNUMBER(G113), (G113 - $B113) / $B113, "")</f>
        <v>3.3204205866076372E-3</v>
      </c>
      <c r="I113" s="100">
        <f>IF(ISNUMBER(G113), $B118 * H113, "")</f>
        <v>498.06308799114555</v>
      </c>
      <c r="J113" s="96">
        <v>9060</v>
      </c>
      <c r="K113" s="97">
        <f>IF(ISNUMBER(J113), (J113 - $B113) / $B113, "")</f>
        <v>2.7670171555063639E-3</v>
      </c>
      <c r="L113" s="98">
        <f>IF(ISNUMBER(J113), $B118 * K113, "")</f>
        <v>415.0525733259546</v>
      </c>
      <c r="M113" s="99">
        <v>8825</v>
      </c>
      <c r="N113" s="97">
        <f>IF(ISNUMBER(M113), (M113 - $B113) / $B113, "")</f>
        <v>-2.3242944106253459E-2</v>
      </c>
      <c r="O113" s="98">
        <f>IF(ISNUMBER(M113), $B118 * N113, "")</f>
        <v>-3486.4416159380189</v>
      </c>
      <c r="Q113" s="146"/>
      <c r="R113" s="146"/>
      <c r="S113" s="146"/>
    </row>
    <row r="114" spans="1:19" ht="17.25" thickBot="1">
      <c r="A114" s="109" t="s">
        <v>253</v>
      </c>
      <c r="B114" s="110">
        <v>98.4</v>
      </c>
      <c r="C114" s="70">
        <v>-9.0634441E-3</v>
      </c>
      <c r="D114" s="15">
        <v>98.1</v>
      </c>
      <c r="E114" s="32">
        <f t="shared" ref="E114:E117" si="58">IF(ISNUMBER(D114), (D114 - $B114) / $B114, "")</f>
        <v>-3.0487804878049935E-3</v>
      </c>
      <c r="F114" s="18">
        <f>IF(ISNUMBER(D114), $B118 * E114, "")</f>
        <v>-457.31707317074904</v>
      </c>
      <c r="G114" s="31">
        <v>97.3</v>
      </c>
      <c r="H114" s="32">
        <f t="shared" ref="H114:H117" si="59">IF(ISNUMBER(G114), (G114 - $B114) / $B114, "")</f>
        <v>-1.1178861788617973E-2</v>
      </c>
      <c r="I114" s="91">
        <f>IF(ISNUMBER(G114), $B118 * H114, "")</f>
        <v>-1676.829268292696</v>
      </c>
      <c r="J114" s="15">
        <v>98.1</v>
      </c>
      <c r="K114" s="32">
        <f t="shared" ref="K114:K117" si="60">IF(ISNUMBER(J114), (J114 - $B114) / $B114, "")</f>
        <v>-3.0487804878049935E-3</v>
      </c>
      <c r="L114" s="18">
        <f>IF(ISNUMBER(J114), $B118 * K114, "")</f>
        <v>-457.31707317074904</v>
      </c>
      <c r="M114" s="31">
        <v>96.5</v>
      </c>
      <c r="N114" s="32">
        <f t="shared" ref="N114:N117" si="61">IF(ISNUMBER(M114), (M114 - $B114) / $B114, "")</f>
        <v>-1.9308943089430951E-2</v>
      </c>
      <c r="O114" s="18">
        <f>IF(ISNUMBER(M114), $B118 * N114, "")</f>
        <v>-2896.3414634146425</v>
      </c>
      <c r="Q114" s="146"/>
      <c r="R114" s="146"/>
      <c r="S114" s="146"/>
    </row>
    <row r="115" spans="1:19" ht="17.25" thickBot="1">
      <c r="A115" s="109" t="s">
        <v>237</v>
      </c>
      <c r="B115" s="110">
        <v>35.5</v>
      </c>
      <c r="C115" s="70">
        <v>-1.1142061300000001E-2</v>
      </c>
      <c r="D115" s="15">
        <v>34.9</v>
      </c>
      <c r="E115" s="32">
        <f t="shared" si="58"/>
        <v>-1.6901408450704265E-2</v>
      </c>
      <c r="F115" s="18">
        <f>IF(ISNUMBER(D115), $B118 * E115, "")</f>
        <v>-2535.2112676056399</v>
      </c>
      <c r="G115" s="31">
        <v>34.700000000000003</v>
      </c>
      <c r="H115" s="32">
        <f t="shared" si="59"/>
        <v>-2.2535211267605555E-2</v>
      </c>
      <c r="I115" s="91">
        <f>IF(ISNUMBER(G115), $B118 * H115, "")</f>
        <v>-3380.2816901408332</v>
      </c>
      <c r="J115" s="15">
        <v>34.6</v>
      </c>
      <c r="K115" s="32">
        <f t="shared" si="60"/>
        <v>-2.5352112676056297E-2</v>
      </c>
      <c r="L115" s="18">
        <f>IF(ISNUMBER(J115), $B118 * K115, "")</f>
        <v>-3802.8169014084447</v>
      </c>
      <c r="M115" s="31">
        <v>34.200000000000003</v>
      </c>
      <c r="N115" s="32">
        <f t="shared" si="61"/>
        <v>-3.6619718309859071E-2</v>
      </c>
      <c r="O115" s="18">
        <f>IF(ISNUMBER(M115), $B118 * N115, "")</f>
        <v>-5492.9577464788608</v>
      </c>
      <c r="Q115" s="146"/>
      <c r="R115" s="146"/>
      <c r="S115" s="146"/>
    </row>
    <row r="116" spans="1:19">
      <c r="A116" s="109" t="s">
        <v>132</v>
      </c>
      <c r="B116" s="110">
        <v>67.599999999999994</v>
      </c>
      <c r="C116" s="70">
        <v>-1.1695906400000001E-2</v>
      </c>
      <c r="D116" s="15">
        <v>70</v>
      </c>
      <c r="E116" s="32">
        <f t="shared" si="58"/>
        <v>3.5502958579881741E-2</v>
      </c>
      <c r="F116" s="18">
        <f>IF(ISNUMBER(D116), $B118 * E116, "")</f>
        <v>5325.4437869822614</v>
      </c>
      <c r="G116" s="31">
        <v>68</v>
      </c>
      <c r="H116" s="32">
        <f t="shared" si="59"/>
        <v>5.9171597633136943E-3</v>
      </c>
      <c r="I116" s="91">
        <f>IF(ISNUMBER(G116), $B118 * H116, "")</f>
        <v>887.57396449705413</v>
      </c>
      <c r="J116" s="15">
        <v>70.5</v>
      </c>
      <c r="K116" s="32">
        <f t="shared" si="60"/>
        <v>4.2899408284023756E-2</v>
      </c>
      <c r="L116" s="18">
        <f>IF(ISNUMBER(J116), $B118 * K116, "")</f>
        <v>6434.9112426035636</v>
      </c>
      <c r="M116" s="31">
        <v>69.099999999999994</v>
      </c>
      <c r="N116" s="32">
        <f t="shared" si="61"/>
        <v>2.2189349112426038E-2</v>
      </c>
      <c r="O116" s="18">
        <f>IF(ISNUMBER(M116), $B118 * N116, "")</f>
        <v>3328.4023668639056</v>
      </c>
      <c r="Q116" s="135"/>
      <c r="R116" s="136"/>
      <c r="S116" s="137"/>
    </row>
    <row r="117" spans="1:19" ht="17.25" thickBot="1">
      <c r="A117" s="114" t="s">
        <v>185</v>
      </c>
      <c r="B117" s="115">
        <v>40.6</v>
      </c>
      <c r="C117" s="72">
        <v>-1.2165450100000001E-2</v>
      </c>
      <c r="D117" s="24">
        <v>39.9</v>
      </c>
      <c r="E117" s="25">
        <f t="shared" si="58"/>
        <v>-1.7241379310344897E-2</v>
      </c>
      <c r="F117" s="94">
        <f>IF(ISNUMBER(D117), $B118 * E117, "")</f>
        <v>-2586.2068965517346</v>
      </c>
      <c r="G117" s="92">
        <v>39.5</v>
      </c>
      <c r="H117" s="25">
        <f t="shared" si="59"/>
        <v>-2.7093596059113333E-2</v>
      </c>
      <c r="I117" s="93">
        <f>IF(ISNUMBER(G117), $B118 * H117, "")</f>
        <v>-4064.039408867</v>
      </c>
      <c r="J117" s="24">
        <v>39.9</v>
      </c>
      <c r="K117" s="25">
        <f t="shared" si="60"/>
        <v>-1.7241379310344897E-2</v>
      </c>
      <c r="L117" s="94">
        <f>IF(ISNUMBER(J117), $B118 * K117, "")</f>
        <v>-2586.2068965517346</v>
      </c>
      <c r="M117" s="92">
        <v>39.5</v>
      </c>
      <c r="N117" s="25">
        <f t="shared" si="61"/>
        <v>-2.7093596059113333E-2</v>
      </c>
      <c r="O117" s="94">
        <f>IF(ISNUMBER(M117), $B118 * N117, "")</f>
        <v>-4064.039408867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-5.2741346738098506E-3</v>
      </c>
      <c r="F118" s="28">
        <f>SUM(F98:F117)</f>
        <v>-15822.404021429549</v>
      </c>
      <c r="G118" s="26" t="s">
        <v>258</v>
      </c>
      <c r="H118" s="27">
        <f>IF(COUNT(H98:H117), SUM(H98:H117) / COUNT(H98:H117), 0)</f>
        <v>-1.7508040834514418E-2</v>
      </c>
      <c r="I118" s="28">
        <f>SUM(I98:I117)</f>
        <v>-52524.122503543265</v>
      </c>
      <c r="J118" s="26" t="s">
        <v>258</v>
      </c>
      <c r="K118" s="27">
        <f>IF(COUNT(K98:K117), SUM(K98:K117) / COUNT(K98:K117), 0)</f>
        <v>-1.4702119091894453E-2</v>
      </c>
      <c r="L118" s="28">
        <f>SUM(L98:L117)</f>
        <v>-44106.357275683346</v>
      </c>
      <c r="M118" s="26" t="s">
        <v>258</v>
      </c>
      <c r="N118" s="27">
        <f>IF(COUNT(N98:N117), SUM(N98:N117) / COUNT(N98:N117), 0)</f>
        <v>-2.6370011783151053E-2</v>
      </c>
      <c r="O118" s="28">
        <f>SUM(O98:O117)</f>
        <v>-79110.035349453174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2023-03-08(수) 오전 00:00</v>
      </c>
      <c r="C123" s="198"/>
      <c r="D123" s="170" t="str">
        <f>TEXT($G$1, "[$-ko-KR]yyyy-mm-dd(ddd) ") &amp; "오후 14:00"</f>
        <v>2023-03-08(수) 오후 14:00</v>
      </c>
      <c r="E123" s="171"/>
      <c r="F123" s="172"/>
      <c r="G123" s="170" t="str">
        <f>TEXT($G$1, "[$-ko-KR]yyyy-mm-dd(ddd) ") &amp; "오후 19:00"</f>
        <v>2023-03-08(수) 오후 19:00</v>
      </c>
      <c r="H123" s="171"/>
      <c r="I123" s="172"/>
      <c r="J123" s="170" t="str">
        <f>TEXT($G$1, "[$-ko-KR]yyyy-mm-dd(ddd) ") &amp; "오후 21:00"</f>
        <v>2023-03-08(수) 오후 21:00</v>
      </c>
      <c r="K123" s="171"/>
      <c r="L123" s="172"/>
      <c r="M123" s="170" t="str">
        <f>TEXT($G$1+1, "[$-ko-KR]yyyy-mm-dd(ddd) ") &amp; "오전 00:00"</f>
        <v>2023-03-09(목)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155</v>
      </c>
      <c r="B125" s="108">
        <v>34.5</v>
      </c>
      <c r="C125" s="69">
        <v>-1.7094017100000001E-2</v>
      </c>
      <c r="D125" s="13">
        <v>34.4</v>
      </c>
      <c r="E125" s="14">
        <f>IF(ISNUMBER(D125), (D125 - $B125) / $B125, "")</f>
        <v>-2.8985507246377224E-3</v>
      </c>
      <c r="F125" s="16">
        <f>IF(ISNUMBER(D125), $B145 * E125, "")</f>
        <v>-434.78260869565838</v>
      </c>
      <c r="G125" s="29">
        <v>33.6</v>
      </c>
      <c r="H125" s="14">
        <f>IF(ISNUMBER(G125), (G125 - $B125) / $B125, "")</f>
        <v>-2.6086956521739091E-2</v>
      </c>
      <c r="I125" s="90">
        <f>IF(ISNUMBER(G125), $B145 * H125, "")</f>
        <v>-3913.0434782608636</v>
      </c>
      <c r="J125" s="13">
        <v>33.799999999999997</v>
      </c>
      <c r="K125" s="14">
        <f>IF(ISNUMBER(J125), (J125 - $B125) / $B125, "")</f>
        <v>-2.028985507246385E-2</v>
      </c>
      <c r="L125" s="16">
        <f>IF(ISNUMBER(J125), $B145 * K125, "")</f>
        <v>-3043.4782608695773</v>
      </c>
      <c r="M125" s="29">
        <v>33.200000000000003</v>
      </c>
      <c r="N125" s="14">
        <f>IF(ISNUMBER(M125), (M125 - $B125) / $B125, "")</f>
        <v>-3.7681159420289774E-2</v>
      </c>
      <c r="O125" s="16">
        <f>IF(ISNUMBER(M125), $B145 * N125, "")</f>
        <v>-5652.1739130434662</v>
      </c>
      <c r="Q125" s="156"/>
      <c r="R125" s="156"/>
      <c r="S125" s="156"/>
    </row>
    <row r="126" spans="1:19" ht="17.25" thickBot="1">
      <c r="A126" s="109" t="s">
        <v>124</v>
      </c>
      <c r="B126" s="110">
        <v>41.6</v>
      </c>
      <c r="C126" s="70">
        <v>-1.8867924500000001E-2</v>
      </c>
      <c r="D126" s="15">
        <v>40.200000000000003</v>
      </c>
      <c r="E126" s="32">
        <f t="shared" ref="E126:E129" si="62">IF(ISNUMBER(D126), (D126 - $B126) / $B126, "")</f>
        <v>-3.3653846153846118E-2</v>
      </c>
      <c r="F126" s="18">
        <f>IF(ISNUMBER(D126), $B145 * E126, "")</f>
        <v>-5048.0769230769174</v>
      </c>
      <c r="G126" s="31">
        <v>39.799999999999997</v>
      </c>
      <c r="H126" s="32">
        <f t="shared" ref="H126:H129" si="63">IF(ISNUMBER(G126), (G126 - $B126) / $B126, "")</f>
        <v>-4.3269230769230872E-2</v>
      </c>
      <c r="I126" s="91">
        <f>IF(ISNUMBER(G126), $B145 * H126, "")</f>
        <v>-6490.3846153846307</v>
      </c>
      <c r="J126" s="15">
        <v>40</v>
      </c>
      <c r="K126" s="32">
        <f t="shared" ref="K126:K129" si="64">IF(ISNUMBER(J126), (J126 - $B126) / $B126, "")</f>
        <v>-3.8461538461538491E-2</v>
      </c>
      <c r="L126" s="18">
        <f>IF(ISNUMBER(J126), $B145 * K126, "")</f>
        <v>-5769.2307692307741</v>
      </c>
      <c r="M126" s="31">
        <v>40.299999999999997</v>
      </c>
      <c r="N126" s="32">
        <f t="shared" ref="N126:N129" si="65">IF(ISNUMBER(M126), (M126 - $B126) / $B126, "")</f>
        <v>-3.1250000000000104E-2</v>
      </c>
      <c r="O126" s="18">
        <f>IF(ISNUMBER(M126), $B145 * N126, "")</f>
        <v>-4687.5000000000155</v>
      </c>
      <c r="Q126" s="156"/>
      <c r="R126" s="156"/>
      <c r="S126" s="156"/>
    </row>
    <row r="127" spans="1:19" ht="17.25" thickBot="1">
      <c r="A127" s="109" t="s">
        <v>141</v>
      </c>
      <c r="B127" s="110">
        <v>5.0199999999999996</v>
      </c>
      <c r="C127" s="70">
        <v>-1.953125E-2</v>
      </c>
      <c r="D127" s="15">
        <v>4.9000000000000004</v>
      </c>
      <c r="E127" s="32">
        <f t="shared" si="62"/>
        <v>-2.3904382470119369E-2</v>
      </c>
      <c r="F127" s="18">
        <f>IF(ISNUMBER(D127), $B145 * E127, "")</f>
        <v>-3585.6573705179053</v>
      </c>
      <c r="G127" s="31">
        <v>4.84</v>
      </c>
      <c r="H127" s="32">
        <f t="shared" si="63"/>
        <v>-3.585657370517923E-2</v>
      </c>
      <c r="I127" s="91">
        <f>IF(ISNUMBER(G127), $B145 * H127, "")</f>
        <v>-5378.4860557768843</v>
      </c>
      <c r="J127" s="15">
        <v>4.8899999999999997</v>
      </c>
      <c r="K127" s="32">
        <f t="shared" si="64"/>
        <v>-2.5896414342629463E-2</v>
      </c>
      <c r="L127" s="18">
        <f>IF(ISNUMBER(J127), $B145 * K127, "")</f>
        <v>-3884.4621513944194</v>
      </c>
      <c r="M127" s="31">
        <v>4.82</v>
      </c>
      <c r="N127" s="32">
        <f t="shared" si="65"/>
        <v>-3.9840637450199064E-2</v>
      </c>
      <c r="O127" s="18">
        <f>IF(ISNUMBER(M127), $B145 * N127, "")</f>
        <v>-5976.0956175298597</v>
      </c>
      <c r="Q127" s="146"/>
      <c r="R127" s="146"/>
      <c r="S127" s="146"/>
    </row>
    <row r="128" spans="1:19" ht="17.25" thickBot="1">
      <c r="A128" s="109" t="s">
        <v>221</v>
      </c>
      <c r="B128" s="110">
        <v>24.9</v>
      </c>
      <c r="C128" s="70">
        <v>-1.96850394E-2</v>
      </c>
      <c r="D128" s="15">
        <v>24.6</v>
      </c>
      <c r="E128" s="32">
        <f t="shared" si="62"/>
        <v>-1.2048192771084223E-2</v>
      </c>
      <c r="F128" s="18">
        <f>IF(ISNUMBER(D128), $B145 * E128, "")</f>
        <v>-1807.2289156626334</v>
      </c>
      <c r="G128" s="31">
        <v>24</v>
      </c>
      <c r="H128" s="32">
        <f t="shared" si="63"/>
        <v>-3.6144578313252955E-2</v>
      </c>
      <c r="I128" s="91">
        <f>IF(ISNUMBER(G128), $B145 * H128, "")</f>
        <v>-5421.6867469879435</v>
      </c>
      <c r="J128" s="15">
        <v>24.3</v>
      </c>
      <c r="K128" s="32">
        <f t="shared" si="64"/>
        <v>-2.4096385542168589E-2</v>
      </c>
      <c r="L128" s="18">
        <f>IF(ISNUMBER(J128), $B145 * K128, "")</f>
        <v>-3614.4578313252882</v>
      </c>
      <c r="M128" s="31">
        <v>24</v>
      </c>
      <c r="N128" s="32">
        <f t="shared" si="65"/>
        <v>-3.6144578313252955E-2</v>
      </c>
      <c r="O128" s="18">
        <f>IF(ISNUMBER(M128), $B145 * N128, "")</f>
        <v>-5421.6867469879435</v>
      </c>
      <c r="Q128" s="146"/>
      <c r="R128" s="146"/>
      <c r="S128" s="146"/>
    </row>
    <row r="129" spans="1:19" ht="17.25" thickBot="1">
      <c r="A129" s="111" t="s">
        <v>227</v>
      </c>
      <c r="B129" s="112">
        <v>60.1</v>
      </c>
      <c r="C129" s="71">
        <v>-2.5931928699999999E-2</v>
      </c>
      <c r="D129" s="20">
        <v>60</v>
      </c>
      <c r="E129" s="21">
        <f t="shared" si="62"/>
        <v>-1.6638935108153315E-3</v>
      </c>
      <c r="F129" s="22">
        <f>IF(ISNUMBER(D129), $B145 * E129, "")</f>
        <v>-249.58402662229972</v>
      </c>
      <c r="G129" s="30">
        <v>58</v>
      </c>
      <c r="H129" s="21">
        <f t="shared" si="63"/>
        <v>-3.4941763727121489E-2</v>
      </c>
      <c r="I129" s="95">
        <f>IF(ISNUMBER(G129), $B145 * H129, "")</f>
        <v>-5241.2645590682232</v>
      </c>
      <c r="J129" s="20">
        <v>58.3</v>
      </c>
      <c r="K129" s="21">
        <f t="shared" si="64"/>
        <v>-2.9950083194675611E-2</v>
      </c>
      <c r="L129" s="22">
        <f>IF(ISNUMBER(J129), $B145 * K129, "")</f>
        <v>-4492.5124792013421</v>
      </c>
      <c r="M129" s="30">
        <v>57.2</v>
      </c>
      <c r="N129" s="21">
        <f t="shared" si="65"/>
        <v>-4.8252911813643905E-2</v>
      </c>
      <c r="O129" s="22">
        <f>IF(ISNUMBER(M129), $B145 * N129, "")</f>
        <v>-7237.9367720465862</v>
      </c>
      <c r="Q129" s="146"/>
      <c r="R129" s="146"/>
      <c r="S129" s="146"/>
    </row>
    <row r="130" spans="1:19" ht="17.25" thickBot="1">
      <c r="A130" s="109" t="s">
        <v>107</v>
      </c>
      <c r="B130" s="113">
        <v>49.6</v>
      </c>
      <c r="C130" s="73">
        <v>-2.7450980400000002E-2</v>
      </c>
      <c r="D130" s="96">
        <v>47.7</v>
      </c>
      <c r="E130" s="97">
        <f>IF(ISNUMBER(D130), (D130 - $B130) / $B130, "")</f>
        <v>-3.8306451612903199E-2</v>
      </c>
      <c r="F130" s="98">
        <f>IF(ISNUMBER(D130), $B145 * E130, "")</f>
        <v>-5745.9677419354803</v>
      </c>
      <c r="G130" s="99">
        <v>46.9</v>
      </c>
      <c r="H130" s="97">
        <f>IF(ISNUMBER(G130), (G130 - $B130) / $B130, "")</f>
        <v>-5.4435483870967798E-2</v>
      </c>
      <c r="I130" s="100">
        <f>IF(ISNUMBER(G130), $B145 * H130, "")</f>
        <v>-8165.3225806451701</v>
      </c>
      <c r="J130" s="96">
        <v>47.2</v>
      </c>
      <c r="K130" s="97">
        <f>IF(ISNUMBER(J130), (J130 - $B130) / $B130, "")</f>
        <v>-4.8387096774193519E-2</v>
      </c>
      <c r="L130" s="98">
        <f>IF(ISNUMBER(J130), $B145 * K130, "")</f>
        <v>-7258.0645161290277</v>
      </c>
      <c r="M130" s="99">
        <v>46.9</v>
      </c>
      <c r="N130" s="97">
        <f>IF(ISNUMBER(M130), (M130 - $B130) / $B130, "")</f>
        <v>-5.4435483870967798E-2</v>
      </c>
      <c r="O130" s="98">
        <f>IF(ISNUMBER(M130), $B145 * N130, "")</f>
        <v>-8165.3225806451701</v>
      </c>
      <c r="Q130" s="146"/>
      <c r="R130" s="146"/>
      <c r="S130" s="146"/>
    </row>
    <row r="131" spans="1:19" ht="17.25" thickBot="1">
      <c r="A131" s="109" t="s">
        <v>203</v>
      </c>
      <c r="B131" s="110">
        <v>4.42</v>
      </c>
      <c r="C131" s="70">
        <v>-2.85714286E-2</v>
      </c>
      <c r="D131" s="15">
        <v>4.34</v>
      </c>
      <c r="E131" s="32">
        <f t="shared" ref="E131:E134" si="66">IF(ISNUMBER(D131), (D131 - $B131) / $B131, "")</f>
        <v>-1.8099547511312233E-2</v>
      </c>
      <c r="F131" s="18">
        <f>IF(ISNUMBER(D131), $B145 * E131, "")</f>
        <v>-2714.932126696835</v>
      </c>
      <c r="G131" s="31">
        <v>4.22</v>
      </c>
      <c r="H131" s="32">
        <f t="shared" ref="H131:H134" si="67">IF(ISNUMBER(G131), (G131 - $B131) / $B131, "")</f>
        <v>-4.5248868778280583E-2</v>
      </c>
      <c r="I131" s="91">
        <f>IF(ISNUMBER(G131), $B145 * H131, "")</f>
        <v>-6787.3303167420872</v>
      </c>
      <c r="J131" s="15">
        <v>4.26</v>
      </c>
      <c r="K131" s="32">
        <f t="shared" ref="K131:K134" si="68">IF(ISNUMBER(J131), (J131 - $B131) / $B131, "")</f>
        <v>-3.6199095022624465E-2</v>
      </c>
      <c r="L131" s="18">
        <f>IF(ISNUMBER(J131), $B145 * K131, "")</f>
        <v>-5429.86425339367</v>
      </c>
      <c r="M131" s="31">
        <v>4.1900000000000004</v>
      </c>
      <c r="N131" s="32">
        <f t="shared" ref="N131:N134" si="69">IF(ISNUMBER(M131), (M131 - $B131) / $B131, "")</f>
        <v>-5.2036199095022523E-2</v>
      </c>
      <c r="O131" s="18">
        <f>IF(ISNUMBER(M131), $B145 * N131, "")</f>
        <v>-7805.4298642533786</v>
      </c>
      <c r="Q131" s="146"/>
      <c r="R131" s="146"/>
      <c r="S131" s="146"/>
    </row>
    <row r="132" spans="1:19" ht="17.25" thickBot="1">
      <c r="A132" s="109" t="s">
        <v>126</v>
      </c>
      <c r="B132" s="110">
        <v>35.200000000000003</v>
      </c>
      <c r="C132" s="70">
        <v>-3.0303030299999999E-2</v>
      </c>
      <c r="D132" s="15">
        <v>34.799999999999997</v>
      </c>
      <c r="E132" s="32">
        <f t="shared" si="66"/>
        <v>-1.1363636363636524E-2</v>
      </c>
      <c r="F132" s="18">
        <f>IF(ISNUMBER(D132), $B145 * E132, "")</f>
        <v>-1704.5454545454786</v>
      </c>
      <c r="G132" s="31">
        <v>33.799999999999997</v>
      </c>
      <c r="H132" s="32">
        <f t="shared" si="67"/>
        <v>-3.9772727272727432E-2</v>
      </c>
      <c r="I132" s="91">
        <f>IF(ISNUMBER(G132), $B145 * H132, "")</f>
        <v>-5965.9090909091146</v>
      </c>
      <c r="J132" s="15">
        <v>34.1</v>
      </c>
      <c r="K132" s="32">
        <f t="shared" si="68"/>
        <v>-3.1250000000000035E-2</v>
      </c>
      <c r="L132" s="18">
        <f>IF(ISNUMBER(J132), $B145 * K132, "")</f>
        <v>-4687.5000000000055</v>
      </c>
      <c r="M132" s="31">
        <v>33.1</v>
      </c>
      <c r="N132" s="32">
        <f t="shared" si="69"/>
        <v>-5.9659090909090946E-2</v>
      </c>
      <c r="O132" s="18">
        <f>IF(ISNUMBER(M132), $B145 * N132, "")</f>
        <v>-8948.8636363636415</v>
      </c>
      <c r="Q132" s="146"/>
      <c r="R132" s="146"/>
      <c r="S132" s="146"/>
    </row>
    <row r="133" spans="1:19" ht="17.25" thickBot="1">
      <c r="A133" s="109" t="s">
        <v>122</v>
      </c>
      <c r="B133" s="110">
        <v>31.6</v>
      </c>
      <c r="C133" s="70">
        <v>-3.06748466E-2</v>
      </c>
      <c r="D133" s="15">
        <v>30.7</v>
      </c>
      <c r="E133" s="32">
        <f t="shared" si="66"/>
        <v>-2.8481012658227913E-2</v>
      </c>
      <c r="F133" s="18">
        <f>IF(ISNUMBER(D133), $B145 * E133, "")</f>
        <v>-4272.1518987341869</v>
      </c>
      <c r="G133" s="31">
        <v>30.5</v>
      </c>
      <c r="H133" s="32">
        <f t="shared" si="67"/>
        <v>-3.4810126582278528E-2</v>
      </c>
      <c r="I133" s="91">
        <f>IF(ISNUMBER(G133), $B145 * H133, "")</f>
        <v>-5221.5189873417794</v>
      </c>
      <c r="J133" s="15">
        <v>30.7</v>
      </c>
      <c r="K133" s="32">
        <f t="shared" si="68"/>
        <v>-2.8481012658227913E-2</v>
      </c>
      <c r="L133" s="18">
        <f>IF(ISNUMBER(J133), $B145 * K133, "")</f>
        <v>-4272.1518987341869</v>
      </c>
      <c r="M133" s="31">
        <v>30</v>
      </c>
      <c r="N133" s="32">
        <f t="shared" si="69"/>
        <v>-5.0632911392405104E-2</v>
      </c>
      <c r="O133" s="18">
        <f>IF(ISNUMBER(M133), $B145 * N133, "")</f>
        <v>-7594.936708860766</v>
      </c>
      <c r="Q133" s="33"/>
      <c r="R133" s="33"/>
    </row>
    <row r="134" spans="1:19" ht="17.25" thickBot="1">
      <c r="A134" s="114" t="s">
        <v>191</v>
      </c>
      <c r="B134" s="115">
        <v>81.599999999999994</v>
      </c>
      <c r="C134" s="72">
        <v>-3.4319526599999997E-2</v>
      </c>
      <c r="D134" s="24">
        <v>78.599999999999994</v>
      </c>
      <c r="E134" s="25">
        <f t="shared" si="66"/>
        <v>-3.6764705882352942E-2</v>
      </c>
      <c r="F134" s="94">
        <f>IF(ISNUMBER(D134), $B145 * E134, "")</f>
        <v>-5514.7058823529414</v>
      </c>
      <c r="G134" s="92">
        <v>78</v>
      </c>
      <c r="H134" s="25">
        <f t="shared" si="67"/>
        <v>-4.4117647058823463E-2</v>
      </c>
      <c r="I134" s="93">
        <f>IF(ISNUMBER(G134), $B145 * H134, "")</f>
        <v>-6617.6470588235197</v>
      </c>
      <c r="J134" s="24">
        <v>79.099999999999994</v>
      </c>
      <c r="K134" s="25">
        <f t="shared" si="68"/>
        <v>-3.0637254901960786E-2</v>
      </c>
      <c r="L134" s="94">
        <f>IF(ISNUMBER(J134), $B145 * K134, "")</f>
        <v>-4595.588235294118</v>
      </c>
      <c r="M134" s="92">
        <v>77.3</v>
      </c>
      <c r="N134" s="25">
        <f t="shared" si="69"/>
        <v>-5.2696078431372514E-2</v>
      </c>
      <c r="O134" s="94">
        <f>IF(ISNUMBER(M134), $B145 * N134, "")</f>
        <v>-7904.4117647058774</v>
      </c>
      <c r="Q134" s="147"/>
      <c r="R134" s="148"/>
      <c r="S134" s="149"/>
    </row>
    <row r="135" spans="1:19">
      <c r="A135" s="107" t="s">
        <v>207</v>
      </c>
      <c r="B135" s="108">
        <v>86.4</v>
      </c>
      <c r="C135" s="69">
        <v>-3.5714285700000001E-2</v>
      </c>
      <c r="D135" s="13">
        <v>84.1</v>
      </c>
      <c r="E135" s="14">
        <f>IF(ISNUMBER(D135), (D135 - $B135) / $B135, "")</f>
        <v>-2.6620370370370499E-2</v>
      </c>
      <c r="F135" s="16">
        <f>IF(ISNUMBER(D135), $B145 * E135, "")</f>
        <v>-3993.0555555555748</v>
      </c>
      <c r="G135" s="29">
        <v>83.3</v>
      </c>
      <c r="H135" s="14">
        <f>IF(ISNUMBER(G135), (G135 - $B135) / $B135, "")</f>
        <v>-3.5879629629629727E-2</v>
      </c>
      <c r="I135" s="90">
        <f>IF(ISNUMBER(G135), $B145 * H135, "")</f>
        <v>-5381.9444444444589</v>
      </c>
      <c r="J135" s="13">
        <v>84.3</v>
      </c>
      <c r="K135" s="14">
        <f>IF(ISNUMBER(J135), (J135 - $B135) / $B135, "")</f>
        <v>-2.4305555555555653E-2</v>
      </c>
      <c r="L135" s="16">
        <f>IF(ISNUMBER(J135), $B145 * K135, "")</f>
        <v>-3645.833333333348</v>
      </c>
      <c r="M135" s="29">
        <v>82.4</v>
      </c>
      <c r="N135" s="14">
        <f>IF(ISNUMBER(M135), (M135 - $B135) / $B135, "")</f>
        <v>-4.6296296296296294E-2</v>
      </c>
      <c r="O135" s="16">
        <f>IF(ISNUMBER(M135), $B145 * N135, "")</f>
        <v>-6944.4444444444443</v>
      </c>
      <c r="Q135" s="150"/>
      <c r="R135" s="151"/>
      <c r="S135" s="152"/>
    </row>
    <row r="136" spans="1:19" ht="17.25" thickBot="1">
      <c r="A136" s="109" t="s">
        <v>64</v>
      </c>
      <c r="B136" s="110">
        <v>13.4</v>
      </c>
      <c r="C136" s="70">
        <v>-3.5971222999999997E-2</v>
      </c>
      <c r="D136" s="15">
        <v>13.3</v>
      </c>
      <c r="E136" s="32">
        <f t="shared" ref="E136:E139" si="70">IF(ISNUMBER(D136), (D136 - $B136) / $B136, "")</f>
        <v>-7.4626865671641521E-3</v>
      </c>
      <c r="F136" s="18">
        <f>IF(ISNUMBER(D136), $B145 * E136, "")</f>
        <v>-1119.4029850746228</v>
      </c>
      <c r="G136" s="31">
        <v>13</v>
      </c>
      <c r="H136" s="32">
        <f t="shared" ref="H136:H139" si="71">IF(ISNUMBER(G136), (G136 - $B136) / $B136, "")</f>
        <v>-2.9850746268656744E-2</v>
      </c>
      <c r="I136" s="91">
        <f>IF(ISNUMBER(G136), $B145 * H136, "")</f>
        <v>-4477.6119402985114</v>
      </c>
      <c r="J136" s="15">
        <v>13.1</v>
      </c>
      <c r="K136" s="32">
        <f t="shared" ref="K136:K139" si="72">IF(ISNUMBER(J136), (J136 - $B136) / $B136, "")</f>
        <v>-2.2388059701492588E-2</v>
      </c>
      <c r="L136" s="18">
        <f>IF(ISNUMBER(J136), $B145 * K136, "")</f>
        <v>-3358.2089552238881</v>
      </c>
      <c r="M136" s="31">
        <v>12.7</v>
      </c>
      <c r="N136" s="32">
        <f t="shared" ref="N136:N139" si="73">IF(ISNUMBER(M136), (M136 - $B136) / $B136, "")</f>
        <v>-5.2238805970149335E-2</v>
      </c>
      <c r="O136" s="18">
        <f>IF(ISNUMBER(M136), $B145 * N136, "")</f>
        <v>-7835.8208955224</v>
      </c>
      <c r="Q136" s="153"/>
      <c r="R136" s="154"/>
      <c r="S136" s="155"/>
    </row>
    <row r="137" spans="1:19" ht="17.25" thickBot="1">
      <c r="A137" s="109" t="s">
        <v>217</v>
      </c>
      <c r="B137" s="110">
        <v>90.9</v>
      </c>
      <c r="C137" s="70">
        <v>-4.11392405E-2</v>
      </c>
      <c r="D137" s="15">
        <v>89.6</v>
      </c>
      <c r="E137" s="32">
        <f t="shared" si="70"/>
        <v>-1.4301430143014425E-2</v>
      </c>
      <c r="F137" s="18">
        <f>IF(ISNUMBER(D137), $B145 * E137, "")</f>
        <v>-2145.2145214521638</v>
      </c>
      <c r="G137" s="31">
        <v>87.6</v>
      </c>
      <c r="H137" s="32">
        <f t="shared" si="71"/>
        <v>-3.6303630363036424E-2</v>
      </c>
      <c r="I137" s="91">
        <f>IF(ISNUMBER(G137), $B145 * H137, "")</f>
        <v>-5445.5445544554632</v>
      </c>
      <c r="J137" s="15">
        <v>88.3</v>
      </c>
      <c r="K137" s="32">
        <f t="shared" si="72"/>
        <v>-2.8602860286028695E-2</v>
      </c>
      <c r="L137" s="18">
        <f>IF(ISNUMBER(J137), $B145 * K137, "")</f>
        <v>-4290.429042904304</v>
      </c>
      <c r="M137" s="31">
        <v>86.9</v>
      </c>
      <c r="N137" s="32">
        <f t="shared" si="73"/>
        <v>-4.4004400440044E-2</v>
      </c>
      <c r="O137" s="18">
        <f>IF(ISNUMBER(M137), $B145 * N137, "")</f>
        <v>-6600.6600660065997</v>
      </c>
      <c r="Q137" s="146"/>
      <c r="R137" s="146"/>
      <c r="S137" s="146"/>
    </row>
    <row r="138" spans="1:19" ht="17.25" thickBot="1">
      <c r="A138" s="109" t="s">
        <v>138</v>
      </c>
      <c r="B138" s="110">
        <v>43.3</v>
      </c>
      <c r="C138" s="70">
        <v>-4.2035398199999997E-2</v>
      </c>
      <c r="D138" s="15">
        <v>41.9</v>
      </c>
      <c r="E138" s="32">
        <f t="shared" si="70"/>
        <v>-3.2332563510392577E-2</v>
      </c>
      <c r="F138" s="18">
        <f>IF(ISNUMBER(D138), $B145 * E138, "")</f>
        <v>-4849.8845265588861</v>
      </c>
      <c r="G138" s="31">
        <v>41.4</v>
      </c>
      <c r="H138" s="32">
        <f t="shared" si="71"/>
        <v>-4.3879907621247084E-2</v>
      </c>
      <c r="I138" s="91">
        <f>IF(ISNUMBER(G138), $B145 * H138, "")</f>
        <v>-6581.9861431870622</v>
      </c>
      <c r="J138" s="15">
        <v>41.9</v>
      </c>
      <c r="K138" s="32">
        <f t="shared" si="72"/>
        <v>-3.2332563510392577E-2</v>
      </c>
      <c r="L138" s="18">
        <f>IF(ISNUMBER(J138), $B145 * K138, "")</f>
        <v>-4849.8845265588861</v>
      </c>
      <c r="M138" s="31">
        <v>41</v>
      </c>
      <c r="N138" s="32">
        <f t="shared" si="73"/>
        <v>-5.3117782909930654E-2</v>
      </c>
      <c r="O138" s="18">
        <f>IF(ISNUMBER(M138), $B145 * N138, "")</f>
        <v>-7967.667436489598</v>
      </c>
      <c r="Q138" s="156"/>
      <c r="R138" s="156"/>
      <c r="S138" s="156"/>
    </row>
    <row r="139" spans="1:19" ht="17.25" thickBot="1">
      <c r="A139" s="111" t="s">
        <v>332</v>
      </c>
      <c r="B139" s="112">
        <v>7.87</v>
      </c>
      <c r="C139" s="71">
        <v>-4.2579075399999999E-2</v>
      </c>
      <c r="D139" s="20">
        <v>7.81</v>
      </c>
      <c r="E139" s="21">
        <f t="shared" si="70"/>
        <v>-7.6238881829733792E-3</v>
      </c>
      <c r="F139" s="22">
        <f>IF(ISNUMBER(D139), $B145 * E139, "")</f>
        <v>-1143.583227446007</v>
      </c>
      <c r="G139" s="30">
        <v>7.72</v>
      </c>
      <c r="H139" s="21">
        <f t="shared" si="71"/>
        <v>-1.9059720457433336E-2</v>
      </c>
      <c r="I139" s="95">
        <f>IF(ISNUMBER(G139), $B145 * H139, "")</f>
        <v>-2858.9580686150007</v>
      </c>
      <c r="J139" s="20">
        <v>7.73</v>
      </c>
      <c r="K139" s="21">
        <f t="shared" si="72"/>
        <v>-1.7789072426937697E-2</v>
      </c>
      <c r="L139" s="22">
        <f>IF(ISNUMBER(J139), $B145 * K139, "")</f>
        <v>-2668.3608640406546</v>
      </c>
      <c r="M139" s="30">
        <v>7.68</v>
      </c>
      <c r="N139" s="21">
        <f t="shared" si="73"/>
        <v>-2.4142312579415553E-2</v>
      </c>
      <c r="O139" s="22">
        <f>IF(ISNUMBER(M139), $B145 * N139, "")</f>
        <v>-3621.346886912333</v>
      </c>
      <c r="Q139" s="156"/>
      <c r="R139" s="156"/>
      <c r="S139" s="156"/>
    </row>
    <row r="140" spans="1:19" ht="17.25" thickBot="1">
      <c r="A140" s="109" t="s">
        <v>56</v>
      </c>
      <c r="B140" s="113">
        <v>52.6</v>
      </c>
      <c r="C140" s="73">
        <v>-4.3636363599999999E-2</v>
      </c>
      <c r="D140" s="96">
        <v>51.9</v>
      </c>
      <c r="E140" s="97">
        <f>IF(ISNUMBER(D140), (D140 - $B140) / $B140, "")</f>
        <v>-1.3307984790874578E-2</v>
      </c>
      <c r="F140" s="98">
        <f>IF(ISNUMBER(D140), $B145 * E140, "")</f>
        <v>-1996.1977186311867</v>
      </c>
      <c r="G140" s="99">
        <v>51.1</v>
      </c>
      <c r="H140" s="97">
        <f>IF(ISNUMBER(G140), (G140 - $B140) / $B140, "")</f>
        <v>-2.8517110266159697E-2</v>
      </c>
      <c r="I140" s="100">
        <f>IF(ISNUMBER(G140), $B145 * H140, "")</f>
        <v>-4277.5665399239542</v>
      </c>
      <c r="J140" s="96">
        <v>51.1</v>
      </c>
      <c r="K140" s="97">
        <f>IF(ISNUMBER(J140), (J140 - $B140) / $B140, "")</f>
        <v>-2.8517110266159697E-2</v>
      </c>
      <c r="L140" s="98">
        <f>IF(ISNUMBER(J140), $B145 * K140, "")</f>
        <v>-4277.5665399239542</v>
      </c>
      <c r="M140" s="99">
        <v>50</v>
      </c>
      <c r="N140" s="97">
        <f>IF(ISNUMBER(M140), (M140 - $B140) / $B140, "")</f>
        <v>-4.9429657794676833E-2</v>
      </c>
      <c r="O140" s="98">
        <f>IF(ISNUMBER(M140), $B145 * N140, "")</f>
        <v>-7414.4486692015253</v>
      </c>
      <c r="Q140" s="146"/>
      <c r="R140" s="146"/>
      <c r="S140" s="146"/>
    </row>
    <row r="141" spans="1:19" ht="17.25" thickBot="1">
      <c r="A141" s="109" t="s">
        <v>143</v>
      </c>
      <c r="B141" s="110">
        <v>5.79</v>
      </c>
      <c r="C141" s="70">
        <v>-4.7697368400000002E-2</v>
      </c>
      <c r="D141" s="15">
        <v>5.58</v>
      </c>
      <c r="E141" s="32">
        <f t="shared" ref="E141:E144" si="74">IF(ISNUMBER(D141), (D141 - $B141) / $B141, "")</f>
        <v>-3.6269430051813469E-2</v>
      </c>
      <c r="F141" s="18">
        <f>IF(ISNUMBER(D141), $B145 * E141, "")</f>
        <v>-5440.4145077720204</v>
      </c>
      <c r="G141" s="31">
        <v>5.53</v>
      </c>
      <c r="H141" s="32">
        <f t="shared" ref="H141:H144" si="75">IF(ISNUMBER(G141), (G141 - $B141) / $B141, "")</f>
        <v>-4.4905008635578544E-2</v>
      </c>
      <c r="I141" s="91">
        <f>IF(ISNUMBER(G141), $B145 * H141, "")</f>
        <v>-6735.7512953367814</v>
      </c>
      <c r="J141" s="15">
        <v>5.56</v>
      </c>
      <c r="K141" s="32">
        <f t="shared" ref="K141:K144" si="76">IF(ISNUMBER(J141), (J141 - $B141) / $B141, "")</f>
        <v>-3.972366148531959E-2</v>
      </c>
      <c r="L141" s="18">
        <f>IF(ISNUMBER(J141), $B145 * K141, "")</f>
        <v>-5958.5492227979385</v>
      </c>
      <c r="M141" s="31">
        <v>5.5</v>
      </c>
      <c r="N141" s="32">
        <f t="shared" ref="N141:N144" si="77">IF(ISNUMBER(M141), (M141 - $B141) / $B141, "")</f>
        <v>-5.0086355785837658E-2</v>
      </c>
      <c r="O141" s="18">
        <f>IF(ISNUMBER(M141), $B145 * N141, "")</f>
        <v>-7512.9533678756488</v>
      </c>
      <c r="Q141" s="146"/>
      <c r="R141" s="146"/>
      <c r="S141" s="146"/>
    </row>
    <row r="142" spans="1:19" ht="17.25" thickBot="1">
      <c r="A142" s="109" t="s">
        <v>197</v>
      </c>
      <c r="B142" s="110">
        <v>11.8</v>
      </c>
      <c r="C142" s="70">
        <v>-4.8387096800000001E-2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>
        <v>11.3</v>
      </c>
      <c r="H142" s="32">
        <f t="shared" si="75"/>
        <v>-4.2372881355932202E-2</v>
      </c>
      <c r="I142" s="91">
        <f>IF(ISNUMBER(G142), $B145 * H142, "")</f>
        <v>-6355.9322033898306</v>
      </c>
      <c r="J142" s="15">
        <v>11.4</v>
      </c>
      <c r="K142" s="32">
        <f t="shared" si="76"/>
        <v>-3.389830508474579E-2</v>
      </c>
      <c r="L142" s="18">
        <f>IF(ISNUMBER(J142), $B145 * K142, "")</f>
        <v>-5084.7457627118683</v>
      </c>
      <c r="M142" s="31">
        <v>11.3</v>
      </c>
      <c r="N142" s="32">
        <f t="shared" si="77"/>
        <v>-4.2372881355932202E-2</v>
      </c>
      <c r="O142" s="18">
        <f>IF(ISNUMBER(M142), $B145 * N142, "")</f>
        <v>-6355.9322033898306</v>
      </c>
      <c r="Q142" s="146"/>
      <c r="R142" s="146"/>
      <c r="S142" s="146"/>
    </row>
    <row r="143" spans="1:19">
      <c r="A143" s="109" t="s">
        <v>334</v>
      </c>
      <c r="B143" s="110">
        <v>51.2</v>
      </c>
      <c r="C143" s="70">
        <v>-7.0780399300000005E-2</v>
      </c>
      <c r="D143" s="15">
        <v>48.6</v>
      </c>
      <c r="E143" s="32">
        <f t="shared" si="74"/>
        <v>-5.0781250000000028E-2</v>
      </c>
      <c r="F143" s="18">
        <f>IF(ISNUMBER(D143), $B145 * E143, "")</f>
        <v>-7617.1875000000045</v>
      </c>
      <c r="G143" s="31">
        <v>47.7</v>
      </c>
      <c r="H143" s="32">
        <f t="shared" si="75"/>
        <v>-6.8359375E-2</v>
      </c>
      <c r="I143" s="91">
        <f>IF(ISNUMBER(G143), $B145 * H143, "")</f>
        <v>-10253.90625</v>
      </c>
      <c r="J143" s="15">
        <v>47.5</v>
      </c>
      <c r="K143" s="32">
        <f t="shared" si="76"/>
        <v>-7.2265625000000056E-2</v>
      </c>
      <c r="L143" s="18">
        <f>IF(ISNUMBER(J143), $B145 * K143, "")</f>
        <v>-10839.843750000009</v>
      </c>
      <c r="M143" s="31">
        <v>45.9</v>
      </c>
      <c r="N143" s="32">
        <f t="shared" si="77"/>
        <v>-0.10351562500000008</v>
      </c>
      <c r="O143" s="18">
        <f>IF(ISNUMBER(M143), $B145 * N143, "")</f>
        <v>-15527.343750000013</v>
      </c>
      <c r="Q143" s="135"/>
      <c r="R143" s="136"/>
      <c r="S143" s="137"/>
    </row>
    <row r="144" spans="1:19" ht="17.25" thickBot="1">
      <c r="A144" s="114" t="s">
        <v>97</v>
      </c>
      <c r="B144" s="115">
        <v>8.9999999999999998E-4</v>
      </c>
      <c r="C144" s="72">
        <v>-0.1</v>
      </c>
      <c r="D144" s="24">
        <v>8.9999999999999998E-4</v>
      </c>
      <c r="E144" s="25">
        <f t="shared" si="74"/>
        <v>0</v>
      </c>
      <c r="F144" s="94">
        <f>IF(ISNUMBER(D144), $B145 * E144, "")</f>
        <v>0</v>
      </c>
      <c r="G144" s="92">
        <v>8.9999999999999998E-4</v>
      </c>
      <c r="H144" s="25">
        <f t="shared" si="75"/>
        <v>0</v>
      </c>
      <c r="I144" s="93">
        <f>IF(ISNUMBER(G144), $B145 * H144, "")</f>
        <v>0</v>
      </c>
      <c r="J144" s="24">
        <v>1E-3</v>
      </c>
      <c r="K144" s="25">
        <f t="shared" si="76"/>
        <v>0.11111111111111116</v>
      </c>
      <c r="L144" s="94">
        <f>IF(ISNUMBER(J144), $B145 * K144, "")</f>
        <v>16666.666666666675</v>
      </c>
      <c r="M144" s="92">
        <v>8.9999999999999998E-4</v>
      </c>
      <c r="N144" s="25">
        <f t="shared" si="77"/>
        <v>0</v>
      </c>
      <c r="O144" s="94">
        <f>IF(ISNUMBER(M144), $B145 * N144, "")</f>
        <v>0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-1.9794191163776936E-2</v>
      </c>
      <c r="F145" s="28">
        <f>SUM(F125:F144)</f>
        <v>-59382.573491330804</v>
      </c>
      <c r="G145" s="26" t="s">
        <v>258</v>
      </c>
      <c r="H145" s="27">
        <f>IF(COUNT(H125:H144), SUM(H125:H144) / COUNT(H125:H144), 0)</f>
        <v>-3.7190598309863758E-2</v>
      </c>
      <c r="I145" s="28">
        <f>SUM(I125:I144)</f>
        <v>-111571.79492959128</v>
      </c>
      <c r="J145" s="26" t="s">
        <v>258</v>
      </c>
      <c r="K145" s="27">
        <f>IF(COUNT(K125:K144), SUM(K125:K144) / COUNT(K125:K144), 0)</f>
        <v>-2.5118021908800203E-2</v>
      </c>
      <c r="L145" s="28">
        <f>SUM(L125:L144)</f>
        <v>-75354.0657264006</v>
      </c>
      <c r="M145" s="26" t="s">
        <v>258</v>
      </c>
      <c r="N145" s="27">
        <f>IF(COUNT(N125:N144), SUM(N125:N144) / COUNT(N125:N144), 0)</f>
        <v>-4.6391658441426356E-2</v>
      </c>
      <c r="O145" s="28">
        <f>SUM(O125:O144)</f>
        <v>-139174.9753242791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2023-03-08(수) 오전 00:00</v>
      </c>
      <c r="C150" s="198"/>
      <c r="D150" s="170" t="str">
        <f>TEXT($G$1, "[$-ko-KR]yyyy-mm-dd(ddd) ") &amp; "오후 14:00"</f>
        <v>2023-03-08(수) 오후 14:00</v>
      </c>
      <c r="E150" s="171"/>
      <c r="F150" s="172"/>
      <c r="G150" s="170" t="str">
        <f>TEXT($G$1, "[$-ko-KR]yyyy-mm-dd(ddd) ") &amp; "오후 19:00"</f>
        <v>2023-03-08(수) 오후 19:00</v>
      </c>
      <c r="H150" s="171"/>
      <c r="I150" s="172"/>
      <c r="J150" s="170" t="str">
        <f>TEXT($G$1, "[$-ko-KR]yyyy-mm-dd(ddd) ") &amp; "오후 21:00"</f>
        <v>2023-03-08(수) 오후 21:00</v>
      </c>
      <c r="K150" s="171"/>
      <c r="L150" s="172"/>
      <c r="M150" s="170" t="str">
        <f>TEXT($G$1+1, "[$-ko-KR]yyyy-mm-dd(ddd) ") &amp; "오전 00:00"</f>
        <v>2023-03-09(목)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213</v>
      </c>
      <c r="B152" s="108">
        <v>587</v>
      </c>
      <c r="C152" s="69">
        <v>-3.2948929199999998E-2</v>
      </c>
      <c r="D152" s="13">
        <v>582</v>
      </c>
      <c r="E152" s="14">
        <f>IF(ISNUMBER(D152), (D152 - $B152) / $B152, "")</f>
        <v>-8.5178875638841564E-3</v>
      </c>
      <c r="F152" s="16">
        <f>IF(ISNUMBER(D152), $B172 * E152, "")</f>
        <v>-1277.6831345826236</v>
      </c>
      <c r="G152" s="29">
        <v>577</v>
      </c>
      <c r="H152" s="14">
        <f>IF(ISNUMBER(G152), (G152 - $B152) / $B152, "")</f>
        <v>-1.7035775127768313E-2</v>
      </c>
      <c r="I152" s="90">
        <f>IF(ISNUMBER(G152), $B172 * H152, "")</f>
        <v>-2555.3662691652471</v>
      </c>
      <c r="J152" s="13">
        <v>576</v>
      </c>
      <c r="K152" s="14">
        <f>IF(ISNUMBER(J152), (J152 - $B152) / $B152, "")</f>
        <v>-1.8739352640545145E-2</v>
      </c>
      <c r="L152" s="16">
        <f>IF(ISNUMBER(J152), $B172 * K152, "")</f>
        <v>-2810.9028960817718</v>
      </c>
      <c r="M152" s="29">
        <v>567</v>
      </c>
      <c r="N152" s="14">
        <f>IF(ISNUMBER(M152), (M152 - $B152) / $B152, "")</f>
        <v>-3.4071550255536626E-2</v>
      </c>
      <c r="O152" s="16">
        <f>IF(ISNUMBER(M152), $B172 * N152, "")</f>
        <v>-5110.7325383304942</v>
      </c>
      <c r="Q152" s="156"/>
      <c r="R152" s="156"/>
      <c r="S152" s="156"/>
    </row>
    <row r="153" spans="1:19" ht="17.25" thickBot="1">
      <c r="A153" s="109" t="s">
        <v>346</v>
      </c>
      <c r="B153" s="110">
        <v>290</v>
      </c>
      <c r="C153" s="70">
        <v>-3.3333333299999997E-2</v>
      </c>
      <c r="D153" s="15">
        <v>287</v>
      </c>
      <c r="E153" s="32">
        <f t="shared" ref="E153:E156" si="78">IF(ISNUMBER(D153), (D153 - $B153) / $B153, "")</f>
        <v>-1.0344827586206896E-2</v>
      </c>
      <c r="F153" s="18">
        <f>IF(ISNUMBER(D153), $B172 * E153, "")</f>
        <v>-1551.7241379310344</v>
      </c>
      <c r="G153" s="31">
        <v>280</v>
      </c>
      <c r="H153" s="32">
        <f t="shared" ref="H153:H156" si="79">IF(ISNUMBER(G153), (G153 - $B153) / $B153, "")</f>
        <v>-3.4482758620689655E-2</v>
      </c>
      <c r="I153" s="91">
        <f>IF(ISNUMBER(G153), $B172 * H153, "")</f>
        <v>-5172.4137931034484</v>
      </c>
      <c r="J153" s="15">
        <v>282</v>
      </c>
      <c r="K153" s="32">
        <f t="shared" ref="K153:K156" si="80">IF(ISNUMBER(J153), (J153 - $B153) / $B153, "")</f>
        <v>-2.7586206896551724E-2</v>
      </c>
      <c r="L153" s="18">
        <f>IF(ISNUMBER(J153), $B172 * K153, "")</f>
        <v>-4137.9310344827582</v>
      </c>
      <c r="M153" s="31">
        <v>274</v>
      </c>
      <c r="N153" s="32">
        <f t="shared" ref="N153:N156" si="81">IF(ISNUMBER(M153), (M153 - $B153) / $B153, "")</f>
        <v>-5.5172413793103448E-2</v>
      </c>
      <c r="O153" s="18">
        <f>IF(ISNUMBER(M153), $B172 * N153, "")</f>
        <v>-8275.8620689655163</v>
      </c>
      <c r="Q153" s="156"/>
      <c r="R153" s="156"/>
      <c r="S153" s="156"/>
    </row>
    <row r="154" spans="1:19" ht="17.25" thickBot="1">
      <c r="A154" s="109" t="s">
        <v>120</v>
      </c>
      <c r="B154" s="110">
        <v>142</v>
      </c>
      <c r="C154" s="70">
        <v>-3.4013605400000001E-2</v>
      </c>
      <c r="D154" s="15">
        <v>137</v>
      </c>
      <c r="E154" s="32">
        <f t="shared" si="78"/>
        <v>-3.5211267605633804E-2</v>
      </c>
      <c r="F154" s="18">
        <f>IF(ISNUMBER(D154), $B172 * E154, "")</f>
        <v>-5281.6901408450703</v>
      </c>
      <c r="G154" s="31">
        <v>135</v>
      </c>
      <c r="H154" s="32">
        <f t="shared" si="79"/>
        <v>-4.9295774647887321E-2</v>
      </c>
      <c r="I154" s="91">
        <f>IF(ISNUMBER(G154), $B172 * H154, "")</f>
        <v>-7394.3661971830979</v>
      </c>
      <c r="J154" s="15">
        <v>136</v>
      </c>
      <c r="K154" s="32">
        <f t="shared" si="80"/>
        <v>-4.2253521126760563E-2</v>
      </c>
      <c r="L154" s="18">
        <f>IF(ISNUMBER(J154), $B172 * K154, "")</f>
        <v>-6338.0281690140846</v>
      </c>
      <c r="M154" s="31">
        <v>134</v>
      </c>
      <c r="N154" s="32">
        <f t="shared" si="81"/>
        <v>-5.6338028169014086E-2</v>
      </c>
      <c r="O154" s="18">
        <f>IF(ISNUMBER(M154), $B172 * N154, "")</f>
        <v>-8450.7042253521122</v>
      </c>
      <c r="Q154" s="146"/>
      <c r="R154" s="146"/>
      <c r="S154" s="146"/>
    </row>
    <row r="155" spans="1:19" ht="17.25" thickBot="1">
      <c r="A155" s="109" t="s">
        <v>103</v>
      </c>
      <c r="B155" s="110">
        <v>307</v>
      </c>
      <c r="C155" s="70">
        <v>-3.4591194999999998E-2</v>
      </c>
      <c r="D155" s="15">
        <v>305</v>
      </c>
      <c r="E155" s="32">
        <f t="shared" si="78"/>
        <v>-6.5146579804560263E-3</v>
      </c>
      <c r="F155" s="18">
        <f>IF(ISNUMBER(D155), $B172 * E155, "")</f>
        <v>-977.19869706840393</v>
      </c>
      <c r="G155" s="31">
        <v>298</v>
      </c>
      <c r="H155" s="32">
        <f t="shared" si="79"/>
        <v>-2.9315960912052116E-2</v>
      </c>
      <c r="I155" s="91">
        <f>IF(ISNUMBER(G155), $B172 * H155, "")</f>
        <v>-4397.3941368078176</v>
      </c>
      <c r="J155" s="15">
        <v>300</v>
      </c>
      <c r="K155" s="32">
        <f t="shared" si="80"/>
        <v>-2.2801302931596091E-2</v>
      </c>
      <c r="L155" s="18">
        <f>IF(ISNUMBER(J155), $B172 * K155, "")</f>
        <v>-3420.1954397394138</v>
      </c>
      <c r="M155" s="31">
        <v>291</v>
      </c>
      <c r="N155" s="32">
        <f t="shared" si="81"/>
        <v>-5.2117263843648211E-2</v>
      </c>
      <c r="O155" s="18">
        <f>IF(ISNUMBER(M155), $B172 * N155, "")</f>
        <v>-7817.5895765472314</v>
      </c>
      <c r="Q155" s="146"/>
      <c r="R155" s="146"/>
      <c r="S155" s="146"/>
    </row>
    <row r="156" spans="1:19" ht="17.25" thickBot="1">
      <c r="A156" s="111" t="s">
        <v>223</v>
      </c>
      <c r="B156" s="112">
        <v>270</v>
      </c>
      <c r="C156" s="71">
        <v>-3.5714285700000001E-2</v>
      </c>
      <c r="D156" s="20">
        <v>265</v>
      </c>
      <c r="E156" s="21">
        <f t="shared" si="78"/>
        <v>-1.8518518518518517E-2</v>
      </c>
      <c r="F156" s="22">
        <f>IF(ISNUMBER(D156), $B172 * E156, "")</f>
        <v>-2777.7777777777778</v>
      </c>
      <c r="G156" s="30">
        <v>260</v>
      </c>
      <c r="H156" s="21">
        <f t="shared" si="79"/>
        <v>-3.7037037037037035E-2</v>
      </c>
      <c r="I156" s="95">
        <f>IF(ISNUMBER(G156), $B172 * H156, "")</f>
        <v>-5555.5555555555557</v>
      </c>
      <c r="J156" s="20">
        <v>262</v>
      </c>
      <c r="K156" s="21">
        <f t="shared" si="80"/>
        <v>-2.9629629629629631E-2</v>
      </c>
      <c r="L156" s="22">
        <f>IF(ISNUMBER(J156), $B172 * K156, "")</f>
        <v>-4444.4444444444443</v>
      </c>
      <c r="M156" s="30">
        <v>258</v>
      </c>
      <c r="N156" s="21">
        <f t="shared" si="81"/>
        <v>-4.4444444444444446E-2</v>
      </c>
      <c r="O156" s="22">
        <f>IF(ISNUMBER(M156), $B172 * N156, "")</f>
        <v>-6666.666666666667</v>
      </c>
      <c r="Q156" s="146"/>
      <c r="R156" s="146"/>
      <c r="S156" s="146"/>
    </row>
    <row r="157" spans="1:19" ht="17.25" thickBot="1">
      <c r="A157" s="109" t="s">
        <v>209</v>
      </c>
      <c r="B157" s="113">
        <v>129</v>
      </c>
      <c r="C157" s="73">
        <v>-3.7313432799999997E-2</v>
      </c>
      <c r="D157" s="96">
        <v>130</v>
      </c>
      <c r="E157" s="97">
        <f>IF(ISNUMBER(D157), (D157 - $B157) / $B157, "")</f>
        <v>7.7519379844961239E-3</v>
      </c>
      <c r="F157" s="98">
        <f>IF(ISNUMBER(D157), $B172 * E157, "")</f>
        <v>1162.7906976744187</v>
      </c>
      <c r="G157" s="99">
        <v>131</v>
      </c>
      <c r="H157" s="97">
        <f>IF(ISNUMBER(G157), (G157 - $B157) / $B157, "")</f>
        <v>1.5503875968992248E-2</v>
      </c>
      <c r="I157" s="100">
        <f>IF(ISNUMBER(G157), $B172 * H157, "")</f>
        <v>2325.5813953488373</v>
      </c>
      <c r="J157" s="96">
        <v>129</v>
      </c>
      <c r="K157" s="97">
        <f>IF(ISNUMBER(J157), (J157 - $B157) / $B157, "")</f>
        <v>0</v>
      </c>
      <c r="L157" s="98">
        <f>IF(ISNUMBER(J157), $B172 * K157, "")</f>
        <v>0</v>
      </c>
      <c r="M157" s="99">
        <v>127</v>
      </c>
      <c r="N157" s="97">
        <f>IF(ISNUMBER(M157), (M157 - $B157) / $B157, "")</f>
        <v>-1.5503875968992248E-2</v>
      </c>
      <c r="O157" s="98">
        <f>IF(ISNUMBER(M157), $B172 * N157, "")</f>
        <v>-2325.5813953488373</v>
      </c>
      <c r="Q157" s="146"/>
      <c r="R157" s="146"/>
      <c r="S157" s="146"/>
    </row>
    <row r="158" spans="1:19" ht="17.25" thickBot="1">
      <c r="A158" s="109" t="s">
        <v>79</v>
      </c>
      <c r="B158" s="110">
        <v>332</v>
      </c>
      <c r="C158" s="70">
        <v>-3.7681159399999997E-2</v>
      </c>
      <c r="D158" s="15">
        <v>330</v>
      </c>
      <c r="E158" s="32">
        <f t="shared" ref="E158:E161" si="82">IF(ISNUMBER(D158), (D158 - $B158) / $B158, "")</f>
        <v>-6.024096385542169E-3</v>
      </c>
      <c r="F158" s="18">
        <f>IF(ISNUMBER(D158), $B172 * E158, "")</f>
        <v>-903.61445783132535</v>
      </c>
      <c r="G158" s="31">
        <v>323</v>
      </c>
      <c r="H158" s="32">
        <f t="shared" ref="H158:H161" si="83">IF(ISNUMBER(G158), (G158 - $B158) / $B158, "")</f>
        <v>-2.710843373493976E-2</v>
      </c>
      <c r="I158" s="91">
        <f>IF(ISNUMBER(G158), $B172 * H158, "")</f>
        <v>-4066.265060240964</v>
      </c>
      <c r="J158" s="15">
        <v>326</v>
      </c>
      <c r="K158" s="32">
        <f t="shared" ref="K158:K161" si="84">IF(ISNUMBER(J158), (J158 - $B158) / $B158, "")</f>
        <v>-1.8072289156626505E-2</v>
      </c>
      <c r="L158" s="18">
        <f>IF(ISNUMBER(J158), $B172 * K158, "")</f>
        <v>-2710.8433734939758</v>
      </c>
      <c r="M158" s="31">
        <v>318</v>
      </c>
      <c r="N158" s="32">
        <f t="shared" ref="N158:N161" si="85">IF(ISNUMBER(M158), (M158 - $B158) / $B158, "")</f>
        <v>-4.2168674698795178E-2</v>
      </c>
      <c r="O158" s="18">
        <f>IF(ISNUMBER(M158), $B172 * N158, "")</f>
        <v>-6325.3012048192768</v>
      </c>
      <c r="Q158" s="146"/>
      <c r="R158" s="146"/>
      <c r="S158" s="146"/>
    </row>
    <row r="159" spans="1:19" ht="17.25" thickBot="1">
      <c r="A159" s="109" t="s">
        <v>111</v>
      </c>
      <c r="B159" s="110">
        <v>804</v>
      </c>
      <c r="C159" s="70">
        <v>-3.8277512E-2</v>
      </c>
      <c r="D159" s="15">
        <v>799</v>
      </c>
      <c r="E159" s="32">
        <f t="shared" si="82"/>
        <v>-6.2189054726368162E-3</v>
      </c>
      <c r="F159" s="18">
        <f>IF(ISNUMBER(D159), $B172 * E159, "")</f>
        <v>-932.83582089552249</v>
      </c>
      <c r="G159" s="31">
        <v>789</v>
      </c>
      <c r="H159" s="32">
        <f t="shared" si="83"/>
        <v>-1.8656716417910446E-2</v>
      </c>
      <c r="I159" s="91">
        <f>IF(ISNUMBER(G159), $B172 * H159, "")</f>
        <v>-2798.5074626865671</v>
      </c>
      <c r="J159" s="15">
        <v>793</v>
      </c>
      <c r="K159" s="32">
        <f t="shared" si="84"/>
        <v>-1.3681592039800995E-2</v>
      </c>
      <c r="L159" s="18">
        <f>IF(ISNUMBER(J159), $B172 * K159, "")</f>
        <v>-2052.2388059701493</v>
      </c>
      <c r="M159" s="31">
        <v>768</v>
      </c>
      <c r="N159" s="32">
        <f t="shared" si="85"/>
        <v>-4.4776119402985072E-2</v>
      </c>
      <c r="O159" s="18">
        <f>IF(ISNUMBER(M159), $B172 * N159, "")</f>
        <v>-6716.4179104477607</v>
      </c>
      <c r="Q159" s="146"/>
      <c r="R159" s="146"/>
      <c r="S159" s="146"/>
    </row>
    <row r="160" spans="1:19" ht="17.25" thickBot="1">
      <c r="A160" s="109" t="s">
        <v>325</v>
      </c>
      <c r="B160" s="110">
        <v>670</v>
      </c>
      <c r="C160" s="70">
        <v>-3.8737446199999997E-2</v>
      </c>
      <c r="D160" s="15">
        <v>671</v>
      </c>
      <c r="E160" s="32">
        <f t="shared" si="82"/>
        <v>1.4925373134328358E-3</v>
      </c>
      <c r="F160" s="18">
        <f>IF(ISNUMBER(D160), $B172 * E160, "")</f>
        <v>223.88059701492537</v>
      </c>
      <c r="G160" s="31">
        <v>658</v>
      </c>
      <c r="H160" s="32">
        <f t="shared" si="83"/>
        <v>-1.7910447761194031E-2</v>
      </c>
      <c r="I160" s="91">
        <f>IF(ISNUMBER(G160), $B172 * H160, "")</f>
        <v>-2686.5671641791046</v>
      </c>
      <c r="J160" s="15">
        <v>661</v>
      </c>
      <c r="K160" s="32">
        <f t="shared" si="84"/>
        <v>-1.3432835820895522E-2</v>
      </c>
      <c r="L160" s="18">
        <f>IF(ISNUMBER(J160), $B172 * K160, "")</f>
        <v>-2014.9253731343283</v>
      </c>
      <c r="M160" s="31">
        <v>647</v>
      </c>
      <c r="N160" s="32">
        <f t="shared" si="85"/>
        <v>-3.4328358208955224E-2</v>
      </c>
      <c r="O160" s="18">
        <f>IF(ISNUMBER(M160), $B172 * N160, "")</f>
        <v>-5149.253731343284</v>
      </c>
      <c r="Q160" s="33"/>
      <c r="R160" s="33"/>
    </row>
    <row r="161" spans="1:19" ht="17.25" thickBot="1">
      <c r="A161" s="114" t="s">
        <v>159</v>
      </c>
      <c r="B161" s="115">
        <v>245</v>
      </c>
      <c r="C161" s="72">
        <v>-3.9215686299999997E-2</v>
      </c>
      <c r="D161" s="24">
        <v>235</v>
      </c>
      <c r="E161" s="25">
        <f t="shared" si="82"/>
        <v>-4.0816326530612242E-2</v>
      </c>
      <c r="F161" s="94">
        <f>IF(ISNUMBER(D161), $B172 * E161, "")</f>
        <v>-6122.4489795918362</v>
      </c>
      <c r="G161" s="92">
        <v>231</v>
      </c>
      <c r="H161" s="25">
        <f t="shared" si="83"/>
        <v>-5.7142857142857141E-2</v>
      </c>
      <c r="I161" s="93">
        <f>IF(ISNUMBER(G161), $B172 * H161, "")</f>
        <v>-8571.4285714285706</v>
      </c>
      <c r="J161" s="24">
        <v>234</v>
      </c>
      <c r="K161" s="25">
        <f t="shared" si="84"/>
        <v>-4.4897959183673466E-2</v>
      </c>
      <c r="L161" s="94">
        <f>IF(ISNUMBER(J161), $B172 * K161, "")</f>
        <v>-6734.6938775510198</v>
      </c>
      <c r="M161" s="92">
        <v>230</v>
      </c>
      <c r="N161" s="25">
        <f t="shared" si="85"/>
        <v>-6.1224489795918366E-2</v>
      </c>
      <c r="O161" s="94">
        <f>IF(ISNUMBER(M161), $B172 * N161, "")</f>
        <v>-9183.6734693877552</v>
      </c>
      <c r="Q161" s="147"/>
      <c r="R161" s="148"/>
      <c r="S161" s="149"/>
    </row>
    <row r="162" spans="1:19">
      <c r="A162" s="107" t="s">
        <v>60</v>
      </c>
      <c r="B162" s="108">
        <v>779</v>
      </c>
      <c r="C162" s="69">
        <v>-3.9457459899999998E-2</v>
      </c>
      <c r="D162" s="13">
        <v>771</v>
      </c>
      <c r="E162" s="14">
        <f>IF(ISNUMBER(D162), (D162 - $B162) / $B162, "")</f>
        <v>-1.0269576379974325E-2</v>
      </c>
      <c r="F162" s="16">
        <f>IF(ISNUMBER(D162), $B172 * E162, "")</f>
        <v>-1540.4364569961488</v>
      </c>
      <c r="G162" s="29">
        <v>762</v>
      </c>
      <c r="H162" s="14">
        <f>IF(ISNUMBER(G162), (G162 - $B162) / $B162, "")</f>
        <v>-2.1822849807445442E-2</v>
      </c>
      <c r="I162" s="90">
        <f>IF(ISNUMBER(G162), $B172 * H162, "")</f>
        <v>-3273.4274711168164</v>
      </c>
      <c r="J162" s="13">
        <v>765</v>
      </c>
      <c r="K162" s="14">
        <f>IF(ISNUMBER(J162), (J162 - $B162) / $B162, "")</f>
        <v>-1.7971758664955071E-2</v>
      </c>
      <c r="L162" s="16">
        <f>IF(ISNUMBER(J162), $B172 * K162, "")</f>
        <v>-2695.7637997432607</v>
      </c>
      <c r="M162" s="29">
        <v>738</v>
      </c>
      <c r="N162" s="14">
        <f>IF(ISNUMBER(M162), (M162 - $B162) / $B162, "")</f>
        <v>-5.2631578947368418E-2</v>
      </c>
      <c r="O162" s="16">
        <f>IF(ISNUMBER(M162), $B172 * N162, "")</f>
        <v>-7894.7368421052624</v>
      </c>
      <c r="Q162" s="150"/>
      <c r="R162" s="151"/>
      <c r="S162" s="152"/>
    </row>
    <row r="163" spans="1:19" ht="17.25" thickBot="1">
      <c r="A163" s="109" t="s">
        <v>201</v>
      </c>
      <c r="B163" s="110">
        <v>284</v>
      </c>
      <c r="C163" s="70">
        <v>-4.05405405E-2</v>
      </c>
      <c r="D163" s="15">
        <v>278</v>
      </c>
      <c r="E163" s="32">
        <f t="shared" ref="E163:E166" si="86">IF(ISNUMBER(D163), (D163 - $B163) / $B163, "")</f>
        <v>-2.1126760563380281E-2</v>
      </c>
      <c r="F163" s="18">
        <f>IF(ISNUMBER(D163), $B172 * E163, "")</f>
        <v>-3169.0140845070423</v>
      </c>
      <c r="G163" s="31">
        <v>276</v>
      </c>
      <c r="H163" s="32">
        <f t="shared" ref="H163:H166" si="87">IF(ISNUMBER(G163), (G163 - $B163) / $B163, "")</f>
        <v>-2.8169014084507043E-2</v>
      </c>
      <c r="I163" s="91">
        <f>IF(ISNUMBER(G163), $B172 * H163, "")</f>
        <v>-4225.3521126760561</v>
      </c>
      <c r="J163" s="15">
        <v>278</v>
      </c>
      <c r="K163" s="32">
        <f t="shared" ref="K163:K166" si="88">IF(ISNUMBER(J163), (J163 - $B163) / $B163, "")</f>
        <v>-2.1126760563380281E-2</v>
      </c>
      <c r="L163" s="18">
        <f>IF(ISNUMBER(J163), $B172 * K163, "")</f>
        <v>-3169.0140845070423</v>
      </c>
      <c r="M163" s="31">
        <v>272</v>
      </c>
      <c r="N163" s="32">
        <f t="shared" ref="N163:N166" si="89">IF(ISNUMBER(M163), (M163 - $B163) / $B163, "")</f>
        <v>-4.2253521126760563E-2</v>
      </c>
      <c r="O163" s="18">
        <f>IF(ISNUMBER(M163), $B172 * N163, "")</f>
        <v>-6338.0281690140846</v>
      </c>
      <c r="Q163" s="153"/>
      <c r="R163" s="154"/>
      <c r="S163" s="155"/>
    </row>
    <row r="164" spans="1:19" ht="17.25" thickBot="1">
      <c r="A164" s="109" t="s">
        <v>68</v>
      </c>
      <c r="B164" s="110">
        <v>560</v>
      </c>
      <c r="C164" s="70">
        <v>-4.1095890400000001E-2</v>
      </c>
      <c r="D164" s="15">
        <v>524</v>
      </c>
      <c r="E164" s="32">
        <f t="shared" si="86"/>
        <v>-6.4285714285714279E-2</v>
      </c>
      <c r="F164" s="18">
        <f>IF(ISNUMBER(D164), $B172 * E164, "")</f>
        <v>-9642.8571428571413</v>
      </c>
      <c r="G164" s="31">
        <v>517</v>
      </c>
      <c r="H164" s="32">
        <f t="shared" si="87"/>
        <v>-7.678571428571429E-2</v>
      </c>
      <c r="I164" s="91">
        <f>IF(ISNUMBER(G164), $B172 * H164, "")</f>
        <v>-11517.857142857143</v>
      </c>
      <c r="J164" s="15">
        <v>518</v>
      </c>
      <c r="K164" s="32">
        <f t="shared" si="88"/>
        <v>-7.4999999999999997E-2</v>
      </c>
      <c r="L164" s="18">
        <f>IF(ISNUMBER(J164), $B172 * K164, "")</f>
        <v>-11250</v>
      </c>
      <c r="M164" s="31">
        <v>513</v>
      </c>
      <c r="N164" s="32">
        <f t="shared" si="89"/>
        <v>-8.3928571428571422E-2</v>
      </c>
      <c r="O164" s="18">
        <f>IF(ISNUMBER(M164), $B172 * N164, "")</f>
        <v>-12589.285714285714</v>
      </c>
      <c r="Q164" s="146"/>
      <c r="R164" s="146"/>
      <c r="S164" s="146"/>
    </row>
    <row r="165" spans="1:19" ht="17.25" thickBot="1">
      <c r="A165" s="109" t="s">
        <v>205</v>
      </c>
      <c r="B165" s="110">
        <v>136</v>
      </c>
      <c r="C165" s="70">
        <v>-4.2253521099999997E-2</v>
      </c>
      <c r="D165" s="15">
        <v>132</v>
      </c>
      <c r="E165" s="32">
        <f t="shared" si="86"/>
        <v>-2.9411764705882353E-2</v>
      </c>
      <c r="F165" s="18">
        <f>IF(ISNUMBER(D165), $B172 * E165, "")</f>
        <v>-4411.7647058823532</v>
      </c>
      <c r="G165" s="31">
        <v>130</v>
      </c>
      <c r="H165" s="32">
        <f t="shared" si="87"/>
        <v>-4.4117647058823532E-2</v>
      </c>
      <c r="I165" s="91">
        <f>IF(ISNUMBER(G165), $B172 * H165, "")</f>
        <v>-6617.6470588235297</v>
      </c>
      <c r="J165" s="15">
        <v>131</v>
      </c>
      <c r="K165" s="32">
        <f t="shared" si="88"/>
        <v>-3.6764705882352942E-2</v>
      </c>
      <c r="L165" s="18">
        <f>IF(ISNUMBER(J165), $B172 * K165, "")</f>
        <v>-5514.7058823529414</v>
      </c>
      <c r="M165" s="31">
        <v>129</v>
      </c>
      <c r="N165" s="32">
        <f t="shared" si="89"/>
        <v>-5.1470588235294115E-2</v>
      </c>
      <c r="O165" s="18">
        <f>IF(ISNUMBER(M165), $B172 * N165, "")</f>
        <v>-7720.5882352941171</v>
      </c>
      <c r="Q165" s="156"/>
      <c r="R165" s="156"/>
      <c r="S165" s="156"/>
    </row>
    <row r="166" spans="1:19" ht="17.25" thickBot="1">
      <c r="A166" s="111" t="s">
        <v>101</v>
      </c>
      <c r="B166" s="112">
        <v>286</v>
      </c>
      <c r="C166" s="71">
        <v>-4.3478260900000003E-2</v>
      </c>
      <c r="D166" s="20">
        <v>284</v>
      </c>
      <c r="E166" s="21">
        <f t="shared" si="86"/>
        <v>-6.993006993006993E-3</v>
      </c>
      <c r="F166" s="22">
        <f>IF(ISNUMBER(D166), $B172 * E166, "")</f>
        <v>-1048.951048951049</v>
      </c>
      <c r="G166" s="30">
        <v>281</v>
      </c>
      <c r="H166" s="21">
        <f t="shared" si="87"/>
        <v>-1.7482517482517484E-2</v>
      </c>
      <c r="I166" s="95">
        <f>IF(ISNUMBER(G166), $B172 * H166, "")</f>
        <v>-2622.3776223776226</v>
      </c>
      <c r="J166" s="20">
        <v>283</v>
      </c>
      <c r="K166" s="21">
        <f t="shared" si="88"/>
        <v>-1.048951048951049E-2</v>
      </c>
      <c r="L166" s="22">
        <f>IF(ISNUMBER(J166), $B172 * K166, "")</f>
        <v>-1573.4265734265734</v>
      </c>
      <c r="M166" s="30">
        <v>277</v>
      </c>
      <c r="N166" s="21">
        <f t="shared" si="89"/>
        <v>-3.1468531468531472E-2</v>
      </c>
      <c r="O166" s="22">
        <f>IF(ISNUMBER(M166), $B172 * N166, "")</f>
        <v>-4720.279720279721</v>
      </c>
      <c r="Q166" s="156"/>
      <c r="R166" s="156"/>
      <c r="S166" s="156"/>
    </row>
    <row r="167" spans="1:19" ht="17.25" thickBot="1">
      <c r="A167" s="109" t="s">
        <v>157</v>
      </c>
      <c r="B167" s="113">
        <v>362</v>
      </c>
      <c r="C167" s="73">
        <v>-4.7368421100000002E-2</v>
      </c>
      <c r="D167" s="96">
        <v>372</v>
      </c>
      <c r="E167" s="97">
        <f>IF(ISNUMBER(D167), (D167 - $B167) / $B167, "")</f>
        <v>2.7624309392265192E-2</v>
      </c>
      <c r="F167" s="98">
        <f>IF(ISNUMBER(D167), $B172 * E167, "")</f>
        <v>4143.6464088397788</v>
      </c>
      <c r="G167" s="99">
        <v>377</v>
      </c>
      <c r="H167" s="97">
        <f>IF(ISNUMBER(G167), (G167 - $B167) / $B167, "")</f>
        <v>4.1436464088397788E-2</v>
      </c>
      <c r="I167" s="100">
        <f>IF(ISNUMBER(G167), $B172 * H167, "")</f>
        <v>6215.4696132596682</v>
      </c>
      <c r="J167" s="96">
        <v>374</v>
      </c>
      <c r="K167" s="97">
        <f>IF(ISNUMBER(J167), (J167 - $B167) / $B167, "")</f>
        <v>3.3149171270718231E-2</v>
      </c>
      <c r="L167" s="98">
        <f>IF(ISNUMBER(J167), $B172 * K167, "")</f>
        <v>4972.3756906077342</v>
      </c>
      <c r="M167" s="99">
        <v>373</v>
      </c>
      <c r="N167" s="97">
        <f>IF(ISNUMBER(M167), (M167 - $B167) / $B167, "")</f>
        <v>3.0386740331491711E-2</v>
      </c>
      <c r="O167" s="98">
        <f>IF(ISNUMBER(M167), $B172 * N167, "")</f>
        <v>4558.0110497237565</v>
      </c>
      <c r="Q167" s="146"/>
      <c r="R167" s="146"/>
      <c r="S167" s="146"/>
    </row>
    <row r="168" spans="1:19" ht="17.25" thickBot="1">
      <c r="A168" s="109" t="s">
        <v>340</v>
      </c>
      <c r="B168" s="110">
        <v>849</v>
      </c>
      <c r="C168" s="70">
        <v>-4.9272116499999997E-2</v>
      </c>
      <c r="D168" s="15">
        <v>839</v>
      </c>
      <c r="E168" s="32">
        <f t="shared" ref="E168:E171" si="90">IF(ISNUMBER(D168), (D168 - $B168) / $B168, "")</f>
        <v>-1.1778563015312132E-2</v>
      </c>
      <c r="F168" s="18">
        <f>IF(ISNUMBER(D168), $B172 * E168, "")</f>
        <v>-1766.7844522968198</v>
      </c>
      <c r="G168" s="31">
        <v>828</v>
      </c>
      <c r="H168" s="32">
        <f t="shared" ref="H168:H171" si="91">IF(ISNUMBER(G168), (G168 - $B168) / $B168, "")</f>
        <v>-2.4734982332155476E-2</v>
      </c>
      <c r="I168" s="91">
        <f>IF(ISNUMBER(G168), $B172 * H168, "")</f>
        <v>-3710.2473498233212</v>
      </c>
      <c r="J168" s="15">
        <v>833</v>
      </c>
      <c r="K168" s="32">
        <f t="shared" ref="K168:K171" si="92">IF(ISNUMBER(J168), (J168 - $B168) / $B168, "")</f>
        <v>-1.884570082449941E-2</v>
      </c>
      <c r="L168" s="18">
        <f>IF(ISNUMBER(J168), $B172 * K168, "")</f>
        <v>-2826.8551236749113</v>
      </c>
      <c r="M168" s="31">
        <v>810</v>
      </c>
      <c r="N168" s="32">
        <f t="shared" ref="N168:N171" si="93">IF(ISNUMBER(M168), (M168 - $B168) / $B168, "")</f>
        <v>-4.5936395759717315E-2</v>
      </c>
      <c r="O168" s="18">
        <f>IF(ISNUMBER(M168), $B172 * N168, "")</f>
        <v>-6890.4593639575969</v>
      </c>
      <c r="Q168" s="146"/>
      <c r="R168" s="146"/>
      <c r="S168" s="146"/>
    </row>
    <row r="169" spans="1:19" ht="17.25" thickBot="1">
      <c r="A169" s="109" t="s">
        <v>327</v>
      </c>
      <c r="B169" s="110">
        <v>470</v>
      </c>
      <c r="C169" s="70">
        <v>-5.0505050500000002E-2</v>
      </c>
      <c r="D169" s="15">
        <v>466</v>
      </c>
      <c r="E169" s="32">
        <f t="shared" si="90"/>
        <v>-8.5106382978723406E-3</v>
      </c>
      <c r="F169" s="18">
        <f>IF(ISNUMBER(D169), $B172 * E169, "")</f>
        <v>-1276.5957446808511</v>
      </c>
      <c r="G169" s="31">
        <v>459</v>
      </c>
      <c r="H169" s="32">
        <f t="shared" si="91"/>
        <v>-2.3404255319148935E-2</v>
      </c>
      <c r="I169" s="91">
        <f>IF(ISNUMBER(G169), $B172 * H169, "")</f>
        <v>-3510.6382978723404</v>
      </c>
      <c r="J169" s="15">
        <v>463</v>
      </c>
      <c r="K169" s="32">
        <f t="shared" si="92"/>
        <v>-1.4893617021276596E-2</v>
      </c>
      <c r="L169" s="18">
        <f>IF(ISNUMBER(J169), $B172 * K169, "")</f>
        <v>-2234.0425531914893</v>
      </c>
      <c r="M169" s="31">
        <v>450</v>
      </c>
      <c r="N169" s="32">
        <f t="shared" si="93"/>
        <v>-4.2553191489361701E-2</v>
      </c>
      <c r="O169" s="18">
        <f>IF(ISNUMBER(M169), $B172 * N169, "")</f>
        <v>-6382.9787234042551</v>
      </c>
      <c r="Q169" s="146"/>
      <c r="R169" s="146"/>
      <c r="S169" s="146"/>
    </row>
    <row r="170" spans="1:19">
      <c r="A170" s="109" t="s">
        <v>161</v>
      </c>
      <c r="B170" s="110">
        <v>930</v>
      </c>
      <c r="C170" s="70">
        <v>-8.3743842400000004E-2</v>
      </c>
      <c r="D170" s="15">
        <v>890</v>
      </c>
      <c r="E170" s="32">
        <f t="shared" si="90"/>
        <v>-4.3010752688172046E-2</v>
      </c>
      <c r="F170" s="18">
        <f>IF(ISNUMBER(D170), $B172 * E170, "")</f>
        <v>-6451.6129032258068</v>
      </c>
      <c r="G170" s="31">
        <v>858</v>
      </c>
      <c r="H170" s="32">
        <f t="shared" si="91"/>
        <v>-7.7419354838709681E-2</v>
      </c>
      <c r="I170" s="91">
        <f>IF(ISNUMBER(G170), $B172 * H170, "")</f>
        <v>-11612.903225806453</v>
      </c>
      <c r="J170" s="15">
        <v>872</v>
      </c>
      <c r="K170" s="32">
        <f t="shared" si="92"/>
        <v>-6.236559139784946E-2</v>
      </c>
      <c r="L170" s="18">
        <f>IF(ISNUMBER(J170), $B172 * K170, "")</f>
        <v>-9354.8387096774186</v>
      </c>
      <c r="M170" s="31">
        <v>833</v>
      </c>
      <c r="N170" s="32">
        <f t="shared" si="93"/>
        <v>-0.1043010752688172</v>
      </c>
      <c r="O170" s="18">
        <f>IF(ISNUMBER(M170), $B172 * N170, "")</f>
        <v>-15645.16129032258</v>
      </c>
      <c r="Q170" s="135"/>
      <c r="R170" s="136"/>
      <c r="S170" s="137"/>
    </row>
    <row r="171" spans="1:19" ht="17.25" thickBot="1">
      <c r="A171" s="114" t="s">
        <v>352</v>
      </c>
      <c r="B171" s="115">
        <v>277</v>
      </c>
      <c r="C171" s="72">
        <v>-0.1093247588</v>
      </c>
      <c r="D171" s="24">
        <v>252</v>
      </c>
      <c r="E171" s="25">
        <f t="shared" si="90"/>
        <v>-9.0252707581227443E-2</v>
      </c>
      <c r="F171" s="94">
        <f>IF(ISNUMBER(D171), $B172 * E171, "")</f>
        <v>-13537.906137184116</v>
      </c>
      <c r="G171" s="92">
        <v>251</v>
      </c>
      <c r="H171" s="25">
        <f t="shared" si="91"/>
        <v>-9.3862815884476536E-2</v>
      </c>
      <c r="I171" s="93">
        <f>IF(ISNUMBER(G171), $B172 * H171, "")</f>
        <v>-14079.422382671481</v>
      </c>
      <c r="J171" s="24">
        <v>249</v>
      </c>
      <c r="K171" s="25">
        <f t="shared" si="92"/>
        <v>-0.10108303249097472</v>
      </c>
      <c r="L171" s="94">
        <f>IF(ISNUMBER(J171), $B172 * K171, "")</f>
        <v>-15162.454873646207</v>
      </c>
      <c r="M171" s="92">
        <v>244</v>
      </c>
      <c r="N171" s="25">
        <f t="shared" si="93"/>
        <v>-0.11913357400722022</v>
      </c>
      <c r="O171" s="94">
        <f>IF(ISNUMBER(M171), $B172 * N171, "")</f>
        <v>-17870.036101083031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-1.9046859373191935E-2</v>
      </c>
      <c r="F172" s="28">
        <f>SUM(F152:F171)</f>
        <v>-57140.578119575795</v>
      </c>
      <c r="G172" s="26" t="s">
        <v>258</v>
      </c>
      <c r="H172" s="27">
        <f>IF(COUNT(H152:H171), SUM(H152:H171) / COUNT(H152:H171), 0)</f>
        <v>-3.1942228621922211E-2</v>
      </c>
      <c r="I172" s="28">
        <f>SUM(I152:I171)</f>
        <v>-95826.685865766631</v>
      </c>
      <c r="J172" s="26" t="s">
        <v>258</v>
      </c>
      <c r="K172" s="27">
        <f>IF(COUNT(K152:K171), SUM(K152:K171) / COUNT(K152:K171), 0)</f>
        <v>-2.7824309774508015E-2</v>
      </c>
      <c r="L172" s="28">
        <f>SUM(L152:L171)</f>
        <v>-83472.929323524048</v>
      </c>
      <c r="M172" s="26" t="s">
        <v>258</v>
      </c>
      <c r="N172" s="27">
        <f>IF(COUNT(N152:N171), SUM(N152:N171) / COUNT(N152:N171), 0)</f>
        <v>-4.9171775299077188E-2</v>
      </c>
      <c r="O172" s="28">
        <f>SUM(O152:O171)</f>
        <v>-147515.32589723152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2023-03-08(수) 오전 00:00</v>
      </c>
      <c r="C177" s="198"/>
      <c r="D177" s="170" t="str">
        <f>TEXT($G$1, "[$-ko-KR]yyyy-mm-dd(ddd) ") &amp; "오후 14:00"</f>
        <v>2023-03-08(수) 오후 14:00</v>
      </c>
      <c r="E177" s="171"/>
      <c r="F177" s="172"/>
      <c r="G177" s="170" t="str">
        <f>TEXT($G$1, "[$-ko-KR]yyyy-mm-dd(ddd) ") &amp; "오후 19:00"</f>
        <v>2023-03-08(수) 오후 19:00</v>
      </c>
      <c r="H177" s="171"/>
      <c r="I177" s="172"/>
      <c r="J177" s="170" t="str">
        <f>TEXT($G$1, "[$-ko-KR]yyyy-mm-dd(ddd) ") &amp; "오후 21:00"</f>
        <v>2023-03-08(수) 오후 21:00</v>
      </c>
      <c r="K177" s="171"/>
      <c r="L177" s="172"/>
      <c r="M177" s="170" t="str">
        <f>TEXT($G$1+1, "[$-ko-KR]yyyy-mm-dd(ddd) ") &amp; "오전 00:00"</f>
        <v>2023-03-09(목)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68</v>
      </c>
      <c r="B179" s="108">
        <v>560</v>
      </c>
      <c r="C179" s="69">
        <v>-4.1095890400000001E-2</v>
      </c>
      <c r="D179" s="13">
        <v>524</v>
      </c>
      <c r="E179" s="14">
        <f>IF(ISNUMBER(D179), (D179 - $B179) / $B179, "")</f>
        <v>-6.4285714285714279E-2</v>
      </c>
      <c r="F179" s="16">
        <f>IF(ISNUMBER(D179), $B199 * E179, "")</f>
        <v>-9642.8571428571413</v>
      </c>
      <c r="G179" s="29">
        <v>517</v>
      </c>
      <c r="H179" s="14">
        <f>IF(ISNUMBER(G179), (G179 - $B179) / $B179, "")</f>
        <v>-7.678571428571429E-2</v>
      </c>
      <c r="I179" s="90">
        <f>IF(ISNUMBER(G179), $B199 * H179, "")</f>
        <v>-11517.857142857143</v>
      </c>
      <c r="J179" s="13">
        <v>518</v>
      </c>
      <c r="K179" s="14">
        <f>IF(ISNUMBER(J179), (J179 - $B179) / $B179, "")</f>
        <v>-7.4999999999999997E-2</v>
      </c>
      <c r="L179" s="16">
        <f>IF(ISNUMBER(J179), $B199 * K179, "")</f>
        <v>-11250</v>
      </c>
      <c r="M179" s="29">
        <v>513</v>
      </c>
      <c r="N179" s="14">
        <f>IF(ISNUMBER(M179), (M179 - $B179) / $B179, "")</f>
        <v>-8.3928571428571422E-2</v>
      </c>
      <c r="O179" s="16">
        <f>IF(ISNUMBER(M179), $B199 * N179, "")</f>
        <v>-12589.285714285714</v>
      </c>
      <c r="Q179" s="156"/>
      <c r="R179" s="156"/>
      <c r="S179" s="156"/>
    </row>
    <row r="180" spans="1:19" ht="17.25" thickBot="1">
      <c r="A180" s="109" t="s">
        <v>217</v>
      </c>
      <c r="B180" s="110">
        <v>90.9</v>
      </c>
      <c r="C180" s="70">
        <v>-4.11392405E-2</v>
      </c>
      <c r="D180" s="15">
        <v>89.6</v>
      </c>
      <c r="E180" s="32">
        <f t="shared" ref="E180:E183" si="94">IF(ISNUMBER(D180), (D180 - $B180) / $B180, "")</f>
        <v>-1.4301430143014425E-2</v>
      </c>
      <c r="F180" s="18">
        <f>IF(ISNUMBER(D180), $B199 * E180, "")</f>
        <v>-2145.2145214521638</v>
      </c>
      <c r="G180" s="31">
        <v>87.6</v>
      </c>
      <c r="H180" s="32">
        <f t="shared" ref="H180:H183" si="95">IF(ISNUMBER(G180), (G180 - $B180) / $B180, "")</f>
        <v>-3.6303630363036424E-2</v>
      </c>
      <c r="I180" s="91">
        <f>IF(ISNUMBER(G180), $B199 * H180, "")</f>
        <v>-5445.5445544554632</v>
      </c>
      <c r="J180" s="15">
        <v>88.3</v>
      </c>
      <c r="K180" s="32">
        <f t="shared" ref="K180:K183" si="96">IF(ISNUMBER(J180), (J180 - $B180) / $B180, "")</f>
        <v>-2.8602860286028695E-2</v>
      </c>
      <c r="L180" s="18">
        <f>IF(ISNUMBER(J180), $B199 * K180, "")</f>
        <v>-4290.429042904304</v>
      </c>
      <c r="M180" s="31">
        <v>86.9</v>
      </c>
      <c r="N180" s="32">
        <f t="shared" ref="N180:N183" si="97">IF(ISNUMBER(M180), (M180 - $B180) / $B180, "")</f>
        <v>-4.4004400440044E-2</v>
      </c>
      <c r="O180" s="18">
        <f>IF(ISNUMBER(M180), $B199 * N180, "")</f>
        <v>-6600.6600660065997</v>
      </c>
      <c r="Q180" s="156"/>
      <c r="R180" s="156"/>
      <c r="S180" s="156"/>
    </row>
    <row r="181" spans="1:19" ht="17.25" thickBot="1">
      <c r="A181" s="109" t="s">
        <v>178</v>
      </c>
      <c r="B181" s="110">
        <v>2175</v>
      </c>
      <c r="C181" s="70">
        <v>-4.1850220299999998E-2</v>
      </c>
      <c r="D181" s="15">
        <v>2125</v>
      </c>
      <c r="E181" s="32">
        <f t="shared" si="94"/>
        <v>-2.2988505747126436E-2</v>
      </c>
      <c r="F181" s="18">
        <f>IF(ISNUMBER(D181), $B199 * E181, "")</f>
        <v>-3448.2758620689656</v>
      </c>
      <c r="G181" s="31">
        <v>2195</v>
      </c>
      <c r="H181" s="32">
        <f t="shared" si="95"/>
        <v>9.1954022988505746E-3</v>
      </c>
      <c r="I181" s="91">
        <f>IF(ISNUMBER(G181), $B199 * H181, "")</f>
        <v>1379.3103448275863</v>
      </c>
      <c r="J181" s="15">
        <v>2220</v>
      </c>
      <c r="K181" s="32">
        <f t="shared" si="96"/>
        <v>2.0689655172413793E-2</v>
      </c>
      <c r="L181" s="18">
        <f>IF(ISNUMBER(J181), $B199 * K181, "")</f>
        <v>3103.4482758620688</v>
      </c>
      <c r="M181" s="31">
        <v>2195</v>
      </c>
      <c r="N181" s="32">
        <f t="shared" si="97"/>
        <v>9.1954022988505746E-3</v>
      </c>
      <c r="O181" s="18">
        <f>IF(ISNUMBER(M181), $B199 * N181, "")</f>
        <v>1379.3103448275863</v>
      </c>
      <c r="Q181" s="146"/>
      <c r="R181" s="146"/>
      <c r="S181" s="146"/>
    </row>
    <row r="182" spans="1:19" ht="17.25" thickBot="1">
      <c r="A182" s="109" t="s">
        <v>138</v>
      </c>
      <c r="B182" s="110">
        <v>43.3</v>
      </c>
      <c r="C182" s="70">
        <v>-4.2035398199999997E-2</v>
      </c>
      <c r="D182" s="15">
        <v>41.9</v>
      </c>
      <c r="E182" s="32">
        <f t="shared" si="94"/>
        <v>-3.2332563510392577E-2</v>
      </c>
      <c r="F182" s="18">
        <f>IF(ISNUMBER(D182), $B199 * E182, "")</f>
        <v>-4849.8845265588861</v>
      </c>
      <c r="G182" s="31">
        <v>41.4</v>
      </c>
      <c r="H182" s="32">
        <f t="shared" si="95"/>
        <v>-4.3879907621247084E-2</v>
      </c>
      <c r="I182" s="91">
        <f>IF(ISNUMBER(G182), $B199 * H182, "")</f>
        <v>-6581.9861431870622</v>
      </c>
      <c r="J182" s="15">
        <v>41.9</v>
      </c>
      <c r="K182" s="32">
        <f t="shared" si="96"/>
        <v>-3.2332563510392577E-2</v>
      </c>
      <c r="L182" s="18">
        <f>IF(ISNUMBER(J182), $B199 * K182, "")</f>
        <v>-4849.8845265588861</v>
      </c>
      <c r="M182" s="31">
        <v>41</v>
      </c>
      <c r="N182" s="32">
        <f t="shared" si="97"/>
        <v>-5.3117782909930654E-2</v>
      </c>
      <c r="O182" s="18">
        <f>IF(ISNUMBER(M182), $B199 * N182, "")</f>
        <v>-7967.667436489598</v>
      </c>
      <c r="Q182" s="146"/>
      <c r="R182" s="146"/>
      <c r="S182" s="146"/>
    </row>
    <row r="183" spans="1:19" ht="17.25" thickBot="1">
      <c r="A183" s="111" t="s">
        <v>205</v>
      </c>
      <c r="B183" s="112">
        <v>136</v>
      </c>
      <c r="C183" s="71">
        <v>-4.2253521099999997E-2</v>
      </c>
      <c r="D183" s="20">
        <v>132</v>
      </c>
      <c r="E183" s="21">
        <f t="shared" si="94"/>
        <v>-2.9411764705882353E-2</v>
      </c>
      <c r="F183" s="22">
        <f>IF(ISNUMBER(D183), $B199 * E183, "")</f>
        <v>-4411.7647058823532</v>
      </c>
      <c r="G183" s="30">
        <v>130</v>
      </c>
      <c r="H183" s="21">
        <f t="shared" si="95"/>
        <v>-4.4117647058823532E-2</v>
      </c>
      <c r="I183" s="95">
        <f>IF(ISNUMBER(G183), $B199 * H183, "")</f>
        <v>-6617.6470588235297</v>
      </c>
      <c r="J183" s="20">
        <v>131</v>
      </c>
      <c r="K183" s="21">
        <f t="shared" si="96"/>
        <v>-3.6764705882352942E-2</v>
      </c>
      <c r="L183" s="22">
        <f>IF(ISNUMBER(J183), $B199 * K183, "")</f>
        <v>-5514.7058823529414</v>
      </c>
      <c r="M183" s="30">
        <v>129</v>
      </c>
      <c r="N183" s="21">
        <f t="shared" si="97"/>
        <v>-5.1470588235294115E-2</v>
      </c>
      <c r="O183" s="22">
        <f>IF(ISNUMBER(M183), $B199 * N183, "")</f>
        <v>-7720.5882352941171</v>
      </c>
      <c r="Q183" s="146"/>
      <c r="R183" s="146"/>
      <c r="S183" s="146"/>
    </row>
    <row r="184" spans="1:19" ht="17.25" thickBot="1">
      <c r="A184" s="109" t="s">
        <v>332</v>
      </c>
      <c r="B184" s="113">
        <v>7.87</v>
      </c>
      <c r="C184" s="73">
        <v>-4.2579075399999999E-2</v>
      </c>
      <c r="D184" s="96">
        <v>7.81</v>
      </c>
      <c r="E184" s="97">
        <f>IF(ISNUMBER(D184), (D184 - $B184) / $B184, "")</f>
        <v>-7.6238881829733792E-3</v>
      </c>
      <c r="F184" s="98">
        <f>IF(ISNUMBER(D184), $B199 * E184, "")</f>
        <v>-1143.583227446007</v>
      </c>
      <c r="G184" s="99">
        <v>7.72</v>
      </c>
      <c r="H184" s="97">
        <f>IF(ISNUMBER(G184), (G184 - $B184) / $B184, "")</f>
        <v>-1.9059720457433336E-2</v>
      </c>
      <c r="I184" s="100">
        <f>IF(ISNUMBER(G184), $B199 * H184, "")</f>
        <v>-2858.9580686150007</v>
      </c>
      <c r="J184" s="96">
        <v>7.73</v>
      </c>
      <c r="K184" s="97">
        <f>IF(ISNUMBER(J184), (J184 - $B184) / $B184, "")</f>
        <v>-1.7789072426937697E-2</v>
      </c>
      <c r="L184" s="98">
        <f>IF(ISNUMBER(J184), $B199 * K184, "")</f>
        <v>-2668.3608640406546</v>
      </c>
      <c r="M184" s="99">
        <v>7.68</v>
      </c>
      <c r="N184" s="97">
        <f>IF(ISNUMBER(M184), (M184 - $B184) / $B184, "")</f>
        <v>-2.4142312579415553E-2</v>
      </c>
      <c r="O184" s="98">
        <f>IF(ISNUMBER(M184), $B199 * N184, "")</f>
        <v>-3621.346886912333</v>
      </c>
      <c r="Q184" s="146"/>
      <c r="R184" s="146"/>
      <c r="S184" s="146"/>
    </row>
    <row r="185" spans="1:19" ht="17.25" thickBot="1">
      <c r="A185" s="109" t="s">
        <v>101</v>
      </c>
      <c r="B185" s="110">
        <v>286</v>
      </c>
      <c r="C185" s="70">
        <v>-4.3478260900000003E-2</v>
      </c>
      <c r="D185" s="15">
        <v>284</v>
      </c>
      <c r="E185" s="32">
        <f t="shared" ref="E185:E188" si="98">IF(ISNUMBER(D185), (D185 - $B185) / $B185, "")</f>
        <v>-6.993006993006993E-3</v>
      </c>
      <c r="F185" s="18">
        <f>IF(ISNUMBER(D185), $B199 * E185, "")</f>
        <v>-1048.951048951049</v>
      </c>
      <c r="G185" s="31">
        <v>281</v>
      </c>
      <c r="H185" s="32">
        <f t="shared" ref="H185:H188" si="99">IF(ISNUMBER(G185), (G185 - $B185) / $B185, "")</f>
        <v>-1.7482517482517484E-2</v>
      </c>
      <c r="I185" s="91">
        <f>IF(ISNUMBER(G185), $B199 * H185, "")</f>
        <v>-2622.3776223776226</v>
      </c>
      <c r="J185" s="15">
        <v>283</v>
      </c>
      <c r="K185" s="32">
        <f t="shared" ref="K185:K188" si="100">IF(ISNUMBER(J185), (J185 - $B185) / $B185, "")</f>
        <v>-1.048951048951049E-2</v>
      </c>
      <c r="L185" s="18">
        <f>IF(ISNUMBER(J185), $B199 * K185, "")</f>
        <v>-1573.4265734265734</v>
      </c>
      <c r="M185" s="31">
        <v>277</v>
      </c>
      <c r="N185" s="32">
        <f t="shared" ref="N185:N188" si="101">IF(ISNUMBER(M185), (M185 - $B185) / $B185, "")</f>
        <v>-3.1468531468531472E-2</v>
      </c>
      <c r="O185" s="18">
        <f>IF(ISNUMBER(M185), $B199 * N185, "")</f>
        <v>-4720.279720279721</v>
      </c>
      <c r="Q185" s="146"/>
      <c r="R185" s="146"/>
      <c r="S185" s="146"/>
    </row>
    <row r="186" spans="1:19" ht="17.25" thickBot="1">
      <c r="A186" s="109" t="s">
        <v>56</v>
      </c>
      <c r="B186" s="110">
        <v>52.6</v>
      </c>
      <c r="C186" s="70">
        <v>-4.3636363599999999E-2</v>
      </c>
      <c r="D186" s="15">
        <v>51.9</v>
      </c>
      <c r="E186" s="32">
        <f t="shared" si="98"/>
        <v>-1.3307984790874578E-2</v>
      </c>
      <c r="F186" s="18">
        <f>IF(ISNUMBER(D186), $B199 * E186, "")</f>
        <v>-1996.1977186311867</v>
      </c>
      <c r="G186" s="31">
        <v>51.1</v>
      </c>
      <c r="H186" s="32">
        <f t="shared" si="99"/>
        <v>-2.8517110266159697E-2</v>
      </c>
      <c r="I186" s="91">
        <f>IF(ISNUMBER(G186), $B199 * H186, "")</f>
        <v>-4277.5665399239542</v>
      </c>
      <c r="J186" s="15">
        <v>51.1</v>
      </c>
      <c r="K186" s="32">
        <f t="shared" si="100"/>
        <v>-2.8517110266159697E-2</v>
      </c>
      <c r="L186" s="18">
        <f>IF(ISNUMBER(J186), $B199 * K186, "")</f>
        <v>-4277.5665399239542</v>
      </c>
      <c r="M186" s="31">
        <v>50</v>
      </c>
      <c r="N186" s="32">
        <f t="shared" si="101"/>
        <v>-4.9429657794676833E-2</v>
      </c>
      <c r="O186" s="18">
        <f>IF(ISNUMBER(M186), $B199 * N186, "")</f>
        <v>-7414.4486692015253</v>
      </c>
      <c r="Q186" s="146"/>
      <c r="R186" s="146"/>
      <c r="S186" s="146"/>
    </row>
    <row r="187" spans="1:19" ht="17.25" thickBot="1">
      <c r="A187" s="109" t="s">
        <v>165</v>
      </c>
      <c r="B187" s="110">
        <v>1500</v>
      </c>
      <c r="C187" s="70">
        <v>-4.4585987299999998E-2</v>
      </c>
      <c r="D187" s="15">
        <v>1460</v>
      </c>
      <c r="E187" s="32">
        <f t="shared" si="98"/>
        <v>-2.6666666666666668E-2</v>
      </c>
      <c r="F187" s="18">
        <f>IF(ISNUMBER(D187), $B199 * E187, "")</f>
        <v>-4000.0000000000005</v>
      </c>
      <c r="G187" s="31">
        <v>1455</v>
      </c>
      <c r="H187" s="32">
        <f t="shared" si="99"/>
        <v>-0.03</v>
      </c>
      <c r="I187" s="91">
        <f>IF(ISNUMBER(G187), $B199 * H187, "")</f>
        <v>-4500</v>
      </c>
      <c r="J187" s="15">
        <v>1485</v>
      </c>
      <c r="K187" s="32">
        <f t="shared" si="100"/>
        <v>-0.01</v>
      </c>
      <c r="L187" s="18">
        <f>IF(ISNUMBER(J187), $B199 * K187, "")</f>
        <v>-1500</v>
      </c>
      <c r="M187" s="31">
        <v>1445</v>
      </c>
      <c r="N187" s="32">
        <f t="shared" si="101"/>
        <v>-3.6666666666666667E-2</v>
      </c>
      <c r="O187" s="18">
        <f>IF(ISNUMBER(M187), $B199 * N187, "")</f>
        <v>-5500</v>
      </c>
      <c r="Q187" s="33"/>
      <c r="R187" s="33"/>
    </row>
    <row r="188" spans="1:19" ht="17.25" thickBot="1">
      <c r="A188" s="114" t="s">
        <v>113</v>
      </c>
      <c r="B188" s="115">
        <v>1600</v>
      </c>
      <c r="C188" s="72">
        <v>-4.4776119400000002E-2</v>
      </c>
      <c r="D188" s="24">
        <v>1675</v>
      </c>
      <c r="E188" s="25">
        <f t="shared" si="98"/>
        <v>4.6875E-2</v>
      </c>
      <c r="F188" s="94">
        <f>IF(ISNUMBER(D188), $B199 * E188, "")</f>
        <v>7031.25</v>
      </c>
      <c r="G188" s="92">
        <v>1680</v>
      </c>
      <c r="H188" s="25">
        <f t="shared" si="99"/>
        <v>0.05</v>
      </c>
      <c r="I188" s="93">
        <f>IF(ISNUMBER(G188), $B199 * H188, "")</f>
        <v>7500</v>
      </c>
      <c r="J188" s="24">
        <v>1660</v>
      </c>
      <c r="K188" s="25">
        <f t="shared" si="100"/>
        <v>3.7499999999999999E-2</v>
      </c>
      <c r="L188" s="94">
        <f>IF(ISNUMBER(J188), $B199 * K188, "")</f>
        <v>5625</v>
      </c>
      <c r="M188" s="92">
        <v>1630</v>
      </c>
      <c r="N188" s="25">
        <f t="shared" si="101"/>
        <v>1.8749999999999999E-2</v>
      </c>
      <c r="O188" s="94">
        <f>IF(ISNUMBER(M188), $B199 * N188, "")</f>
        <v>2812.5</v>
      </c>
      <c r="Q188" s="147"/>
      <c r="R188" s="148"/>
      <c r="S188" s="149"/>
    </row>
    <row r="189" spans="1:19">
      <c r="A189" s="107" t="s">
        <v>157</v>
      </c>
      <c r="B189" s="108">
        <v>362</v>
      </c>
      <c r="C189" s="69">
        <v>-4.7368421100000002E-2</v>
      </c>
      <c r="D189" s="13">
        <v>372</v>
      </c>
      <c r="E189" s="14">
        <f>IF(ISNUMBER(D189), (D189 - $B189) / $B189, "")</f>
        <v>2.7624309392265192E-2</v>
      </c>
      <c r="F189" s="16">
        <f>IF(ISNUMBER(D189), $B199 * E189, "")</f>
        <v>4143.6464088397788</v>
      </c>
      <c r="G189" s="29">
        <v>377</v>
      </c>
      <c r="H189" s="14">
        <f>IF(ISNUMBER(G189), (G189 - $B189) / $B189, "")</f>
        <v>4.1436464088397788E-2</v>
      </c>
      <c r="I189" s="90">
        <f>IF(ISNUMBER(G189), $B199 * H189, "")</f>
        <v>6215.4696132596682</v>
      </c>
      <c r="J189" s="13">
        <v>374</v>
      </c>
      <c r="K189" s="14">
        <f>IF(ISNUMBER(J189), (J189 - $B189) / $B189, "")</f>
        <v>3.3149171270718231E-2</v>
      </c>
      <c r="L189" s="16">
        <f>IF(ISNUMBER(J189), $B199 * K189, "")</f>
        <v>4972.3756906077342</v>
      </c>
      <c r="M189" s="29">
        <v>373</v>
      </c>
      <c r="N189" s="14">
        <f>IF(ISNUMBER(M189), (M189 - $B189) / $B189, "")</f>
        <v>3.0386740331491711E-2</v>
      </c>
      <c r="O189" s="16">
        <f>IF(ISNUMBER(M189), $B199 * N189, "")</f>
        <v>4558.0110497237565</v>
      </c>
      <c r="Q189" s="150"/>
      <c r="R189" s="151"/>
      <c r="S189" s="152"/>
    </row>
    <row r="190" spans="1:19" ht="17.25" thickBot="1">
      <c r="A190" s="109" t="s">
        <v>143</v>
      </c>
      <c r="B190" s="110">
        <v>5.79</v>
      </c>
      <c r="C190" s="70">
        <v>-4.7697368400000002E-2</v>
      </c>
      <c r="D190" s="15">
        <v>5.58</v>
      </c>
      <c r="E190" s="32">
        <f t="shared" ref="E190:E193" si="102">IF(ISNUMBER(D190), (D190 - $B190) / $B190, "")</f>
        <v>-3.6269430051813469E-2</v>
      </c>
      <c r="F190" s="18">
        <f>IF(ISNUMBER(D190), $B199 * E190, "")</f>
        <v>-5440.4145077720204</v>
      </c>
      <c r="G190" s="31">
        <v>5.53</v>
      </c>
      <c r="H190" s="32">
        <f t="shared" ref="H190:H193" si="103">IF(ISNUMBER(G190), (G190 - $B190) / $B190, "")</f>
        <v>-4.4905008635578544E-2</v>
      </c>
      <c r="I190" s="91">
        <f>IF(ISNUMBER(G190), $B199 * H190, "")</f>
        <v>-6735.7512953367814</v>
      </c>
      <c r="J190" s="15">
        <v>5.56</v>
      </c>
      <c r="K190" s="32">
        <f t="shared" ref="K190:K193" si="104">IF(ISNUMBER(J190), (J190 - $B190) / $B190, "")</f>
        <v>-3.972366148531959E-2</v>
      </c>
      <c r="L190" s="18">
        <f>IF(ISNUMBER(J190), $B199 * K190, "")</f>
        <v>-5958.5492227979385</v>
      </c>
      <c r="M190" s="31">
        <v>5.5</v>
      </c>
      <c r="N190" s="32">
        <f t="shared" ref="N190:N193" si="105">IF(ISNUMBER(M190), (M190 - $B190) / $B190, "")</f>
        <v>-5.0086355785837658E-2</v>
      </c>
      <c r="O190" s="18">
        <f>IF(ISNUMBER(M190), $B199 * N190, "")</f>
        <v>-7512.9533678756488</v>
      </c>
      <c r="Q190" s="153"/>
      <c r="R190" s="154"/>
      <c r="S190" s="155"/>
    </row>
    <row r="191" spans="1:19" ht="17.25" thickBot="1">
      <c r="A191" s="109" t="s">
        <v>197</v>
      </c>
      <c r="B191" s="110">
        <v>11.8</v>
      </c>
      <c r="C191" s="70">
        <v>-4.8387096800000001E-2</v>
      </c>
      <c r="D191" s="15">
        <v>11.8</v>
      </c>
      <c r="E191" s="32">
        <f t="shared" si="102"/>
        <v>0</v>
      </c>
      <c r="F191" s="18">
        <f>IF(ISNUMBER(D191), $B199 * E191, "")</f>
        <v>0</v>
      </c>
      <c r="G191" s="31">
        <v>11.3</v>
      </c>
      <c r="H191" s="32">
        <f t="shared" si="103"/>
        <v>-4.2372881355932202E-2</v>
      </c>
      <c r="I191" s="91">
        <f>IF(ISNUMBER(G191), $B199 * H191, "")</f>
        <v>-6355.9322033898306</v>
      </c>
      <c r="J191" s="15">
        <v>11.4</v>
      </c>
      <c r="K191" s="32">
        <f t="shared" si="104"/>
        <v>-3.389830508474579E-2</v>
      </c>
      <c r="L191" s="18">
        <f>IF(ISNUMBER(J191), $B199 * K191, "")</f>
        <v>-5084.7457627118683</v>
      </c>
      <c r="M191" s="31">
        <v>11.3</v>
      </c>
      <c r="N191" s="32">
        <f t="shared" si="105"/>
        <v>-4.2372881355932202E-2</v>
      </c>
      <c r="O191" s="18">
        <f>IF(ISNUMBER(M191), $B199 * N191, "")</f>
        <v>-6355.9322033898306</v>
      </c>
      <c r="Q191" s="146"/>
      <c r="R191" s="146"/>
      <c r="S191" s="146"/>
    </row>
    <row r="192" spans="1:19" ht="17.25" thickBot="1">
      <c r="A192" s="109" t="s">
        <v>340</v>
      </c>
      <c r="B192" s="110">
        <v>849</v>
      </c>
      <c r="C192" s="70">
        <v>-4.9272116499999997E-2</v>
      </c>
      <c r="D192" s="15">
        <v>839</v>
      </c>
      <c r="E192" s="32">
        <f t="shared" si="102"/>
        <v>-1.1778563015312132E-2</v>
      </c>
      <c r="F192" s="18">
        <f>IF(ISNUMBER(D192), $B199 * E192, "")</f>
        <v>-1766.7844522968198</v>
      </c>
      <c r="G192" s="31">
        <v>828</v>
      </c>
      <c r="H192" s="32">
        <f t="shared" si="103"/>
        <v>-2.4734982332155476E-2</v>
      </c>
      <c r="I192" s="91">
        <f>IF(ISNUMBER(G192), $B199 * H192, "")</f>
        <v>-3710.2473498233212</v>
      </c>
      <c r="J192" s="15">
        <v>833</v>
      </c>
      <c r="K192" s="32">
        <f t="shared" si="104"/>
        <v>-1.884570082449941E-2</v>
      </c>
      <c r="L192" s="18">
        <f>IF(ISNUMBER(J192), $B199 * K192, "")</f>
        <v>-2826.8551236749113</v>
      </c>
      <c r="M192" s="31">
        <v>810</v>
      </c>
      <c r="N192" s="32">
        <f t="shared" si="105"/>
        <v>-4.5936395759717315E-2</v>
      </c>
      <c r="O192" s="18">
        <f>IF(ISNUMBER(M192), $B199 * N192, "")</f>
        <v>-6890.4593639575969</v>
      </c>
      <c r="Q192" s="156"/>
      <c r="R192" s="156"/>
      <c r="S192" s="156"/>
    </row>
    <row r="193" spans="1:19" ht="17.25" thickBot="1">
      <c r="A193" s="111" t="s">
        <v>116</v>
      </c>
      <c r="B193" s="112">
        <v>1540</v>
      </c>
      <c r="C193" s="71">
        <v>-4.9382716E-2</v>
      </c>
      <c r="D193" s="20">
        <v>1485</v>
      </c>
      <c r="E193" s="21">
        <f t="shared" si="102"/>
        <v>-3.5714285714285712E-2</v>
      </c>
      <c r="F193" s="22">
        <f>IF(ISNUMBER(D193), $B199 * E193, "")</f>
        <v>-5357.1428571428569</v>
      </c>
      <c r="G193" s="30">
        <v>1485</v>
      </c>
      <c r="H193" s="21">
        <f t="shared" si="103"/>
        <v>-3.5714285714285712E-2</v>
      </c>
      <c r="I193" s="95">
        <f>IF(ISNUMBER(G193), $B199 * H193, "")</f>
        <v>-5357.1428571428569</v>
      </c>
      <c r="J193" s="20">
        <v>1535</v>
      </c>
      <c r="K193" s="21">
        <f t="shared" si="104"/>
        <v>-3.246753246753247E-3</v>
      </c>
      <c r="L193" s="22">
        <f>IF(ISNUMBER(J193), $B199 * K193, "")</f>
        <v>-487.01298701298703</v>
      </c>
      <c r="M193" s="30">
        <v>1530</v>
      </c>
      <c r="N193" s="21">
        <f t="shared" si="105"/>
        <v>-6.4935064935064939E-3</v>
      </c>
      <c r="O193" s="22">
        <f>IF(ISNUMBER(M193), $B199 * N193, "")</f>
        <v>-974.02597402597405</v>
      </c>
      <c r="Q193" s="156"/>
      <c r="R193" s="156"/>
      <c r="S193" s="156"/>
    </row>
    <row r="194" spans="1:19" ht="17.25" thickBot="1">
      <c r="A194" s="109" t="s">
        <v>327</v>
      </c>
      <c r="B194" s="113">
        <v>470</v>
      </c>
      <c r="C194" s="73">
        <v>-5.0505050500000002E-2</v>
      </c>
      <c r="D194" s="96">
        <v>466</v>
      </c>
      <c r="E194" s="97">
        <f>IF(ISNUMBER(D194), (D194 - $B194) / $B194, "")</f>
        <v>-8.5106382978723406E-3</v>
      </c>
      <c r="F194" s="98">
        <f>IF(ISNUMBER(D194), $B199 * E194, "")</f>
        <v>-1276.5957446808511</v>
      </c>
      <c r="G194" s="99">
        <v>459</v>
      </c>
      <c r="H194" s="97">
        <f>IF(ISNUMBER(G194), (G194 - $B194) / $B194, "")</f>
        <v>-2.3404255319148935E-2</v>
      </c>
      <c r="I194" s="100">
        <f>IF(ISNUMBER(G194), $B199 * H194, "")</f>
        <v>-3510.6382978723404</v>
      </c>
      <c r="J194" s="96">
        <v>463</v>
      </c>
      <c r="K194" s="97">
        <f>IF(ISNUMBER(J194), (J194 - $B194) / $B194, "")</f>
        <v>-1.4893617021276596E-2</v>
      </c>
      <c r="L194" s="98">
        <f>IF(ISNUMBER(J194), $B199 * K194, "")</f>
        <v>-2234.0425531914893</v>
      </c>
      <c r="M194" s="99">
        <v>450</v>
      </c>
      <c r="N194" s="97">
        <f>IF(ISNUMBER(M194), (M194 - $B194) / $B194, "")</f>
        <v>-4.2553191489361701E-2</v>
      </c>
      <c r="O194" s="98">
        <f>IF(ISNUMBER(M194), $B199 * N194, "")</f>
        <v>-6382.9787234042551</v>
      </c>
      <c r="Q194" s="146"/>
      <c r="R194" s="146"/>
      <c r="S194" s="146"/>
    </row>
    <row r="195" spans="1:19" ht="17.25" thickBot="1">
      <c r="A195" s="109" t="s">
        <v>334</v>
      </c>
      <c r="B195" s="110">
        <v>51.2</v>
      </c>
      <c r="C195" s="70">
        <v>-7.0780399300000005E-2</v>
      </c>
      <c r="D195" s="15">
        <v>48.6</v>
      </c>
      <c r="E195" s="32">
        <f t="shared" ref="E195:E198" si="106">IF(ISNUMBER(D195), (D195 - $B195) / $B195, "")</f>
        <v>-5.0781250000000028E-2</v>
      </c>
      <c r="F195" s="18">
        <f>IF(ISNUMBER(D195), $B199 * E195, "")</f>
        <v>-7617.1875000000045</v>
      </c>
      <c r="G195" s="31">
        <v>47.7</v>
      </c>
      <c r="H195" s="32">
        <f t="shared" ref="H195:H198" si="107">IF(ISNUMBER(G195), (G195 - $B195) / $B195, "")</f>
        <v>-6.8359375E-2</v>
      </c>
      <c r="I195" s="91">
        <f>IF(ISNUMBER(G195), $B199 * H195, "")</f>
        <v>-10253.90625</v>
      </c>
      <c r="J195" s="15">
        <v>47.5</v>
      </c>
      <c r="K195" s="32">
        <f t="shared" ref="K195:K198" si="108">IF(ISNUMBER(J195), (J195 - $B195) / $B195, "")</f>
        <v>-7.2265625000000056E-2</v>
      </c>
      <c r="L195" s="18">
        <f>IF(ISNUMBER(J195), $B199 * K195, "")</f>
        <v>-10839.843750000009</v>
      </c>
      <c r="M195" s="31">
        <v>45.9</v>
      </c>
      <c r="N195" s="32">
        <f t="shared" ref="N195:N198" si="109">IF(ISNUMBER(M195), (M195 - $B195) / $B195, "")</f>
        <v>-0.10351562500000008</v>
      </c>
      <c r="O195" s="18">
        <f>IF(ISNUMBER(M195), $B199 * N195, "")</f>
        <v>-15527.343750000013</v>
      </c>
      <c r="Q195" s="146"/>
      <c r="R195" s="146"/>
      <c r="S195" s="146"/>
    </row>
    <row r="196" spans="1:19" ht="17.25" thickBot="1">
      <c r="A196" s="109" t="s">
        <v>161</v>
      </c>
      <c r="B196" s="110">
        <v>930</v>
      </c>
      <c r="C196" s="70">
        <v>-8.3743842400000004E-2</v>
      </c>
      <c r="D196" s="15">
        <v>890</v>
      </c>
      <c r="E196" s="32">
        <f t="shared" si="106"/>
        <v>-4.3010752688172046E-2</v>
      </c>
      <c r="F196" s="18">
        <f>IF(ISNUMBER(D196), $B199 * E196, "")</f>
        <v>-6451.6129032258068</v>
      </c>
      <c r="G196" s="31">
        <v>858</v>
      </c>
      <c r="H196" s="32">
        <f t="shared" si="107"/>
        <v>-7.7419354838709681E-2</v>
      </c>
      <c r="I196" s="91">
        <f>IF(ISNUMBER(G196), $B199 * H196, "")</f>
        <v>-11612.903225806453</v>
      </c>
      <c r="J196" s="15">
        <v>872</v>
      </c>
      <c r="K196" s="32">
        <f t="shared" si="108"/>
        <v>-6.236559139784946E-2</v>
      </c>
      <c r="L196" s="18">
        <f>IF(ISNUMBER(J196), $B199 * K196, "")</f>
        <v>-9354.8387096774186</v>
      </c>
      <c r="M196" s="31">
        <v>833</v>
      </c>
      <c r="N196" s="32">
        <f t="shared" si="109"/>
        <v>-0.1043010752688172</v>
      </c>
      <c r="O196" s="18">
        <f>IF(ISNUMBER(M196), $B199 * N196, "")</f>
        <v>-15645.16129032258</v>
      </c>
      <c r="Q196" s="146"/>
      <c r="R196" s="146"/>
      <c r="S196" s="146"/>
    </row>
    <row r="197" spans="1:19">
      <c r="A197" s="109" t="s">
        <v>97</v>
      </c>
      <c r="B197" s="110">
        <v>8.9999999999999998E-4</v>
      </c>
      <c r="C197" s="70">
        <v>-0.1</v>
      </c>
      <c r="D197" s="15">
        <v>8.9999999999999998E-4</v>
      </c>
      <c r="E197" s="32">
        <f t="shared" si="106"/>
        <v>0</v>
      </c>
      <c r="F197" s="18">
        <f>IF(ISNUMBER(D197), $B199 * E197, "")</f>
        <v>0</v>
      </c>
      <c r="G197" s="31">
        <v>8.9999999999999998E-4</v>
      </c>
      <c r="H197" s="32">
        <f t="shared" si="107"/>
        <v>0</v>
      </c>
      <c r="I197" s="91">
        <f>IF(ISNUMBER(G197), $B199 * H197, "")</f>
        <v>0</v>
      </c>
      <c r="J197" s="15">
        <v>1E-3</v>
      </c>
      <c r="K197" s="32">
        <f t="shared" si="108"/>
        <v>0.11111111111111116</v>
      </c>
      <c r="L197" s="18">
        <f>IF(ISNUMBER(J197), $B199 * K197, "")</f>
        <v>16666.666666666675</v>
      </c>
      <c r="M197" s="31">
        <v>8.9999999999999998E-4</v>
      </c>
      <c r="N197" s="32">
        <f t="shared" si="109"/>
        <v>0</v>
      </c>
      <c r="O197" s="18">
        <f>IF(ISNUMBER(M197), $B199 * N197, "")</f>
        <v>0</v>
      </c>
      <c r="Q197" s="135"/>
      <c r="R197" s="136"/>
      <c r="S197" s="137"/>
    </row>
    <row r="198" spans="1:19" ht="17.25" thickBot="1">
      <c r="A198" s="114" t="s">
        <v>352</v>
      </c>
      <c r="B198" s="115">
        <v>277</v>
      </c>
      <c r="C198" s="72">
        <v>-0.1093247588</v>
      </c>
      <c r="D198" s="24">
        <v>252</v>
      </c>
      <c r="E198" s="25">
        <f t="shared" si="106"/>
        <v>-9.0252707581227443E-2</v>
      </c>
      <c r="F198" s="94">
        <f>IF(ISNUMBER(D198), $B199 * E198, "")</f>
        <v>-13537.906137184116</v>
      </c>
      <c r="G198" s="92">
        <v>251</v>
      </c>
      <c r="H198" s="25">
        <f t="shared" si="107"/>
        <v>-9.3862815884476536E-2</v>
      </c>
      <c r="I198" s="93">
        <f>IF(ISNUMBER(G198), $B199 * H198, "")</f>
        <v>-14079.422382671481</v>
      </c>
      <c r="J198" s="24">
        <v>249</v>
      </c>
      <c r="K198" s="25">
        <f t="shared" si="108"/>
        <v>-0.10108303249097472</v>
      </c>
      <c r="L198" s="94">
        <f>IF(ISNUMBER(J198), $B199 * K198, "")</f>
        <v>-15162.454873646207</v>
      </c>
      <c r="M198" s="92">
        <v>244</v>
      </c>
      <c r="N198" s="25">
        <f t="shared" si="109"/>
        <v>-0.11913357400722022</v>
      </c>
      <c r="O198" s="94">
        <f>IF(ISNUMBER(M198), $B199 * N198, "")</f>
        <v>-17870.036101083031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-2.0986492149103485E-2</v>
      </c>
      <c r="F199" s="28">
        <f>SUM(F179:F198)</f>
        <v>-62959.476447310451</v>
      </c>
      <c r="G199" s="26" t="s">
        <v>258</v>
      </c>
      <c r="H199" s="27">
        <f>IF(COUNT(H179:H198), SUM(H179:H198) / COUNT(H179:H198), 0)</f>
        <v>-3.031436701139853E-2</v>
      </c>
      <c r="I199" s="28">
        <f>SUM(I179:I198)</f>
        <v>-90943.10103419557</v>
      </c>
      <c r="J199" s="26" t="s">
        <v>258</v>
      </c>
      <c r="K199" s="27">
        <f>IF(COUNT(K179:K198), SUM(K179:K198) / COUNT(K179:K198), 0)</f>
        <v>-1.9168408592927892E-2</v>
      </c>
      <c r="L199" s="28">
        <f>SUM(L179:L198)</f>
        <v>-57505.225778783664</v>
      </c>
      <c r="M199" s="26" t="s">
        <v>258</v>
      </c>
      <c r="N199" s="27">
        <f>IF(COUNT(N179:N198), SUM(N179:N198) / COUNT(N179:N198), 0)</f>
        <v>-4.1514448702659065E-2</v>
      </c>
      <c r="O199" s="28">
        <f>SUM(O179:O198)</f>
        <v>-124543.34610797721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A9B7D-C73A-4FAF-B4BB-A4C8EE5C3FD2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44994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-30,356 KRW (-1.01%)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-24,719 KRW (-0.82%)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-10,923 KRW (-0.36%)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1,629 KRW (0.05%)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2023-03-09(목) 오전 00:00</v>
      </c>
      <c r="C15" s="196"/>
      <c r="D15" s="170" t="str">
        <f>TEXT($G$1, "[$-ko-KR]yyyy-mm-dd(ddd) ") &amp; "오후 14:00"</f>
        <v>2023-03-09(목) 오후 14:00</v>
      </c>
      <c r="E15" s="171"/>
      <c r="F15" s="172"/>
      <c r="G15" s="170" t="str">
        <f>TEXT($G$1, "[$-ko-KR]yyyy-mm-dd(ddd) ") &amp; "오후 19:00"</f>
        <v>2023-03-09(목) 오후 19:00</v>
      </c>
      <c r="H15" s="171"/>
      <c r="I15" s="172"/>
      <c r="J15" s="170" t="str">
        <f>TEXT($G$1, "[$-ko-KR]yyyy-mm-dd(ddd) ") &amp; "오후 21:00"</f>
        <v>2023-03-09(목) 오후 21:00</v>
      </c>
      <c r="K15" s="171"/>
      <c r="L15" s="172"/>
      <c r="M15" s="170" t="str">
        <f>TEXT($G$1+1, "[$-ko-KR]yyyy-mm-dd(ddd) ") &amp; "오전 00:00"</f>
        <v>2023-03-10(금)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2023-03-09(목) 오전 00:00</v>
      </c>
      <c r="C42" s="198"/>
      <c r="D42" s="170" t="str">
        <f>TEXT($G$1, "[$-ko-KR]yyyy-mm-dd(ddd) ") &amp; "오후 14:00"</f>
        <v>2023-03-09(목) 오후 14:00</v>
      </c>
      <c r="E42" s="171"/>
      <c r="F42" s="172"/>
      <c r="G42" s="170" t="str">
        <f>TEXT($G$1, "[$-ko-KR]yyyy-mm-dd(ddd) ") &amp; "오후 19:00"</f>
        <v>2023-03-09(목) 오후 19:00</v>
      </c>
      <c r="H42" s="171"/>
      <c r="I42" s="172"/>
      <c r="J42" s="170" t="str">
        <f>TEXT($G$1, "[$-ko-KR]yyyy-mm-dd(ddd) ") &amp; "오후 21:00"</f>
        <v>2023-03-09(목) 오후 21:00</v>
      </c>
      <c r="K42" s="171"/>
      <c r="L42" s="172"/>
      <c r="M42" s="170" t="str">
        <f>TEXT($G$1+1, "[$-ko-KR]yyyy-mm-dd(ddd) ") &amp; "오전 00:00"</f>
        <v>2023-03-10(금)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225</v>
      </c>
      <c r="B44" s="108">
        <v>88.7</v>
      </c>
      <c r="C44" s="69">
        <v>4.9704142E-2</v>
      </c>
      <c r="D44" s="13">
        <v>84.2</v>
      </c>
      <c r="E44" s="14">
        <f>IF(ISNUMBER(D44), (D44 - $B44) / $B44, "")</f>
        <v>-5.0732807215332583E-2</v>
      </c>
      <c r="F44" s="16">
        <f>IF(ISNUMBER(D44), $B64 * E44, "")</f>
        <v>-7609.9210822998875</v>
      </c>
      <c r="G44" s="29">
        <v>80.900000000000006</v>
      </c>
      <c r="H44" s="14">
        <f>IF(ISNUMBER(G44), (G44 - $B44) / $B44, "")</f>
        <v>-8.793686583990977E-2</v>
      </c>
      <c r="I44" s="90">
        <f>IF(ISNUMBER(G44), $B64 * H44, "")</f>
        <v>-13190.529875986465</v>
      </c>
      <c r="J44" s="13">
        <v>83.8</v>
      </c>
      <c r="K44" s="14">
        <f>IF(ISNUMBER(J44), (J44 - $B44) / $B44, "")</f>
        <v>-5.5242390078917764E-2</v>
      </c>
      <c r="L44" s="16">
        <f>IF(ISNUMBER(J44), $B64 * K44, "")</f>
        <v>-8286.358511837665</v>
      </c>
      <c r="M44" s="29">
        <v>83.2</v>
      </c>
      <c r="N44" s="14">
        <f>IF(ISNUMBER(M44), (M44 - $B44) / $B44, "")</f>
        <v>-6.2006764374295378E-2</v>
      </c>
      <c r="O44" s="16">
        <f>IF(ISNUMBER(M44), $B64 * N44, "")</f>
        <v>-9301.0146561443071</v>
      </c>
      <c r="Q44" s="156"/>
      <c r="R44" s="156"/>
      <c r="S44" s="156"/>
    </row>
    <row r="45" spans="1:19" ht="17.25" customHeight="1" thickBot="1">
      <c r="A45" s="109" t="s">
        <v>317</v>
      </c>
      <c r="B45" s="110">
        <v>1.4999999999999999E-2</v>
      </c>
      <c r="C45" s="70">
        <v>1.3513513499999999E-2</v>
      </c>
      <c r="D45" s="15">
        <v>1.4800000000000001E-2</v>
      </c>
      <c r="E45" s="32">
        <f t="shared" ref="E45:E48" si="14">IF(ISNUMBER(D45), (D45 - $B45) / $B45, "")</f>
        <v>-1.3333333333333253E-2</v>
      </c>
      <c r="F45" s="18">
        <f>IF(ISNUMBER(D45), $B64 * E45, "")</f>
        <v>-1999.9999999999879</v>
      </c>
      <c r="G45" s="31">
        <v>1.46E-2</v>
      </c>
      <c r="H45" s="32">
        <f t="shared" ref="H45:H48" si="15">IF(ISNUMBER(G45), (G45 - $B45) / $B45, "")</f>
        <v>-2.6666666666666623E-2</v>
      </c>
      <c r="I45" s="91">
        <f>IF(ISNUMBER(G45), $B64 * H45, "")</f>
        <v>-3999.9999999999936</v>
      </c>
      <c r="J45" s="15">
        <v>1.47E-2</v>
      </c>
      <c r="K45" s="32">
        <f t="shared" ref="K45:K48" si="16">IF(ISNUMBER(J45), (J45 - $B45) / $B45, "")</f>
        <v>-1.9999999999999997E-2</v>
      </c>
      <c r="L45" s="18">
        <f>IF(ISNUMBER(J45), $B64 * K45, "")</f>
        <v>-2999.9999999999995</v>
      </c>
      <c r="M45" s="31">
        <v>1.46E-2</v>
      </c>
      <c r="N45" s="32">
        <f t="shared" ref="N45:N48" si="17">IF(ISNUMBER(M45), (M45 - $B45) / $B45, "")</f>
        <v>-2.6666666666666623E-2</v>
      </c>
      <c r="O45" s="18">
        <f>IF(ISNUMBER(M45), $B64 * N45, "")</f>
        <v>-3999.9999999999936</v>
      </c>
      <c r="Q45" s="156"/>
      <c r="R45" s="156"/>
      <c r="S45" s="156"/>
    </row>
    <row r="46" spans="1:19" ht="17.25" customHeight="1" thickBot="1">
      <c r="A46" s="109" t="s">
        <v>132</v>
      </c>
      <c r="B46" s="110">
        <v>69.099999999999994</v>
      </c>
      <c r="C46" s="70">
        <v>1.4492754E-3</v>
      </c>
      <c r="D46" s="15">
        <v>69</v>
      </c>
      <c r="E46" s="32">
        <f t="shared" si="14"/>
        <v>-1.4471780028942739E-3</v>
      </c>
      <c r="F46" s="18">
        <f>IF(ISNUMBER(D46), $B64 * E46, "")</f>
        <v>-217.07670043414109</v>
      </c>
      <c r="G46" s="31">
        <v>67.599999999999994</v>
      </c>
      <c r="H46" s="32">
        <f t="shared" si="15"/>
        <v>-2.1707670043415343E-2</v>
      </c>
      <c r="I46" s="91">
        <f>IF(ISNUMBER(G46), $B64 * H46, "")</f>
        <v>-3256.1505065123015</v>
      </c>
      <c r="J46" s="15">
        <v>68</v>
      </c>
      <c r="K46" s="32">
        <f t="shared" si="16"/>
        <v>-1.5918958031837835E-2</v>
      </c>
      <c r="L46" s="18">
        <f>IF(ISNUMBER(J46), $B64 * K46, "")</f>
        <v>-2387.8437047756752</v>
      </c>
      <c r="M46" s="31">
        <v>68.2</v>
      </c>
      <c r="N46" s="32">
        <f t="shared" si="17"/>
        <v>-1.3024602026049081E-2</v>
      </c>
      <c r="O46" s="18">
        <f>IF(ISNUMBER(M46), $B64 * N46, "")</f>
        <v>-1953.6903039073622</v>
      </c>
      <c r="Q46" s="146"/>
      <c r="R46" s="146"/>
      <c r="S46" s="146"/>
    </row>
    <row r="47" spans="1:19" ht="17.25" customHeight="1" thickBot="1">
      <c r="A47" s="109" t="s">
        <v>118</v>
      </c>
      <c r="B47" s="110">
        <v>7.95</v>
      </c>
      <c r="C47" s="70">
        <v>-8.7281796000000002E-3</v>
      </c>
      <c r="D47" s="15">
        <v>7.75</v>
      </c>
      <c r="E47" s="32">
        <f t="shared" si="14"/>
        <v>-2.5157232704402538E-2</v>
      </c>
      <c r="F47" s="18">
        <f>IF(ISNUMBER(D47), $B64 * E47, "")</f>
        <v>-3773.5849056603806</v>
      </c>
      <c r="G47" s="31">
        <v>7.56</v>
      </c>
      <c r="H47" s="32">
        <f t="shared" si="15"/>
        <v>-4.9056603773584978E-2</v>
      </c>
      <c r="I47" s="91">
        <f>IF(ISNUMBER(G47), $B64 * H47, "")</f>
        <v>-7358.4905660377472</v>
      </c>
      <c r="J47" s="15">
        <v>7.58</v>
      </c>
      <c r="K47" s="32">
        <f t="shared" si="16"/>
        <v>-4.6540880503144665E-2</v>
      </c>
      <c r="L47" s="18">
        <f>IF(ISNUMBER(J47), $B64 * K47, "")</f>
        <v>-6981.1320754716999</v>
      </c>
      <c r="M47" s="31">
        <v>7.69</v>
      </c>
      <c r="N47" s="32">
        <f t="shared" si="17"/>
        <v>-3.2704402515723242E-2</v>
      </c>
      <c r="O47" s="18">
        <f>IF(ISNUMBER(M47), $B64 * N47, "")</f>
        <v>-4905.6603773584866</v>
      </c>
      <c r="Q47" s="146"/>
      <c r="R47" s="146"/>
      <c r="S47" s="146"/>
    </row>
    <row r="48" spans="1:19" ht="17.25" customHeight="1" thickBot="1">
      <c r="A48" s="111" t="s">
        <v>145</v>
      </c>
      <c r="B48" s="112">
        <v>87.4</v>
      </c>
      <c r="C48" s="71">
        <v>-1.0192525500000001E-2</v>
      </c>
      <c r="D48" s="20">
        <v>88</v>
      </c>
      <c r="E48" s="21">
        <f t="shared" si="14"/>
        <v>6.8649885583523373E-3</v>
      </c>
      <c r="F48" s="22">
        <f>IF(ISNUMBER(D48), $B64 * E48, "")</f>
        <v>1029.7482837528505</v>
      </c>
      <c r="G48" s="30">
        <v>88</v>
      </c>
      <c r="H48" s="21">
        <f t="shared" si="15"/>
        <v>6.8649885583523373E-3</v>
      </c>
      <c r="I48" s="95">
        <f>IF(ISNUMBER(G48), $B64 * H48, "")</f>
        <v>1029.7482837528505</v>
      </c>
      <c r="J48" s="20">
        <v>88.2</v>
      </c>
      <c r="K48" s="21">
        <f t="shared" si="16"/>
        <v>9.1533180778031707E-3</v>
      </c>
      <c r="L48" s="22">
        <f>IF(ISNUMBER(J48), $B64 * K48, "")</f>
        <v>1372.9977116704756</v>
      </c>
      <c r="M48" s="30">
        <v>88.2</v>
      </c>
      <c r="N48" s="21">
        <f t="shared" si="17"/>
        <v>9.1533180778031707E-3</v>
      </c>
      <c r="O48" s="22">
        <f>IF(ISNUMBER(M48), $B64 * N48, "")</f>
        <v>1372.9977116704756</v>
      </c>
      <c r="Q48" s="146"/>
      <c r="R48" s="146"/>
      <c r="S48" s="146"/>
    </row>
    <row r="49" spans="1:19" ht="17.25" customHeight="1" thickBot="1">
      <c r="A49" s="109" t="s">
        <v>335</v>
      </c>
      <c r="B49" s="113">
        <v>81.7</v>
      </c>
      <c r="C49" s="73">
        <v>-2.15568862E-2</v>
      </c>
      <c r="D49" s="96">
        <v>81.400000000000006</v>
      </c>
      <c r="E49" s="97">
        <f>IF(ISNUMBER(D49), (D49 - $B49) / $B49, "")</f>
        <v>-3.6719706242349711E-3</v>
      </c>
      <c r="F49" s="98">
        <f>IF(ISNUMBER(D49), $B64 * E49, "")</f>
        <v>-550.79559363524561</v>
      </c>
      <c r="G49" s="99">
        <v>80.8</v>
      </c>
      <c r="H49" s="97">
        <f>IF(ISNUMBER(G49), (G49 - $B49) / $B49, "")</f>
        <v>-1.1015911872705087E-2</v>
      </c>
      <c r="I49" s="100">
        <f>IF(ISNUMBER(G49), $B64 * H49, "")</f>
        <v>-1652.3867809057631</v>
      </c>
      <c r="J49" s="96">
        <v>80.5</v>
      </c>
      <c r="K49" s="97">
        <f>IF(ISNUMBER(J49), (J49 - $B49) / $B49, "")</f>
        <v>-1.468788249694006E-2</v>
      </c>
      <c r="L49" s="98">
        <f>IF(ISNUMBER(J49), $B64 * K49, "")</f>
        <v>-2203.1823745410088</v>
      </c>
      <c r="M49" s="99">
        <v>80.5</v>
      </c>
      <c r="N49" s="97">
        <f>IF(ISNUMBER(M49), (M49 - $B49) / $B49, "")</f>
        <v>-1.468788249694006E-2</v>
      </c>
      <c r="O49" s="98">
        <f>IF(ISNUMBER(M49), $B64 * N49, "")</f>
        <v>-2203.1823745410088</v>
      </c>
      <c r="Q49" s="146"/>
      <c r="R49" s="146"/>
      <c r="S49" s="146"/>
    </row>
    <row r="50" spans="1:19" ht="17.25" customHeight="1" thickBot="1">
      <c r="A50" s="109" t="s">
        <v>124</v>
      </c>
      <c r="B50" s="110">
        <v>40.299999999999997</v>
      </c>
      <c r="C50" s="70">
        <v>-2.1844660200000001E-2</v>
      </c>
      <c r="D50" s="15">
        <v>39.6</v>
      </c>
      <c r="E50" s="32">
        <f t="shared" ref="E50:E53" si="18">IF(ISNUMBER(D50), (D50 - $B50) / $B50, "")</f>
        <v>-1.7369727047146299E-2</v>
      </c>
      <c r="F50" s="18">
        <f>IF(ISNUMBER(D50), $B64 * E50, "")</f>
        <v>-2605.4590570719447</v>
      </c>
      <c r="G50" s="31">
        <v>39.4</v>
      </c>
      <c r="H50" s="32">
        <f t="shared" ref="H50:H53" si="19">IF(ISNUMBER(G50), (G50 - $B50) / $B50, "")</f>
        <v>-2.2332506203473913E-2</v>
      </c>
      <c r="I50" s="91">
        <f>IF(ISNUMBER(G50), $B64 * H50, "")</f>
        <v>-3349.875930521087</v>
      </c>
      <c r="J50" s="15">
        <v>39.6</v>
      </c>
      <c r="K50" s="32">
        <f t="shared" ref="K50:K53" si="20">IF(ISNUMBER(J50), (J50 - $B50) / $B50, "")</f>
        <v>-1.7369727047146299E-2</v>
      </c>
      <c r="L50" s="18">
        <f>IF(ISNUMBER(J50), $B64 * K50, "")</f>
        <v>-2605.4590570719447</v>
      </c>
      <c r="M50" s="31">
        <v>39.799999999999997</v>
      </c>
      <c r="N50" s="32">
        <f t="shared" ref="N50:N53" si="21">IF(ISNUMBER(M50), (M50 - $B50) / $B50, "")</f>
        <v>-1.2406947890818859E-2</v>
      </c>
      <c r="O50" s="18">
        <f>IF(ISNUMBER(M50), $B64 * N50, "")</f>
        <v>-1861.0421836228288</v>
      </c>
      <c r="Q50" s="146"/>
      <c r="R50" s="146"/>
      <c r="S50" s="146"/>
    </row>
    <row r="51" spans="1:19" ht="17.25" customHeight="1" thickBot="1">
      <c r="A51" s="109" t="s">
        <v>71</v>
      </c>
      <c r="B51" s="110">
        <v>13.4</v>
      </c>
      <c r="C51" s="70">
        <v>-2.1897810199999999E-2</v>
      </c>
      <c r="D51" s="15">
        <v>13.1</v>
      </c>
      <c r="E51" s="32">
        <f t="shared" si="18"/>
        <v>-2.2388059701492588E-2</v>
      </c>
      <c r="F51" s="18">
        <f>IF(ISNUMBER(D51), $B64 * E51, "")</f>
        <v>-3358.2089552238881</v>
      </c>
      <c r="G51" s="31">
        <v>12.9</v>
      </c>
      <c r="H51" s="32">
        <f t="shared" si="19"/>
        <v>-3.7313432835820892E-2</v>
      </c>
      <c r="I51" s="91">
        <f>IF(ISNUMBER(G51), $B64 * H51, "")</f>
        <v>-5597.0149253731342</v>
      </c>
      <c r="J51" s="15">
        <v>12.9</v>
      </c>
      <c r="K51" s="32">
        <f t="shared" si="20"/>
        <v>-3.7313432835820892E-2</v>
      </c>
      <c r="L51" s="18">
        <f>IF(ISNUMBER(J51), $B64 * K51, "")</f>
        <v>-5597.0149253731342</v>
      </c>
      <c r="M51" s="31">
        <v>13.2</v>
      </c>
      <c r="N51" s="32">
        <f t="shared" si="21"/>
        <v>-1.4925373134328438E-2</v>
      </c>
      <c r="O51" s="18">
        <f>IF(ISNUMBER(M51), $B64 * N51, "")</f>
        <v>-2238.8059701492657</v>
      </c>
      <c r="Q51" s="146"/>
      <c r="R51" s="146"/>
      <c r="S51" s="146"/>
    </row>
    <row r="52" spans="1:19" ht="17.25" customHeight="1" thickBot="1">
      <c r="A52" s="109" t="s">
        <v>253</v>
      </c>
      <c r="B52" s="110">
        <v>96.5</v>
      </c>
      <c r="C52" s="70">
        <v>-2.2289766999999999E-2</v>
      </c>
      <c r="D52" s="15">
        <v>96.1</v>
      </c>
      <c r="E52" s="32">
        <f t="shared" si="18"/>
        <v>-4.1450777202073127E-3</v>
      </c>
      <c r="F52" s="18">
        <f>IF(ISNUMBER(D52), $B64 * E52, "")</f>
        <v>-621.76165803109689</v>
      </c>
      <c r="G52" s="31">
        <v>95.5</v>
      </c>
      <c r="H52" s="32">
        <f t="shared" si="19"/>
        <v>-1.0362694300518135E-2</v>
      </c>
      <c r="I52" s="91">
        <f>IF(ISNUMBER(G52), $B64 * H52, "")</f>
        <v>-1554.4041450777202</v>
      </c>
      <c r="J52" s="15">
        <v>95.8</v>
      </c>
      <c r="K52" s="32">
        <f t="shared" si="20"/>
        <v>-7.2538860103627239E-3</v>
      </c>
      <c r="L52" s="18">
        <f>IF(ISNUMBER(J52), $B64 * K52, "")</f>
        <v>-1088.0829015544086</v>
      </c>
      <c r="M52" s="31">
        <v>96.3</v>
      </c>
      <c r="N52" s="32">
        <f t="shared" si="21"/>
        <v>-2.0725388601036563E-3</v>
      </c>
      <c r="O52" s="18">
        <f>IF(ISNUMBER(M52), $B64 * N52, "")</f>
        <v>-310.88082901554844</v>
      </c>
      <c r="Q52" s="33"/>
      <c r="R52" s="33"/>
    </row>
    <row r="53" spans="1:19" ht="17.25" customHeight="1" thickBot="1">
      <c r="A53" s="114" t="s">
        <v>332</v>
      </c>
      <c r="B53" s="115">
        <v>7.68</v>
      </c>
      <c r="C53" s="72">
        <v>-2.7848101300000001E-2</v>
      </c>
      <c r="D53" s="24">
        <v>7.56</v>
      </c>
      <c r="E53" s="25">
        <f t="shared" si="18"/>
        <v>-1.5625000000000014E-2</v>
      </c>
      <c r="F53" s="94">
        <f>IF(ISNUMBER(D53), $B64 * E53, "")</f>
        <v>-2343.7500000000023</v>
      </c>
      <c r="G53" s="92">
        <v>7.63</v>
      </c>
      <c r="H53" s="25">
        <f t="shared" si="19"/>
        <v>-6.5104166666666435E-3</v>
      </c>
      <c r="I53" s="93">
        <f>IF(ISNUMBER(G53), $B64 * H53, "")</f>
        <v>-976.56249999999648</v>
      </c>
      <c r="J53" s="24">
        <v>7.61</v>
      </c>
      <c r="K53" s="25">
        <f t="shared" si="20"/>
        <v>-9.1145833333332558E-3</v>
      </c>
      <c r="L53" s="94">
        <f>IF(ISNUMBER(J53), $B64 * K53, "")</f>
        <v>-1367.1874999999884</v>
      </c>
      <c r="M53" s="92">
        <v>7.69</v>
      </c>
      <c r="N53" s="25">
        <f t="shared" si="21"/>
        <v>1.3020833333334213E-3</v>
      </c>
      <c r="O53" s="94">
        <f>IF(ISNUMBER(M53), $B64 * N53, "")</f>
        <v>195.31250000001319</v>
      </c>
      <c r="Q53" s="147"/>
      <c r="R53" s="148"/>
      <c r="S53" s="149"/>
    </row>
    <row r="54" spans="1:19" ht="17.25" customHeight="1">
      <c r="A54" s="107" t="s">
        <v>323</v>
      </c>
      <c r="B54" s="108">
        <v>90.8</v>
      </c>
      <c r="C54" s="69">
        <v>-2.8877005300000001E-2</v>
      </c>
      <c r="D54" s="13">
        <v>90.2</v>
      </c>
      <c r="E54" s="14">
        <f>IF(ISNUMBER(D54), (D54 - $B54) / $B54, "")</f>
        <v>-6.6079295154184399E-3</v>
      </c>
      <c r="F54" s="16">
        <f>IF(ISNUMBER(D54), $B64 * E54, "")</f>
        <v>-991.18942731276604</v>
      </c>
      <c r="G54" s="29">
        <v>89.2</v>
      </c>
      <c r="H54" s="14">
        <f>IF(ISNUMBER(G54), (G54 - $B54) / $B54, "")</f>
        <v>-1.7621145374449278E-2</v>
      </c>
      <c r="I54" s="90">
        <f>IF(ISNUMBER(G54), $B64 * H54, "")</f>
        <v>-2643.1718061673919</v>
      </c>
      <c r="J54" s="13">
        <v>89.6</v>
      </c>
      <c r="K54" s="14">
        <f>IF(ISNUMBER(J54), (J54 - $B54) / $B54, "")</f>
        <v>-1.3215859030837036E-2</v>
      </c>
      <c r="L54" s="16">
        <f>IF(ISNUMBER(J54), $B64 * K54, "")</f>
        <v>-1982.3788546255555</v>
      </c>
      <c r="M54" s="29">
        <v>90.2</v>
      </c>
      <c r="N54" s="14">
        <f>IF(ISNUMBER(M54), (M54 - $B54) / $B54, "")</f>
        <v>-6.6079295154184399E-3</v>
      </c>
      <c r="O54" s="16">
        <f>IF(ISNUMBER(M54), $B64 * N54, "")</f>
        <v>-991.18942731276604</v>
      </c>
      <c r="Q54" s="150"/>
      <c r="R54" s="151"/>
      <c r="S54" s="152"/>
    </row>
    <row r="55" spans="1:19" ht="17.25" customHeight="1" thickBot="1">
      <c r="A55" s="109" t="s">
        <v>320</v>
      </c>
      <c r="B55" s="110">
        <v>5.87</v>
      </c>
      <c r="C55" s="70">
        <v>-2.9752066099999998E-2</v>
      </c>
      <c r="D55" s="15">
        <v>5.62</v>
      </c>
      <c r="E55" s="32">
        <f t="shared" ref="E55:E58" si="22">IF(ISNUMBER(D55), (D55 - $B55) / $B55, "")</f>
        <v>-4.2589437819420782E-2</v>
      </c>
      <c r="F55" s="18">
        <f>IF(ISNUMBER(D55), $B64 * E55, "")</f>
        <v>-6388.4156729131173</v>
      </c>
      <c r="G55" s="31">
        <v>5.61</v>
      </c>
      <c r="H55" s="32">
        <f t="shared" ref="H55:H58" si="23">IF(ISNUMBER(G55), (G55 - $B55) / $B55, "")</f>
        <v>-4.429301533219758E-2</v>
      </c>
      <c r="I55" s="91">
        <f>IF(ISNUMBER(G55), $B64 * H55, "")</f>
        <v>-6643.952299829637</v>
      </c>
      <c r="J55" s="15">
        <v>5.64</v>
      </c>
      <c r="K55" s="32">
        <f t="shared" ref="K55:K58" si="24">IF(ISNUMBER(J55), (J55 - $B55) / $B55, "")</f>
        <v>-3.9182282793867193E-2</v>
      </c>
      <c r="L55" s="18">
        <f>IF(ISNUMBER(J55), $B64 * K55, "")</f>
        <v>-5877.3424190800788</v>
      </c>
      <c r="M55" s="31">
        <v>5.72</v>
      </c>
      <c r="N55" s="32">
        <f t="shared" ref="N55:N58" si="25">IF(ISNUMBER(M55), (M55 - $B55) / $B55, "")</f>
        <v>-2.5553662691652532E-2</v>
      </c>
      <c r="O55" s="18">
        <f>IF(ISNUMBER(M55), $B64 * N55, "")</f>
        <v>-3833.0494037478798</v>
      </c>
      <c r="Q55" s="153"/>
      <c r="R55" s="154"/>
      <c r="S55" s="155"/>
    </row>
    <row r="56" spans="1:19" ht="17.25" customHeight="1" thickBot="1">
      <c r="A56" s="109" t="s">
        <v>237</v>
      </c>
      <c r="B56" s="110">
        <v>34.200000000000003</v>
      </c>
      <c r="C56" s="70">
        <v>-3.11614731E-2</v>
      </c>
      <c r="D56" s="15">
        <v>33.9</v>
      </c>
      <c r="E56" s="32">
        <f t="shared" si="22"/>
        <v>-8.7719298245615279E-3</v>
      </c>
      <c r="F56" s="18">
        <f>IF(ISNUMBER(D56), $B64 * E56, "")</f>
        <v>-1315.7894736842293</v>
      </c>
      <c r="G56" s="31">
        <v>33.9</v>
      </c>
      <c r="H56" s="32">
        <f t="shared" si="23"/>
        <v>-8.7719298245615279E-3</v>
      </c>
      <c r="I56" s="91">
        <f>IF(ISNUMBER(G56), $B64 * H56, "")</f>
        <v>-1315.7894736842293</v>
      </c>
      <c r="J56" s="15">
        <v>33.799999999999997</v>
      </c>
      <c r="K56" s="32">
        <f t="shared" si="24"/>
        <v>-1.1695906432748704E-2</v>
      </c>
      <c r="L56" s="18">
        <f>IF(ISNUMBER(J56), $B64 * K56, "")</f>
        <v>-1754.3859649123056</v>
      </c>
      <c r="M56" s="31">
        <v>34.4</v>
      </c>
      <c r="N56" s="32">
        <f t="shared" si="25"/>
        <v>5.8479532163741438E-3</v>
      </c>
      <c r="O56" s="18">
        <f>IF(ISNUMBER(M56), $B64 * N56, "")</f>
        <v>877.19298245612151</v>
      </c>
      <c r="Q56" s="146"/>
      <c r="R56" s="146"/>
      <c r="S56" s="146"/>
    </row>
    <row r="57" spans="1:19" ht="17.25" customHeight="1" thickBot="1">
      <c r="A57" s="109" t="s">
        <v>141</v>
      </c>
      <c r="B57" s="110">
        <v>4.82</v>
      </c>
      <c r="C57" s="70">
        <v>-3.4068136300000003E-2</v>
      </c>
      <c r="D57" s="15">
        <v>4.87</v>
      </c>
      <c r="E57" s="32">
        <f t="shared" si="22"/>
        <v>1.0373443983402453E-2</v>
      </c>
      <c r="F57" s="18">
        <f>IF(ISNUMBER(D57), $B64 * E57, "")</f>
        <v>1556.016597510368</v>
      </c>
      <c r="G57" s="31">
        <v>4.78</v>
      </c>
      <c r="H57" s="32">
        <f t="shared" si="23"/>
        <v>-8.2987551867219986E-3</v>
      </c>
      <c r="I57" s="91">
        <f>IF(ISNUMBER(G57), $B64 * H57, "")</f>
        <v>-1244.8132780082999</v>
      </c>
      <c r="J57" s="15">
        <v>4.83</v>
      </c>
      <c r="K57" s="32">
        <f t="shared" si="24"/>
        <v>2.0746887966804537E-3</v>
      </c>
      <c r="L57" s="18">
        <f>IF(ISNUMBER(J57), $B64 * K57, "")</f>
        <v>311.20331950206804</v>
      </c>
      <c r="M57" s="31">
        <v>4.9000000000000004</v>
      </c>
      <c r="N57" s="32">
        <f t="shared" si="25"/>
        <v>1.6597510373443997E-2</v>
      </c>
      <c r="O57" s="18">
        <f>IF(ISNUMBER(M57), $B64 * N57, "")</f>
        <v>2489.6265560165998</v>
      </c>
      <c r="Q57" s="156"/>
      <c r="R57" s="156"/>
      <c r="S57" s="156"/>
    </row>
    <row r="58" spans="1:19" ht="17.25" customHeight="1" thickBot="1">
      <c r="A58" s="111" t="s">
        <v>185</v>
      </c>
      <c r="B58" s="112">
        <v>39.5</v>
      </c>
      <c r="C58" s="71">
        <v>-3.4229828900000002E-2</v>
      </c>
      <c r="D58" s="20">
        <v>38.9</v>
      </c>
      <c r="E58" s="21">
        <f t="shared" si="22"/>
        <v>-1.5189873417721555E-2</v>
      </c>
      <c r="F58" s="22">
        <f>IF(ISNUMBER(D58), $B64 * E58, "")</f>
        <v>-2278.4810126582333</v>
      </c>
      <c r="G58" s="30">
        <v>38.700000000000003</v>
      </c>
      <c r="H58" s="21">
        <f t="shared" si="23"/>
        <v>-2.0253164556961953E-2</v>
      </c>
      <c r="I58" s="95">
        <f>IF(ISNUMBER(G58), $B64 * H58, "")</f>
        <v>-3037.9746835442929</v>
      </c>
      <c r="J58" s="20">
        <v>38.799999999999997</v>
      </c>
      <c r="K58" s="21">
        <f t="shared" si="24"/>
        <v>-1.7721518987341846E-2</v>
      </c>
      <c r="L58" s="22">
        <f>IF(ISNUMBER(J58), $B64 * K58, "")</f>
        <v>-2658.2278481012768</v>
      </c>
      <c r="M58" s="30">
        <v>39.4</v>
      </c>
      <c r="N58" s="21">
        <f t="shared" si="25"/>
        <v>-2.5316455696202892E-3</v>
      </c>
      <c r="O58" s="22">
        <f>IF(ISNUMBER(M58), $B64 * N58, "")</f>
        <v>-379.74683544304338</v>
      </c>
      <c r="Q58" s="156"/>
      <c r="R58" s="156"/>
      <c r="S58" s="156"/>
    </row>
    <row r="59" spans="1:19" ht="17.25" customHeight="1" thickBot="1">
      <c r="A59" s="109" t="s">
        <v>338</v>
      </c>
      <c r="B59" s="113">
        <v>3.9E-2</v>
      </c>
      <c r="C59" s="73">
        <v>-3.4653465299999998E-2</v>
      </c>
      <c r="D59" s="96">
        <v>3.95E-2</v>
      </c>
      <c r="E59" s="97">
        <f>IF(ISNUMBER(D59), (D59 - $B59) / $B59, "")</f>
        <v>1.2820512820512832E-2</v>
      </c>
      <c r="F59" s="98">
        <f>IF(ISNUMBER(D59), $B64 * E59, "")</f>
        <v>1923.0769230769249</v>
      </c>
      <c r="G59" s="99">
        <v>3.9E-2</v>
      </c>
      <c r="H59" s="97">
        <f>IF(ISNUMBER(G59), (G59 - $B59) / $B59, "")</f>
        <v>0</v>
      </c>
      <c r="I59" s="100">
        <f>IF(ISNUMBER(G59), $B64 * H59, "")</f>
        <v>0</v>
      </c>
      <c r="J59" s="96">
        <v>3.9300000000000002E-2</v>
      </c>
      <c r="K59" s="97">
        <f>IF(ISNUMBER(J59), (J59 - $B59) / $B59, "")</f>
        <v>7.6923076923077344E-3</v>
      </c>
      <c r="L59" s="98">
        <f>IF(ISNUMBER(J59), $B64 * K59, "")</f>
        <v>1153.8461538461602</v>
      </c>
      <c r="M59" s="99">
        <v>3.9699999999999999E-2</v>
      </c>
      <c r="N59" s="97">
        <f>IF(ISNUMBER(M59), (M59 - $B59) / $B59, "")</f>
        <v>1.794871794871793E-2</v>
      </c>
      <c r="O59" s="98">
        <f>IF(ISNUMBER(M59), $B64 * N59, "")</f>
        <v>2692.3076923076896</v>
      </c>
      <c r="Q59" s="146"/>
      <c r="R59" s="146"/>
      <c r="S59" s="146"/>
    </row>
    <row r="60" spans="1:19" ht="17.25" customHeight="1" thickBot="1">
      <c r="A60" s="109" t="s">
        <v>155</v>
      </c>
      <c r="B60" s="110">
        <v>33.200000000000003</v>
      </c>
      <c r="C60" s="70">
        <v>-3.4883720899999998E-2</v>
      </c>
      <c r="D60" s="15">
        <v>32.9</v>
      </c>
      <c r="E60" s="32">
        <f t="shared" ref="E60:E63" si="26">IF(ISNUMBER(D60), (D60 - $B60) / $B60, "")</f>
        <v>-9.036144578313381E-3</v>
      </c>
      <c r="F60" s="18">
        <f>IF(ISNUMBER(D60), $B64 * E60, "")</f>
        <v>-1355.4216867470072</v>
      </c>
      <c r="G60" s="31">
        <v>33</v>
      </c>
      <c r="H60" s="32">
        <f t="shared" ref="H60:H63" si="27">IF(ISNUMBER(G60), (G60 - $B60) / $B60, "")</f>
        <v>-6.024096385542254E-3</v>
      </c>
      <c r="I60" s="91">
        <f>IF(ISNUMBER(G60), $B64 * H60, "")</f>
        <v>-903.61445783133809</v>
      </c>
      <c r="J60" s="15">
        <v>32.799999999999997</v>
      </c>
      <c r="K60" s="32">
        <f t="shared" ref="K60:K63" si="28">IF(ISNUMBER(J60), (J60 - $B60) / $B60, "")</f>
        <v>-1.2048192771084508E-2</v>
      </c>
      <c r="L60" s="18">
        <f>IF(ISNUMBER(J60), $B64 * K60, "")</f>
        <v>-1807.2289156626762</v>
      </c>
      <c r="M60" s="31">
        <v>33.5</v>
      </c>
      <c r="N60" s="32">
        <f t="shared" ref="N60:N63" si="29">IF(ISNUMBER(M60), (M60 - $B60) / $B60, "")</f>
        <v>9.0361445783131659E-3</v>
      </c>
      <c r="O60" s="18">
        <f>IF(ISNUMBER(M60), $B64 * N60, "")</f>
        <v>1355.421686746975</v>
      </c>
      <c r="Q60" s="146"/>
      <c r="R60" s="146"/>
      <c r="S60" s="146"/>
    </row>
    <row r="61" spans="1:19" ht="17.25" customHeight="1" thickBot="1">
      <c r="A61" s="109" t="s">
        <v>221</v>
      </c>
      <c r="B61" s="110">
        <v>24</v>
      </c>
      <c r="C61" s="70">
        <v>-3.6144578300000001E-2</v>
      </c>
      <c r="D61" s="15">
        <v>24.2</v>
      </c>
      <c r="E61" s="32">
        <f t="shared" si="26"/>
        <v>8.3333333333333037E-3</v>
      </c>
      <c r="F61" s="18">
        <f>IF(ISNUMBER(D61), $B64 * E61, "")</f>
        <v>1249.9999999999955</v>
      </c>
      <c r="G61" s="31">
        <v>23.9</v>
      </c>
      <c r="H61" s="32">
        <f t="shared" si="27"/>
        <v>-4.1666666666667256E-3</v>
      </c>
      <c r="I61" s="91">
        <f>IF(ISNUMBER(G61), $B64 * H61, "")</f>
        <v>-625.00000000000887</v>
      </c>
      <c r="J61" s="15">
        <v>23.9</v>
      </c>
      <c r="K61" s="32">
        <f t="shared" si="28"/>
        <v>-4.1666666666667256E-3</v>
      </c>
      <c r="L61" s="18">
        <f>IF(ISNUMBER(J61), $B64 * K61, "")</f>
        <v>-625.00000000000887</v>
      </c>
      <c r="M61" s="31">
        <v>23.9</v>
      </c>
      <c r="N61" s="32">
        <f t="shared" si="29"/>
        <v>-4.1666666666667256E-3</v>
      </c>
      <c r="O61" s="18">
        <f>IF(ISNUMBER(M61), $B64 * N61, "")</f>
        <v>-625.00000000000887</v>
      </c>
      <c r="Q61" s="146"/>
      <c r="R61" s="146"/>
      <c r="S61" s="146"/>
    </row>
    <row r="62" spans="1:19" ht="17.25" customHeight="1">
      <c r="A62" s="109" t="s">
        <v>181</v>
      </c>
      <c r="B62" s="110">
        <v>5.25</v>
      </c>
      <c r="C62" s="70">
        <v>-3.6697247699999998E-2</v>
      </c>
      <c r="D62" s="15">
        <v>5.19</v>
      </c>
      <c r="E62" s="32">
        <f t="shared" si="26"/>
        <v>-1.1428571428571354E-2</v>
      </c>
      <c r="F62" s="18">
        <f>IF(ISNUMBER(D62), $B64 * E62, "")</f>
        <v>-1714.2857142857031</v>
      </c>
      <c r="G62" s="31">
        <v>5.0999999999999996</v>
      </c>
      <c r="H62" s="32">
        <f t="shared" si="27"/>
        <v>-2.857142857142864E-2</v>
      </c>
      <c r="I62" s="91">
        <f>IF(ISNUMBER(G62), $B64 * H62, "")</f>
        <v>-4285.7142857142962</v>
      </c>
      <c r="J62" s="15">
        <v>5.0999999999999996</v>
      </c>
      <c r="K62" s="32">
        <f t="shared" si="28"/>
        <v>-2.857142857142864E-2</v>
      </c>
      <c r="L62" s="18">
        <f>IF(ISNUMBER(J62), $B64 * K62, "")</f>
        <v>-4285.7142857142962</v>
      </c>
      <c r="M62" s="31">
        <v>5.18</v>
      </c>
      <c r="N62" s="32">
        <f t="shared" si="29"/>
        <v>-1.3333333333333388E-2</v>
      </c>
      <c r="O62" s="18">
        <f>IF(ISNUMBER(M62), $B64 * N62, "")</f>
        <v>-2000.0000000000082</v>
      </c>
      <c r="Q62" s="135"/>
      <c r="R62" s="136"/>
      <c r="S62" s="137"/>
    </row>
    <row r="63" spans="1:19" ht="17.25" customHeight="1" thickBot="1">
      <c r="A63" s="114" t="s">
        <v>195</v>
      </c>
      <c r="B63" s="115">
        <v>8.32</v>
      </c>
      <c r="C63" s="72">
        <v>-4.2577675500000002E-2</v>
      </c>
      <c r="D63" s="24">
        <v>8.24</v>
      </c>
      <c r="E63" s="25">
        <f t="shared" si="26"/>
        <v>-9.6153846153846229E-3</v>
      </c>
      <c r="F63" s="94">
        <f>IF(ISNUMBER(D63), $B64 * E63, "")</f>
        <v>-1442.3076923076935</v>
      </c>
      <c r="G63" s="92">
        <v>8.23</v>
      </c>
      <c r="H63" s="25">
        <f t="shared" si="27"/>
        <v>-1.0817307692307675E-2</v>
      </c>
      <c r="I63" s="93">
        <f>IF(ISNUMBER(G63), $B64 * H63, "")</f>
        <v>-1622.5961538461513</v>
      </c>
      <c r="J63" s="24">
        <v>8.17</v>
      </c>
      <c r="K63" s="25">
        <f t="shared" si="28"/>
        <v>-1.8028846153846197E-2</v>
      </c>
      <c r="L63" s="94">
        <f>IF(ISNUMBER(J63), $B64 * K63, "")</f>
        <v>-2704.3269230769297</v>
      </c>
      <c r="M63" s="92">
        <v>8.3699999999999992</v>
      </c>
      <c r="N63" s="25">
        <f t="shared" si="29"/>
        <v>6.0096153846152566E-3</v>
      </c>
      <c r="O63" s="94">
        <f>IF(ISNUMBER(M63), $B64 * N63, "")</f>
        <v>901.44230769228852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-1.0935868942641726E-2</v>
      </c>
      <c r="F64" s="28">
        <f>SUM(F44:F63)</f>
        <v>-32807.606827925185</v>
      </c>
      <c r="G64" s="26" t="s">
        <v>258</v>
      </c>
      <c r="H64" s="27">
        <f>IF(COUNT(H44:H63), SUM(H44:H63) / COUNT(H44:H63), 0)</f>
        <v>-2.0742764461762334E-2</v>
      </c>
      <c r="I64" s="28">
        <f>SUM(I44:I63)</f>
        <v>-62228.293385287012</v>
      </c>
      <c r="J64" s="26" t="s">
        <v>258</v>
      </c>
      <c r="K64" s="27">
        <f>IF(COUNT(K44:K63), SUM(K44:K63) / COUNT(K44:K63), 0)</f>
        <v>-1.7457606358926646E-2</v>
      </c>
      <c r="L64" s="28">
        <f>SUM(L44:L63)</f>
        <v>-52372.819076779946</v>
      </c>
      <c r="M64" s="26" t="s">
        <v>258</v>
      </c>
      <c r="N64" s="27">
        <f>IF(COUNT(N44:N63), SUM(N44:N63) / COUNT(N44:N63), 0)</f>
        <v>-8.2396536414507792E-3</v>
      </c>
      <c r="O64" s="28">
        <f>SUM(O44:O63)</f>
        <v>-24718.960924352337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2023-03-09(목) 오전 00:00</v>
      </c>
      <c r="C69" s="198"/>
      <c r="D69" s="170" t="str">
        <f>TEXT($G$1, "[$-ko-KR]yyyy-mm-dd(ddd) ") &amp; "오후 14:00"</f>
        <v>2023-03-09(목) 오후 14:00</v>
      </c>
      <c r="E69" s="171"/>
      <c r="F69" s="172"/>
      <c r="G69" s="170" t="str">
        <f>TEXT($G$1, "[$-ko-KR]yyyy-mm-dd(ddd) ") &amp; "오후 19:00"</f>
        <v>2023-03-09(목) 오후 19:00</v>
      </c>
      <c r="H69" s="171"/>
      <c r="I69" s="172"/>
      <c r="J69" s="170" t="str">
        <f>TEXT($G$1, "[$-ko-KR]yyyy-mm-dd(ddd) ") &amp; "오후 21:00"</f>
        <v>2023-03-09(목) 오후 21:00</v>
      </c>
      <c r="K69" s="171"/>
      <c r="L69" s="172"/>
      <c r="M69" s="170" t="str">
        <f>TEXT($G$1+1, "[$-ko-KR]yyyy-mm-dd(ddd) ") &amp; "오전 00:00"</f>
        <v>2023-03-10(금)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215</v>
      </c>
      <c r="B71" s="108">
        <v>507</v>
      </c>
      <c r="C71" s="69">
        <v>5.6250000000000001E-2</v>
      </c>
      <c r="D71" s="13">
        <v>476</v>
      </c>
      <c r="E71" s="14">
        <f>IF(ISNUMBER(D71), (D71 - $B71) / $B71, "")</f>
        <v>-6.1143984220907298E-2</v>
      </c>
      <c r="F71" s="16">
        <f>IF(ISNUMBER(D71), $B91 * E71, "")</f>
        <v>-9171.5976331360944</v>
      </c>
      <c r="G71" s="29">
        <v>466</v>
      </c>
      <c r="H71" s="14">
        <f>IF(ISNUMBER(G71), (G71 - $B71) / $B71, "")</f>
        <v>-8.0867850098619326E-2</v>
      </c>
      <c r="I71" s="90">
        <f>IF(ISNUMBER(G71), $B91 * H71, "")</f>
        <v>-12130.177514792898</v>
      </c>
      <c r="J71" s="13">
        <v>468</v>
      </c>
      <c r="K71" s="14">
        <f>IF(ISNUMBER(J71), (J71 - $B71) / $B71, "")</f>
        <v>-7.6923076923076927E-2</v>
      </c>
      <c r="L71" s="16">
        <f>IF(ISNUMBER(J71), $B91 * K71, "")</f>
        <v>-11538.461538461539</v>
      </c>
      <c r="M71" s="29">
        <v>475</v>
      </c>
      <c r="N71" s="14">
        <f>IF(ISNUMBER(M71), (M71 - $B71) / $B71, "")</f>
        <v>-6.3116370808678504E-2</v>
      </c>
      <c r="O71" s="16">
        <f>IF(ISNUMBER(M71), $B91 * N71, "")</f>
        <v>-9467.455621301775</v>
      </c>
      <c r="Q71" s="156"/>
      <c r="R71" s="156"/>
      <c r="S71" s="156"/>
    </row>
    <row r="72" spans="1:19" ht="17.25" thickBot="1">
      <c r="A72" s="109" t="s">
        <v>89</v>
      </c>
      <c r="B72" s="110">
        <v>520</v>
      </c>
      <c r="C72" s="70">
        <v>2.9702970299999999E-2</v>
      </c>
      <c r="D72" s="15">
        <v>517</v>
      </c>
      <c r="E72" s="32">
        <f t="shared" ref="E72:E75" si="30">IF(ISNUMBER(D72), (D72 - $B72) / $B72, "")</f>
        <v>-5.7692307692307696E-3</v>
      </c>
      <c r="F72" s="18">
        <f>IF(ISNUMBER(D72), $B91 * E72, "")</f>
        <v>-865.38461538461547</v>
      </c>
      <c r="G72" s="31">
        <v>527</v>
      </c>
      <c r="H72" s="32">
        <f t="shared" ref="H72:H75" si="31">IF(ISNUMBER(G72), (G72 - $B72) / $B72, "")</f>
        <v>1.3461538461538462E-2</v>
      </c>
      <c r="I72" s="91">
        <f>IF(ISNUMBER(G72), $B91 * H72, "")</f>
        <v>2019.2307692307693</v>
      </c>
      <c r="J72" s="15">
        <v>525</v>
      </c>
      <c r="K72" s="32">
        <f t="shared" ref="K72:K75" si="32">IF(ISNUMBER(J72), (J72 - $B72) / $B72, "")</f>
        <v>9.6153846153846159E-3</v>
      </c>
      <c r="L72" s="18">
        <f>IF(ISNUMBER(J72), $B91 * K72, "")</f>
        <v>1442.3076923076924</v>
      </c>
      <c r="M72" s="31">
        <v>526</v>
      </c>
      <c r="N72" s="32">
        <f t="shared" ref="N72:N75" si="33">IF(ISNUMBER(M72), (M72 - $B72) / $B72, "")</f>
        <v>1.1538461538461539E-2</v>
      </c>
      <c r="O72" s="18">
        <f>IF(ISNUMBER(M72), $B91 * N72, "")</f>
        <v>1730.7692307692309</v>
      </c>
      <c r="Q72" s="156"/>
      <c r="R72" s="156"/>
      <c r="S72" s="156"/>
    </row>
    <row r="73" spans="1:19" ht="17.25" thickBot="1">
      <c r="A73" s="109" t="s">
        <v>157</v>
      </c>
      <c r="B73" s="110">
        <v>373</v>
      </c>
      <c r="C73" s="70">
        <v>2.4725274700000001E-2</v>
      </c>
      <c r="D73" s="15">
        <v>371</v>
      </c>
      <c r="E73" s="32">
        <f t="shared" si="30"/>
        <v>-5.3619302949061663E-3</v>
      </c>
      <c r="F73" s="18">
        <f>IF(ISNUMBER(D73), $B91 * E73, "")</f>
        <v>-804.28954423592495</v>
      </c>
      <c r="G73" s="31">
        <v>370</v>
      </c>
      <c r="H73" s="32">
        <f t="shared" si="31"/>
        <v>-8.0428954423592495E-3</v>
      </c>
      <c r="I73" s="91">
        <f>IF(ISNUMBER(G73), $B91 * H73, "")</f>
        <v>-1206.4343163538874</v>
      </c>
      <c r="J73" s="15">
        <v>371</v>
      </c>
      <c r="K73" s="32">
        <f t="shared" si="32"/>
        <v>-5.3619302949061663E-3</v>
      </c>
      <c r="L73" s="18">
        <f>IF(ISNUMBER(J73), $B91 * K73, "")</f>
        <v>-804.28954423592495</v>
      </c>
      <c r="M73" s="31">
        <v>374</v>
      </c>
      <c r="N73" s="32">
        <f t="shared" si="33"/>
        <v>2.6809651474530832E-3</v>
      </c>
      <c r="O73" s="18">
        <f>IF(ISNUMBER(M73), $B91 * N73, "")</f>
        <v>402.14477211796248</v>
      </c>
      <c r="Q73" s="146"/>
      <c r="R73" s="146"/>
      <c r="S73" s="146"/>
    </row>
    <row r="74" spans="1:19" ht="17.25" thickBot="1">
      <c r="A74" s="109" t="s">
        <v>51</v>
      </c>
      <c r="B74" s="110">
        <v>112</v>
      </c>
      <c r="C74" s="70">
        <v>1.8181818200000002E-2</v>
      </c>
      <c r="D74" s="15">
        <v>109</v>
      </c>
      <c r="E74" s="32">
        <f t="shared" si="30"/>
        <v>-2.6785714285714284E-2</v>
      </c>
      <c r="F74" s="18">
        <f>IF(ISNUMBER(D74), $B91 * E74, "")</f>
        <v>-4017.8571428571427</v>
      </c>
      <c r="G74" s="31">
        <v>108</v>
      </c>
      <c r="H74" s="32">
        <f t="shared" si="31"/>
        <v>-3.5714285714285712E-2</v>
      </c>
      <c r="I74" s="91">
        <f>IF(ISNUMBER(G74), $B91 * H74, "")</f>
        <v>-5357.1428571428569</v>
      </c>
      <c r="J74" s="15">
        <v>109</v>
      </c>
      <c r="K74" s="32">
        <f t="shared" si="32"/>
        <v>-2.6785714285714284E-2</v>
      </c>
      <c r="L74" s="18">
        <f>IF(ISNUMBER(J74), $B91 * K74, "")</f>
        <v>-4017.8571428571427</v>
      </c>
      <c r="M74" s="31">
        <v>108</v>
      </c>
      <c r="N74" s="32">
        <f t="shared" si="33"/>
        <v>-3.5714285714285712E-2</v>
      </c>
      <c r="O74" s="18">
        <f>IF(ISNUMBER(M74), $B91 * N74, "")</f>
        <v>-5357.1428571428569</v>
      </c>
      <c r="Q74" s="146"/>
      <c r="R74" s="146"/>
      <c r="S74" s="146"/>
    </row>
    <row r="75" spans="1:19" ht="17.25" thickBot="1">
      <c r="A75" s="111" t="s">
        <v>209</v>
      </c>
      <c r="B75" s="112">
        <v>127</v>
      </c>
      <c r="C75" s="71">
        <v>-7.8125E-3</v>
      </c>
      <c r="D75" s="20">
        <v>124</v>
      </c>
      <c r="E75" s="21">
        <f t="shared" si="30"/>
        <v>-2.3622047244094488E-2</v>
      </c>
      <c r="F75" s="22">
        <f>IF(ISNUMBER(D75), $B91 * E75, "")</f>
        <v>-3543.3070866141734</v>
      </c>
      <c r="G75" s="30">
        <v>123</v>
      </c>
      <c r="H75" s="21">
        <f t="shared" si="31"/>
        <v>-3.1496062992125984E-2</v>
      </c>
      <c r="I75" s="95">
        <f>IF(ISNUMBER(G75), $B91 * H75, "")</f>
        <v>-4724.4094488188975</v>
      </c>
      <c r="J75" s="20">
        <v>125</v>
      </c>
      <c r="K75" s="21">
        <f t="shared" si="32"/>
        <v>-1.5748031496062992E-2</v>
      </c>
      <c r="L75" s="22">
        <f>IF(ISNUMBER(J75), $B91 * K75, "")</f>
        <v>-2362.2047244094488</v>
      </c>
      <c r="M75" s="30">
        <v>128</v>
      </c>
      <c r="N75" s="21">
        <f t="shared" si="33"/>
        <v>7.874015748031496E-3</v>
      </c>
      <c r="O75" s="22">
        <f>IF(ISNUMBER(M75), $B91 * N75, "")</f>
        <v>1181.1023622047244</v>
      </c>
      <c r="Q75" s="146"/>
      <c r="R75" s="146"/>
      <c r="S75" s="146"/>
    </row>
    <row r="76" spans="1:19" ht="17.25" thickBot="1">
      <c r="A76" s="109" t="s">
        <v>81</v>
      </c>
      <c r="B76" s="113">
        <v>426</v>
      </c>
      <c r="C76" s="73">
        <v>-2.9612756300000001E-2</v>
      </c>
      <c r="D76" s="96">
        <v>426</v>
      </c>
      <c r="E76" s="97">
        <f>IF(ISNUMBER(D76), (D76 - $B76) / $B76, "")</f>
        <v>0</v>
      </c>
      <c r="F76" s="98">
        <f>IF(ISNUMBER(D76), $B91 * E76, "")</f>
        <v>0</v>
      </c>
      <c r="G76" s="99">
        <v>422</v>
      </c>
      <c r="H76" s="97">
        <f>IF(ISNUMBER(G76), (G76 - $B76) / $B76, "")</f>
        <v>-9.3896713615023476E-3</v>
      </c>
      <c r="I76" s="100">
        <f>IF(ISNUMBER(G76), $B91 * H76, "")</f>
        <v>-1408.4507042253522</v>
      </c>
      <c r="J76" s="96">
        <v>424</v>
      </c>
      <c r="K76" s="97">
        <f>IF(ISNUMBER(J76), (J76 - $B76) / $B76, "")</f>
        <v>-4.6948356807511738E-3</v>
      </c>
      <c r="L76" s="98">
        <f>IF(ISNUMBER(J76), $B91 * K76, "")</f>
        <v>-704.22535211267609</v>
      </c>
      <c r="M76" s="99">
        <v>428</v>
      </c>
      <c r="N76" s="97">
        <f>IF(ISNUMBER(M76), (M76 - $B76) / $B76, "")</f>
        <v>4.6948356807511738E-3</v>
      </c>
      <c r="O76" s="98">
        <f>IF(ISNUMBER(M76), $B91 * N76, "")</f>
        <v>704.22535211267609</v>
      </c>
      <c r="Q76" s="146"/>
      <c r="R76" s="146"/>
      <c r="S76" s="146"/>
    </row>
    <row r="77" spans="1:19" ht="17.25" thickBot="1">
      <c r="A77" s="109" t="s">
        <v>239</v>
      </c>
      <c r="B77" s="110">
        <v>517</v>
      </c>
      <c r="C77" s="70">
        <v>-3.00187617E-2</v>
      </c>
      <c r="D77" s="15">
        <v>503</v>
      </c>
      <c r="E77" s="32">
        <f t="shared" ref="E77:E80" si="34">IF(ISNUMBER(D77), (D77 - $B77) / $B77, "")</f>
        <v>-2.7079303675048357E-2</v>
      </c>
      <c r="F77" s="18">
        <f>IF(ISNUMBER(D77), $B91 * E77, "")</f>
        <v>-4061.8955512572534</v>
      </c>
      <c r="G77" s="31">
        <v>505</v>
      </c>
      <c r="H77" s="32">
        <f t="shared" ref="H77:H80" si="35">IF(ISNUMBER(G77), (G77 - $B77) / $B77, "")</f>
        <v>-2.321083172147002E-2</v>
      </c>
      <c r="I77" s="91">
        <f>IF(ISNUMBER(G77), $B91 * H77, "")</f>
        <v>-3481.6247582205028</v>
      </c>
      <c r="J77" s="15">
        <v>507</v>
      </c>
      <c r="K77" s="32">
        <f t="shared" ref="K77:K80" si="36">IF(ISNUMBER(J77), (J77 - $B77) / $B77, "")</f>
        <v>-1.9342359767891684E-2</v>
      </c>
      <c r="L77" s="18">
        <f>IF(ISNUMBER(J77), $B91 * K77, "")</f>
        <v>-2901.3539651837527</v>
      </c>
      <c r="M77" s="31">
        <v>514</v>
      </c>
      <c r="N77" s="32">
        <f t="shared" ref="N77:N80" si="37">IF(ISNUMBER(M77), (M77 - $B77) / $B77, "")</f>
        <v>-5.8027079303675051E-3</v>
      </c>
      <c r="O77" s="18">
        <f>IF(ISNUMBER(M77), $B91 * N77, "")</f>
        <v>-870.40618955512571</v>
      </c>
      <c r="Q77" s="146"/>
      <c r="R77" s="146"/>
      <c r="S77" s="146"/>
    </row>
    <row r="78" spans="1:19" ht="17.25" thickBot="1">
      <c r="A78" s="109" t="s">
        <v>219</v>
      </c>
      <c r="B78" s="110">
        <v>504</v>
      </c>
      <c r="C78" s="70">
        <v>-3.0769230799999998E-2</v>
      </c>
      <c r="D78" s="15">
        <v>496</v>
      </c>
      <c r="E78" s="32">
        <f t="shared" si="34"/>
        <v>-1.5873015873015872E-2</v>
      </c>
      <c r="F78" s="18">
        <f>IF(ISNUMBER(D78), $B91 * E78, "")</f>
        <v>-2380.9523809523807</v>
      </c>
      <c r="G78" s="31">
        <v>494</v>
      </c>
      <c r="H78" s="32">
        <f t="shared" si="35"/>
        <v>-1.984126984126984E-2</v>
      </c>
      <c r="I78" s="91">
        <f>IF(ISNUMBER(G78), $B91 * H78, "")</f>
        <v>-2976.1904761904761</v>
      </c>
      <c r="J78" s="15">
        <v>492</v>
      </c>
      <c r="K78" s="32">
        <f t="shared" si="36"/>
        <v>-2.3809523809523808E-2</v>
      </c>
      <c r="L78" s="18">
        <f>IF(ISNUMBER(J78), $B91 * K78, "")</f>
        <v>-3571.4285714285711</v>
      </c>
      <c r="M78" s="31">
        <v>500</v>
      </c>
      <c r="N78" s="32">
        <f t="shared" si="37"/>
        <v>-7.9365079365079361E-3</v>
      </c>
      <c r="O78" s="18">
        <f>IF(ISNUMBER(M78), $B91 * N78, "")</f>
        <v>-1190.4761904761904</v>
      </c>
      <c r="Q78" s="146"/>
      <c r="R78" s="146"/>
      <c r="S78" s="146"/>
    </row>
    <row r="79" spans="1:19" ht="17.25" thickBot="1">
      <c r="A79" s="109" t="s">
        <v>329</v>
      </c>
      <c r="B79" s="110">
        <v>562</v>
      </c>
      <c r="C79" s="70">
        <v>-3.2702237500000002E-2</v>
      </c>
      <c r="D79" s="15">
        <v>552</v>
      </c>
      <c r="E79" s="32">
        <f t="shared" si="34"/>
        <v>-1.7793594306049824E-2</v>
      </c>
      <c r="F79" s="18">
        <f>IF(ISNUMBER(D79), $B91 * E79, "")</f>
        <v>-2669.0391459074735</v>
      </c>
      <c r="G79" s="31">
        <v>554</v>
      </c>
      <c r="H79" s="32">
        <f t="shared" si="35"/>
        <v>-1.4234875444839857E-2</v>
      </c>
      <c r="I79" s="91">
        <f>IF(ISNUMBER(G79), $B91 * H79, "")</f>
        <v>-2135.2313167259786</v>
      </c>
      <c r="J79" s="15">
        <v>552</v>
      </c>
      <c r="K79" s="32">
        <f t="shared" si="36"/>
        <v>-1.7793594306049824E-2</v>
      </c>
      <c r="L79" s="18">
        <f>IF(ISNUMBER(J79), $B91 * K79, "")</f>
        <v>-2669.0391459074735</v>
      </c>
      <c r="M79" s="31">
        <v>563</v>
      </c>
      <c r="N79" s="32">
        <f t="shared" si="37"/>
        <v>1.7793594306049821E-3</v>
      </c>
      <c r="O79" s="18">
        <f>IF(ISNUMBER(M79), $B91 * N79, "")</f>
        <v>266.90391459074732</v>
      </c>
      <c r="Q79" s="33"/>
      <c r="R79" s="33"/>
    </row>
    <row r="80" spans="1:19" ht="17.25" thickBot="1">
      <c r="A80" s="114" t="s">
        <v>66</v>
      </c>
      <c r="B80" s="115">
        <v>882</v>
      </c>
      <c r="C80" s="72">
        <v>-3.7117903899999999E-2</v>
      </c>
      <c r="D80" s="24">
        <v>880</v>
      </c>
      <c r="E80" s="25">
        <f t="shared" si="34"/>
        <v>-2.2675736961451248E-3</v>
      </c>
      <c r="F80" s="94">
        <f>IF(ISNUMBER(D80), $B91 * E80, "")</f>
        <v>-340.13605442176873</v>
      </c>
      <c r="G80" s="92">
        <v>888</v>
      </c>
      <c r="H80" s="25">
        <f t="shared" si="35"/>
        <v>6.8027210884353739E-3</v>
      </c>
      <c r="I80" s="93">
        <f>IF(ISNUMBER(G80), $B91 * H80, "")</f>
        <v>1020.408163265306</v>
      </c>
      <c r="J80" s="24">
        <v>897</v>
      </c>
      <c r="K80" s="25">
        <f t="shared" si="36"/>
        <v>1.7006802721088437E-2</v>
      </c>
      <c r="L80" s="94">
        <f>IF(ISNUMBER(J80), $B91 * K80, "")</f>
        <v>2551.0204081632655</v>
      </c>
      <c r="M80" s="92">
        <v>897</v>
      </c>
      <c r="N80" s="25">
        <f t="shared" si="37"/>
        <v>1.7006802721088437E-2</v>
      </c>
      <c r="O80" s="94">
        <f>IF(ISNUMBER(M80), $B91 * N80, "")</f>
        <v>2551.0204081632655</v>
      </c>
      <c r="Q80" s="147"/>
      <c r="R80" s="148"/>
      <c r="S80" s="149"/>
    </row>
    <row r="81" spans="1:19">
      <c r="A81" s="107" t="s">
        <v>229</v>
      </c>
      <c r="B81" s="108">
        <v>304</v>
      </c>
      <c r="C81" s="69">
        <v>-3.7974683500000002E-2</v>
      </c>
      <c r="D81" s="13">
        <v>296</v>
      </c>
      <c r="E81" s="14">
        <f>IF(ISNUMBER(D81), (D81 - $B81) / $B81, "")</f>
        <v>-2.6315789473684209E-2</v>
      </c>
      <c r="F81" s="16">
        <f>IF(ISNUMBER(D81), $B91 * E81, "")</f>
        <v>-3947.3684210526312</v>
      </c>
      <c r="G81" s="29">
        <v>294</v>
      </c>
      <c r="H81" s="14">
        <f>IF(ISNUMBER(G81), (G81 - $B81) / $B81, "")</f>
        <v>-3.2894736842105261E-2</v>
      </c>
      <c r="I81" s="90">
        <f>IF(ISNUMBER(G81), $B91 * H81, "")</f>
        <v>-4934.2105263157891</v>
      </c>
      <c r="J81" s="13">
        <v>296</v>
      </c>
      <c r="K81" s="14">
        <f>IF(ISNUMBER(J81), (J81 - $B81) / $B81, "")</f>
        <v>-2.6315789473684209E-2</v>
      </c>
      <c r="L81" s="16">
        <f>IF(ISNUMBER(J81), $B91 * K81, "")</f>
        <v>-3947.3684210526312</v>
      </c>
      <c r="M81" s="29">
        <v>298</v>
      </c>
      <c r="N81" s="14">
        <f>IF(ISNUMBER(M81), (M81 - $B81) / $B81, "")</f>
        <v>-1.9736842105263157E-2</v>
      </c>
      <c r="O81" s="16">
        <f>IF(ISNUMBER(M81), $B91 * N81, "")</f>
        <v>-2960.5263157894733</v>
      </c>
      <c r="Q81" s="150"/>
      <c r="R81" s="151"/>
      <c r="S81" s="152"/>
    </row>
    <row r="82" spans="1:19" ht="17.25" thickBot="1">
      <c r="A82" s="109" t="s">
        <v>213</v>
      </c>
      <c r="B82" s="110">
        <v>567</v>
      </c>
      <c r="C82" s="70">
        <v>-3.8983050800000002E-2</v>
      </c>
      <c r="D82" s="15">
        <v>570</v>
      </c>
      <c r="E82" s="32">
        <f t="shared" ref="E82:E85" si="38">IF(ISNUMBER(D82), (D82 - $B82) / $B82, "")</f>
        <v>5.2910052910052907E-3</v>
      </c>
      <c r="F82" s="18">
        <f>IF(ISNUMBER(D82), $B91 * E82, "")</f>
        <v>793.65079365079362</v>
      </c>
      <c r="G82" s="31">
        <v>562</v>
      </c>
      <c r="H82" s="32">
        <f t="shared" ref="H82:H85" si="39">IF(ISNUMBER(G82), (G82 - $B82) / $B82, "")</f>
        <v>-8.8183421516754845E-3</v>
      </c>
      <c r="I82" s="91">
        <f>IF(ISNUMBER(G82), $B91 * H82, "")</f>
        <v>-1322.7513227513227</v>
      </c>
      <c r="J82" s="15">
        <v>566</v>
      </c>
      <c r="K82" s="32">
        <f t="shared" ref="K82:K85" si="40">IF(ISNUMBER(J82), (J82 - $B82) / $B82, "")</f>
        <v>-1.7636684303350969E-3</v>
      </c>
      <c r="L82" s="18">
        <f>IF(ISNUMBER(J82), $B91 * K82, "")</f>
        <v>-264.55026455026456</v>
      </c>
      <c r="M82" s="31">
        <v>573</v>
      </c>
      <c r="N82" s="32">
        <f t="shared" ref="N82:N85" si="41">IF(ISNUMBER(M82), (M82 - $B82) / $B82, "")</f>
        <v>1.0582010582010581E-2</v>
      </c>
      <c r="O82" s="18">
        <f>IF(ISNUMBER(M82), $B91 * N82, "")</f>
        <v>1587.3015873015872</v>
      </c>
      <c r="Q82" s="153"/>
      <c r="R82" s="154"/>
      <c r="S82" s="155"/>
    </row>
    <row r="83" spans="1:19" ht="17.25" thickBot="1">
      <c r="A83" s="109" t="s">
        <v>235</v>
      </c>
      <c r="B83" s="110">
        <v>661</v>
      </c>
      <c r="C83" s="70">
        <v>-3.9244186E-2</v>
      </c>
      <c r="D83" s="15">
        <v>662</v>
      </c>
      <c r="E83" s="32">
        <f t="shared" si="38"/>
        <v>1.5128593040847202E-3</v>
      </c>
      <c r="F83" s="18">
        <f>IF(ISNUMBER(D83), $B91 * E83, "")</f>
        <v>226.92889561270803</v>
      </c>
      <c r="G83" s="31">
        <v>656</v>
      </c>
      <c r="H83" s="32">
        <f t="shared" si="39"/>
        <v>-7.5642965204236008E-3</v>
      </c>
      <c r="I83" s="91">
        <f>IF(ISNUMBER(G83), $B91 * H83, "")</f>
        <v>-1134.6444780635402</v>
      </c>
      <c r="J83" s="15">
        <v>661</v>
      </c>
      <c r="K83" s="32">
        <f t="shared" si="40"/>
        <v>0</v>
      </c>
      <c r="L83" s="18">
        <f>IF(ISNUMBER(J83), $B91 * K83, "")</f>
        <v>0</v>
      </c>
      <c r="M83" s="31">
        <v>667</v>
      </c>
      <c r="N83" s="32">
        <f t="shared" si="41"/>
        <v>9.0771558245083209E-3</v>
      </c>
      <c r="O83" s="18">
        <f>IF(ISNUMBER(M83), $B91 * N83, "")</f>
        <v>1361.5733736762481</v>
      </c>
      <c r="Q83" s="146"/>
      <c r="R83" s="146"/>
      <c r="S83" s="146"/>
    </row>
    <row r="84" spans="1:19" ht="17.25" thickBot="1">
      <c r="A84" s="109" t="s">
        <v>199</v>
      </c>
      <c r="B84" s="110">
        <v>340</v>
      </c>
      <c r="C84" s="70">
        <v>-3.9548022600000003E-2</v>
      </c>
      <c r="D84" s="15">
        <v>340</v>
      </c>
      <c r="E84" s="32">
        <f t="shared" si="38"/>
        <v>0</v>
      </c>
      <c r="F84" s="18">
        <f>IF(ISNUMBER(D84), $B91 * E84, "")</f>
        <v>0</v>
      </c>
      <c r="G84" s="31">
        <v>339</v>
      </c>
      <c r="H84" s="32">
        <f t="shared" si="39"/>
        <v>-2.9411764705882353E-3</v>
      </c>
      <c r="I84" s="91">
        <f>IF(ISNUMBER(G84), $B91 * H84, "")</f>
        <v>-441.1764705882353</v>
      </c>
      <c r="J84" s="15">
        <v>335</v>
      </c>
      <c r="K84" s="32">
        <f t="shared" si="40"/>
        <v>-1.4705882352941176E-2</v>
      </c>
      <c r="L84" s="18">
        <f>IF(ISNUMBER(J84), $B91 * K84, "")</f>
        <v>-2205.8823529411766</v>
      </c>
      <c r="M84" s="31">
        <v>339</v>
      </c>
      <c r="N84" s="32">
        <f t="shared" si="41"/>
        <v>-2.9411764705882353E-3</v>
      </c>
      <c r="O84" s="18">
        <f>IF(ISNUMBER(M84), $B91 * N84, "")</f>
        <v>-441.1764705882353</v>
      </c>
      <c r="Q84" s="156"/>
      <c r="R84" s="156"/>
      <c r="S84" s="156"/>
    </row>
    <row r="85" spans="1:19" ht="17.25" thickBot="1">
      <c r="A85" s="111" t="s">
        <v>169</v>
      </c>
      <c r="B85" s="112">
        <v>267</v>
      </c>
      <c r="C85" s="71">
        <v>-3.9568345300000002E-2</v>
      </c>
      <c r="D85" s="20">
        <v>274</v>
      </c>
      <c r="E85" s="21">
        <f t="shared" si="38"/>
        <v>2.6217228464419477E-2</v>
      </c>
      <c r="F85" s="22">
        <f>IF(ISNUMBER(D85), $B91 * E85, "")</f>
        <v>3932.5842696629215</v>
      </c>
      <c r="G85" s="30">
        <v>274</v>
      </c>
      <c r="H85" s="21">
        <f t="shared" si="39"/>
        <v>2.6217228464419477E-2</v>
      </c>
      <c r="I85" s="95">
        <f>IF(ISNUMBER(G85), $B91 * H85, "")</f>
        <v>3932.5842696629215</v>
      </c>
      <c r="J85" s="20">
        <v>278</v>
      </c>
      <c r="K85" s="21">
        <f t="shared" si="40"/>
        <v>4.1198501872659173E-2</v>
      </c>
      <c r="L85" s="22">
        <f>IF(ISNUMBER(J85), $B91 * K85, "")</f>
        <v>6179.7752808988762</v>
      </c>
      <c r="M85" s="30">
        <v>276</v>
      </c>
      <c r="N85" s="21">
        <f t="shared" si="41"/>
        <v>3.3707865168539325E-2</v>
      </c>
      <c r="O85" s="22">
        <f>IF(ISNUMBER(M85), $B91 * N85, "")</f>
        <v>5056.1797752808989</v>
      </c>
      <c r="Q85" s="156"/>
      <c r="R85" s="156"/>
      <c r="S85" s="156"/>
    </row>
    <row r="86" spans="1:19" ht="17.25" thickBot="1">
      <c r="A86" s="109" t="s">
        <v>241</v>
      </c>
      <c r="B86" s="113">
        <v>118</v>
      </c>
      <c r="C86" s="73">
        <v>-4.06504065E-2</v>
      </c>
      <c r="D86" s="96">
        <v>116</v>
      </c>
      <c r="E86" s="97">
        <f>IF(ISNUMBER(D86), (D86 - $B86) / $B86, "")</f>
        <v>-1.6949152542372881E-2</v>
      </c>
      <c r="F86" s="98">
        <f>IF(ISNUMBER(D86), $B91 * E86, "")</f>
        <v>-2542.3728813559323</v>
      </c>
      <c r="G86" s="99">
        <v>114</v>
      </c>
      <c r="H86" s="97">
        <f>IF(ISNUMBER(G86), (G86 - $B86) / $B86, "")</f>
        <v>-3.3898305084745763E-2</v>
      </c>
      <c r="I86" s="100">
        <f>IF(ISNUMBER(G86), $B91 * H86, "")</f>
        <v>-5084.7457627118647</v>
      </c>
      <c r="J86" s="96">
        <v>116</v>
      </c>
      <c r="K86" s="97">
        <f>IF(ISNUMBER(J86), (J86 - $B86) / $B86, "")</f>
        <v>-1.6949152542372881E-2</v>
      </c>
      <c r="L86" s="98">
        <f>IF(ISNUMBER(J86), $B91 * K86, "")</f>
        <v>-2542.3728813559323</v>
      </c>
      <c r="M86" s="99">
        <v>116</v>
      </c>
      <c r="N86" s="97">
        <f>IF(ISNUMBER(M86), (M86 - $B86) / $B86, "")</f>
        <v>-1.6949152542372881E-2</v>
      </c>
      <c r="O86" s="98">
        <f>IF(ISNUMBER(M86), $B91 * N86, "")</f>
        <v>-2542.3728813559323</v>
      </c>
      <c r="Q86" s="146"/>
      <c r="R86" s="146"/>
      <c r="S86" s="146"/>
    </row>
    <row r="87" spans="1:19" ht="17.25" thickBot="1">
      <c r="A87" s="109" t="s">
        <v>231</v>
      </c>
      <c r="B87" s="110">
        <v>417</v>
      </c>
      <c r="C87" s="70">
        <v>-4.13793103E-2</v>
      </c>
      <c r="D87" s="15">
        <v>413</v>
      </c>
      <c r="E87" s="32">
        <f t="shared" ref="E87:E90" si="42">IF(ISNUMBER(D87), (D87 - $B87) / $B87, "")</f>
        <v>-9.5923261390887284E-3</v>
      </c>
      <c r="F87" s="18">
        <f>IF(ISNUMBER(D87), $B91 * E87, "")</f>
        <v>-1438.8489208633093</v>
      </c>
      <c r="G87" s="31">
        <v>411</v>
      </c>
      <c r="H87" s="32">
        <f t="shared" ref="H87:H90" si="43">IF(ISNUMBER(G87), (G87 - $B87) / $B87, "")</f>
        <v>-1.4388489208633094E-2</v>
      </c>
      <c r="I87" s="91">
        <f>IF(ISNUMBER(G87), $B91 * H87, "")</f>
        <v>-2158.2733812949641</v>
      </c>
      <c r="J87" s="15">
        <v>412</v>
      </c>
      <c r="K87" s="32">
        <f t="shared" ref="K87:K90" si="44">IF(ISNUMBER(J87), (J87 - $B87) / $B87, "")</f>
        <v>-1.1990407673860911E-2</v>
      </c>
      <c r="L87" s="18">
        <f>IF(ISNUMBER(J87), $B91 * K87, "")</f>
        <v>-1798.5611510791366</v>
      </c>
      <c r="M87" s="31">
        <v>417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146"/>
      <c r="R87" s="146"/>
      <c r="S87" s="146"/>
    </row>
    <row r="88" spans="1:19" ht="17.25" thickBot="1">
      <c r="A88" s="109" t="s">
        <v>325</v>
      </c>
      <c r="B88" s="110">
        <v>647</v>
      </c>
      <c r="C88" s="70">
        <v>-4.14814815E-2</v>
      </c>
      <c r="D88" s="15">
        <v>640</v>
      </c>
      <c r="E88" s="32">
        <f t="shared" si="42"/>
        <v>-1.0819165378670788E-2</v>
      </c>
      <c r="F88" s="18">
        <f>IF(ISNUMBER(D88), $B91 * E88, "")</f>
        <v>-1622.8748068006182</v>
      </c>
      <c r="G88" s="31">
        <v>636</v>
      </c>
      <c r="H88" s="32">
        <f t="shared" si="43"/>
        <v>-1.7001545595054096E-2</v>
      </c>
      <c r="I88" s="91">
        <f>IF(ISNUMBER(G88), $B91 * H88, "")</f>
        <v>-2550.2318392581146</v>
      </c>
      <c r="J88" s="15">
        <v>642</v>
      </c>
      <c r="K88" s="32">
        <f t="shared" si="44"/>
        <v>-7.7279752704791345E-3</v>
      </c>
      <c r="L88" s="18">
        <f>IF(ISNUMBER(J88), $B91 * K88, "")</f>
        <v>-1159.1962905718701</v>
      </c>
      <c r="M88" s="31">
        <v>644</v>
      </c>
      <c r="N88" s="32">
        <f t="shared" si="45"/>
        <v>-4.6367851622874804E-3</v>
      </c>
      <c r="O88" s="18">
        <f>IF(ISNUMBER(M88), $B91 * N88, "")</f>
        <v>-695.51777434312203</v>
      </c>
      <c r="Q88" s="146"/>
      <c r="R88" s="146"/>
      <c r="S88" s="146"/>
    </row>
    <row r="89" spans="1:19">
      <c r="A89" s="109" t="s">
        <v>176</v>
      </c>
      <c r="B89" s="110">
        <v>365</v>
      </c>
      <c r="C89" s="70">
        <v>-4.19947507E-2</v>
      </c>
      <c r="D89" s="15">
        <v>358</v>
      </c>
      <c r="E89" s="32">
        <f t="shared" si="42"/>
        <v>-1.9178082191780823E-2</v>
      </c>
      <c r="F89" s="18">
        <f>IF(ISNUMBER(D89), $B91 * E89, "")</f>
        <v>-2876.7123287671234</v>
      </c>
      <c r="G89" s="31">
        <v>357</v>
      </c>
      <c r="H89" s="32">
        <f t="shared" si="43"/>
        <v>-2.1917808219178082E-2</v>
      </c>
      <c r="I89" s="91">
        <f>IF(ISNUMBER(G89), $B91 * H89, "")</f>
        <v>-3287.6712328767126</v>
      </c>
      <c r="J89" s="15">
        <v>359</v>
      </c>
      <c r="K89" s="32">
        <f t="shared" si="44"/>
        <v>-1.643835616438356E-2</v>
      </c>
      <c r="L89" s="18">
        <f>IF(ISNUMBER(J89), $B91 * K89, "")</f>
        <v>-2465.7534246575342</v>
      </c>
      <c r="M89" s="31">
        <v>365</v>
      </c>
      <c r="N89" s="32">
        <f t="shared" si="45"/>
        <v>0</v>
      </c>
      <c r="O89" s="18">
        <f>IF(ISNUMBER(M89), $B91 * N89, "")</f>
        <v>0</v>
      </c>
      <c r="Q89" s="135"/>
      <c r="R89" s="136"/>
      <c r="S89" s="137"/>
    </row>
    <row r="90" spans="1:19" ht="17.25" thickBot="1">
      <c r="A90" s="114" t="s">
        <v>120</v>
      </c>
      <c r="B90" s="115">
        <v>134</v>
      </c>
      <c r="C90" s="72">
        <v>-4.2857142899999999E-2</v>
      </c>
      <c r="D90" s="24">
        <v>132</v>
      </c>
      <c r="E90" s="25">
        <f t="shared" si="42"/>
        <v>-1.4925373134328358E-2</v>
      </c>
      <c r="F90" s="94">
        <f>IF(ISNUMBER(D90), $B91 * E90, "")</f>
        <v>-2238.8059701492539</v>
      </c>
      <c r="G90" s="92">
        <v>128</v>
      </c>
      <c r="H90" s="25">
        <f t="shared" si="43"/>
        <v>-4.4776119402985072E-2</v>
      </c>
      <c r="I90" s="93">
        <f>IF(ISNUMBER(G90), $B91 * H90, "")</f>
        <v>-6716.4179104477607</v>
      </c>
      <c r="J90" s="24">
        <v>130</v>
      </c>
      <c r="K90" s="25">
        <f t="shared" si="44"/>
        <v>-2.9850746268656716E-2</v>
      </c>
      <c r="L90" s="94">
        <f>IF(ISNUMBER(J90), $B91 * K90, "")</f>
        <v>-4477.6119402985078</v>
      </c>
      <c r="M90" s="92">
        <v>132</v>
      </c>
      <c r="N90" s="25">
        <f t="shared" si="45"/>
        <v>-1.4925373134328358E-2</v>
      </c>
      <c r="O90" s="94">
        <f>IF(ISNUMBER(M90), $B91 * N90, "")</f>
        <v>-2238.8059701492539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-1.2522759508276426E-2</v>
      </c>
      <c r="F91" s="28">
        <f>SUM(F71:F90)</f>
        <v>-37568.278524829264</v>
      </c>
      <c r="G91" s="26" t="s">
        <v>258</v>
      </c>
      <c r="H91" s="27">
        <f>IF(COUNT(H71:H90), SUM(H71:H90) / COUNT(H71:H90), 0)</f>
        <v>-1.802585370487339E-2</v>
      </c>
      <c r="I91" s="28">
        <f>SUM(I71:I90)</f>
        <v>-54077.561114620163</v>
      </c>
      <c r="J91" s="26" t="s">
        <v>258</v>
      </c>
      <c r="K91" s="27">
        <f>IF(COUNT(K71:K90), SUM(K71:K90) / COUNT(K71:K90), 0)</f>
        <v>-1.2419017776577919E-2</v>
      </c>
      <c r="L91" s="28">
        <f>SUM(L71:L90)</f>
        <v>-37257.053329733739</v>
      </c>
      <c r="M91" s="26" t="s">
        <v>258</v>
      </c>
      <c r="N91" s="27">
        <f>IF(COUNT(N71:N90), SUM(N71:N90) / COUNT(N71:N90), 0)</f>
        <v>-3.6408864981615414E-3</v>
      </c>
      <c r="O91" s="28">
        <f>SUM(O71:O90)</f>
        <v>-10922.659494484622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2023-03-09(목) 오전 00:00</v>
      </c>
      <c r="C96" s="198"/>
      <c r="D96" s="170" t="str">
        <f>TEXT($G$1, "[$-ko-KR]yyyy-mm-dd(ddd) ") &amp; "오후 14:00"</f>
        <v>2023-03-09(목) 오후 14:00</v>
      </c>
      <c r="E96" s="171"/>
      <c r="F96" s="172"/>
      <c r="G96" s="170" t="str">
        <f>TEXT($G$1, "[$-ko-KR]yyyy-mm-dd(ddd) ") &amp; "오후 19:00"</f>
        <v>2023-03-09(목) 오후 19:00</v>
      </c>
      <c r="H96" s="171"/>
      <c r="I96" s="172"/>
      <c r="J96" s="170" t="str">
        <f>TEXT($G$1, "[$-ko-KR]yyyy-mm-dd(ddd) ") &amp; "오후 21:00"</f>
        <v>2023-03-09(목) 오후 21:00</v>
      </c>
      <c r="K96" s="171"/>
      <c r="L96" s="172"/>
      <c r="M96" s="170" t="str">
        <f>TEXT($G$1+1, "[$-ko-KR]yyyy-mm-dd(ddd) ") &amp; "오전 00:00"</f>
        <v>2023-03-10(금)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215</v>
      </c>
      <c r="B98" s="108">
        <v>507</v>
      </c>
      <c r="C98" s="69">
        <v>5.6250000000000001E-2</v>
      </c>
      <c r="D98" s="13">
        <v>476</v>
      </c>
      <c r="E98" s="14">
        <f>IF(ISNUMBER(D98), (D98 - $B98) / $B98, "")</f>
        <v>-6.1143984220907298E-2</v>
      </c>
      <c r="F98" s="16">
        <f>IF(ISNUMBER(D98), $B118 * E98, "")</f>
        <v>-9171.5976331360944</v>
      </c>
      <c r="G98" s="29">
        <v>466</v>
      </c>
      <c r="H98" s="14">
        <f>IF(ISNUMBER(G98), (G98 - $B98) / $B98, "")</f>
        <v>-8.0867850098619326E-2</v>
      </c>
      <c r="I98" s="90">
        <f>IF(ISNUMBER(G98), $B118 * H98, "")</f>
        <v>-12130.177514792898</v>
      </c>
      <c r="J98" s="13">
        <v>468</v>
      </c>
      <c r="K98" s="14">
        <f>IF(ISNUMBER(J98), (J98 - $B98) / $B98, "")</f>
        <v>-7.6923076923076927E-2</v>
      </c>
      <c r="L98" s="16">
        <f>IF(ISNUMBER(J98), $B118 * K98, "")</f>
        <v>-11538.461538461539</v>
      </c>
      <c r="M98" s="29">
        <v>475</v>
      </c>
      <c r="N98" s="14">
        <f>IF(ISNUMBER(M98), (M98 - $B98) / $B98, "")</f>
        <v>-6.3116370808678504E-2</v>
      </c>
      <c r="O98" s="16">
        <f>IF(ISNUMBER(M98), $B118 * N98, "")</f>
        <v>-9467.455621301775</v>
      </c>
      <c r="Q98" s="156"/>
      <c r="R98" s="156"/>
      <c r="S98" s="156"/>
    </row>
    <row r="99" spans="1:19" ht="17.25" thickBot="1">
      <c r="A99" s="109" t="s">
        <v>225</v>
      </c>
      <c r="B99" s="110">
        <v>88.7</v>
      </c>
      <c r="C99" s="70">
        <v>4.9704142E-2</v>
      </c>
      <c r="D99" s="15">
        <v>84.2</v>
      </c>
      <c r="E99" s="32">
        <f t="shared" ref="E99:E102" si="46">IF(ISNUMBER(D99), (D99 - $B99) / $B99, "")</f>
        <v>-5.0732807215332583E-2</v>
      </c>
      <c r="F99" s="18">
        <f>IF(ISNUMBER(D99), $B118 * E99, "")</f>
        <v>-7609.9210822998875</v>
      </c>
      <c r="G99" s="31">
        <v>80.900000000000006</v>
      </c>
      <c r="H99" s="32">
        <f t="shared" ref="H99:H102" si="47">IF(ISNUMBER(G99), (G99 - $B99) / $B99, "")</f>
        <v>-8.793686583990977E-2</v>
      </c>
      <c r="I99" s="91">
        <f>IF(ISNUMBER(G99), $B118 * H99, "")</f>
        <v>-13190.529875986465</v>
      </c>
      <c r="J99" s="15">
        <v>83.8</v>
      </c>
      <c r="K99" s="32">
        <f t="shared" ref="K99:K102" si="48">IF(ISNUMBER(J99), (J99 - $B99) / $B99, "")</f>
        <v>-5.5242390078917764E-2</v>
      </c>
      <c r="L99" s="18">
        <f>IF(ISNUMBER(J99), $B118 * K99, "")</f>
        <v>-8286.358511837665</v>
      </c>
      <c r="M99" s="31">
        <v>83.2</v>
      </c>
      <c r="N99" s="32">
        <f t="shared" ref="N99:N102" si="49">IF(ISNUMBER(M99), (M99 - $B99) / $B99, "")</f>
        <v>-6.2006764374295378E-2</v>
      </c>
      <c r="O99" s="18">
        <f>IF(ISNUMBER(M99), $B118 * N99, "")</f>
        <v>-9301.0146561443071</v>
      </c>
      <c r="Q99" s="156"/>
      <c r="R99" s="156"/>
      <c r="S99" s="156"/>
    </row>
    <row r="100" spans="1:19" ht="17.25" thickBot="1">
      <c r="A100" s="109" t="s">
        <v>89</v>
      </c>
      <c r="B100" s="110">
        <v>520</v>
      </c>
      <c r="C100" s="70">
        <v>2.9702970299999999E-2</v>
      </c>
      <c r="D100" s="15">
        <v>517</v>
      </c>
      <c r="E100" s="32">
        <f t="shared" si="46"/>
        <v>-5.7692307692307696E-3</v>
      </c>
      <c r="F100" s="18">
        <f>IF(ISNUMBER(D100), $B118 * E100, "")</f>
        <v>-865.38461538461547</v>
      </c>
      <c r="G100" s="31">
        <v>527</v>
      </c>
      <c r="H100" s="32">
        <f t="shared" si="47"/>
        <v>1.3461538461538462E-2</v>
      </c>
      <c r="I100" s="91">
        <f>IF(ISNUMBER(G100), $B118 * H100, "")</f>
        <v>2019.2307692307693</v>
      </c>
      <c r="J100" s="15">
        <v>525</v>
      </c>
      <c r="K100" s="32">
        <f t="shared" si="48"/>
        <v>9.6153846153846159E-3</v>
      </c>
      <c r="L100" s="18">
        <f>IF(ISNUMBER(J100), $B118 * K100, "")</f>
        <v>1442.3076923076924</v>
      </c>
      <c r="M100" s="31">
        <v>526</v>
      </c>
      <c r="N100" s="32">
        <f t="shared" si="49"/>
        <v>1.1538461538461539E-2</v>
      </c>
      <c r="O100" s="18">
        <f>IF(ISNUMBER(M100), $B118 * N100, "")</f>
        <v>1730.7692307692309</v>
      </c>
      <c r="Q100" s="146"/>
      <c r="R100" s="146"/>
      <c r="S100" s="146"/>
    </row>
    <row r="101" spans="1:19" ht="17.25" thickBot="1">
      <c r="A101" s="109" t="s">
        <v>157</v>
      </c>
      <c r="B101" s="110">
        <v>373</v>
      </c>
      <c r="C101" s="70">
        <v>2.4725274700000001E-2</v>
      </c>
      <c r="D101" s="15">
        <v>371</v>
      </c>
      <c r="E101" s="32">
        <f t="shared" si="46"/>
        <v>-5.3619302949061663E-3</v>
      </c>
      <c r="F101" s="18">
        <f>IF(ISNUMBER(D101), $B118 * E101, "")</f>
        <v>-804.28954423592495</v>
      </c>
      <c r="G101" s="31">
        <v>370</v>
      </c>
      <c r="H101" s="32">
        <f t="shared" si="47"/>
        <v>-8.0428954423592495E-3</v>
      </c>
      <c r="I101" s="91">
        <f>IF(ISNUMBER(G101), $B118 * H101, "")</f>
        <v>-1206.4343163538874</v>
      </c>
      <c r="J101" s="15">
        <v>371</v>
      </c>
      <c r="K101" s="32">
        <f t="shared" si="48"/>
        <v>-5.3619302949061663E-3</v>
      </c>
      <c r="L101" s="18">
        <f>IF(ISNUMBER(J101), $B118 * K101, "")</f>
        <v>-804.28954423592495</v>
      </c>
      <c r="M101" s="31">
        <v>374</v>
      </c>
      <c r="N101" s="32">
        <f t="shared" si="49"/>
        <v>2.6809651474530832E-3</v>
      </c>
      <c r="O101" s="18">
        <f>IF(ISNUMBER(M101), $B118 * N101, "")</f>
        <v>402.14477211796248</v>
      </c>
      <c r="Q101" s="146"/>
      <c r="R101" s="146"/>
      <c r="S101" s="146"/>
    </row>
    <row r="102" spans="1:19" ht="17.25" thickBot="1">
      <c r="A102" s="111" t="s">
        <v>51</v>
      </c>
      <c r="B102" s="112">
        <v>112</v>
      </c>
      <c r="C102" s="71">
        <v>1.8181818200000002E-2</v>
      </c>
      <c r="D102" s="20">
        <v>109</v>
      </c>
      <c r="E102" s="21">
        <f t="shared" si="46"/>
        <v>-2.6785714285714284E-2</v>
      </c>
      <c r="F102" s="22">
        <f>IF(ISNUMBER(D102), $B118 * E102, "")</f>
        <v>-4017.8571428571427</v>
      </c>
      <c r="G102" s="30">
        <v>108</v>
      </c>
      <c r="H102" s="21">
        <f t="shared" si="47"/>
        <v>-3.5714285714285712E-2</v>
      </c>
      <c r="I102" s="95">
        <f>IF(ISNUMBER(G102), $B118 * H102, "")</f>
        <v>-5357.1428571428569</v>
      </c>
      <c r="J102" s="20">
        <v>109</v>
      </c>
      <c r="K102" s="21">
        <f t="shared" si="48"/>
        <v>-2.6785714285714284E-2</v>
      </c>
      <c r="L102" s="22">
        <f>IF(ISNUMBER(J102), $B118 * K102, "")</f>
        <v>-4017.8571428571427</v>
      </c>
      <c r="M102" s="30">
        <v>108</v>
      </c>
      <c r="N102" s="21">
        <f t="shared" si="49"/>
        <v>-3.5714285714285712E-2</v>
      </c>
      <c r="O102" s="22">
        <f>IF(ISNUMBER(M102), $B118 * N102, "")</f>
        <v>-5357.1428571428569</v>
      </c>
      <c r="Q102" s="146"/>
      <c r="R102" s="146"/>
      <c r="S102" s="146"/>
    </row>
    <row r="103" spans="1:19" ht="17.25" thickBot="1">
      <c r="A103" s="109" t="s">
        <v>178</v>
      </c>
      <c r="B103" s="113">
        <v>2195</v>
      </c>
      <c r="C103" s="73">
        <v>1.3856812899999999E-2</v>
      </c>
      <c r="D103" s="96">
        <v>2270</v>
      </c>
      <c r="E103" s="97">
        <f>IF(ISNUMBER(D103), (D103 - $B103) / $B103, "")</f>
        <v>3.4168564920273349E-2</v>
      </c>
      <c r="F103" s="98">
        <f>IF(ISNUMBER(D103), $B118 * E103, "")</f>
        <v>5125.2847380410021</v>
      </c>
      <c r="G103" s="99">
        <v>2380</v>
      </c>
      <c r="H103" s="97">
        <f>IF(ISNUMBER(G103), (G103 - $B103) / $B103, "")</f>
        <v>8.4282460136674259E-2</v>
      </c>
      <c r="I103" s="100">
        <f>IF(ISNUMBER(G103), $B118 * H103, "")</f>
        <v>12642.369020501139</v>
      </c>
      <c r="J103" s="96">
        <v>2335</v>
      </c>
      <c r="K103" s="97">
        <f>IF(ISNUMBER(J103), (J103 - $B103) / $B103, "")</f>
        <v>6.3781321184510256E-2</v>
      </c>
      <c r="L103" s="98">
        <f>IF(ISNUMBER(J103), $B118 * K103, "")</f>
        <v>9567.1981776765388</v>
      </c>
      <c r="M103" s="99">
        <v>2285</v>
      </c>
      <c r="N103" s="97">
        <f>IF(ISNUMBER(M103), (M103 - $B103) / $B103, "")</f>
        <v>4.1002277904328019E-2</v>
      </c>
      <c r="O103" s="98">
        <f>IF(ISNUMBER(M103), $B118 * N103, "")</f>
        <v>6150.3416856492031</v>
      </c>
      <c r="Q103" s="146"/>
      <c r="R103" s="146"/>
      <c r="S103" s="146"/>
    </row>
    <row r="104" spans="1:19" ht="17.25" thickBot="1">
      <c r="A104" s="109" t="s">
        <v>317</v>
      </c>
      <c r="B104" s="110">
        <v>1.4999999999999999E-2</v>
      </c>
      <c r="C104" s="70">
        <v>1.3513513499999999E-2</v>
      </c>
      <c r="D104" s="15">
        <v>1.4800000000000001E-2</v>
      </c>
      <c r="E104" s="32">
        <f t="shared" ref="E104:E107" si="50">IF(ISNUMBER(D104), (D104 - $B104) / $B104, "")</f>
        <v>-1.3333333333333253E-2</v>
      </c>
      <c r="F104" s="18">
        <f>IF(ISNUMBER(D104), $B118 * E104, "")</f>
        <v>-1999.9999999999879</v>
      </c>
      <c r="G104" s="31">
        <v>1.46E-2</v>
      </c>
      <c r="H104" s="32">
        <f t="shared" ref="H104:H107" si="51">IF(ISNUMBER(G104), (G104 - $B104) / $B104, "")</f>
        <v>-2.6666666666666623E-2</v>
      </c>
      <c r="I104" s="91">
        <f>IF(ISNUMBER(G104), $B118 * H104, "")</f>
        <v>-3999.9999999999936</v>
      </c>
      <c r="J104" s="15">
        <v>1.47E-2</v>
      </c>
      <c r="K104" s="32">
        <f t="shared" ref="K104:K107" si="52">IF(ISNUMBER(J104), (J104 - $B104) / $B104, "")</f>
        <v>-1.9999999999999997E-2</v>
      </c>
      <c r="L104" s="18">
        <f>IF(ISNUMBER(J104), $B118 * K104, "")</f>
        <v>-2999.9999999999995</v>
      </c>
      <c r="M104" s="31">
        <v>1.46E-2</v>
      </c>
      <c r="N104" s="32">
        <f t="shared" ref="N104:N107" si="53">IF(ISNUMBER(M104), (M104 - $B104) / $B104, "")</f>
        <v>-2.6666666666666623E-2</v>
      </c>
      <c r="O104" s="18">
        <f>IF(ISNUMBER(M104), $B118 * N104, "")</f>
        <v>-3999.9999999999936</v>
      </c>
      <c r="Q104" s="146"/>
      <c r="R104" s="146"/>
      <c r="S104" s="146"/>
    </row>
    <row r="105" spans="1:19" ht="17.25" thickBot="1">
      <c r="A105" s="109" t="s">
        <v>113</v>
      </c>
      <c r="B105" s="110">
        <v>1630</v>
      </c>
      <c r="C105" s="70">
        <v>1.24223602E-2</v>
      </c>
      <c r="D105" s="15">
        <v>1540</v>
      </c>
      <c r="E105" s="32">
        <f t="shared" si="50"/>
        <v>-5.5214723926380369E-2</v>
      </c>
      <c r="F105" s="18">
        <f>IF(ISNUMBER(D105), $B118 * E105, "")</f>
        <v>-8282.2085889570553</v>
      </c>
      <c r="G105" s="31">
        <v>1535</v>
      </c>
      <c r="H105" s="32">
        <f t="shared" si="51"/>
        <v>-5.8282208588957052E-2</v>
      </c>
      <c r="I105" s="91">
        <f>IF(ISNUMBER(G105), $B118 * H105, "")</f>
        <v>-8742.3312883435574</v>
      </c>
      <c r="J105" s="15">
        <v>1540</v>
      </c>
      <c r="K105" s="32">
        <f t="shared" si="52"/>
        <v>-5.5214723926380369E-2</v>
      </c>
      <c r="L105" s="18">
        <f>IF(ISNUMBER(J105), $B118 * K105, "")</f>
        <v>-8282.2085889570553</v>
      </c>
      <c r="M105" s="31">
        <v>1550</v>
      </c>
      <c r="N105" s="32">
        <f t="shared" si="53"/>
        <v>-4.9079754601226995E-2</v>
      </c>
      <c r="O105" s="18">
        <f>IF(ISNUMBER(M105), $B118 * N105, "")</f>
        <v>-7361.9631901840494</v>
      </c>
      <c r="Q105" s="146"/>
      <c r="R105" s="146"/>
      <c r="S105" s="146"/>
    </row>
    <row r="106" spans="1:19" ht="17.25" thickBot="1">
      <c r="A106" s="109" t="s">
        <v>132</v>
      </c>
      <c r="B106" s="110">
        <v>69.099999999999994</v>
      </c>
      <c r="C106" s="70">
        <v>1.4492754E-3</v>
      </c>
      <c r="D106" s="15">
        <v>69</v>
      </c>
      <c r="E106" s="32">
        <f t="shared" si="50"/>
        <v>-1.4471780028942739E-3</v>
      </c>
      <c r="F106" s="18">
        <f>IF(ISNUMBER(D106), $B118 * E106, "")</f>
        <v>-217.07670043414109</v>
      </c>
      <c r="G106" s="31">
        <v>67.599999999999994</v>
      </c>
      <c r="H106" s="32">
        <f t="shared" si="51"/>
        <v>-2.1707670043415343E-2</v>
      </c>
      <c r="I106" s="91">
        <f>IF(ISNUMBER(G106), $B118 * H106, "")</f>
        <v>-3256.1505065123015</v>
      </c>
      <c r="J106" s="15">
        <v>68</v>
      </c>
      <c r="K106" s="32">
        <f t="shared" si="52"/>
        <v>-1.5918958031837835E-2</v>
      </c>
      <c r="L106" s="18">
        <f>IF(ISNUMBER(J106), $B118 * K106, "")</f>
        <v>-2387.8437047756752</v>
      </c>
      <c r="M106" s="31">
        <v>68.2</v>
      </c>
      <c r="N106" s="32">
        <f t="shared" si="53"/>
        <v>-1.3024602026049081E-2</v>
      </c>
      <c r="O106" s="18">
        <f>IF(ISNUMBER(M106), $B118 * N106, "")</f>
        <v>-1953.6903039073622</v>
      </c>
      <c r="Q106" s="33"/>
      <c r="R106" s="33"/>
    </row>
    <row r="107" spans="1:19" ht="17.25" thickBot="1">
      <c r="A107" s="114" t="s">
        <v>116</v>
      </c>
      <c r="B107" s="115">
        <v>1530</v>
      </c>
      <c r="C107" s="72">
        <v>0</v>
      </c>
      <c r="D107" s="24">
        <v>1550</v>
      </c>
      <c r="E107" s="25">
        <f t="shared" si="50"/>
        <v>1.3071895424836602E-2</v>
      </c>
      <c r="F107" s="94">
        <f>IF(ISNUMBER(D107), $B118 * E107, "")</f>
        <v>1960.7843137254902</v>
      </c>
      <c r="G107" s="92">
        <v>1590</v>
      </c>
      <c r="H107" s="25">
        <f t="shared" si="51"/>
        <v>3.9215686274509803E-2</v>
      </c>
      <c r="I107" s="93">
        <f>IF(ISNUMBER(G107), $B118 * H107, "")</f>
        <v>5882.3529411764703</v>
      </c>
      <c r="J107" s="24">
        <v>1620</v>
      </c>
      <c r="K107" s="25">
        <f t="shared" si="52"/>
        <v>5.8823529411764705E-2</v>
      </c>
      <c r="L107" s="94">
        <f>IF(ISNUMBER(J107), $B118 * K107, "")</f>
        <v>8823.5294117647063</v>
      </c>
      <c r="M107" s="92">
        <v>1625</v>
      </c>
      <c r="N107" s="25">
        <f t="shared" si="53"/>
        <v>6.2091503267973858E-2</v>
      </c>
      <c r="O107" s="94">
        <f>IF(ISNUMBER(M107), $B118 * N107, "")</f>
        <v>9313.7254901960787</v>
      </c>
      <c r="Q107" s="147"/>
      <c r="R107" s="148"/>
      <c r="S107" s="149"/>
    </row>
    <row r="108" spans="1:19">
      <c r="A108" s="107" t="s">
        <v>93</v>
      </c>
      <c r="B108" s="108">
        <v>2064000</v>
      </c>
      <c r="C108" s="69">
        <v>-6.2590273999999996E-3</v>
      </c>
      <c r="D108" s="13">
        <v>2059000</v>
      </c>
      <c r="E108" s="14">
        <f>IF(ISNUMBER(D108), (D108 - $B108) / $B108, "")</f>
        <v>-2.4224806201550387E-3</v>
      </c>
      <c r="F108" s="16">
        <f>IF(ISNUMBER(D108), $B118 * E108, "")</f>
        <v>-363.37209302325579</v>
      </c>
      <c r="G108" s="29">
        <v>2046000</v>
      </c>
      <c r="H108" s="14">
        <f>IF(ISNUMBER(G108), (G108 - $B108) / $B108, "")</f>
        <v>-8.7209302325581394E-3</v>
      </c>
      <c r="I108" s="90">
        <f>IF(ISNUMBER(G108), $B118 * H108, "")</f>
        <v>-1308.1395348837209</v>
      </c>
      <c r="J108" s="13">
        <v>2051000</v>
      </c>
      <c r="K108" s="14">
        <f>IF(ISNUMBER(J108), (J108 - $B108) / $B108, "")</f>
        <v>-6.2984496124031007E-3</v>
      </c>
      <c r="L108" s="16">
        <f>IF(ISNUMBER(J108), $B118 * K108, "")</f>
        <v>-944.76744186046506</v>
      </c>
      <c r="M108" s="29">
        <v>2058000</v>
      </c>
      <c r="N108" s="14">
        <f>IF(ISNUMBER(M108), (M108 - $B108) / $B108, "")</f>
        <v>-2.9069767441860465E-3</v>
      </c>
      <c r="O108" s="16">
        <f>IF(ISNUMBER(M108), $B118 * N108, "")</f>
        <v>-436.04651162790697</v>
      </c>
      <c r="Q108" s="150"/>
      <c r="R108" s="151"/>
      <c r="S108" s="152"/>
    </row>
    <row r="109" spans="1:19" ht="17.25" thickBot="1">
      <c r="A109" s="109" t="s">
        <v>209</v>
      </c>
      <c r="B109" s="110">
        <v>127</v>
      </c>
      <c r="C109" s="70">
        <v>-7.8125E-3</v>
      </c>
      <c r="D109" s="15">
        <v>124</v>
      </c>
      <c r="E109" s="32">
        <f t="shared" ref="E109:E112" si="54">IF(ISNUMBER(D109), (D109 - $B109) / $B109, "")</f>
        <v>-2.3622047244094488E-2</v>
      </c>
      <c r="F109" s="18">
        <f>IF(ISNUMBER(D109), $B118 * E109, "")</f>
        <v>-3543.3070866141734</v>
      </c>
      <c r="G109" s="31">
        <v>123</v>
      </c>
      <c r="H109" s="32">
        <f t="shared" ref="H109:H112" si="55">IF(ISNUMBER(G109), (G109 - $B109) / $B109, "")</f>
        <v>-3.1496062992125984E-2</v>
      </c>
      <c r="I109" s="91">
        <f>IF(ISNUMBER(G109), $B118 * H109, "")</f>
        <v>-4724.4094488188975</v>
      </c>
      <c r="J109" s="15">
        <v>125</v>
      </c>
      <c r="K109" s="32">
        <f t="shared" ref="K109:K112" si="56">IF(ISNUMBER(J109), (J109 - $B109) / $B109, "")</f>
        <v>-1.5748031496062992E-2</v>
      </c>
      <c r="L109" s="18">
        <f>IF(ISNUMBER(J109), $B118 * K109, "")</f>
        <v>-2362.2047244094488</v>
      </c>
      <c r="M109" s="31">
        <v>128</v>
      </c>
      <c r="N109" s="32">
        <f t="shared" ref="N109:N112" si="57">IF(ISNUMBER(M109), (M109 - $B109) / $B109, "")</f>
        <v>7.874015748031496E-3</v>
      </c>
      <c r="O109" s="18">
        <f>IF(ISNUMBER(M109), $B118 * N109, "")</f>
        <v>1181.1023622047244</v>
      </c>
      <c r="Q109" s="153"/>
      <c r="R109" s="154"/>
      <c r="S109" s="155"/>
    </row>
    <row r="110" spans="1:19" ht="17.25" thickBot="1">
      <c r="A110" s="109" t="s">
        <v>118</v>
      </c>
      <c r="B110" s="110">
        <v>7.95</v>
      </c>
      <c r="C110" s="70">
        <v>-8.7281796000000002E-3</v>
      </c>
      <c r="D110" s="15">
        <v>7.75</v>
      </c>
      <c r="E110" s="32">
        <f t="shared" si="54"/>
        <v>-2.5157232704402538E-2</v>
      </c>
      <c r="F110" s="18">
        <f>IF(ISNUMBER(D110), $B118 * E110, "")</f>
        <v>-3773.5849056603806</v>
      </c>
      <c r="G110" s="31">
        <v>7.56</v>
      </c>
      <c r="H110" s="32">
        <f t="shared" si="55"/>
        <v>-4.9056603773584978E-2</v>
      </c>
      <c r="I110" s="91">
        <f>IF(ISNUMBER(G110), $B118 * H110, "")</f>
        <v>-7358.4905660377472</v>
      </c>
      <c r="J110" s="15">
        <v>7.58</v>
      </c>
      <c r="K110" s="32">
        <f t="shared" si="56"/>
        <v>-4.6540880503144665E-2</v>
      </c>
      <c r="L110" s="18">
        <f>IF(ISNUMBER(J110), $B118 * K110, "")</f>
        <v>-6981.1320754716999</v>
      </c>
      <c r="M110" s="31">
        <v>7.69</v>
      </c>
      <c r="N110" s="32">
        <f t="shared" si="57"/>
        <v>-3.2704402515723242E-2</v>
      </c>
      <c r="O110" s="18">
        <f>IF(ISNUMBER(M110), $B118 * N110, "")</f>
        <v>-4905.6603773584866</v>
      </c>
      <c r="Q110" s="146"/>
      <c r="R110" s="146"/>
      <c r="S110" s="146"/>
    </row>
    <row r="111" spans="1:19" ht="17.25" thickBot="1">
      <c r="A111" s="109" t="s">
        <v>49</v>
      </c>
      <c r="B111" s="110">
        <v>29302000</v>
      </c>
      <c r="C111" s="70">
        <v>-9.3647520000000005E-3</v>
      </c>
      <c r="D111" s="15">
        <v>29110000</v>
      </c>
      <c r="E111" s="32">
        <f t="shared" si="54"/>
        <v>-6.5524537574227016E-3</v>
      </c>
      <c r="F111" s="18">
        <f>IF(ISNUMBER(D111), $B118 * E111, "")</f>
        <v>-982.86806361340518</v>
      </c>
      <c r="G111" s="31">
        <v>28903000</v>
      </c>
      <c r="H111" s="32">
        <f t="shared" si="55"/>
        <v>-1.3616817964644052E-2</v>
      </c>
      <c r="I111" s="91">
        <f>IF(ISNUMBER(G111), $B118 * H111, "")</f>
        <v>-2042.5226946966077</v>
      </c>
      <c r="J111" s="15">
        <v>28952000</v>
      </c>
      <c r="K111" s="32">
        <f t="shared" si="56"/>
        <v>-1.1944577161968466E-2</v>
      </c>
      <c r="L111" s="18">
        <f>IF(ISNUMBER(J111), $B118 * K111, "")</f>
        <v>-1791.6865742952698</v>
      </c>
      <c r="M111" s="31">
        <v>29047000</v>
      </c>
      <c r="N111" s="32">
        <f t="shared" si="57"/>
        <v>-8.7024776465770247E-3</v>
      </c>
      <c r="O111" s="18">
        <f>IF(ISNUMBER(M111), $B118 * N111, "")</f>
        <v>-1305.3716469865537</v>
      </c>
      <c r="Q111" s="156"/>
      <c r="R111" s="156"/>
      <c r="S111" s="156"/>
    </row>
    <row r="112" spans="1:19" ht="17.25" thickBot="1">
      <c r="A112" s="111" t="s">
        <v>145</v>
      </c>
      <c r="B112" s="112">
        <v>87.4</v>
      </c>
      <c r="C112" s="71">
        <v>-1.0192525500000001E-2</v>
      </c>
      <c r="D112" s="20">
        <v>88</v>
      </c>
      <c r="E112" s="21">
        <f t="shared" si="54"/>
        <v>6.8649885583523373E-3</v>
      </c>
      <c r="F112" s="22">
        <f>IF(ISNUMBER(D112), $B118 * E112, "")</f>
        <v>1029.7482837528505</v>
      </c>
      <c r="G112" s="30">
        <v>88</v>
      </c>
      <c r="H112" s="21">
        <f t="shared" si="55"/>
        <v>6.8649885583523373E-3</v>
      </c>
      <c r="I112" s="95">
        <f>IF(ISNUMBER(G112), $B118 * H112, "")</f>
        <v>1029.7482837528505</v>
      </c>
      <c r="J112" s="20">
        <v>88.2</v>
      </c>
      <c r="K112" s="21">
        <f t="shared" si="56"/>
        <v>9.1533180778031707E-3</v>
      </c>
      <c r="L112" s="22">
        <f>IF(ISNUMBER(J112), $B118 * K112, "")</f>
        <v>1372.9977116704756</v>
      </c>
      <c r="M112" s="30">
        <v>88.2</v>
      </c>
      <c r="N112" s="21">
        <f t="shared" si="57"/>
        <v>9.1533180778031707E-3</v>
      </c>
      <c r="O112" s="22">
        <f>IF(ISNUMBER(M112), $B118 * N112, "")</f>
        <v>1372.9977116704756</v>
      </c>
      <c r="Q112" s="156"/>
      <c r="R112" s="156"/>
      <c r="S112" s="156"/>
    </row>
    <row r="113" spans="1:19" ht="17.25" thickBot="1">
      <c r="A113" s="109" t="s">
        <v>335</v>
      </c>
      <c r="B113" s="113">
        <v>81.7</v>
      </c>
      <c r="C113" s="73">
        <v>-2.15568862E-2</v>
      </c>
      <c r="D113" s="96">
        <v>81.400000000000006</v>
      </c>
      <c r="E113" s="97">
        <f>IF(ISNUMBER(D113), (D113 - $B113) / $B113, "")</f>
        <v>-3.6719706242349711E-3</v>
      </c>
      <c r="F113" s="98">
        <f>IF(ISNUMBER(D113), $B118 * E113, "")</f>
        <v>-550.79559363524561</v>
      </c>
      <c r="G113" s="99">
        <v>80.8</v>
      </c>
      <c r="H113" s="97">
        <f>IF(ISNUMBER(G113), (G113 - $B113) / $B113, "")</f>
        <v>-1.1015911872705087E-2</v>
      </c>
      <c r="I113" s="100">
        <f>IF(ISNUMBER(G113), $B118 * H113, "")</f>
        <v>-1652.3867809057631</v>
      </c>
      <c r="J113" s="96">
        <v>80.5</v>
      </c>
      <c r="K113" s="97">
        <f>IF(ISNUMBER(J113), (J113 - $B113) / $B113, "")</f>
        <v>-1.468788249694006E-2</v>
      </c>
      <c r="L113" s="98">
        <f>IF(ISNUMBER(J113), $B118 * K113, "")</f>
        <v>-2203.1823745410088</v>
      </c>
      <c r="M113" s="99">
        <v>80.5</v>
      </c>
      <c r="N113" s="97">
        <f>IF(ISNUMBER(M113), (M113 - $B113) / $B113, "")</f>
        <v>-1.468788249694006E-2</v>
      </c>
      <c r="O113" s="98">
        <f>IF(ISNUMBER(M113), $B118 * N113, "")</f>
        <v>-2203.1823745410088</v>
      </c>
      <c r="Q113" s="146"/>
      <c r="R113" s="146"/>
      <c r="S113" s="146"/>
    </row>
    <row r="114" spans="1:19" ht="17.25" thickBot="1">
      <c r="A114" s="109" t="s">
        <v>124</v>
      </c>
      <c r="B114" s="110">
        <v>40.299999999999997</v>
      </c>
      <c r="C114" s="70">
        <v>-2.1844660200000001E-2</v>
      </c>
      <c r="D114" s="15">
        <v>39.6</v>
      </c>
      <c r="E114" s="32">
        <f t="shared" ref="E114:E117" si="58">IF(ISNUMBER(D114), (D114 - $B114) / $B114, "")</f>
        <v>-1.7369727047146299E-2</v>
      </c>
      <c r="F114" s="18">
        <f>IF(ISNUMBER(D114), $B118 * E114, "")</f>
        <v>-2605.4590570719447</v>
      </c>
      <c r="G114" s="31">
        <v>39.4</v>
      </c>
      <c r="H114" s="32">
        <f t="shared" ref="H114:H117" si="59">IF(ISNUMBER(G114), (G114 - $B114) / $B114, "")</f>
        <v>-2.2332506203473913E-2</v>
      </c>
      <c r="I114" s="91">
        <f>IF(ISNUMBER(G114), $B118 * H114, "")</f>
        <v>-3349.875930521087</v>
      </c>
      <c r="J114" s="15">
        <v>39.6</v>
      </c>
      <c r="K114" s="32">
        <f t="shared" ref="K114:K117" si="60">IF(ISNUMBER(J114), (J114 - $B114) / $B114, "")</f>
        <v>-1.7369727047146299E-2</v>
      </c>
      <c r="L114" s="18">
        <f>IF(ISNUMBER(J114), $B118 * K114, "")</f>
        <v>-2605.4590570719447</v>
      </c>
      <c r="M114" s="31">
        <v>39.799999999999997</v>
      </c>
      <c r="N114" s="32">
        <f t="shared" ref="N114:N117" si="61">IF(ISNUMBER(M114), (M114 - $B114) / $B114, "")</f>
        <v>-1.2406947890818859E-2</v>
      </c>
      <c r="O114" s="18">
        <f>IF(ISNUMBER(M114), $B118 * N114, "")</f>
        <v>-1861.0421836228288</v>
      </c>
      <c r="Q114" s="146"/>
      <c r="R114" s="146"/>
      <c r="S114" s="146"/>
    </row>
    <row r="115" spans="1:19" ht="17.25" thickBot="1">
      <c r="A115" s="109" t="s">
        <v>71</v>
      </c>
      <c r="B115" s="110">
        <v>13.4</v>
      </c>
      <c r="C115" s="70">
        <v>-2.1897810199999999E-2</v>
      </c>
      <c r="D115" s="15">
        <v>13.1</v>
      </c>
      <c r="E115" s="32">
        <f t="shared" si="58"/>
        <v>-2.2388059701492588E-2</v>
      </c>
      <c r="F115" s="18">
        <f>IF(ISNUMBER(D115), $B118 * E115, "")</f>
        <v>-3358.2089552238881</v>
      </c>
      <c r="G115" s="31">
        <v>12.9</v>
      </c>
      <c r="H115" s="32">
        <f t="shared" si="59"/>
        <v>-3.7313432835820892E-2</v>
      </c>
      <c r="I115" s="91">
        <f>IF(ISNUMBER(G115), $B118 * H115, "")</f>
        <v>-5597.0149253731342</v>
      </c>
      <c r="J115" s="15">
        <v>12.9</v>
      </c>
      <c r="K115" s="32">
        <f t="shared" si="60"/>
        <v>-3.7313432835820892E-2</v>
      </c>
      <c r="L115" s="18">
        <f>IF(ISNUMBER(J115), $B118 * K115, "")</f>
        <v>-5597.0149253731342</v>
      </c>
      <c r="M115" s="31">
        <v>13.2</v>
      </c>
      <c r="N115" s="32">
        <f t="shared" si="61"/>
        <v>-1.4925373134328438E-2</v>
      </c>
      <c r="O115" s="18">
        <f>IF(ISNUMBER(M115), $B118 * N115, "")</f>
        <v>-2238.8059701492657</v>
      </c>
      <c r="Q115" s="146"/>
      <c r="R115" s="146"/>
      <c r="S115" s="146"/>
    </row>
    <row r="116" spans="1:19">
      <c r="A116" s="109" t="s">
        <v>253</v>
      </c>
      <c r="B116" s="110">
        <v>96.5</v>
      </c>
      <c r="C116" s="70">
        <v>-2.2289766999999999E-2</v>
      </c>
      <c r="D116" s="15">
        <v>96.1</v>
      </c>
      <c r="E116" s="32">
        <f t="shared" si="58"/>
        <v>-4.1450777202073127E-3</v>
      </c>
      <c r="F116" s="18">
        <f>IF(ISNUMBER(D116), $B118 * E116, "")</f>
        <v>-621.76165803109689</v>
      </c>
      <c r="G116" s="31">
        <v>95.5</v>
      </c>
      <c r="H116" s="32">
        <f t="shared" si="59"/>
        <v>-1.0362694300518135E-2</v>
      </c>
      <c r="I116" s="91">
        <f>IF(ISNUMBER(G116), $B118 * H116, "")</f>
        <v>-1554.4041450777202</v>
      </c>
      <c r="J116" s="15">
        <v>95.8</v>
      </c>
      <c r="K116" s="32">
        <f t="shared" si="60"/>
        <v>-7.2538860103627239E-3</v>
      </c>
      <c r="L116" s="18">
        <f>IF(ISNUMBER(J116), $B118 * K116, "")</f>
        <v>-1088.0829015544086</v>
      </c>
      <c r="M116" s="31">
        <v>96.3</v>
      </c>
      <c r="N116" s="32">
        <f t="shared" si="61"/>
        <v>-2.0725388601036563E-3</v>
      </c>
      <c r="O116" s="18">
        <f>IF(ISNUMBER(M116), $B118 * N116, "")</f>
        <v>-310.88082901554844</v>
      </c>
      <c r="Q116" s="135"/>
      <c r="R116" s="136"/>
      <c r="S116" s="137"/>
    </row>
    <row r="117" spans="1:19" ht="17.25" thickBot="1">
      <c r="A117" s="114" t="s">
        <v>332</v>
      </c>
      <c r="B117" s="115">
        <v>7.68</v>
      </c>
      <c r="C117" s="72">
        <v>-2.7848101300000001E-2</v>
      </c>
      <c r="D117" s="24">
        <v>7.56</v>
      </c>
      <c r="E117" s="25">
        <f t="shared" si="58"/>
        <v>-1.5625000000000014E-2</v>
      </c>
      <c r="F117" s="94">
        <f>IF(ISNUMBER(D117), $B118 * E117, "")</f>
        <v>-2343.7500000000023</v>
      </c>
      <c r="G117" s="92">
        <v>7.63</v>
      </c>
      <c r="H117" s="25">
        <f t="shared" si="59"/>
        <v>-6.5104166666666435E-3</v>
      </c>
      <c r="I117" s="93">
        <f>IF(ISNUMBER(G117), $B118 * H117, "")</f>
        <v>-976.56249999999648</v>
      </c>
      <c r="J117" s="24">
        <v>7.61</v>
      </c>
      <c r="K117" s="25">
        <f t="shared" si="60"/>
        <v>-9.1145833333332558E-3</v>
      </c>
      <c r="L117" s="94">
        <f>IF(ISNUMBER(J117), $B118 * K117, "")</f>
        <v>-1367.1874999999884</v>
      </c>
      <c r="M117" s="92">
        <v>7.69</v>
      </c>
      <c r="N117" s="25">
        <f t="shared" si="61"/>
        <v>1.3020833333334213E-3</v>
      </c>
      <c r="O117" s="94">
        <f>IF(ISNUMBER(M117), $B118 * N117, "")</f>
        <v>195.31250000001319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-1.4331875128219632E-2</v>
      </c>
      <c r="F118" s="28">
        <f>SUM(F98:F117)</f>
        <v>-42995.62538465891</v>
      </c>
      <c r="G118" s="26" t="s">
        <v>258</v>
      </c>
      <c r="H118" s="27">
        <f>IF(COUNT(H98:H117), SUM(H98:H117) / COUNT(H98:H117), 0)</f>
        <v>-1.8290957290261797E-2</v>
      </c>
      <c r="I118" s="28">
        <f>SUM(I98:I117)</f>
        <v>-54872.871870785406</v>
      </c>
      <c r="J118" s="26" t="s">
        <v>258</v>
      </c>
      <c r="K118" s="27">
        <f>IF(COUNT(K98:K117), SUM(K98:K117) / COUNT(K98:K117), 0)</f>
        <v>-1.4017234537427653E-2</v>
      </c>
      <c r="L118" s="28">
        <f>SUM(L98:L117)</f>
        <v>-42051.703612282952</v>
      </c>
      <c r="M118" s="26" t="s">
        <v>258</v>
      </c>
      <c r="N118" s="27">
        <f>IF(COUNT(N98:N117), SUM(N98:N117) / COUNT(N98:N117), 0)</f>
        <v>-1.0118620923124752E-2</v>
      </c>
      <c r="O118" s="28">
        <f>SUM(O98:O117)</f>
        <v>-30355.862769374253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2023-03-09(목) 오전 00:00</v>
      </c>
      <c r="C123" s="198"/>
      <c r="D123" s="170" t="str">
        <f>TEXT($G$1, "[$-ko-KR]yyyy-mm-dd(ddd) ") &amp; "오후 14:00"</f>
        <v>2023-03-09(목) 오후 14:00</v>
      </c>
      <c r="E123" s="171"/>
      <c r="F123" s="172"/>
      <c r="G123" s="170" t="str">
        <f>TEXT($G$1, "[$-ko-KR]yyyy-mm-dd(ddd) ") &amp; "오후 19:00"</f>
        <v>2023-03-09(목) 오후 19:00</v>
      </c>
      <c r="H123" s="171"/>
      <c r="I123" s="172"/>
      <c r="J123" s="170" t="str">
        <f>TEXT($G$1, "[$-ko-KR]yyyy-mm-dd(ddd) ") &amp; "오후 21:00"</f>
        <v>2023-03-09(목) 오후 21:00</v>
      </c>
      <c r="K123" s="171"/>
      <c r="L123" s="172"/>
      <c r="M123" s="170" t="str">
        <f>TEXT($G$1+1, "[$-ko-KR]yyyy-mm-dd(ddd) ") &amp; "오전 00:00"</f>
        <v>2023-03-10(금)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155</v>
      </c>
      <c r="B125" s="108">
        <v>33.200000000000003</v>
      </c>
      <c r="C125" s="69">
        <v>-3.4883720899999998E-2</v>
      </c>
      <c r="D125" s="13">
        <v>32.9</v>
      </c>
      <c r="E125" s="14">
        <f>IF(ISNUMBER(D125), (D125 - $B125) / $B125, "")</f>
        <v>-9.036144578313381E-3</v>
      </c>
      <c r="F125" s="16">
        <f>IF(ISNUMBER(D125), $B145 * E125, "")</f>
        <v>-1355.4216867470072</v>
      </c>
      <c r="G125" s="29">
        <v>33</v>
      </c>
      <c r="H125" s="14">
        <f>IF(ISNUMBER(G125), (G125 - $B125) / $B125, "")</f>
        <v>-6.024096385542254E-3</v>
      </c>
      <c r="I125" s="90">
        <f>IF(ISNUMBER(G125), $B145 * H125, "")</f>
        <v>-903.61445783133809</v>
      </c>
      <c r="J125" s="13">
        <v>32.799999999999997</v>
      </c>
      <c r="K125" s="14">
        <f>IF(ISNUMBER(J125), (J125 - $B125) / $B125, "")</f>
        <v>-1.2048192771084508E-2</v>
      </c>
      <c r="L125" s="16">
        <f>IF(ISNUMBER(J125), $B145 * K125, "")</f>
        <v>-1807.2289156626762</v>
      </c>
      <c r="M125" s="29">
        <v>33.5</v>
      </c>
      <c r="N125" s="14">
        <f>IF(ISNUMBER(M125), (M125 - $B125) / $B125, "")</f>
        <v>9.0361445783131659E-3</v>
      </c>
      <c r="O125" s="16">
        <f>IF(ISNUMBER(M125), $B145 * N125, "")</f>
        <v>1355.421686746975</v>
      </c>
      <c r="Q125" s="156"/>
      <c r="R125" s="156"/>
      <c r="S125" s="156"/>
    </row>
    <row r="126" spans="1:19" ht="17.25" thickBot="1">
      <c r="A126" s="109" t="s">
        <v>221</v>
      </c>
      <c r="B126" s="110">
        <v>24</v>
      </c>
      <c r="C126" s="70">
        <v>-3.6144578300000001E-2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1249.9999999999955</v>
      </c>
      <c r="G126" s="31">
        <v>23.9</v>
      </c>
      <c r="H126" s="32">
        <f t="shared" ref="H126:H129" si="63">IF(ISNUMBER(G126), (G126 - $B126) / $B126, "")</f>
        <v>-4.1666666666667256E-3</v>
      </c>
      <c r="I126" s="91">
        <f>IF(ISNUMBER(G126), $B145 * H126, "")</f>
        <v>-625.00000000000887</v>
      </c>
      <c r="J126" s="15">
        <v>23.9</v>
      </c>
      <c r="K126" s="32">
        <f t="shared" ref="K126:K129" si="64">IF(ISNUMBER(J126), (J126 - $B126) / $B126, "")</f>
        <v>-4.1666666666667256E-3</v>
      </c>
      <c r="L126" s="18">
        <f>IF(ISNUMBER(J126), $B145 * K126, "")</f>
        <v>-625.00000000000887</v>
      </c>
      <c r="M126" s="31">
        <v>23.9</v>
      </c>
      <c r="N126" s="32">
        <f t="shared" ref="N126:N129" si="65">IF(ISNUMBER(M126), (M126 - $B126) / $B126, "")</f>
        <v>-4.1666666666667256E-3</v>
      </c>
      <c r="O126" s="18">
        <f>IF(ISNUMBER(M126), $B145 * N126, "")</f>
        <v>-625.00000000000887</v>
      </c>
      <c r="Q126" s="156"/>
      <c r="R126" s="156"/>
      <c r="S126" s="156"/>
    </row>
    <row r="127" spans="1:19" ht="17.25" thickBot="1">
      <c r="A127" s="109" t="s">
        <v>181</v>
      </c>
      <c r="B127" s="110">
        <v>5.25</v>
      </c>
      <c r="C127" s="70">
        <v>-3.6697247699999998E-2</v>
      </c>
      <c r="D127" s="15">
        <v>5.19</v>
      </c>
      <c r="E127" s="32">
        <f t="shared" si="62"/>
        <v>-1.1428571428571354E-2</v>
      </c>
      <c r="F127" s="18">
        <f>IF(ISNUMBER(D127), $B145 * E127, "")</f>
        <v>-1714.2857142857031</v>
      </c>
      <c r="G127" s="31">
        <v>5.0999999999999996</v>
      </c>
      <c r="H127" s="32">
        <f t="shared" si="63"/>
        <v>-2.857142857142864E-2</v>
      </c>
      <c r="I127" s="91">
        <f>IF(ISNUMBER(G127), $B145 * H127, "")</f>
        <v>-4285.7142857142962</v>
      </c>
      <c r="J127" s="15">
        <v>5.0999999999999996</v>
      </c>
      <c r="K127" s="32">
        <f t="shared" si="64"/>
        <v>-2.857142857142864E-2</v>
      </c>
      <c r="L127" s="18">
        <f>IF(ISNUMBER(J127), $B145 * K127, "")</f>
        <v>-4285.7142857142962</v>
      </c>
      <c r="M127" s="31">
        <v>5.18</v>
      </c>
      <c r="N127" s="32">
        <f t="shared" si="65"/>
        <v>-1.3333333333333388E-2</v>
      </c>
      <c r="O127" s="18">
        <f>IF(ISNUMBER(M127), $B145 * N127, "")</f>
        <v>-2000.0000000000082</v>
      </c>
      <c r="Q127" s="146"/>
      <c r="R127" s="146"/>
      <c r="S127" s="146"/>
    </row>
    <row r="128" spans="1:19" ht="17.25" thickBot="1">
      <c r="A128" s="109" t="s">
        <v>195</v>
      </c>
      <c r="B128" s="110">
        <v>8.32</v>
      </c>
      <c r="C128" s="70">
        <v>-4.2577675500000002E-2</v>
      </c>
      <c r="D128" s="15">
        <v>8.24</v>
      </c>
      <c r="E128" s="32">
        <f t="shared" si="62"/>
        <v>-9.6153846153846229E-3</v>
      </c>
      <c r="F128" s="18">
        <f>IF(ISNUMBER(D128), $B145 * E128, "")</f>
        <v>-1442.3076923076935</v>
      </c>
      <c r="G128" s="31">
        <v>8.23</v>
      </c>
      <c r="H128" s="32">
        <f t="shared" si="63"/>
        <v>-1.0817307692307675E-2</v>
      </c>
      <c r="I128" s="91">
        <f>IF(ISNUMBER(G128), $B145 * H128, "")</f>
        <v>-1622.5961538461513</v>
      </c>
      <c r="J128" s="15">
        <v>8.17</v>
      </c>
      <c r="K128" s="32">
        <f t="shared" si="64"/>
        <v>-1.8028846153846197E-2</v>
      </c>
      <c r="L128" s="18">
        <f>IF(ISNUMBER(J128), $B145 * K128, "")</f>
        <v>-2704.3269230769297</v>
      </c>
      <c r="M128" s="31">
        <v>8.3699999999999992</v>
      </c>
      <c r="N128" s="32">
        <f t="shared" si="65"/>
        <v>6.0096153846152566E-3</v>
      </c>
      <c r="O128" s="18">
        <f>IF(ISNUMBER(M128), $B145 * N128, "")</f>
        <v>901.44230769228852</v>
      </c>
      <c r="Q128" s="146"/>
      <c r="R128" s="146"/>
      <c r="S128" s="146"/>
    </row>
    <row r="129" spans="1:19" ht="17.25" thickBot="1">
      <c r="A129" s="111" t="s">
        <v>138</v>
      </c>
      <c r="B129" s="112">
        <v>41</v>
      </c>
      <c r="C129" s="71">
        <v>-4.4289044299999997E-2</v>
      </c>
      <c r="D129" s="20">
        <v>40.4</v>
      </c>
      <c r="E129" s="21">
        <f t="shared" si="62"/>
        <v>-1.4634146341463448E-2</v>
      </c>
      <c r="F129" s="22">
        <f>IF(ISNUMBER(D129), $B145 * E129, "")</f>
        <v>-2195.1219512195171</v>
      </c>
      <c r="G129" s="30">
        <v>39.799999999999997</v>
      </c>
      <c r="H129" s="21">
        <f t="shared" si="63"/>
        <v>-2.9268292682926897E-2</v>
      </c>
      <c r="I129" s="95">
        <f>IF(ISNUMBER(G129), $B145 * H129, "")</f>
        <v>-4390.2439024390342</v>
      </c>
      <c r="J129" s="20">
        <v>40.200000000000003</v>
      </c>
      <c r="K129" s="21">
        <f t="shared" si="64"/>
        <v>-1.951219512195115E-2</v>
      </c>
      <c r="L129" s="22">
        <f>IF(ISNUMBER(J129), $B145 * K129, "")</f>
        <v>-2926.8292682926726</v>
      </c>
      <c r="M129" s="30">
        <v>40.9</v>
      </c>
      <c r="N129" s="21">
        <f t="shared" si="65"/>
        <v>-2.4390243902439371E-3</v>
      </c>
      <c r="O129" s="22">
        <f>IF(ISNUMBER(M129), $B145 * N129, "")</f>
        <v>-365.85365853659056</v>
      </c>
      <c r="Q129" s="146"/>
      <c r="R129" s="146"/>
      <c r="S129" s="146"/>
    </row>
    <row r="130" spans="1:19" ht="17.25" thickBot="1">
      <c r="A130" s="109" t="s">
        <v>122</v>
      </c>
      <c r="B130" s="113">
        <v>30</v>
      </c>
      <c r="C130" s="73">
        <v>-4.4585987299999998E-2</v>
      </c>
      <c r="D130" s="96">
        <v>29.5</v>
      </c>
      <c r="E130" s="97">
        <f>IF(ISNUMBER(D130), (D130 - $B130) / $B130, "")</f>
        <v>-1.6666666666666666E-2</v>
      </c>
      <c r="F130" s="98">
        <f>IF(ISNUMBER(D130), $B145 * E130, "")</f>
        <v>-2500</v>
      </c>
      <c r="G130" s="99">
        <v>29.4</v>
      </c>
      <c r="H130" s="97">
        <f>IF(ISNUMBER(G130), (G130 - $B130) / $B130, "")</f>
        <v>-2.0000000000000049E-2</v>
      </c>
      <c r="I130" s="100">
        <f>IF(ISNUMBER(G130), $B145 * H130, "")</f>
        <v>-3000.0000000000073</v>
      </c>
      <c r="J130" s="96">
        <v>29.8</v>
      </c>
      <c r="K130" s="97">
        <f>IF(ISNUMBER(J130), (J130 - $B130) / $B130, "")</f>
        <v>-6.6666666666666428E-3</v>
      </c>
      <c r="L130" s="98">
        <f>IF(ISNUMBER(J130), $B145 * K130, "")</f>
        <v>-999.99999999999648</v>
      </c>
      <c r="M130" s="99">
        <v>30</v>
      </c>
      <c r="N130" s="97">
        <f>IF(ISNUMBER(M130), (M130 - $B130) / $B130, "")</f>
        <v>0</v>
      </c>
      <c r="O130" s="98">
        <f>IF(ISNUMBER(M130), $B145 * N130, "")</f>
        <v>0</v>
      </c>
      <c r="Q130" s="146"/>
      <c r="R130" s="146"/>
      <c r="S130" s="146"/>
    </row>
    <row r="131" spans="1:19" ht="17.25" thickBot="1">
      <c r="A131" s="109" t="s">
        <v>107</v>
      </c>
      <c r="B131" s="110">
        <v>46.9</v>
      </c>
      <c r="C131" s="70">
        <v>-4.4806517300000001E-2</v>
      </c>
      <c r="D131" s="15">
        <v>45.6</v>
      </c>
      <c r="E131" s="32">
        <f t="shared" ref="E131:E134" si="66">IF(ISNUMBER(D131), (D131 - $B131) / $B131, "")</f>
        <v>-2.7718550106609747E-2</v>
      </c>
      <c r="F131" s="18">
        <f>IF(ISNUMBER(D131), $B145 * E131, "")</f>
        <v>-4157.7825159914619</v>
      </c>
      <c r="G131" s="31">
        <v>45.5</v>
      </c>
      <c r="H131" s="32">
        <f t="shared" ref="H131:H134" si="67">IF(ISNUMBER(G131), (G131 - $B131) / $B131, "")</f>
        <v>-2.9850746268656688E-2</v>
      </c>
      <c r="I131" s="91">
        <f>IF(ISNUMBER(G131), $B145 * H131, "")</f>
        <v>-4477.6119402985032</v>
      </c>
      <c r="J131" s="15">
        <v>46</v>
      </c>
      <c r="K131" s="32">
        <f t="shared" ref="K131:K134" si="68">IF(ISNUMBER(J131), (J131 - $B131) / $B131, "")</f>
        <v>-1.9189765458422145E-2</v>
      </c>
      <c r="L131" s="18">
        <f>IF(ISNUMBER(J131), $B145 * K131, "")</f>
        <v>-2878.4648187633215</v>
      </c>
      <c r="M131" s="31">
        <v>46.4</v>
      </c>
      <c r="N131" s="32">
        <f t="shared" ref="N131:N134" si="69">IF(ISNUMBER(M131), (M131 - $B131) / $B131, "")</f>
        <v>-1.0660980810234541E-2</v>
      </c>
      <c r="O131" s="18">
        <f>IF(ISNUMBER(M131), $B145 * N131, "")</f>
        <v>-1599.1471215351812</v>
      </c>
      <c r="Q131" s="146"/>
      <c r="R131" s="146"/>
      <c r="S131" s="146"/>
    </row>
    <row r="132" spans="1:19" ht="17.25" thickBot="1">
      <c r="A132" s="109" t="s">
        <v>217</v>
      </c>
      <c r="B132" s="110">
        <v>86.9</v>
      </c>
      <c r="C132" s="70">
        <v>-4.6103183300000003E-2</v>
      </c>
      <c r="D132" s="15">
        <v>87.2</v>
      </c>
      <c r="E132" s="32">
        <f t="shared" si="66"/>
        <v>3.4522439585730398E-3</v>
      </c>
      <c r="F132" s="18">
        <f>IF(ISNUMBER(D132), $B145 * E132, "")</f>
        <v>517.83659378595598</v>
      </c>
      <c r="G132" s="31">
        <v>86</v>
      </c>
      <c r="H132" s="32">
        <f t="shared" si="67"/>
        <v>-1.0356731875719283E-2</v>
      </c>
      <c r="I132" s="91">
        <f>IF(ISNUMBER(G132), $B145 * H132, "")</f>
        <v>-1553.5097813578925</v>
      </c>
      <c r="J132" s="15">
        <v>86.5</v>
      </c>
      <c r="K132" s="32">
        <f t="shared" si="68"/>
        <v>-4.6029919447641617E-3</v>
      </c>
      <c r="L132" s="18">
        <f>IF(ISNUMBER(J132), $B145 * K132, "")</f>
        <v>-690.44879171462424</v>
      </c>
      <c r="M132" s="31">
        <v>87.7</v>
      </c>
      <c r="N132" s="32">
        <f t="shared" si="69"/>
        <v>9.2059838895281604E-3</v>
      </c>
      <c r="O132" s="18">
        <f>IF(ISNUMBER(M132), $B145 * N132, "")</f>
        <v>1380.8975834292241</v>
      </c>
      <c r="Q132" s="146"/>
      <c r="R132" s="146"/>
      <c r="S132" s="146"/>
    </row>
    <row r="133" spans="1:19" ht="17.25" thickBot="1">
      <c r="A133" s="109" t="s">
        <v>191</v>
      </c>
      <c r="B133" s="110">
        <v>77.3</v>
      </c>
      <c r="C133" s="70">
        <v>-4.6855733699999999E-2</v>
      </c>
      <c r="D133" s="15">
        <v>77.400000000000006</v>
      </c>
      <c r="E133" s="32">
        <f t="shared" si="66"/>
        <v>1.2936610608021801E-3</v>
      </c>
      <c r="F133" s="18">
        <f>IF(ISNUMBER(D133), $B145 * E133, "")</f>
        <v>194.049159120327</v>
      </c>
      <c r="G133" s="31">
        <v>76.900000000000006</v>
      </c>
      <c r="H133" s="32">
        <f t="shared" si="67"/>
        <v>-5.1746442432081697E-3</v>
      </c>
      <c r="I133" s="91">
        <f>IF(ISNUMBER(G133), $B145 * H133, "")</f>
        <v>-776.19663648122548</v>
      </c>
      <c r="J133" s="15">
        <v>77.8</v>
      </c>
      <c r="K133" s="32">
        <f t="shared" si="68"/>
        <v>6.4683053040103496E-3</v>
      </c>
      <c r="L133" s="18">
        <f>IF(ISNUMBER(J133), $B145 * K133, "")</f>
        <v>970.24579560155246</v>
      </c>
      <c r="M133" s="31">
        <v>78.099999999999994</v>
      </c>
      <c r="N133" s="32">
        <f t="shared" si="69"/>
        <v>1.0349288486416523E-2</v>
      </c>
      <c r="O133" s="18">
        <f>IF(ISNUMBER(M133), $B145 * N133, "")</f>
        <v>1552.3932729624785</v>
      </c>
      <c r="Q133" s="33"/>
      <c r="R133" s="33"/>
    </row>
    <row r="134" spans="1:19" ht="17.25" thickBot="1">
      <c r="A134" s="114" t="s">
        <v>207</v>
      </c>
      <c r="B134" s="115">
        <v>82.4</v>
      </c>
      <c r="C134" s="72">
        <v>-4.9596309099999999E-2</v>
      </c>
      <c r="D134" s="24">
        <v>81.7</v>
      </c>
      <c r="E134" s="25">
        <f t="shared" si="66"/>
        <v>-8.4951456310679956E-3</v>
      </c>
      <c r="F134" s="94">
        <f>IF(ISNUMBER(D134), $B145 * E134, "")</f>
        <v>-1274.2718446601993</v>
      </c>
      <c r="G134" s="92">
        <v>81.7</v>
      </c>
      <c r="H134" s="25">
        <f t="shared" si="67"/>
        <v>-8.4951456310679956E-3</v>
      </c>
      <c r="I134" s="93">
        <f>IF(ISNUMBER(G134), $B145 * H134, "")</f>
        <v>-1274.2718446601993</v>
      </c>
      <c r="J134" s="24">
        <v>81.3</v>
      </c>
      <c r="K134" s="25">
        <f t="shared" si="68"/>
        <v>-1.3349514563106899E-2</v>
      </c>
      <c r="L134" s="94">
        <f>IF(ISNUMBER(J134), $B145 * K134, "")</f>
        <v>-2002.427184466035</v>
      </c>
      <c r="M134" s="92">
        <v>84.1</v>
      </c>
      <c r="N134" s="25">
        <f t="shared" si="69"/>
        <v>2.0631067961164908E-2</v>
      </c>
      <c r="O134" s="94">
        <f>IF(ISNUMBER(M134), $B145 * N134, "")</f>
        <v>3094.6601941747363</v>
      </c>
      <c r="Q134" s="147"/>
      <c r="R134" s="148"/>
      <c r="S134" s="149"/>
    </row>
    <row r="135" spans="1:19">
      <c r="A135" s="107" t="s">
        <v>56</v>
      </c>
      <c r="B135" s="108">
        <v>50</v>
      </c>
      <c r="C135" s="69">
        <v>-5.1233396600000002E-2</v>
      </c>
      <c r="D135" s="13">
        <v>49.8</v>
      </c>
      <c r="E135" s="14">
        <f>IF(ISNUMBER(D135), (D135 - $B135) / $B135, "")</f>
        <v>-4.0000000000000565E-3</v>
      </c>
      <c r="F135" s="16">
        <f>IF(ISNUMBER(D135), $B145 * E135, "")</f>
        <v>-600.00000000000841</v>
      </c>
      <c r="G135" s="29">
        <v>49.9</v>
      </c>
      <c r="H135" s="14">
        <f>IF(ISNUMBER(G135), (G135 - $B135) / $B135, "")</f>
        <v>-2.0000000000000282E-3</v>
      </c>
      <c r="I135" s="90">
        <f>IF(ISNUMBER(G135), $B145 * H135, "")</f>
        <v>-300.00000000000421</v>
      </c>
      <c r="J135" s="13">
        <v>50.1</v>
      </c>
      <c r="K135" s="14">
        <f>IF(ISNUMBER(J135), (J135 - $B135) / $B135, "")</f>
        <v>2.0000000000000282E-3</v>
      </c>
      <c r="L135" s="16">
        <f>IF(ISNUMBER(J135), $B145 * K135, "")</f>
        <v>300.00000000000421</v>
      </c>
      <c r="M135" s="29">
        <v>50.9</v>
      </c>
      <c r="N135" s="14">
        <f>IF(ISNUMBER(M135), (M135 - $B135) / $B135, "")</f>
        <v>1.7999999999999971E-2</v>
      </c>
      <c r="O135" s="16">
        <f>IF(ISNUMBER(M135), $B145 * N135, "")</f>
        <v>2699.9999999999955</v>
      </c>
      <c r="Q135" s="150"/>
      <c r="R135" s="151"/>
      <c r="S135" s="152"/>
    </row>
    <row r="136" spans="1:19" ht="17.25" thickBot="1">
      <c r="A136" s="109" t="s">
        <v>143</v>
      </c>
      <c r="B136" s="110">
        <v>5.5</v>
      </c>
      <c r="C136" s="70">
        <v>-5.3356282300000002E-2</v>
      </c>
      <c r="D136" s="15">
        <v>5.35</v>
      </c>
      <c r="E136" s="32">
        <f t="shared" ref="E136:E139" si="70">IF(ISNUMBER(D136), (D136 - $B136) / $B136, "")</f>
        <v>-2.7272727272727337E-2</v>
      </c>
      <c r="F136" s="18">
        <f>IF(ISNUMBER(D136), $B145 * E136, "")</f>
        <v>-4090.9090909091005</v>
      </c>
      <c r="G136" s="31">
        <v>5.34</v>
      </c>
      <c r="H136" s="32">
        <f t="shared" ref="H136:H139" si="71">IF(ISNUMBER(G136), (G136 - $B136) / $B136, "")</f>
        <v>-2.9090909090909115E-2</v>
      </c>
      <c r="I136" s="91">
        <f>IF(ISNUMBER(G136), $B145 * H136, "")</f>
        <v>-4363.6363636363676</v>
      </c>
      <c r="J136" s="15">
        <v>5.3</v>
      </c>
      <c r="K136" s="32">
        <f t="shared" ref="K136:K139" si="72">IF(ISNUMBER(J136), (J136 - $B136) / $B136, "")</f>
        <v>-3.6363636363636397E-2</v>
      </c>
      <c r="L136" s="18">
        <f>IF(ISNUMBER(J136), $B145 * K136, "")</f>
        <v>-5454.5454545454595</v>
      </c>
      <c r="M136" s="31">
        <v>5.44</v>
      </c>
      <c r="N136" s="32">
        <f t="shared" ref="N136:N139" si="73">IF(ISNUMBER(M136), (M136 - $B136) / $B136, "")</f>
        <v>-1.0909090909090839E-2</v>
      </c>
      <c r="O136" s="18">
        <f>IF(ISNUMBER(M136), $B145 * N136, "")</f>
        <v>-1636.3636363636258</v>
      </c>
      <c r="Q136" s="153"/>
      <c r="R136" s="154"/>
      <c r="S136" s="155"/>
    </row>
    <row r="137" spans="1:19" ht="17.25" thickBot="1">
      <c r="A137" s="109" t="s">
        <v>203</v>
      </c>
      <c r="B137" s="110">
        <v>4.1900000000000004</v>
      </c>
      <c r="C137" s="70">
        <v>-5.4176072200000001E-2</v>
      </c>
      <c r="D137" s="15">
        <v>4.12</v>
      </c>
      <c r="E137" s="32">
        <f t="shared" si="70"/>
        <v>-1.6706443914081211E-2</v>
      </c>
      <c r="F137" s="18">
        <f>IF(ISNUMBER(D137), $B145 * E137, "")</f>
        <v>-2505.9665871121815</v>
      </c>
      <c r="G137" s="31">
        <v>4.0599999999999996</v>
      </c>
      <c r="H137" s="32">
        <f t="shared" si="71"/>
        <v>-3.1026252983293739E-2</v>
      </c>
      <c r="I137" s="91">
        <f>IF(ISNUMBER(G137), $B145 * H137, "")</f>
        <v>-4653.9379474940606</v>
      </c>
      <c r="J137" s="15">
        <v>4.09</v>
      </c>
      <c r="K137" s="32">
        <f t="shared" si="72"/>
        <v>-2.3866348448687475E-2</v>
      </c>
      <c r="L137" s="18">
        <f>IF(ISNUMBER(J137), $B145 * K137, "")</f>
        <v>-3579.9522673031211</v>
      </c>
      <c r="M137" s="31">
        <v>4.13</v>
      </c>
      <c r="N137" s="32">
        <f t="shared" si="73"/>
        <v>-1.4319809069212527E-2</v>
      </c>
      <c r="O137" s="18">
        <f>IF(ISNUMBER(M137), $B145 * N137, "")</f>
        <v>-2147.9713603818791</v>
      </c>
      <c r="Q137" s="146"/>
      <c r="R137" s="146"/>
      <c r="S137" s="146"/>
    </row>
    <row r="138" spans="1:19" ht="17.25" thickBot="1">
      <c r="A138" s="109" t="s">
        <v>227</v>
      </c>
      <c r="B138" s="110">
        <v>57.2</v>
      </c>
      <c r="C138" s="70">
        <v>-5.6105610600000001E-2</v>
      </c>
      <c r="D138" s="15">
        <v>55.2</v>
      </c>
      <c r="E138" s="32">
        <f t="shared" si="70"/>
        <v>-3.4965034965034961E-2</v>
      </c>
      <c r="F138" s="18">
        <f>IF(ISNUMBER(D138), $B145 * E138, "")</f>
        <v>-5244.7552447552443</v>
      </c>
      <c r="G138" s="31">
        <v>55.1</v>
      </c>
      <c r="H138" s="32">
        <f t="shared" si="71"/>
        <v>-3.6713286713286733E-2</v>
      </c>
      <c r="I138" s="91">
        <f>IF(ISNUMBER(G138), $B145 * H138, "")</f>
        <v>-5506.9930069930097</v>
      </c>
      <c r="J138" s="15">
        <v>55.6</v>
      </c>
      <c r="K138" s="32">
        <f t="shared" si="72"/>
        <v>-2.7972027972027996E-2</v>
      </c>
      <c r="L138" s="18">
        <f>IF(ISNUMBER(J138), $B145 * K138, "")</f>
        <v>-4195.8041958041995</v>
      </c>
      <c r="M138" s="31">
        <v>56.6</v>
      </c>
      <c r="N138" s="32">
        <f t="shared" si="73"/>
        <v>-1.0489510489510514E-2</v>
      </c>
      <c r="O138" s="18">
        <f>IF(ISNUMBER(M138), $B145 * N138, "")</f>
        <v>-1573.4265734265771</v>
      </c>
      <c r="Q138" s="156"/>
      <c r="R138" s="156"/>
      <c r="S138" s="156"/>
    </row>
    <row r="139" spans="1:19" ht="17.25" thickBot="1">
      <c r="A139" s="111" t="s">
        <v>64</v>
      </c>
      <c r="B139" s="112">
        <v>12.7</v>
      </c>
      <c r="C139" s="71">
        <v>-5.9259259299999999E-2</v>
      </c>
      <c r="D139" s="20">
        <v>12.8</v>
      </c>
      <c r="E139" s="21">
        <f t="shared" si="70"/>
        <v>7.8740157480316087E-3</v>
      </c>
      <c r="F139" s="22">
        <f>IF(ISNUMBER(D139), $B145 * E139, "")</f>
        <v>1181.1023622047412</v>
      </c>
      <c r="G139" s="30">
        <v>12.6</v>
      </c>
      <c r="H139" s="21">
        <f t="shared" si="71"/>
        <v>-7.8740157480314682E-3</v>
      </c>
      <c r="I139" s="95">
        <f>IF(ISNUMBER(G139), $B145 * H139, "")</f>
        <v>-1181.1023622047203</v>
      </c>
      <c r="J139" s="20">
        <v>12.7</v>
      </c>
      <c r="K139" s="21">
        <f t="shared" si="72"/>
        <v>0</v>
      </c>
      <c r="L139" s="22">
        <f>IF(ISNUMBER(J139), $B145 * K139, "")</f>
        <v>0</v>
      </c>
      <c r="M139" s="30">
        <v>13</v>
      </c>
      <c r="N139" s="21">
        <f t="shared" si="73"/>
        <v>2.3622047244094547E-2</v>
      </c>
      <c r="O139" s="22">
        <f>IF(ISNUMBER(M139), $B145 * N139, "")</f>
        <v>3543.307086614182</v>
      </c>
      <c r="Q139" s="156"/>
      <c r="R139" s="156"/>
      <c r="S139" s="156"/>
    </row>
    <row r="140" spans="1:19" ht="17.25" thickBot="1">
      <c r="A140" s="109" t="s">
        <v>193</v>
      </c>
      <c r="B140" s="113">
        <v>23.3</v>
      </c>
      <c r="C140" s="73">
        <v>-6.4257028100000002E-2</v>
      </c>
      <c r="D140" s="96">
        <v>22.6</v>
      </c>
      <c r="E140" s="97">
        <f>IF(ISNUMBER(D140), (D140 - $B140) / $B140, "")</f>
        <v>-3.0042918454935591E-2</v>
      </c>
      <c r="F140" s="98">
        <f>IF(ISNUMBER(D140), $B145 * E140, "")</f>
        <v>-4506.4377682403383</v>
      </c>
      <c r="G140" s="99">
        <v>22.4</v>
      </c>
      <c r="H140" s="97">
        <f>IF(ISNUMBER(G140), (G140 - $B140) / $B140, "")</f>
        <v>-3.8626609442060179E-2</v>
      </c>
      <c r="I140" s="100">
        <f>IF(ISNUMBER(G140), $B145 * H140, "")</f>
        <v>-5793.991416309027</v>
      </c>
      <c r="J140" s="96">
        <v>22.5</v>
      </c>
      <c r="K140" s="97">
        <f>IF(ISNUMBER(J140), (J140 - $B140) / $B140, "")</f>
        <v>-3.4334763948497882E-2</v>
      </c>
      <c r="L140" s="98">
        <f>IF(ISNUMBER(J140), $B145 * K140, "")</f>
        <v>-5150.2145922746822</v>
      </c>
      <c r="M140" s="99">
        <v>23</v>
      </c>
      <c r="N140" s="97">
        <f>IF(ISNUMBER(M140), (M140 - $B140) / $B140, "")</f>
        <v>-1.2875536480686725E-2</v>
      </c>
      <c r="O140" s="98">
        <f>IF(ISNUMBER(M140), $B145 * N140, "")</f>
        <v>-1931.3304721030088</v>
      </c>
      <c r="Q140" s="146"/>
      <c r="R140" s="146"/>
      <c r="S140" s="146"/>
    </row>
    <row r="141" spans="1:19" ht="17.25" thickBot="1">
      <c r="A141" s="109" t="s">
        <v>126</v>
      </c>
      <c r="B141" s="110">
        <v>33.1</v>
      </c>
      <c r="C141" s="70">
        <v>-6.49717514E-2</v>
      </c>
      <c r="D141" s="15">
        <v>33.4</v>
      </c>
      <c r="E141" s="32">
        <f t="shared" ref="E141:E144" si="74">IF(ISNUMBER(D141), (D141 - $B141) / $B141, "")</f>
        <v>9.0634441087612434E-3</v>
      </c>
      <c r="F141" s="18">
        <f>IF(ISNUMBER(D141), $B145 * E141, "")</f>
        <v>1359.5166163141864</v>
      </c>
      <c r="G141" s="31">
        <v>32.799999999999997</v>
      </c>
      <c r="H141" s="32">
        <f t="shared" ref="H141:H144" si="75">IF(ISNUMBER(G141), (G141 - $B141) / $B141, "")</f>
        <v>-9.0634441087614585E-3</v>
      </c>
      <c r="I141" s="91">
        <f>IF(ISNUMBER(G141), $B145 * H141, "")</f>
        <v>-1359.5166163142187</v>
      </c>
      <c r="J141" s="15">
        <v>33.1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33.299999999999997</v>
      </c>
      <c r="N141" s="32">
        <f t="shared" ref="N141:N144" si="77">IF(ISNUMBER(M141), (M141 - $B141) / $B141, "")</f>
        <v>6.0422960725074236E-3</v>
      </c>
      <c r="O141" s="18">
        <f>IF(ISNUMBER(M141), $B145 * N141, "")</f>
        <v>906.34441087611356</v>
      </c>
      <c r="Q141" s="146"/>
      <c r="R141" s="146"/>
      <c r="S141" s="146"/>
    </row>
    <row r="142" spans="1:19" ht="17.25" thickBot="1">
      <c r="A142" s="109" t="s">
        <v>197</v>
      </c>
      <c r="B142" s="110">
        <v>11.3</v>
      </c>
      <c r="C142" s="70">
        <v>-6.6115702499999998E-2</v>
      </c>
      <c r="D142" s="15">
        <v>10.8</v>
      </c>
      <c r="E142" s="32">
        <f t="shared" si="74"/>
        <v>-4.4247787610619468E-2</v>
      </c>
      <c r="F142" s="18">
        <f>IF(ISNUMBER(D142), $B145 * E142, "")</f>
        <v>-6637.1681415929206</v>
      </c>
      <c r="G142" s="31">
        <v>10.7</v>
      </c>
      <c r="H142" s="32">
        <f t="shared" si="75"/>
        <v>-5.3097345132743487E-2</v>
      </c>
      <c r="I142" s="91">
        <f>IF(ISNUMBER(G142), $B145 * H142, "")</f>
        <v>-7964.6017699115228</v>
      </c>
      <c r="J142" s="15">
        <v>10.9</v>
      </c>
      <c r="K142" s="32">
        <f t="shared" si="76"/>
        <v>-3.5398230088495602E-2</v>
      </c>
      <c r="L142" s="18">
        <f>IF(ISNUMBER(J142), $B145 * K142, "")</f>
        <v>-5309.7345132743403</v>
      </c>
      <c r="M142" s="31">
        <v>11</v>
      </c>
      <c r="N142" s="32">
        <f t="shared" si="77"/>
        <v>-2.6548672566371743E-2</v>
      </c>
      <c r="O142" s="18">
        <f>IF(ISNUMBER(M142), $B145 * N142, "")</f>
        <v>-3982.3008849557614</v>
      </c>
      <c r="Q142" s="146"/>
      <c r="R142" s="146"/>
      <c r="S142" s="146"/>
    </row>
    <row r="143" spans="1:19">
      <c r="A143" s="109" t="s">
        <v>97</v>
      </c>
      <c r="B143" s="110">
        <v>8.9999999999999998E-4</v>
      </c>
      <c r="C143" s="70">
        <v>-0.1</v>
      </c>
      <c r="D143" s="15">
        <v>1E-3</v>
      </c>
      <c r="E143" s="32">
        <f t="shared" si="74"/>
        <v>0.11111111111111116</v>
      </c>
      <c r="F143" s="18">
        <f>IF(ISNUMBER(D143), $B145 * E143, "")</f>
        <v>16666.666666666675</v>
      </c>
      <c r="G143" s="31">
        <v>1E-3</v>
      </c>
      <c r="H143" s="32">
        <f t="shared" si="75"/>
        <v>0.11111111111111116</v>
      </c>
      <c r="I143" s="91">
        <f>IF(ISNUMBER(G143), $B145 * H143, "")</f>
        <v>16666.666666666675</v>
      </c>
      <c r="J143" s="15">
        <v>8.9999999999999998E-4</v>
      </c>
      <c r="K143" s="32">
        <f t="shared" si="76"/>
        <v>0</v>
      </c>
      <c r="L143" s="18">
        <f>IF(ISNUMBER(J143), $B145 * K143, "")</f>
        <v>0</v>
      </c>
      <c r="M143" s="31">
        <v>8.9999999999999998E-4</v>
      </c>
      <c r="N143" s="32">
        <f t="shared" si="77"/>
        <v>0</v>
      </c>
      <c r="O143" s="18">
        <f>IF(ISNUMBER(M143), $B145 * N143, "")</f>
        <v>0</v>
      </c>
      <c r="Q143" s="135"/>
      <c r="R143" s="136"/>
      <c r="S143" s="137"/>
    </row>
    <row r="144" spans="1:19" ht="17.25" thickBot="1">
      <c r="A144" s="114" t="s">
        <v>334</v>
      </c>
      <c r="B144" s="115">
        <v>45.9</v>
      </c>
      <c r="C144" s="72">
        <v>-0.103515625</v>
      </c>
      <c r="D144" s="24">
        <v>45.9</v>
      </c>
      <c r="E144" s="25">
        <f t="shared" si="74"/>
        <v>0</v>
      </c>
      <c r="F144" s="94">
        <f>IF(ISNUMBER(D144), $B145 * E144, "")</f>
        <v>0</v>
      </c>
      <c r="G144" s="92">
        <v>45.1</v>
      </c>
      <c r="H144" s="25">
        <f t="shared" si="75"/>
        <v>-1.7429193899782074E-2</v>
      </c>
      <c r="I144" s="93">
        <f>IF(ISNUMBER(G144), $B145 * H144, "")</f>
        <v>-2614.379084967311</v>
      </c>
      <c r="J144" s="24">
        <v>45.3</v>
      </c>
      <c r="K144" s="25">
        <f t="shared" si="76"/>
        <v>-1.3071895424836633E-2</v>
      </c>
      <c r="L144" s="94">
        <f>IF(ISNUMBER(J144), $B145 * K144, "")</f>
        <v>-1960.7843137254949</v>
      </c>
      <c r="M144" s="92">
        <v>45.9</v>
      </c>
      <c r="N144" s="25">
        <f t="shared" si="77"/>
        <v>0</v>
      </c>
      <c r="O144" s="94">
        <f>IF(ISNUMBER(M144), $B145 * N144, "")</f>
        <v>0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-5.6850856132431658E-3</v>
      </c>
      <c r="F145" s="28">
        <f>SUM(F125:F144)</f>
        <v>-17055.2568397295</v>
      </c>
      <c r="G145" s="26" t="s">
        <v>258</v>
      </c>
      <c r="H145" s="27">
        <f>IF(COUNT(H125:H144), SUM(H125:H144) / COUNT(H125:H144), 0)</f>
        <v>-1.3326750301264078E-2</v>
      </c>
      <c r="I145" s="28">
        <f>SUM(I125:I144)</f>
        <v>-39980.250903792228</v>
      </c>
      <c r="J145" s="26" t="s">
        <v>258</v>
      </c>
      <c r="K145" s="27">
        <f>IF(COUNT(K125:K144), SUM(K125:K144) / COUNT(K125:K144), 0)</f>
        <v>-1.4433743243005434E-2</v>
      </c>
      <c r="L145" s="28">
        <f>SUM(L125:L144)</f>
        <v>-43301.229729016304</v>
      </c>
      <c r="M145" s="26" t="s">
        <v>258</v>
      </c>
      <c r="N145" s="27">
        <f>IF(COUNT(N125:N144), SUM(N125:N144) / COUNT(N125:N144), 0)</f>
        <v>-1.4230905493554919E-4</v>
      </c>
      <c r="O145" s="28">
        <f>SUM(O125:O144)</f>
        <v>-426.92716480664694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2023-03-09(목) 오전 00:00</v>
      </c>
      <c r="C150" s="198"/>
      <c r="D150" s="170" t="str">
        <f>TEXT($G$1, "[$-ko-KR]yyyy-mm-dd(ddd) ") &amp; "오후 14:00"</f>
        <v>2023-03-09(목) 오후 14:00</v>
      </c>
      <c r="E150" s="171"/>
      <c r="F150" s="172"/>
      <c r="G150" s="170" t="str">
        <f>TEXT($G$1, "[$-ko-KR]yyyy-mm-dd(ddd) ") &amp; "오후 19:00"</f>
        <v>2023-03-09(목) 오후 19:00</v>
      </c>
      <c r="H150" s="171"/>
      <c r="I150" s="172"/>
      <c r="J150" s="170" t="str">
        <f>TEXT($G$1, "[$-ko-KR]yyyy-mm-dd(ddd) ") &amp; "오후 21:00"</f>
        <v>2023-03-09(목) 오후 21:00</v>
      </c>
      <c r="K150" s="171"/>
      <c r="L150" s="172"/>
      <c r="M150" s="170" t="str">
        <f>TEXT($G$1+1, "[$-ko-KR]yyyy-mm-dd(ddd) ") &amp; "오전 00:00"</f>
        <v>2023-03-10(금)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223</v>
      </c>
      <c r="B152" s="108">
        <v>258</v>
      </c>
      <c r="C152" s="69">
        <v>-4.7970479699999999E-2</v>
      </c>
      <c r="D152" s="13">
        <v>254</v>
      </c>
      <c r="E152" s="14">
        <f>IF(ISNUMBER(D152), (D152 - $B152) / $B152, "")</f>
        <v>-1.5503875968992248E-2</v>
      </c>
      <c r="F152" s="16">
        <f>IF(ISNUMBER(D152), $B172 * E152, "")</f>
        <v>-2325.5813953488373</v>
      </c>
      <c r="G152" s="29">
        <v>251</v>
      </c>
      <c r="H152" s="14">
        <f>IF(ISNUMBER(G152), (G152 - $B152) / $B152, "")</f>
        <v>-2.7131782945736434E-2</v>
      </c>
      <c r="I152" s="90">
        <f>IF(ISNUMBER(G152), $B172 * H152, "")</f>
        <v>-4069.7674418604652</v>
      </c>
      <c r="J152" s="13">
        <v>252</v>
      </c>
      <c r="K152" s="14">
        <f>IF(ISNUMBER(J152), (J152 - $B152) / $B152, "")</f>
        <v>-2.3255813953488372E-2</v>
      </c>
      <c r="L152" s="16">
        <f>IF(ISNUMBER(J152), $B172 * K152, "")</f>
        <v>-3488.3720930232557</v>
      </c>
      <c r="M152" s="29">
        <v>255</v>
      </c>
      <c r="N152" s="14">
        <f>IF(ISNUMBER(M152), (M152 - $B152) / $B152, "")</f>
        <v>-1.1627906976744186E-2</v>
      </c>
      <c r="O152" s="16">
        <f>IF(ISNUMBER(M152), $B172 * N152, "")</f>
        <v>-1744.1860465116279</v>
      </c>
      <c r="Q152" s="156"/>
      <c r="R152" s="156"/>
      <c r="S152" s="156"/>
    </row>
    <row r="153" spans="1:19" ht="17.25" thickBot="1">
      <c r="A153" s="109" t="s">
        <v>319</v>
      </c>
      <c r="B153" s="110">
        <v>211</v>
      </c>
      <c r="C153" s="70">
        <v>-4.9549549499999998E-2</v>
      </c>
      <c r="D153" s="15">
        <v>205</v>
      </c>
      <c r="E153" s="32">
        <f t="shared" ref="E153:E156" si="78">IF(ISNUMBER(D153), (D153 - $B153) / $B153, "")</f>
        <v>-2.843601895734597E-2</v>
      </c>
      <c r="F153" s="18">
        <f>IF(ISNUMBER(D153), $B172 * E153, "")</f>
        <v>-4265.4028436018953</v>
      </c>
      <c r="G153" s="31">
        <v>203</v>
      </c>
      <c r="H153" s="32">
        <f t="shared" ref="H153:H156" si="79">IF(ISNUMBER(G153), (G153 - $B153) / $B153, "")</f>
        <v>-3.7914691943127965E-2</v>
      </c>
      <c r="I153" s="91">
        <f>IF(ISNUMBER(G153), $B172 * H153, "")</f>
        <v>-5687.2037914691946</v>
      </c>
      <c r="J153" s="15">
        <v>204</v>
      </c>
      <c r="K153" s="32">
        <f t="shared" ref="K153:K156" si="80">IF(ISNUMBER(J153), (J153 - $B153) / $B153, "")</f>
        <v>-3.3175355450236969E-2</v>
      </c>
      <c r="L153" s="18">
        <f>IF(ISNUMBER(J153), $B172 * K153, "")</f>
        <v>-4976.3033175355458</v>
      </c>
      <c r="M153" s="31">
        <v>207</v>
      </c>
      <c r="N153" s="32">
        <f t="shared" ref="N153:N156" si="81">IF(ISNUMBER(M153), (M153 - $B153) / $B153, "")</f>
        <v>-1.8957345971563982E-2</v>
      </c>
      <c r="O153" s="18">
        <f>IF(ISNUMBER(M153), $B172 * N153, "")</f>
        <v>-2843.6018957345973</v>
      </c>
      <c r="Q153" s="156"/>
      <c r="R153" s="156"/>
      <c r="S153" s="156"/>
    </row>
    <row r="154" spans="1:19" ht="17.25" thickBot="1">
      <c r="A154" s="109" t="s">
        <v>183</v>
      </c>
      <c r="B154" s="110">
        <v>153</v>
      </c>
      <c r="C154" s="70">
        <v>-4.9689441000000001E-2</v>
      </c>
      <c r="D154" s="15">
        <v>149</v>
      </c>
      <c r="E154" s="32">
        <f t="shared" si="78"/>
        <v>-2.6143790849673203E-2</v>
      </c>
      <c r="F154" s="18">
        <f>IF(ISNUMBER(D154), $B172 * E154, "")</f>
        <v>-3921.5686274509803</v>
      </c>
      <c r="G154" s="31">
        <v>148</v>
      </c>
      <c r="H154" s="32">
        <f t="shared" si="79"/>
        <v>-3.2679738562091505E-2</v>
      </c>
      <c r="I154" s="91">
        <f>IF(ISNUMBER(G154), $B172 * H154, "")</f>
        <v>-4901.9607843137255</v>
      </c>
      <c r="J154" s="15">
        <v>150</v>
      </c>
      <c r="K154" s="32">
        <f t="shared" si="80"/>
        <v>-1.9607843137254902E-2</v>
      </c>
      <c r="L154" s="18">
        <f>IF(ISNUMBER(J154), $B172 * K154, "")</f>
        <v>-2941.1764705882351</v>
      </c>
      <c r="M154" s="31">
        <v>153</v>
      </c>
      <c r="N154" s="32">
        <f t="shared" si="81"/>
        <v>0</v>
      </c>
      <c r="O154" s="18">
        <f>IF(ISNUMBER(M154), $B172 * N154, "")</f>
        <v>0</v>
      </c>
      <c r="Q154" s="146"/>
      <c r="R154" s="146"/>
      <c r="S154" s="146"/>
    </row>
    <row r="155" spans="1:19" ht="17.25" thickBot="1">
      <c r="A155" s="109" t="s">
        <v>130</v>
      </c>
      <c r="B155" s="110">
        <v>918</v>
      </c>
      <c r="C155" s="70">
        <v>-4.9689441000000001E-2</v>
      </c>
      <c r="D155" s="15">
        <v>907</v>
      </c>
      <c r="E155" s="32">
        <f t="shared" si="78"/>
        <v>-1.1982570806100218E-2</v>
      </c>
      <c r="F155" s="18">
        <f>IF(ISNUMBER(D155), $B172 * E155, "")</f>
        <v>-1797.3856209150326</v>
      </c>
      <c r="G155" s="31">
        <v>910</v>
      </c>
      <c r="H155" s="32">
        <f t="shared" si="79"/>
        <v>-8.7145969498910684E-3</v>
      </c>
      <c r="I155" s="91">
        <f>IF(ISNUMBER(G155), $B172 * H155, "")</f>
        <v>-1307.1895424836603</v>
      </c>
      <c r="J155" s="15">
        <v>916</v>
      </c>
      <c r="K155" s="32">
        <f t="shared" si="80"/>
        <v>-2.1786492374727671E-3</v>
      </c>
      <c r="L155" s="18">
        <f>IF(ISNUMBER(J155), $B172 * K155, "")</f>
        <v>-326.79738562091507</v>
      </c>
      <c r="M155" s="31">
        <v>929</v>
      </c>
      <c r="N155" s="32">
        <f t="shared" si="81"/>
        <v>1.1982570806100218E-2</v>
      </c>
      <c r="O155" s="18">
        <f>IF(ISNUMBER(M155), $B172 * N155, "")</f>
        <v>1797.3856209150326</v>
      </c>
      <c r="Q155" s="146"/>
      <c r="R155" s="146"/>
      <c r="S155" s="146"/>
    </row>
    <row r="156" spans="1:19" ht="17.25" thickBot="1">
      <c r="A156" s="111" t="s">
        <v>205</v>
      </c>
      <c r="B156" s="112">
        <v>129</v>
      </c>
      <c r="C156" s="71">
        <v>-5.14705882E-2</v>
      </c>
      <c r="D156" s="20">
        <v>127</v>
      </c>
      <c r="E156" s="21">
        <f t="shared" si="78"/>
        <v>-1.5503875968992248E-2</v>
      </c>
      <c r="F156" s="22">
        <f>IF(ISNUMBER(D156), $B172 * E156, "")</f>
        <v>-2325.5813953488373</v>
      </c>
      <c r="G156" s="30">
        <v>127</v>
      </c>
      <c r="H156" s="21">
        <f t="shared" si="79"/>
        <v>-1.5503875968992248E-2</v>
      </c>
      <c r="I156" s="95">
        <f>IF(ISNUMBER(G156), $B172 * H156, "")</f>
        <v>-2325.5813953488373</v>
      </c>
      <c r="J156" s="20">
        <v>127</v>
      </c>
      <c r="K156" s="21">
        <f t="shared" si="80"/>
        <v>-1.5503875968992248E-2</v>
      </c>
      <c r="L156" s="22">
        <f>IF(ISNUMBER(J156), $B172 * K156, "")</f>
        <v>-2325.5813953488373</v>
      </c>
      <c r="M156" s="30">
        <v>130</v>
      </c>
      <c r="N156" s="21">
        <f t="shared" si="81"/>
        <v>7.7519379844961239E-3</v>
      </c>
      <c r="O156" s="22">
        <f>IF(ISNUMBER(M156), $B172 * N156, "")</f>
        <v>1162.7906976744187</v>
      </c>
      <c r="Q156" s="146"/>
      <c r="R156" s="146"/>
      <c r="S156" s="146"/>
    </row>
    <row r="157" spans="1:19" ht="17.25" thickBot="1">
      <c r="A157" s="109" t="s">
        <v>111</v>
      </c>
      <c r="B157" s="113">
        <v>768</v>
      </c>
      <c r="C157" s="73">
        <v>-5.1851851900000002E-2</v>
      </c>
      <c r="D157" s="96">
        <v>768</v>
      </c>
      <c r="E157" s="97">
        <f>IF(ISNUMBER(D157), (D157 - $B157) / $B157, "")</f>
        <v>0</v>
      </c>
      <c r="F157" s="98">
        <f>IF(ISNUMBER(D157), $B172 * E157, "")</f>
        <v>0</v>
      </c>
      <c r="G157" s="99">
        <v>766</v>
      </c>
      <c r="H157" s="97">
        <f>IF(ISNUMBER(G157), (G157 - $B157) / $B157, "")</f>
        <v>-2.6041666666666665E-3</v>
      </c>
      <c r="I157" s="100">
        <f>IF(ISNUMBER(G157), $B172 * H157, "")</f>
        <v>-390.625</v>
      </c>
      <c r="J157" s="96">
        <v>773</v>
      </c>
      <c r="K157" s="97">
        <f>IF(ISNUMBER(J157), (J157 - $B157) / $B157, "")</f>
        <v>6.510416666666667E-3</v>
      </c>
      <c r="L157" s="98">
        <f>IF(ISNUMBER(J157), $B172 * K157, "")</f>
        <v>976.5625</v>
      </c>
      <c r="M157" s="99">
        <v>780</v>
      </c>
      <c r="N157" s="97">
        <f>IF(ISNUMBER(M157), (M157 - $B157) / $B157, "")</f>
        <v>1.5625E-2</v>
      </c>
      <c r="O157" s="98">
        <f>IF(ISNUMBER(M157), $B172 * N157, "")</f>
        <v>2343.75</v>
      </c>
      <c r="Q157" s="146"/>
      <c r="R157" s="146"/>
      <c r="S157" s="146"/>
    </row>
    <row r="158" spans="1:19" ht="17.25" thickBot="1">
      <c r="A158" s="109" t="s">
        <v>346</v>
      </c>
      <c r="B158" s="110">
        <v>274</v>
      </c>
      <c r="C158" s="70">
        <v>-5.1903114200000003E-2</v>
      </c>
      <c r="D158" s="15">
        <v>273</v>
      </c>
      <c r="E158" s="32">
        <f t="shared" ref="E158:E161" si="82">IF(ISNUMBER(D158), (D158 - $B158) / $B158, "")</f>
        <v>-3.6496350364963502E-3</v>
      </c>
      <c r="F158" s="18">
        <f>IF(ISNUMBER(D158), $B172 * E158, "")</f>
        <v>-547.44525547445255</v>
      </c>
      <c r="G158" s="31">
        <v>269</v>
      </c>
      <c r="H158" s="32">
        <f t="shared" ref="H158:H161" si="83">IF(ISNUMBER(G158), (G158 - $B158) / $B158, "")</f>
        <v>-1.824817518248175E-2</v>
      </c>
      <c r="I158" s="91">
        <f>IF(ISNUMBER(G158), $B172 * H158, "")</f>
        <v>-2737.2262773722628</v>
      </c>
      <c r="J158" s="15">
        <v>271</v>
      </c>
      <c r="K158" s="32">
        <f t="shared" ref="K158:K161" si="84">IF(ISNUMBER(J158), (J158 - $B158) / $B158, "")</f>
        <v>-1.0948905109489052E-2</v>
      </c>
      <c r="L158" s="18">
        <f>IF(ISNUMBER(J158), $B172 * K158, "")</f>
        <v>-1642.3357664233577</v>
      </c>
      <c r="M158" s="31">
        <v>274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46"/>
      <c r="R158" s="146"/>
      <c r="S158" s="146"/>
    </row>
    <row r="159" spans="1:19" ht="17.25" thickBot="1">
      <c r="A159" s="109" t="s">
        <v>340</v>
      </c>
      <c r="B159" s="110">
        <v>810</v>
      </c>
      <c r="C159" s="70">
        <v>-5.2631578900000003E-2</v>
      </c>
      <c r="D159" s="15">
        <v>807</v>
      </c>
      <c r="E159" s="32">
        <f t="shared" si="82"/>
        <v>-3.7037037037037038E-3</v>
      </c>
      <c r="F159" s="18">
        <f>IF(ISNUMBER(D159), $B172 * E159, "")</f>
        <v>-555.55555555555554</v>
      </c>
      <c r="G159" s="31">
        <v>803</v>
      </c>
      <c r="H159" s="32">
        <f t="shared" si="83"/>
        <v>-8.6419753086419745E-3</v>
      </c>
      <c r="I159" s="91">
        <f>IF(ISNUMBER(G159), $B172 * H159, "")</f>
        <v>-1296.2962962962961</v>
      </c>
      <c r="J159" s="15">
        <v>811</v>
      </c>
      <c r="K159" s="32">
        <f t="shared" si="84"/>
        <v>1.2345679012345679E-3</v>
      </c>
      <c r="L159" s="18">
        <f>IF(ISNUMBER(J159), $B172 * K159, "")</f>
        <v>185.18518518518519</v>
      </c>
      <c r="M159" s="31">
        <v>820</v>
      </c>
      <c r="N159" s="32">
        <f t="shared" si="85"/>
        <v>1.2345679012345678E-2</v>
      </c>
      <c r="O159" s="18">
        <f>IF(ISNUMBER(M159), $B172 * N159, "")</f>
        <v>1851.8518518518517</v>
      </c>
      <c r="Q159" s="146"/>
      <c r="R159" s="146"/>
      <c r="S159" s="146"/>
    </row>
    <row r="160" spans="1:19" ht="17.25" thickBot="1">
      <c r="A160" s="109" t="s">
        <v>327</v>
      </c>
      <c r="B160" s="110">
        <v>450</v>
      </c>
      <c r="C160" s="70">
        <v>-5.2631578900000003E-2</v>
      </c>
      <c r="D160" s="15">
        <v>446</v>
      </c>
      <c r="E160" s="32">
        <f t="shared" si="82"/>
        <v>-8.8888888888888889E-3</v>
      </c>
      <c r="F160" s="18">
        <f>IF(ISNUMBER(D160), $B172 * E160, "")</f>
        <v>-1333.3333333333333</v>
      </c>
      <c r="G160" s="31">
        <v>445</v>
      </c>
      <c r="H160" s="32">
        <f t="shared" si="83"/>
        <v>-1.1111111111111112E-2</v>
      </c>
      <c r="I160" s="91">
        <f>IF(ISNUMBER(G160), $B172 * H160, "")</f>
        <v>-1666.6666666666667</v>
      </c>
      <c r="J160" s="15">
        <v>447</v>
      </c>
      <c r="K160" s="32">
        <f t="shared" si="84"/>
        <v>-6.6666666666666671E-3</v>
      </c>
      <c r="L160" s="18">
        <f>IF(ISNUMBER(J160), $B172 * K160, "")</f>
        <v>-1000.0000000000001</v>
      </c>
      <c r="M160" s="31">
        <v>453</v>
      </c>
      <c r="N160" s="32">
        <f t="shared" si="85"/>
        <v>6.6666666666666671E-3</v>
      </c>
      <c r="O160" s="18">
        <f>IF(ISNUMBER(M160), $B172 * N160, "")</f>
        <v>1000.0000000000001</v>
      </c>
      <c r="Q160" s="33"/>
      <c r="R160" s="33"/>
    </row>
    <row r="161" spans="1:19" ht="17.25" thickBot="1">
      <c r="A161" s="114" t="s">
        <v>159</v>
      </c>
      <c r="B161" s="115">
        <v>230</v>
      </c>
      <c r="C161" s="72">
        <v>-5.3497942399999998E-2</v>
      </c>
      <c r="D161" s="24">
        <v>227</v>
      </c>
      <c r="E161" s="25">
        <f t="shared" si="82"/>
        <v>-1.3043478260869565E-2</v>
      </c>
      <c r="F161" s="94">
        <f>IF(ISNUMBER(D161), $B172 * E161, "")</f>
        <v>-1956.5217391304348</v>
      </c>
      <c r="G161" s="92">
        <v>226</v>
      </c>
      <c r="H161" s="25">
        <f t="shared" si="83"/>
        <v>-1.7391304347826087E-2</v>
      </c>
      <c r="I161" s="93">
        <f>IF(ISNUMBER(G161), $B172 * H161, "")</f>
        <v>-2608.695652173913</v>
      </c>
      <c r="J161" s="24">
        <v>229</v>
      </c>
      <c r="K161" s="25">
        <f t="shared" si="84"/>
        <v>-4.3478260869565218E-3</v>
      </c>
      <c r="L161" s="94">
        <f>IF(ISNUMBER(J161), $B172 * K161, "")</f>
        <v>-652.17391304347825</v>
      </c>
      <c r="M161" s="92">
        <v>231</v>
      </c>
      <c r="N161" s="25">
        <f t="shared" si="85"/>
        <v>4.3478260869565218E-3</v>
      </c>
      <c r="O161" s="94">
        <f>IF(ISNUMBER(M161), $B172 * N161, "")</f>
        <v>652.17391304347825</v>
      </c>
      <c r="Q161" s="147"/>
      <c r="R161" s="148"/>
      <c r="S161" s="149"/>
    </row>
    <row r="162" spans="1:19">
      <c r="A162" s="107" t="s">
        <v>167</v>
      </c>
      <c r="B162" s="108">
        <v>232</v>
      </c>
      <c r="C162" s="69">
        <v>-5.6910569100000002E-2</v>
      </c>
      <c r="D162" s="13">
        <v>227</v>
      </c>
      <c r="E162" s="14">
        <f>IF(ISNUMBER(D162), (D162 - $B162) / $B162, "")</f>
        <v>-2.1551724137931036E-2</v>
      </c>
      <c r="F162" s="16">
        <f>IF(ISNUMBER(D162), $B172 * E162, "")</f>
        <v>-3232.7586206896553</v>
      </c>
      <c r="G162" s="29">
        <v>225</v>
      </c>
      <c r="H162" s="14">
        <f>IF(ISNUMBER(G162), (G162 - $B162) / $B162, "")</f>
        <v>-3.017241379310345E-2</v>
      </c>
      <c r="I162" s="90">
        <f>IF(ISNUMBER(G162), $B172 * H162, "")</f>
        <v>-4525.8620689655172</v>
      </c>
      <c r="J162" s="13">
        <v>224</v>
      </c>
      <c r="K162" s="14">
        <f>IF(ISNUMBER(J162), (J162 - $B162) / $B162, "")</f>
        <v>-3.4482758620689655E-2</v>
      </c>
      <c r="L162" s="16">
        <f>IF(ISNUMBER(J162), $B172 * K162, "")</f>
        <v>-5172.4137931034484</v>
      </c>
      <c r="M162" s="29">
        <v>228</v>
      </c>
      <c r="N162" s="14">
        <f>IF(ISNUMBER(M162), (M162 - $B162) / $B162, "")</f>
        <v>-1.7241379310344827E-2</v>
      </c>
      <c r="O162" s="16">
        <f>IF(ISNUMBER(M162), $B172 * N162, "")</f>
        <v>-2586.2068965517242</v>
      </c>
      <c r="Q162" s="150"/>
      <c r="R162" s="151"/>
      <c r="S162" s="152"/>
    </row>
    <row r="163" spans="1:19" ht="17.25" thickBot="1">
      <c r="A163" s="109" t="s">
        <v>153</v>
      </c>
      <c r="B163" s="110">
        <v>459</v>
      </c>
      <c r="C163" s="70">
        <v>-5.7494866499999998E-2</v>
      </c>
      <c r="D163" s="15">
        <v>459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455</v>
      </c>
      <c r="H163" s="32">
        <f t="shared" ref="H163:H166" si="87">IF(ISNUMBER(G163), (G163 - $B163) / $B163, "")</f>
        <v>-8.7145969498910684E-3</v>
      </c>
      <c r="I163" s="91">
        <f>IF(ISNUMBER(G163), $B172 * H163, "")</f>
        <v>-1307.1895424836603</v>
      </c>
      <c r="J163" s="15">
        <v>461</v>
      </c>
      <c r="K163" s="32">
        <f t="shared" ref="K163:K166" si="88">IF(ISNUMBER(J163), (J163 - $B163) / $B163, "")</f>
        <v>4.3572984749455342E-3</v>
      </c>
      <c r="L163" s="18">
        <f>IF(ISNUMBER(J163), $B172 * K163, "")</f>
        <v>653.59477124183013</v>
      </c>
      <c r="M163" s="31">
        <v>464</v>
      </c>
      <c r="N163" s="32">
        <f t="shared" ref="N163:N166" si="89">IF(ISNUMBER(M163), (M163 - $B163) / $B163, "")</f>
        <v>1.0893246187363835E-2</v>
      </c>
      <c r="O163" s="18">
        <f>IF(ISNUMBER(M163), $B172 * N163, "")</f>
        <v>1633.9869281045753</v>
      </c>
      <c r="Q163" s="153"/>
      <c r="R163" s="154"/>
      <c r="S163" s="155"/>
    </row>
    <row r="164" spans="1:19" ht="17.25" thickBot="1">
      <c r="A164" s="109" t="s">
        <v>103</v>
      </c>
      <c r="B164" s="110">
        <v>291</v>
      </c>
      <c r="C164" s="70">
        <v>-5.8252427199999998E-2</v>
      </c>
      <c r="D164" s="15">
        <v>291</v>
      </c>
      <c r="E164" s="32">
        <f t="shared" si="86"/>
        <v>0</v>
      </c>
      <c r="F164" s="18">
        <f>IF(ISNUMBER(D164), $B172 * E164, "")</f>
        <v>0</v>
      </c>
      <c r="G164" s="31">
        <v>286</v>
      </c>
      <c r="H164" s="32">
        <f t="shared" si="87"/>
        <v>-1.7182130584192441E-2</v>
      </c>
      <c r="I164" s="91">
        <f>IF(ISNUMBER(G164), $B172 * H164, "")</f>
        <v>-2577.319587628866</v>
      </c>
      <c r="J164" s="15">
        <v>288</v>
      </c>
      <c r="K164" s="32">
        <f t="shared" si="88"/>
        <v>-1.0309278350515464E-2</v>
      </c>
      <c r="L164" s="18">
        <f>IF(ISNUMBER(J164), $B172 * K164, "")</f>
        <v>-1546.3917525773195</v>
      </c>
      <c r="M164" s="31">
        <v>293</v>
      </c>
      <c r="N164" s="32">
        <f t="shared" si="89"/>
        <v>6.8728522336769758E-3</v>
      </c>
      <c r="O164" s="18">
        <f>IF(ISNUMBER(M164), $B172 * N164, "")</f>
        <v>1030.9278350515465</v>
      </c>
      <c r="Q164" s="146"/>
      <c r="R164" s="146"/>
      <c r="S164" s="146"/>
    </row>
    <row r="165" spans="1:19" ht="17.25" thickBot="1">
      <c r="A165" s="109" t="s">
        <v>60</v>
      </c>
      <c r="B165" s="110">
        <v>738</v>
      </c>
      <c r="C165" s="70">
        <v>-6.10687023E-2</v>
      </c>
      <c r="D165" s="15">
        <v>737</v>
      </c>
      <c r="E165" s="32">
        <f t="shared" si="86"/>
        <v>-1.3550135501355014E-3</v>
      </c>
      <c r="F165" s="18">
        <f>IF(ISNUMBER(D165), $B172 * E165, "")</f>
        <v>-203.2520325203252</v>
      </c>
      <c r="G165" s="31">
        <v>731</v>
      </c>
      <c r="H165" s="32">
        <f t="shared" si="87"/>
        <v>-9.485094850948509E-3</v>
      </c>
      <c r="I165" s="91">
        <f>IF(ISNUMBER(G165), $B172 * H165, "")</f>
        <v>-1422.7642276422764</v>
      </c>
      <c r="J165" s="15">
        <v>737</v>
      </c>
      <c r="K165" s="32">
        <f t="shared" si="88"/>
        <v>-1.3550135501355014E-3</v>
      </c>
      <c r="L165" s="18">
        <f>IF(ISNUMBER(J165), $B172 * K165, "")</f>
        <v>-203.2520325203252</v>
      </c>
      <c r="M165" s="31">
        <v>747</v>
      </c>
      <c r="N165" s="32">
        <f t="shared" si="89"/>
        <v>1.2195121951219513E-2</v>
      </c>
      <c r="O165" s="18">
        <f>IF(ISNUMBER(M165), $B172 * N165, "")</f>
        <v>1829.2682926829268</v>
      </c>
      <c r="Q165" s="156"/>
      <c r="R165" s="156"/>
      <c r="S165" s="156"/>
    </row>
    <row r="166" spans="1:19" ht="17.25" thickBot="1">
      <c r="A166" s="111" t="s">
        <v>105</v>
      </c>
      <c r="B166" s="112">
        <v>272</v>
      </c>
      <c r="C166" s="71">
        <v>-6.5292096199999997E-2</v>
      </c>
      <c r="D166" s="20">
        <v>271</v>
      </c>
      <c r="E166" s="21">
        <f t="shared" si="86"/>
        <v>-3.6764705882352941E-3</v>
      </c>
      <c r="F166" s="22">
        <f>IF(ISNUMBER(D166), $B172 * E166, "")</f>
        <v>-551.47058823529414</v>
      </c>
      <c r="G166" s="30">
        <v>270</v>
      </c>
      <c r="H166" s="21">
        <f t="shared" si="87"/>
        <v>-7.3529411764705881E-3</v>
      </c>
      <c r="I166" s="95">
        <f>IF(ISNUMBER(G166), $B172 * H166, "")</f>
        <v>-1102.9411764705883</v>
      </c>
      <c r="J166" s="20">
        <v>272</v>
      </c>
      <c r="K166" s="21">
        <f t="shared" si="88"/>
        <v>0</v>
      </c>
      <c r="L166" s="22">
        <f>IF(ISNUMBER(J166), $B172 * K166, "")</f>
        <v>0</v>
      </c>
      <c r="M166" s="30">
        <v>274</v>
      </c>
      <c r="N166" s="21">
        <f t="shared" si="89"/>
        <v>7.3529411764705881E-3</v>
      </c>
      <c r="O166" s="22">
        <f>IF(ISNUMBER(M166), $B172 * N166, "")</f>
        <v>1102.9411764705883</v>
      </c>
      <c r="Q166" s="156"/>
      <c r="R166" s="156"/>
      <c r="S166" s="156"/>
    </row>
    <row r="167" spans="1:19" ht="17.25" thickBot="1">
      <c r="A167" s="109" t="s">
        <v>187</v>
      </c>
      <c r="B167" s="113">
        <v>930</v>
      </c>
      <c r="C167" s="73">
        <v>-7.4626865700000003E-2</v>
      </c>
      <c r="D167" s="96">
        <v>910</v>
      </c>
      <c r="E167" s="97">
        <f>IF(ISNUMBER(D167), (D167 - $B167) / $B167, "")</f>
        <v>-2.1505376344086023E-2</v>
      </c>
      <c r="F167" s="98">
        <f>IF(ISNUMBER(D167), $B172 * E167, "")</f>
        <v>-3225.8064516129034</v>
      </c>
      <c r="G167" s="99">
        <v>903</v>
      </c>
      <c r="H167" s="97">
        <f>IF(ISNUMBER(G167), (G167 - $B167) / $B167, "")</f>
        <v>-2.903225806451613E-2</v>
      </c>
      <c r="I167" s="100">
        <f>IF(ISNUMBER(G167), $B172 * H167, "")</f>
        <v>-4354.8387096774195</v>
      </c>
      <c r="J167" s="96">
        <v>909</v>
      </c>
      <c r="K167" s="97">
        <f>IF(ISNUMBER(J167), (J167 - $B167) / $B167, "")</f>
        <v>-2.2580645161290321E-2</v>
      </c>
      <c r="L167" s="98">
        <f>IF(ISNUMBER(J167), $B172 * K167, "")</f>
        <v>-3387.0967741935483</v>
      </c>
      <c r="M167" s="99">
        <v>922</v>
      </c>
      <c r="N167" s="97">
        <f>IF(ISNUMBER(M167), (M167 - $B167) / $B167, "")</f>
        <v>-8.6021505376344086E-3</v>
      </c>
      <c r="O167" s="98">
        <f>IF(ISNUMBER(M167), $B172 * N167, "")</f>
        <v>-1290.3225806451612</v>
      </c>
      <c r="Q167" s="146"/>
      <c r="R167" s="146"/>
      <c r="S167" s="146"/>
    </row>
    <row r="168" spans="1:19" ht="17.25" thickBot="1">
      <c r="A168" s="109" t="s">
        <v>68</v>
      </c>
      <c r="B168" s="110">
        <v>513</v>
      </c>
      <c r="C168" s="70">
        <v>-7.7338129500000005E-2</v>
      </c>
      <c r="D168" s="15">
        <v>500</v>
      </c>
      <c r="E168" s="32">
        <f t="shared" ref="E168:E171" si="90">IF(ISNUMBER(D168), (D168 - $B168) / $B168, "")</f>
        <v>-2.5341130604288498E-2</v>
      </c>
      <c r="F168" s="18">
        <f>IF(ISNUMBER(D168), $B172 * E168, "")</f>
        <v>-3801.1695906432747</v>
      </c>
      <c r="G168" s="31">
        <v>494</v>
      </c>
      <c r="H168" s="32">
        <f t="shared" ref="H168:H171" si="91">IF(ISNUMBER(G168), (G168 - $B168) / $B168, "")</f>
        <v>-3.7037037037037035E-2</v>
      </c>
      <c r="I168" s="91">
        <f>IF(ISNUMBER(G168), $B172 * H168, "")</f>
        <v>-5555.5555555555557</v>
      </c>
      <c r="J168" s="15">
        <v>494</v>
      </c>
      <c r="K168" s="32">
        <f t="shared" ref="K168:K171" si="92">IF(ISNUMBER(J168), (J168 - $B168) / $B168, "")</f>
        <v>-3.7037037037037035E-2</v>
      </c>
      <c r="L168" s="18">
        <f>IF(ISNUMBER(J168), $B172 * K168, "")</f>
        <v>-5555.5555555555557</v>
      </c>
      <c r="M168" s="31">
        <v>506</v>
      </c>
      <c r="N168" s="32">
        <f t="shared" ref="N168:N171" si="93">IF(ISNUMBER(M168), (M168 - $B168) / $B168, "")</f>
        <v>-1.364522417153996E-2</v>
      </c>
      <c r="O168" s="18">
        <f>IF(ISNUMBER(M168), $B172 * N168, "")</f>
        <v>-2046.7836257309941</v>
      </c>
      <c r="Q168" s="146"/>
      <c r="R168" s="146"/>
      <c r="S168" s="146"/>
    </row>
    <row r="169" spans="1:19" ht="17.25" thickBot="1">
      <c r="A169" s="109" t="s">
        <v>149</v>
      </c>
      <c r="B169" s="110">
        <v>526</v>
      </c>
      <c r="C169" s="70">
        <v>-8.0419580399999996E-2</v>
      </c>
      <c r="D169" s="15">
        <v>518</v>
      </c>
      <c r="E169" s="32">
        <f t="shared" si="90"/>
        <v>-1.5209125475285171E-2</v>
      </c>
      <c r="F169" s="18">
        <f>IF(ISNUMBER(D169), $B172 * E169, "")</f>
        <v>-2281.3688212927755</v>
      </c>
      <c r="G169" s="31">
        <v>517</v>
      </c>
      <c r="H169" s="32">
        <f t="shared" si="91"/>
        <v>-1.7110266159695818E-2</v>
      </c>
      <c r="I169" s="91">
        <f>IF(ISNUMBER(G169), $B172 * H169, "")</f>
        <v>-2566.5399239543726</v>
      </c>
      <c r="J169" s="15">
        <v>520</v>
      </c>
      <c r="K169" s="32">
        <f t="shared" si="92"/>
        <v>-1.1406844106463879E-2</v>
      </c>
      <c r="L169" s="18">
        <f>IF(ISNUMBER(J169), $B172 * K169, "")</f>
        <v>-1711.0266159695818</v>
      </c>
      <c r="M169" s="31">
        <v>526</v>
      </c>
      <c r="N169" s="32">
        <f t="shared" si="93"/>
        <v>0</v>
      </c>
      <c r="O169" s="18">
        <f>IF(ISNUMBER(M169), $B172 * N169, "")</f>
        <v>0</v>
      </c>
      <c r="Q169" s="146"/>
      <c r="R169" s="146"/>
      <c r="S169" s="146"/>
    </row>
    <row r="170" spans="1:19">
      <c r="A170" s="109" t="s">
        <v>161</v>
      </c>
      <c r="B170" s="110">
        <v>833</v>
      </c>
      <c r="C170" s="70">
        <v>-9.6529284199999996E-2</v>
      </c>
      <c r="D170" s="15">
        <v>859</v>
      </c>
      <c r="E170" s="32">
        <f t="shared" si="90"/>
        <v>3.1212484993997598E-2</v>
      </c>
      <c r="F170" s="18">
        <f>IF(ISNUMBER(D170), $B172 * E170, "")</f>
        <v>4681.8727490996398</v>
      </c>
      <c r="G170" s="31">
        <v>820</v>
      </c>
      <c r="H170" s="32">
        <f t="shared" si="91"/>
        <v>-1.5606242496998799E-2</v>
      </c>
      <c r="I170" s="91">
        <f>IF(ISNUMBER(G170), $B172 * H170, "")</f>
        <v>-2340.9363745498199</v>
      </c>
      <c r="J170" s="15">
        <v>837</v>
      </c>
      <c r="K170" s="32">
        <f t="shared" si="92"/>
        <v>4.8019207683073226E-3</v>
      </c>
      <c r="L170" s="18">
        <f>IF(ISNUMBER(J170), $B172 * K170, "")</f>
        <v>720.28811524609841</v>
      </c>
      <c r="M170" s="31">
        <v>859</v>
      </c>
      <c r="N170" s="32">
        <f t="shared" si="93"/>
        <v>3.1212484993997598E-2</v>
      </c>
      <c r="O170" s="18">
        <f>IF(ISNUMBER(M170), $B172 * N170, "")</f>
        <v>4681.8727490996398</v>
      </c>
      <c r="Q170" s="135"/>
      <c r="R170" s="136"/>
      <c r="S170" s="137"/>
    </row>
    <row r="171" spans="1:19" ht="17.25" thickBot="1">
      <c r="A171" s="114" t="s">
        <v>352</v>
      </c>
      <c r="B171" s="115">
        <v>244</v>
      </c>
      <c r="C171" s="72">
        <v>-0.13475177299999999</v>
      </c>
      <c r="D171" s="24">
        <v>249</v>
      </c>
      <c r="E171" s="25">
        <f t="shared" si="90"/>
        <v>2.0491803278688523E-2</v>
      </c>
      <c r="F171" s="94">
        <f>IF(ISNUMBER(D171), $B172 * E171, "")</f>
        <v>3073.7704918032787</v>
      </c>
      <c r="G171" s="92">
        <v>246</v>
      </c>
      <c r="H171" s="25">
        <f t="shared" si="91"/>
        <v>8.1967213114754103E-3</v>
      </c>
      <c r="I171" s="93">
        <f>IF(ISNUMBER(G171), $B172 * H171, "")</f>
        <v>1229.5081967213116</v>
      </c>
      <c r="J171" s="24">
        <v>242</v>
      </c>
      <c r="K171" s="25">
        <f t="shared" si="92"/>
        <v>-8.1967213114754103E-3</v>
      </c>
      <c r="L171" s="94">
        <f>IF(ISNUMBER(J171), $B172 * K171, "")</f>
        <v>-1229.5081967213116</v>
      </c>
      <c r="M171" s="92">
        <v>243</v>
      </c>
      <c r="N171" s="25">
        <f t="shared" si="93"/>
        <v>-4.0983606557377051E-3</v>
      </c>
      <c r="O171" s="94">
        <f>IF(ISNUMBER(M171), $B172 * N171, "")</f>
        <v>-614.7540983606558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-8.1895195434168906E-3</v>
      </c>
      <c r="F172" s="28">
        <f>SUM(F152:F171)</f>
        <v>-24568.558630250674</v>
      </c>
      <c r="G172" s="26" t="s">
        <v>258</v>
      </c>
      <c r="H172" s="27">
        <f>IF(COUNT(H152:H171), SUM(H152:H171) / COUNT(H152:H171), 0)</f>
        <v>-1.717188393939726E-2</v>
      </c>
      <c r="I172" s="28">
        <f>SUM(I152:I171)</f>
        <v>-51515.651818191778</v>
      </c>
      <c r="J172" s="26" t="s">
        <v>258</v>
      </c>
      <c r="K172" s="27">
        <f>IF(COUNT(K152:K171), SUM(K152:K171) / COUNT(K152:K171), 0)</f>
        <v>-1.1207451496850535E-2</v>
      </c>
      <c r="L172" s="28">
        <f>SUM(L152:L171)</f>
        <v>-33622.354490551603</v>
      </c>
      <c r="M172" s="26" t="s">
        <v>258</v>
      </c>
      <c r="N172" s="27">
        <f>IF(COUNT(N152:N171), SUM(N152:N171) / COUNT(N152:N171), 0)</f>
        <v>2.6536979737864326E-3</v>
      </c>
      <c r="O172" s="28">
        <f>SUM(O152:O171)</f>
        <v>7961.0939213592974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2023-03-09(목) 오전 00:00</v>
      </c>
      <c r="C177" s="198"/>
      <c r="D177" s="170" t="str">
        <f>TEXT($G$1, "[$-ko-KR]yyyy-mm-dd(ddd) ") &amp; "오후 14:00"</f>
        <v>2023-03-09(목) 오후 14:00</v>
      </c>
      <c r="E177" s="171"/>
      <c r="F177" s="172"/>
      <c r="G177" s="170" t="str">
        <f>TEXT($G$1, "[$-ko-KR]yyyy-mm-dd(ddd) ") &amp; "오후 19:00"</f>
        <v>2023-03-09(목) 오후 19:00</v>
      </c>
      <c r="H177" s="171"/>
      <c r="I177" s="172"/>
      <c r="J177" s="170" t="str">
        <f>TEXT($G$1, "[$-ko-KR]yyyy-mm-dd(ddd) ") &amp; "오후 21:00"</f>
        <v>2023-03-09(목) 오후 21:00</v>
      </c>
      <c r="K177" s="171"/>
      <c r="L177" s="172"/>
      <c r="M177" s="170" t="str">
        <f>TEXT($G$1+1, "[$-ko-KR]yyyy-mm-dd(ddd) ") &amp; "오전 00:00"</f>
        <v>2023-03-10(금)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103</v>
      </c>
      <c r="B179" s="108">
        <v>291</v>
      </c>
      <c r="C179" s="69">
        <v>-5.8252427199999998E-2</v>
      </c>
      <c r="D179" s="13">
        <v>291</v>
      </c>
      <c r="E179" s="14">
        <f>IF(ISNUMBER(D179), (D179 - $B179) / $B179, "")</f>
        <v>0</v>
      </c>
      <c r="F179" s="16">
        <f>IF(ISNUMBER(D179), $B199 * E179, "")</f>
        <v>0</v>
      </c>
      <c r="G179" s="29">
        <v>286</v>
      </c>
      <c r="H179" s="14">
        <f>IF(ISNUMBER(G179), (G179 - $B179) / $B179, "")</f>
        <v>-1.7182130584192441E-2</v>
      </c>
      <c r="I179" s="90">
        <f>IF(ISNUMBER(G179), $B199 * H179, "")</f>
        <v>-2577.319587628866</v>
      </c>
      <c r="J179" s="13">
        <v>288</v>
      </c>
      <c r="K179" s="14">
        <f>IF(ISNUMBER(J179), (J179 - $B179) / $B179, "")</f>
        <v>-1.0309278350515464E-2</v>
      </c>
      <c r="L179" s="16">
        <f>IF(ISNUMBER(J179), $B199 * K179, "")</f>
        <v>-1546.3917525773195</v>
      </c>
      <c r="M179" s="29">
        <v>293</v>
      </c>
      <c r="N179" s="14">
        <f>IF(ISNUMBER(M179), (M179 - $B179) / $B179, "")</f>
        <v>6.8728522336769758E-3</v>
      </c>
      <c r="O179" s="16">
        <f>IF(ISNUMBER(M179), $B199 * N179, "")</f>
        <v>1030.9278350515465</v>
      </c>
      <c r="Q179" s="156"/>
      <c r="R179" s="156"/>
      <c r="S179" s="156"/>
    </row>
    <row r="180" spans="1:19" ht="17.25" thickBot="1">
      <c r="A180" s="109" t="s">
        <v>64</v>
      </c>
      <c r="B180" s="110">
        <v>12.7</v>
      </c>
      <c r="C180" s="70">
        <v>-5.9259259299999999E-2</v>
      </c>
      <c r="D180" s="15">
        <v>12.8</v>
      </c>
      <c r="E180" s="32">
        <f t="shared" ref="E180:E183" si="94">IF(ISNUMBER(D180), (D180 - $B180) / $B180, "")</f>
        <v>7.8740157480316087E-3</v>
      </c>
      <c r="F180" s="18">
        <f>IF(ISNUMBER(D180), $B199 * E180, "")</f>
        <v>1181.1023622047412</v>
      </c>
      <c r="G180" s="31">
        <v>12.6</v>
      </c>
      <c r="H180" s="32">
        <f t="shared" ref="H180:H183" si="95">IF(ISNUMBER(G180), (G180 - $B180) / $B180, "")</f>
        <v>-7.8740157480314682E-3</v>
      </c>
      <c r="I180" s="91">
        <f>IF(ISNUMBER(G180), $B199 * H180, "")</f>
        <v>-1181.1023622047203</v>
      </c>
      <c r="J180" s="15">
        <v>12.7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13</v>
      </c>
      <c r="N180" s="32">
        <f t="shared" ref="N180:N183" si="97">IF(ISNUMBER(M180), (M180 - $B180) / $B180, "")</f>
        <v>2.3622047244094547E-2</v>
      </c>
      <c r="O180" s="18">
        <f>IF(ISNUMBER(M180), $B199 * N180, "")</f>
        <v>3543.307086614182</v>
      </c>
      <c r="Q180" s="156"/>
      <c r="R180" s="156"/>
      <c r="S180" s="156"/>
    </row>
    <row r="181" spans="1:19" ht="17.25" thickBot="1">
      <c r="A181" s="109" t="s">
        <v>147</v>
      </c>
      <c r="B181" s="110">
        <v>10790</v>
      </c>
      <c r="C181" s="70">
        <v>-6.0104529599999998E-2</v>
      </c>
      <c r="D181" s="15">
        <v>10660</v>
      </c>
      <c r="E181" s="32">
        <f t="shared" si="94"/>
        <v>-1.2048192771084338E-2</v>
      </c>
      <c r="F181" s="18">
        <f>IF(ISNUMBER(D181), $B199 * E181, "")</f>
        <v>-1807.2289156626507</v>
      </c>
      <c r="G181" s="31">
        <v>10630</v>
      </c>
      <c r="H181" s="32">
        <f t="shared" si="95"/>
        <v>-1.4828544949026877E-2</v>
      </c>
      <c r="I181" s="91">
        <f>IF(ISNUMBER(G181), $B199 * H181, "")</f>
        <v>-2224.2817423540314</v>
      </c>
      <c r="J181" s="15">
        <v>10710</v>
      </c>
      <c r="K181" s="32">
        <f t="shared" si="96"/>
        <v>-7.4142724745134385E-3</v>
      </c>
      <c r="L181" s="18">
        <f>IF(ISNUMBER(J181), $B199 * K181, "")</f>
        <v>-1112.1408711770157</v>
      </c>
      <c r="M181" s="31">
        <v>10920</v>
      </c>
      <c r="N181" s="32">
        <f t="shared" si="97"/>
        <v>1.2048192771084338E-2</v>
      </c>
      <c r="O181" s="18">
        <f>IF(ISNUMBER(M181), $B199 * N181, "")</f>
        <v>1807.2289156626507</v>
      </c>
      <c r="Q181" s="146"/>
      <c r="R181" s="146"/>
      <c r="S181" s="146"/>
    </row>
    <row r="182" spans="1:19" ht="17.25" thickBot="1">
      <c r="A182" s="109" t="s">
        <v>60</v>
      </c>
      <c r="B182" s="110">
        <v>738</v>
      </c>
      <c r="C182" s="70">
        <v>-6.10687023E-2</v>
      </c>
      <c r="D182" s="15">
        <v>737</v>
      </c>
      <c r="E182" s="32">
        <f t="shared" si="94"/>
        <v>-1.3550135501355014E-3</v>
      </c>
      <c r="F182" s="18">
        <f>IF(ISNUMBER(D182), $B199 * E182, "")</f>
        <v>-203.2520325203252</v>
      </c>
      <c r="G182" s="31">
        <v>731</v>
      </c>
      <c r="H182" s="32">
        <f t="shared" si="95"/>
        <v>-9.485094850948509E-3</v>
      </c>
      <c r="I182" s="91">
        <f>IF(ISNUMBER(G182), $B199 * H182, "")</f>
        <v>-1422.7642276422764</v>
      </c>
      <c r="J182" s="15">
        <v>737</v>
      </c>
      <c r="K182" s="32">
        <f t="shared" si="96"/>
        <v>-1.3550135501355014E-3</v>
      </c>
      <c r="L182" s="18">
        <f>IF(ISNUMBER(J182), $B199 * K182, "")</f>
        <v>-203.2520325203252</v>
      </c>
      <c r="M182" s="31">
        <v>747</v>
      </c>
      <c r="N182" s="32">
        <f t="shared" si="97"/>
        <v>1.2195121951219513E-2</v>
      </c>
      <c r="O182" s="18">
        <f>IF(ISNUMBER(M182), $B199 * N182, "")</f>
        <v>1829.2682926829268</v>
      </c>
      <c r="Q182" s="146"/>
      <c r="R182" s="146"/>
      <c r="S182" s="146"/>
    </row>
    <row r="183" spans="1:19" ht="17.25" thickBot="1">
      <c r="A183" s="111" t="s">
        <v>136</v>
      </c>
      <c r="B183" s="112">
        <v>3875</v>
      </c>
      <c r="C183" s="71">
        <v>-6.1743341399999999E-2</v>
      </c>
      <c r="D183" s="20">
        <v>3855</v>
      </c>
      <c r="E183" s="21">
        <f t="shared" si="94"/>
        <v>-5.1612903225806452E-3</v>
      </c>
      <c r="F183" s="22">
        <f>IF(ISNUMBER(D183), $B199 * E183, "")</f>
        <v>-774.19354838709683</v>
      </c>
      <c r="G183" s="30">
        <v>3860</v>
      </c>
      <c r="H183" s="21">
        <f t="shared" si="95"/>
        <v>-3.8709677419354839E-3</v>
      </c>
      <c r="I183" s="95">
        <f>IF(ISNUMBER(G183), $B199 * H183, "")</f>
        <v>-580.64516129032256</v>
      </c>
      <c r="J183" s="20">
        <v>3865</v>
      </c>
      <c r="K183" s="21">
        <f t="shared" si="96"/>
        <v>-2.5806451612903226E-3</v>
      </c>
      <c r="L183" s="22">
        <f>IF(ISNUMBER(J183), $B199 * K183, "")</f>
        <v>-387.09677419354841</v>
      </c>
      <c r="M183" s="30">
        <v>3940</v>
      </c>
      <c r="N183" s="21">
        <f t="shared" si="97"/>
        <v>1.6774193548387096E-2</v>
      </c>
      <c r="O183" s="22">
        <f>IF(ISNUMBER(M183), $B199 * N183, "")</f>
        <v>2516.1290322580644</v>
      </c>
      <c r="Q183" s="146"/>
      <c r="R183" s="146"/>
      <c r="S183" s="146"/>
    </row>
    <row r="184" spans="1:19" ht="17.25" thickBot="1">
      <c r="A184" s="109" t="s">
        <v>350</v>
      </c>
      <c r="B184" s="113">
        <v>2505</v>
      </c>
      <c r="C184" s="73">
        <v>-6.1797752800000001E-2</v>
      </c>
      <c r="D184" s="96">
        <v>2495</v>
      </c>
      <c r="E184" s="97">
        <f>IF(ISNUMBER(D184), (D184 - $B184) / $B184, "")</f>
        <v>-3.9920159680638719E-3</v>
      </c>
      <c r="F184" s="98">
        <f>IF(ISNUMBER(D184), $B199 * E184, "")</f>
        <v>-598.80239520958082</v>
      </c>
      <c r="G184" s="99">
        <v>2485</v>
      </c>
      <c r="H184" s="97">
        <f>IF(ISNUMBER(G184), (G184 - $B184) / $B184, "")</f>
        <v>-7.9840319361277438E-3</v>
      </c>
      <c r="I184" s="100">
        <f>IF(ISNUMBER(G184), $B199 * H184, "")</f>
        <v>-1197.6047904191616</v>
      </c>
      <c r="J184" s="96">
        <v>2515</v>
      </c>
      <c r="K184" s="97">
        <f>IF(ISNUMBER(J184), (J184 - $B184) / $B184, "")</f>
        <v>3.9920159680638719E-3</v>
      </c>
      <c r="L184" s="98">
        <f>IF(ISNUMBER(J184), $B199 * K184, "")</f>
        <v>598.80239520958082</v>
      </c>
      <c r="M184" s="99">
        <v>2535</v>
      </c>
      <c r="N184" s="97">
        <f>IF(ISNUMBER(M184), (M184 - $B184) / $B184, "")</f>
        <v>1.1976047904191617E-2</v>
      </c>
      <c r="O184" s="98">
        <f>IF(ISNUMBER(M184), $B199 * N184, "")</f>
        <v>1796.4071856287426</v>
      </c>
      <c r="Q184" s="146"/>
      <c r="R184" s="146"/>
      <c r="S184" s="146"/>
    </row>
    <row r="185" spans="1:19" ht="17.25" thickBot="1">
      <c r="A185" s="109" t="s">
        <v>193</v>
      </c>
      <c r="B185" s="110">
        <v>23.3</v>
      </c>
      <c r="C185" s="70">
        <v>-6.4257028100000002E-2</v>
      </c>
      <c r="D185" s="15">
        <v>22.6</v>
      </c>
      <c r="E185" s="32">
        <f t="shared" ref="E185:E188" si="98">IF(ISNUMBER(D185), (D185 - $B185) / $B185, "")</f>
        <v>-3.0042918454935591E-2</v>
      </c>
      <c r="F185" s="18">
        <f>IF(ISNUMBER(D185), $B199 * E185, "")</f>
        <v>-4506.4377682403383</v>
      </c>
      <c r="G185" s="31">
        <v>22.4</v>
      </c>
      <c r="H185" s="32">
        <f t="shared" ref="H185:H188" si="99">IF(ISNUMBER(G185), (G185 - $B185) / $B185, "")</f>
        <v>-3.8626609442060179E-2</v>
      </c>
      <c r="I185" s="91">
        <f>IF(ISNUMBER(G185), $B199 * H185, "")</f>
        <v>-5793.991416309027</v>
      </c>
      <c r="J185" s="15">
        <v>22.5</v>
      </c>
      <c r="K185" s="32">
        <f t="shared" ref="K185:K188" si="100">IF(ISNUMBER(J185), (J185 - $B185) / $B185, "")</f>
        <v>-3.4334763948497882E-2</v>
      </c>
      <c r="L185" s="18">
        <f>IF(ISNUMBER(J185), $B199 * K185, "")</f>
        <v>-5150.2145922746822</v>
      </c>
      <c r="M185" s="31">
        <v>23</v>
      </c>
      <c r="N185" s="32">
        <f t="shared" ref="N185:N188" si="101">IF(ISNUMBER(M185), (M185 - $B185) / $B185, "")</f>
        <v>-1.2875536480686725E-2</v>
      </c>
      <c r="O185" s="18">
        <f>IF(ISNUMBER(M185), $B199 * N185, "")</f>
        <v>-1931.3304721030088</v>
      </c>
      <c r="Q185" s="146"/>
      <c r="R185" s="146"/>
      <c r="S185" s="146"/>
    </row>
    <row r="186" spans="1:19" ht="17.25" thickBot="1">
      <c r="A186" s="109" t="s">
        <v>126</v>
      </c>
      <c r="B186" s="110">
        <v>33.1</v>
      </c>
      <c r="C186" s="70">
        <v>-6.49717514E-2</v>
      </c>
      <c r="D186" s="15">
        <v>33.4</v>
      </c>
      <c r="E186" s="32">
        <f t="shared" si="98"/>
        <v>9.0634441087612434E-3</v>
      </c>
      <c r="F186" s="18">
        <f>IF(ISNUMBER(D186), $B199 * E186, "")</f>
        <v>1359.5166163141864</v>
      </c>
      <c r="G186" s="31">
        <v>32.799999999999997</v>
      </c>
      <c r="H186" s="32">
        <f t="shared" si="99"/>
        <v>-9.0634441087614585E-3</v>
      </c>
      <c r="I186" s="91">
        <f>IF(ISNUMBER(G186), $B199 * H186, "")</f>
        <v>-1359.5166163142187</v>
      </c>
      <c r="J186" s="15">
        <v>33.1</v>
      </c>
      <c r="K186" s="32">
        <f t="shared" si="100"/>
        <v>0</v>
      </c>
      <c r="L186" s="18">
        <f>IF(ISNUMBER(J186), $B199 * K186, "")</f>
        <v>0</v>
      </c>
      <c r="M186" s="31">
        <v>33.299999999999997</v>
      </c>
      <c r="N186" s="32">
        <f t="shared" si="101"/>
        <v>6.0422960725074236E-3</v>
      </c>
      <c r="O186" s="18">
        <f>IF(ISNUMBER(M186), $B199 * N186, "")</f>
        <v>906.34441087611356</v>
      </c>
      <c r="Q186" s="146"/>
      <c r="R186" s="146"/>
      <c r="S186" s="146"/>
    </row>
    <row r="187" spans="1:19" ht="17.25" thickBot="1">
      <c r="A187" s="109" t="s">
        <v>105</v>
      </c>
      <c r="B187" s="110">
        <v>272</v>
      </c>
      <c r="C187" s="70">
        <v>-6.5292096199999997E-2</v>
      </c>
      <c r="D187" s="15">
        <v>271</v>
      </c>
      <c r="E187" s="32">
        <f t="shared" si="98"/>
        <v>-3.6764705882352941E-3</v>
      </c>
      <c r="F187" s="18">
        <f>IF(ISNUMBER(D187), $B199 * E187, "")</f>
        <v>-551.47058823529414</v>
      </c>
      <c r="G187" s="31">
        <v>270</v>
      </c>
      <c r="H187" s="32">
        <f t="shared" si="99"/>
        <v>-7.3529411764705881E-3</v>
      </c>
      <c r="I187" s="91">
        <f>IF(ISNUMBER(G187), $B199 * H187, "")</f>
        <v>-1102.9411764705883</v>
      </c>
      <c r="J187" s="15">
        <v>272</v>
      </c>
      <c r="K187" s="32">
        <f t="shared" si="100"/>
        <v>0</v>
      </c>
      <c r="L187" s="18">
        <f>IF(ISNUMBER(J187), $B199 * K187, "")</f>
        <v>0</v>
      </c>
      <c r="M187" s="31">
        <v>274</v>
      </c>
      <c r="N187" s="32">
        <f t="shared" si="101"/>
        <v>7.3529411764705881E-3</v>
      </c>
      <c r="O187" s="18">
        <f>IF(ISNUMBER(M187), $B199 * N187, "")</f>
        <v>1102.9411764705883</v>
      </c>
      <c r="Q187" s="33"/>
      <c r="R187" s="33"/>
    </row>
    <row r="188" spans="1:19" ht="17.25" thickBot="1">
      <c r="A188" s="114" t="s">
        <v>197</v>
      </c>
      <c r="B188" s="115">
        <v>11.3</v>
      </c>
      <c r="C188" s="72">
        <v>-6.6115702499999998E-2</v>
      </c>
      <c r="D188" s="24">
        <v>10.8</v>
      </c>
      <c r="E188" s="25">
        <f t="shared" si="98"/>
        <v>-4.4247787610619468E-2</v>
      </c>
      <c r="F188" s="94">
        <f>IF(ISNUMBER(D188), $B199 * E188, "")</f>
        <v>-6637.1681415929206</v>
      </c>
      <c r="G188" s="92">
        <v>10.7</v>
      </c>
      <c r="H188" s="25">
        <f t="shared" si="99"/>
        <v>-5.3097345132743487E-2</v>
      </c>
      <c r="I188" s="93">
        <f>IF(ISNUMBER(G188), $B199 * H188, "")</f>
        <v>-7964.6017699115228</v>
      </c>
      <c r="J188" s="24">
        <v>10.9</v>
      </c>
      <c r="K188" s="25">
        <f t="shared" si="100"/>
        <v>-3.5398230088495602E-2</v>
      </c>
      <c r="L188" s="94">
        <f>IF(ISNUMBER(J188), $B199 * K188, "")</f>
        <v>-5309.7345132743403</v>
      </c>
      <c r="M188" s="92">
        <v>11</v>
      </c>
      <c r="N188" s="25">
        <f t="shared" si="101"/>
        <v>-2.6548672566371743E-2</v>
      </c>
      <c r="O188" s="94">
        <f>IF(ISNUMBER(M188), $B199 * N188, "")</f>
        <v>-3982.3008849557614</v>
      </c>
      <c r="Q188" s="147"/>
      <c r="R188" s="148"/>
      <c r="S188" s="149"/>
    </row>
    <row r="189" spans="1:19">
      <c r="A189" s="107" t="s">
        <v>331</v>
      </c>
      <c r="B189" s="108">
        <v>25050</v>
      </c>
      <c r="C189" s="69">
        <v>-6.9119286500000002E-2</v>
      </c>
      <c r="D189" s="13">
        <v>24750</v>
      </c>
      <c r="E189" s="14">
        <f>IF(ISNUMBER(D189), (D189 - $B189) / $B189, "")</f>
        <v>-1.1976047904191617E-2</v>
      </c>
      <c r="F189" s="16">
        <f>IF(ISNUMBER(D189), $B199 * E189, "")</f>
        <v>-1796.4071856287426</v>
      </c>
      <c r="G189" s="29">
        <v>24680</v>
      </c>
      <c r="H189" s="14">
        <f>IF(ISNUMBER(G189), (G189 - $B189) / $B189, "")</f>
        <v>-1.4770459081836327E-2</v>
      </c>
      <c r="I189" s="90">
        <f>IF(ISNUMBER(G189), $B199 * H189, "")</f>
        <v>-2215.5688622754492</v>
      </c>
      <c r="J189" s="13">
        <v>24770</v>
      </c>
      <c r="K189" s="14">
        <f>IF(ISNUMBER(J189), (J189 - $B189) / $B189, "")</f>
        <v>-1.1177644710578843E-2</v>
      </c>
      <c r="L189" s="16">
        <f>IF(ISNUMBER(J189), $B199 * K189, "")</f>
        <v>-1676.6467065868264</v>
      </c>
      <c r="M189" s="29">
        <v>24720</v>
      </c>
      <c r="N189" s="14">
        <f>IF(ISNUMBER(M189), (M189 - $B189) / $B189, "")</f>
        <v>-1.3173652694610778E-2</v>
      </c>
      <c r="O189" s="16">
        <f>IF(ISNUMBER(M189), $B199 * N189, "")</f>
        <v>-1976.0479041916167</v>
      </c>
      <c r="Q189" s="150"/>
      <c r="R189" s="151"/>
      <c r="S189" s="152"/>
    </row>
    <row r="190" spans="1:19" ht="17.25" thickBot="1">
      <c r="A190" s="109" t="s">
        <v>187</v>
      </c>
      <c r="B190" s="110">
        <v>930</v>
      </c>
      <c r="C190" s="70">
        <v>-7.4626865700000003E-2</v>
      </c>
      <c r="D190" s="15">
        <v>910</v>
      </c>
      <c r="E190" s="32">
        <f t="shared" ref="E190:E193" si="102">IF(ISNUMBER(D190), (D190 - $B190) / $B190, "")</f>
        <v>-2.1505376344086023E-2</v>
      </c>
      <c r="F190" s="18">
        <f>IF(ISNUMBER(D190), $B199 * E190, "")</f>
        <v>-3225.8064516129034</v>
      </c>
      <c r="G190" s="31">
        <v>903</v>
      </c>
      <c r="H190" s="32">
        <f t="shared" ref="H190:H193" si="103">IF(ISNUMBER(G190), (G190 - $B190) / $B190, "")</f>
        <v>-2.903225806451613E-2</v>
      </c>
      <c r="I190" s="91">
        <f>IF(ISNUMBER(G190), $B199 * H190, "")</f>
        <v>-4354.8387096774195</v>
      </c>
      <c r="J190" s="15">
        <v>909</v>
      </c>
      <c r="K190" s="32">
        <f t="shared" ref="K190:K193" si="104">IF(ISNUMBER(J190), (J190 - $B190) / $B190, "")</f>
        <v>-2.2580645161290321E-2</v>
      </c>
      <c r="L190" s="18">
        <f>IF(ISNUMBER(J190), $B199 * K190, "")</f>
        <v>-3387.0967741935483</v>
      </c>
      <c r="M190" s="31">
        <v>922</v>
      </c>
      <c r="N190" s="32">
        <f t="shared" ref="N190:N193" si="105">IF(ISNUMBER(M190), (M190 - $B190) / $B190, "")</f>
        <v>-8.6021505376344086E-3</v>
      </c>
      <c r="O190" s="18">
        <f>IF(ISNUMBER(M190), $B199 * N190, "")</f>
        <v>-1290.3225806451612</v>
      </c>
      <c r="Q190" s="153"/>
      <c r="R190" s="154"/>
      <c r="S190" s="155"/>
    </row>
    <row r="191" spans="1:19" ht="17.25" thickBot="1">
      <c r="A191" s="109" t="s">
        <v>62</v>
      </c>
      <c r="B191" s="110">
        <v>14200</v>
      </c>
      <c r="C191" s="70">
        <v>-7.7322936999999994E-2</v>
      </c>
      <c r="D191" s="15">
        <v>14040</v>
      </c>
      <c r="E191" s="32">
        <f t="shared" si="102"/>
        <v>-1.1267605633802818E-2</v>
      </c>
      <c r="F191" s="18">
        <f>IF(ISNUMBER(D191), $B199 * E191, "")</f>
        <v>-1690.1408450704225</v>
      </c>
      <c r="G191" s="31">
        <v>14200</v>
      </c>
      <c r="H191" s="32">
        <f t="shared" si="103"/>
        <v>0</v>
      </c>
      <c r="I191" s="91">
        <f>IF(ISNUMBER(G191), $B199 * H191, "")</f>
        <v>0</v>
      </c>
      <c r="J191" s="15">
        <v>14250</v>
      </c>
      <c r="K191" s="32">
        <f t="shared" si="104"/>
        <v>3.5211267605633804E-3</v>
      </c>
      <c r="L191" s="18">
        <f>IF(ISNUMBER(J191), $B199 * K191, "")</f>
        <v>528.16901408450701</v>
      </c>
      <c r="M191" s="31">
        <v>14560</v>
      </c>
      <c r="N191" s="32">
        <f t="shared" si="105"/>
        <v>2.5352112676056339E-2</v>
      </c>
      <c r="O191" s="18">
        <f>IF(ISNUMBER(M191), $B199 * N191, "")</f>
        <v>3802.816901408451</v>
      </c>
      <c r="Q191" s="146"/>
      <c r="R191" s="146"/>
      <c r="S191" s="146"/>
    </row>
    <row r="192" spans="1:19" ht="17.25" thickBot="1">
      <c r="A192" s="109" t="s">
        <v>68</v>
      </c>
      <c r="B192" s="110">
        <v>513</v>
      </c>
      <c r="C192" s="70">
        <v>-7.7338129500000005E-2</v>
      </c>
      <c r="D192" s="15">
        <v>500</v>
      </c>
      <c r="E192" s="32">
        <f t="shared" si="102"/>
        <v>-2.5341130604288498E-2</v>
      </c>
      <c r="F192" s="18">
        <f>IF(ISNUMBER(D192), $B199 * E192, "")</f>
        <v>-3801.1695906432747</v>
      </c>
      <c r="G192" s="31">
        <v>494</v>
      </c>
      <c r="H192" s="32">
        <f t="shared" si="103"/>
        <v>-3.7037037037037035E-2</v>
      </c>
      <c r="I192" s="91">
        <f>IF(ISNUMBER(G192), $B199 * H192, "")</f>
        <v>-5555.5555555555557</v>
      </c>
      <c r="J192" s="15">
        <v>494</v>
      </c>
      <c r="K192" s="32">
        <f t="shared" si="104"/>
        <v>-3.7037037037037035E-2</v>
      </c>
      <c r="L192" s="18">
        <f>IF(ISNUMBER(J192), $B199 * K192, "")</f>
        <v>-5555.5555555555557</v>
      </c>
      <c r="M192" s="31">
        <v>506</v>
      </c>
      <c r="N192" s="32">
        <f t="shared" si="105"/>
        <v>-1.364522417153996E-2</v>
      </c>
      <c r="O192" s="18">
        <f>IF(ISNUMBER(M192), $B199 * N192, "")</f>
        <v>-2046.7836257309941</v>
      </c>
      <c r="Q192" s="156"/>
      <c r="R192" s="156"/>
      <c r="S192" s="156"/>
    </row>
    <row r="193" spans="1:19" ht="17.25" thickBot="1">
      <c r="A193" s="111" t="s">
        <v>149</v>
      </c>
      <c r="B193" s="112">
        <v>526</v>
      </c>
      <c r="C193" s="71">
        <v>-8.0419580399999996E-2</v>
      </c>
      <c r="D193" s="20">
        <v>518</v>
      </c>
      <c r="E193" s="21">
        <f t="shared" si="102"/>
        <v>-1.5209125475285171E-2</v>
      </c>
      <c r="F193" s="22">
        <f>IF(ISNUMBER(D193), $B199 * E193, "")</f>
        <v>-2281.3688212927755</v>
      </c>
      <c r="G193" s="30">
        <v>517</v>
      </c>
      <c r="H193" s="21">
        <f t="shared" si="103"/>
        <v>-1.7110266159695818E-2</v>
      </c>
      <c r="I193" s="95">
        <f>IF(ISNUMBER(G193), $B199 * H193, "")</f>
        <v>-2566.5399239543726</v>
      </c>
      <c r="J193" s="20">
        <v>520</v>
      </c>
      <c r="K193" s="21">
        <f t="shared" si="104"/>
        <v>-1.1406844106463879E-2</v>
      </c>
      <c r="L193" s="22">
        <f>IF(ISNUMBER(J193), $B199 * K193, "")</f>
        <v>-1711.0266159695818</v>
      </c>
      <c r="M193" s="30">
        <v>526</v>
      </c>
      <c r="N193" s="21">
        <f t="shared" si="105"/>
        <v>0</v>
      </c>
      <c r="O193" s="22">
        <f>IF(ISNUMBER(M193), $B199 * N193, "")</f>
        <v>0</v>
      </c>
      <c r="Q193" s="156"/>
      <c r="R193" s="156"/>
      <c r="S193" s="156"/>
    </row>
    <row r="194" spans="1:19" ht="17.25" thickBot="1">
      <c r="A194" s="109" t="s">
        <v>354</v>
      </c>
      <c r="B194" s="113">
        <v>4635</v>
      </c>
      <c r="C194" s="73">
        <v>-9.0284592699999999E-2</v>
      </c>
      <c r="D194" s="96">
        <v>4405</v>
      </c>
      <c r="E194" s="97">
        <f>IF(ISNUMBER(D194), (D194 - $B194) / $B194, "")</f>
        <v>-4.9622437971952538E-2</v>
      </c>
      <c r="F194" s="98">
        <f>IF(ISNUMBER(D194), $B199 * E194, "")</f>
        <v>-7443.3656957928806</v>
      </c>
      <c r="G194" s="99">
        <v>4250</v>
      </c>
      <c r="H194" s="97">
        <f>IF(ISNUMBER(G194), (G194 - $B194) / $B194, "")</f>
        <v>-8.306364617044229E-2</v>
      </c>
      <c r="I194" s="100">
        <f>IF(ISNUMBER(G194), $B199 * H194, "")</f>
        <v>-12459.546925566343</v>
      </c>
      <c r="J194" s="96">
        <v>4300</v>
      </c>
      <c r="K194" s="97">
        <f>IF(ISNUMBER(J194), (J194 - $B194) / $B194, "")</f>
        <v>-7.2276159654800429E-2</v>
      </c>
      <c r="L194" s="98">
        <f>IF(ISNUMBER(J194), $B199 * K194, "")</f>
        <v>-10841.423948220065</v>
      </c>
      <c r="M194" s="99">
        <v>4340</v>
      </c>
      <c r="N194" s="97">
        <f>IF(ISNUMBER(M194), (M194 - $B194) / $B194, "")</f>
        <v>-6.3646170442286945E-2</v>
      </c>
      <c r="O194" s="98">
        <f>IF(ISNUMBER(M194), $B199 * N194, "")</f>
        <v>-9546.9255663430413</v>
      </c>
      <c r="Q194" s="146"/>
      <c r="R194" s="146"/>
      <c r="S194" s="146"/>
    </row>
    <row r="195" spans="1:19" ht="17.25" thickBot="1">
      <c r="A195" s="109" t="s">
        <v>161</v>
      </c>
      <c r="B195" s="110">
        <v>833</v>
      </c>
      <c r="C195" s="70">
        <v>-9.6529284199999996E-2</v>
      </c>
      <c r="D195" s="15">
        <v>859</v>
      </c>
      <c r="E195" s="32">
        <f t="shared" ref="E195:E198" si="106">IF(ISNUMBER(D195), (D195 - $B195) / $B195, "")</f>
        <v>3.1212484993997598E-2</v>
      </c>
      <c r="F195" s="18">
        <f>IF(ISNUMBER(D195), $B199 * E195, "")</f>
        <v>4681.8727490996398</v>
      </c>
      <c r="G195" s="31">
        <v>820</v>
      </c>
      <c r="H195" s="32">
        <f t="shared" ref="H195:H198" si="107">IF(ISNUMBER(G195), (G195 - $B195) / $B195, "")</f>
        <v>-1.5606242496998799E-2</v>
      </c>
      <c r="I195" s="91">
        <f>IF(ISNUMBER(G195), $B199 * H195, "")</f>
        <v>-2340.9363745498199</v>
      </c>
      <c r="J195" s="15">
        <v>837</v>
      </c>
      <c r="K195" s="32">
        <f t="shared" ref="K195:K198" si="108">IF(ISNUMBER(J195), (J195 - $B195) / $B195, "")</f>
        <v>4.8019207683073226E-3</v>
      </c>
      <c r="L195" s="18">
        <f>IF(ISNUMBER(J195), $B199 * K195, "")</f>
        <v>720.28811524609841</v>
      </c>
      <c r="M195" s="31">
        <v>859</v>
      </c>
      <c r="N195" s="32">
        <f t="shared" ref="N195:N198" si="109">IF(ISNUMBER(M195), (M195 - $B195) / $B195, "")</f>
        <v>3.1212484993997598E-2</v>
      </c>
      <c r="O195" s="18">
        <f>IF(ISNUMBER(M195), $B199 * N195, "")</f>
        <v>4681.8727490996398</v>
      </c>
      <c r="Q195" s="146"/>
      <c r="R195" s="146"/>
      <c r="S195" s="146"/>
    </row>
    <row r="196" spans="1:19" ht="17.25" thickBot="1">
      <c r="A196" s="109" t="s">
        <v>97</v>
      </c>
      <c r="B196" s="110">
        <v>8.9999999999999998E-4</v>
      </c>
      <c r="C196" s="70">
        <v>-0.1</v>
      </c>
      <c r="D196" s="15">
        <v>1E-3</v>
      </c>
      <c r="E196" s="32">
        <f t="shared" si="106"/>
        <v>0.11111111111111116</v>
      </c>
      <c r="F196" s="18">
        <f>IF(ISNUMBER(D196), $B199 * E196, "")</f>
        <v>16666.666666666675</v>
      </c>
      <c r="G196" s="31">
        <v>1E-3</v>
      </c>
      <c r="H196" s="32">
        <f t="shared" si="107"/>
        <v>0.11111111111111116</v>
      </c>
      <c r="I196" s="91">
        <f>IF(ISNUMBER(G196), $B199 * H196, "")</f>
        <v>16666.666666666675</v>
      </c>
      <c r="J196" s="15">
        <v>8.9999999999999998E-4</v>
      </c>
      <c r="K196" s="32">
        <f t="shared" si="108"/>
        <v>0</v>
      </c>
      <c r="L196" s="18">
        <f>IF(ISNUMBER(J196), $B199 * K196, "")</f>
        <v>0</v>
      </c>
      <c r="M196" s="31">
        <v>8.9999999999999998E-4</v>
      </c>
      <c r="N196" s="32">
        <f t="shared" si="109"/>
        <v>0</v>
      </c>
      <c r="O196" s="18">
        <f>IF(ISNUMBER(M196), $B199 * N196, "")</f>
        <v>0</v>
      </c>
      <c r="Q196" s="146"/>
      <c r="R196" s="146"/>
      <c r="S196" s="146"/>
    </row>
    <row r="197" spans="1:19">
      <c r="A197" s="109" t="s">
        <v>334</v>
      </c>
      <c r="B197" s="110">
        <v>45.9</v>
      </c>
      <c r="C197" s="70">
        <v>-0.103515625</v>
      </c>
      <c r="D197" s="15">
        <v>45.9</v>
      </c>
      <c r="E197" s="32">
        <f t="shared" si="106"/>
        <v>0</v>
      </c>
      <c r="F197" s="18">
        <f>IF(ISNUMBER(D197), $B199 * E197, "")</f>
        <v>0</v>
      </c>
      <c r="G197" s="31">
        <v>45.1</v>
      </c>
      <c r="H197" s="32">
        <f t="shared" si="107"/>
        <v>-1.7429193899782074E-2</v>
      </c>
      <c r="I197" s="91">
        <f>IF(ISNUMBER(G197), $B199 * H197, "")</f>
        <v>-2614.379084967311</v>
      </c>
      <c r="J197" s="15">
        <v>45.3</v>
      </c>
      <c r="K197" s="32">
        <f t="shared" si="108"/>
        <v>-1.3071895424836633E-2</v>
      </c>
      <c r="L197" s="18">
        <f>IF(ISNUMBER(J197), $B199 * K197, "")</f>
        <v>-1960.7843137254949</v>
      </c>
      <c r="M197" s="31">
        <v>45.9</v>
      </c>
      <c r="N197" s="32">
        <f t="shared" si="109"/>
        <v>0</v>
      </c>
      <c r="O197" s="18">
        <f>IF(ISNUMBER(M197), $B199 * N197, "")</f>
        <v>0</v>
      </c>
      <c r="Q197" s="135"/>
      <c r="R197" s="136"/>
      <c r="S197" s="137"/>
    </row>
    <row r="198" spans="1:19" ht="17.25" thickBot="1">
      <c r="A198" s="114" t="s">
        <v>352</v>
      </c>
      <c r="B198" s="115">
        <v>244</v>
      </c>
      <c r="C198" s="72">
        <v>-0.13475177299999999</v>
      </c>
      <c r="D198" s="24">
        <v>249</v>
      </c>
      <c r="E198" s="25">
        <f t="shared" si="106"/>
        <v>2.0491803278688523E-2</v>
      </c>
      <c r="F198" s="94">
        <f>IF(ISNUMBER(D198), $B199 * E198, "")</f>
        <v>3073.7704918032787</v>
      </c>
      <c r="G198" s="92">
        <v>246</v>
      </c>
      <c r="H198" s="25">
        <f t="shared" si="107"/>
        <v>8.1967213114754103E-3</v>
      </c>
      <c r="I198" s="93">
        <f>IF(ISNUMBER(G198), $B199 * H198, "")</f>
        <v>1229.5081967213116</v>
      </c>
      <c r="J198" s="24">
        <v>242</v>
      </c>
      <c r="K198" s="25">
        <f t="shared" si="108"/>
        <v>-8.1967213114754103E-3</v>
      </c>
      <c r="L198" s="94">
        <f>IF(ISNUMBER(J198), $B199 * K198, "")</f>
        <v>-1229.5081967213116</v>
      </c>
      <c r="M198" s="92">
        <v>243</v>
      </c>
      <c r="N198" s="25">
        <f t="shared" si="109"/>
        <v>-4.0983606557377051E-3</v>
      </c>
      <c r="O198" s="94">
        <f>IF(ISNUMBER(M198), $B199 * N198, "")</f>
        <v>-614.7540983606558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-2.784627697933563E-3</v>
      </c>
      <c r="F199" s="28">
        <f>SUM(F179:F198)</f>
        <v>-8353.8830938006868</v>
      </c>
      <c r="G199" s="26" t="s">
        <v>258</v>
      </c>
      <c r="H199" s="27">
        <f>IF(COUNT(H179:H198), SUM(H179:H198) / COUNT(H179:H198), 0)</f>
        <v>-1.3205319807901008E-2</v>
      </c>
      <c r="I199" s="28">
        <f>SUM(I179:I198)</f>
        <v>-39615.959423703018</v>
      </c>
      <c r="J199" s="26" t="s">
        <v>258</v>
      </c>
      <c r="K199" s="27">
        <f>IF(COUNT(K179:K198), SUM(K179:K198) / COUNT(K179:K198), 0)</f>
        <v>-1.2741204374149809E-2</v>
      </c>
      <c r="L199" s="28">
        <f>SUM(L179:L198)</f>
        <v>-38223.613122449431</v>
      </c>
      <c r="M199" s="26" t="s">
        <v>258</v>
      </c>
      <c r="N199" s="27">
        <f>IF(COUNT(N179:N198), SUM(N179:N198) / COUNT(N179:N198), 0)</f>
        <v>5.42926151140888E-4</v>
      </c>
      <c r="O199" s="28">
        <f>SUM(O179:O198)</f>
        <v>1628.7784534226676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21B34-8D2A-4BE2-815F-BAEED62218FB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44995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-300,535 KRW (-10.02%)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-266,596 KRW (-8.89%)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-315,304 KRW (-10.51%)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-194,055 KRW (-6.47%)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2023-03-10(금) 오전 00:00</v>
      </c>
      <c r="C15" s="196"/>
      <c r="D15" s="170" t="str">
        <f>TEXT($G$1, "[$-ko-KR]yyyy-mm-dd(ddd) ") &amp; "오후 14:00"</f>
        <v>2023-03-10(금) 오후 14:00</v>
      </c>
      <c r="E15" s="171"/>
      <c r="F15" s="172"/>
      <c r="G15" s="170" t="str">
        <f>TEXT($G$1, "[$-ko-KR]yyyy-mm-dd(ddd) ") &amp; "오후 19:00"</f>
        <v>2023-03-10(금) 오후 19:00</v>
      </c>
      <c r="H15" s="171"/>
      <c r="I15" s="172"/>
      <c r="J15" s="170" t="str">
        <f>TEXT($G$1, "[$-ko-KR]yyyy-mm-dd(ddd) ") &amp; "오후 21:00"</f>
        <v>2023-03-10(금) 오후 21:00</v>
      </c>
      <c r="K15" s="171"/>
      <c r="L15" s="172"/>
      <c r="M15" s="170" t="str">
        <f>TEXT($G$1+1, "[$-ko-KR]yyyy-mm-dd(ddd) ") &amp; "오전 00:00"</f>
        <v>2023-03-11(토)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2023-03-10(금) 오전 00:00</v>
      </c>
      <c r="C42" s="198"/>
      <c r="D42" s="170" t="str">
        <f>TEXT($G$1, "[$-ko-KR]yyyy-mm-dd(ddd) ") &amp; "오후 14:00"</f>
        <v>2023-03-10(금) 오후 14:00</v>
      </c>
      <c r="E42" s="171"/>
      <c r="F42" s="172"/>
      <c r="G42" s="170" t="str">
        <f>TEXT($G$1, "[$-ko-KR]yyyy-mm-dd(ddd) ") &amp; "오후 19:00"</f>
        <v>2023-03-10(금) 오후 19:00</v>
      </c>
      <c r="H42" s="171"/>
      <c r="I42" s="172"/>
      <c r="J42" s="170" t="str">
        <f>TEXT($G$1, "[$-ko-KR]yyyy-mm-dd(ddd) ") &amp; "오후 21:00"</f>
        <v>2023-03-10(금) 오후 21:00</v>
      </c>
      <c r="K42" s="171"/>
      <c r="L42" s="172"/>
      <c r="M42" s="170" t="str">
        <f>TEXT($G$1+1, "[$-ko-KR]yyyy-mm-dd(ddd) ") &amp; "오전 00:00"</f>
        <v>2023-03-11(토)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138</v>
      </c>
      <c r="B44" s="108">
        <v>40.9</v>
      </c>
      <c r="C44" s="69">
        <v>3.2828282799999997E-2</v>
      </c>
      <c r="D44" s="13">
        <v>36.6</v>
      </c>
      <c r="E44" s="14">
        <f>IF(ISNUMBER(D44), (D44 - $B44) / $B44, "")</f>
        <v>-0.10513447432762829</v>
      </c>
      <c r="F44" s="16">
        <f>IF(ISNUMBER(D44), $B64 * E44, "")</f>
        <v>-15770.171149144244</v>
      </c>
      <c r="G44" s="29">
        <v>35.9</v>
      </c>
      <c r="H44" s="14">
        <f>IF(ISNUMBER(G44), (G44 - $B44) / $B44, "")</f>
        <v>-0.12224938875305624</v>
      </c>
      <c r="I44" s="90">
        <f>IF(ISNUMBER(G44), $B64 * H44, "")</f>
        <v>-18337.408312958436</v>
      </c>
      <c r="J44" s="13">
        <v>35.700000000000003</v>
      </c>
      <c r="K44" s="14">
        <f>IF(ISNUMBER(J44), (J44 - $B44) / $B44, "")</f>
        <v>-0.12713936430317838</v>
      </c>
      <c r="L44" s="16">
        <f>IF(ISNUMBER(J44), $B64 * K44, "")</f>
        <v>-19070.904645476756</v>
      </c>
      <c r="M44" s="29">
        <v>36</v>
      </c>
      <c r="N44" s="14">
        <f>IF(ISNUMBER(M44), (M44 - $B44) / $B44, "")</f>
        <v>-0.11980440097799508</v>
      </c>
      <c r="O44" s="16">
        <f>IF(ISNUMBER(M44), $B64 * N44, "")</f>
        <v>-17970.660146699262</v>
      </c>
      <c r="Q44" s="156"/>
      <c r="R44" s="156"/>
      <c r="S44" s="156"/>
    </row>
    <row r="45" spans="1:19" ht="17.25" customHeight="1" thickBot="1">
      <c r="A45" s="109" t="s">
        <v>56</v>
      </c>
      <c r="B45" s="110">
        <v>50.9</v>
      </c>
      <c r="C45" s="70">
        <v>3.2454361100000002E-2</v>
      </c>
      <c r="D45" s="15">
        <v>45.5</v>
      </c>
      <c r="E45" s="32">
        <f t="shared" ref="E45:E48" si="14">IF(ISNUMBER(D45), (D45 - $B45) / $B45, "")</f>
        <v>-0.10609037328094301</v>
      </c>
      <c r="F45" s="18">
        <f>IF(ISNUMBER(D45), $B64 * E45, "")</f>
        <v>-15913.555992141451</v>
      </c>
      <c r="G45" s="31">
        <v>45.2</v>
      </c>
      <c r="H45" s="32">
        <f t="shared" ref="H45:H48" si="15">IF(ISNUMBER(G45), (G45 - $B45) / $B45, "")</f>
        <v>-0.11198428290766201</v>
      </c>
      <c r="I45" s="91">
        <f>IF(ISNUMBER(G45), $B64 * H45, "")</f>
        <v>-16797.642436149301</v>
      </c>
      <c r="J45" s="15">
        <v>44.2</v>
      </c>
      <c r="K45" s="32">
        <f t="shared" ref="K45:K48" si="16">IF(ISNUMBER(J45), (J45 - $B45) / $B45, "")</f>
        <v>-0.13163064833005886</v>
      </c>
      <c r="L45" s="18">
        <f>IF(ISNUMBER(J45), $B64 * K45, "")</f>
        <v>-19744.597249508828</v>
      </c>
      <c r="M45" s="31">
        <v>44.9</v>
      </c>
      <c r="N45" s="32">
        <f t="shared" ref="N45:N48" si="17">IF(ISNUMBER(M45), (M45 - $B45) / $B45, "")</f>
        <v>-0.11787819253438114</v>
      </c>
      <c r="O45" s="18">
        <f>IF(ISNUMBER(M45), $B64 * N45, "")</f>
        <v>-17681.72888015717</v>
      </c>
      <c r="Q45" s="156"/>
      <c r="R45" s="156"/>
      <c r="S45" s="156"/>
    </row>
    <row r="46" spans="1:19" ht="17.25" customHeight="1" thickBot="1">
      <c r="A46" s="109" t="s">
        <v>64</v>
      </c>
      <c r="B46" s="110">
        <v>13</v>
      </c>
      <c r="C46" s="70">
        <v>3.1746031700000003E-2</v>
      </c>
      <c r="D46" s="15">
        <v>11.9</v>
      </c>
      <c r="E46" s="32">
        <f t="shared" si="14"/>
        <v>-8.4615384615384592E-2</v>
      </c>
      <c r="F46" s="18">
        <f>IF(ISNUMBER(D46), $B64 * E46, "")</f>
        <v>-12692.30769230769</v>
      </c>
      <c r="G46" s="31">
        <v>11.9</v>
      </c>
      <c r="H46" s="32">
        <f t="shared" si="15"/>
        <v>-8.4615384615384592E-2</v>
      </c>
      <c r="I46" s="91">
        <f>IF(ISNUMBER(G46), $B64 * H46, "")</f>
        <v>-12692.30769230769</v>
      </c>
      <c r="J46" s="15">
        <v>11.8</v>
      </c>
      <c r="K46" s="32">
        <f t="shared" si="16"/>
        <v>-9.2307692307692257E-2</v>
      </c>
      <c r="L46" s="18">
        <f>IF(ISNUMBER(J46), $B64 * K46, "")</f>
        <v>-13846.153846153838</v>
      </c>
      <c r="M46" s="31">
        <v>12</v>
      </c>
      <c r="N46" s="32">
        <f t="shared" si="17"/>
        <v>-7.6923076923076927E-2</v>
      </c>
      <c r="O46" s="18">
        <f>IF(ISNUMBER(M46), $B64 * N46, "")</f>
        <v>-11538.461538461539</v>
      </c>
      <c r="Q46" s="146"/>
      <c r="R46" s="146"/>
      <c r="S46" s="146"/>
    </row>
    <row r="47" spans="1:19" ht="17.25" customHeight="1" thickBot="1">
      <c r="A47" s="109" t="s">
        <v>338</v>
      </c>
      <c r="B47" s="110">
        <v>3.9699999999999999E-2</v>
      </c>
      <c r="C47" s="70">
        <v>2.3195876300000001E-2</v>
      </c>
      <c r="D47" s="15">
        <v>3.61E-2</v>
      </c>
      <c r="E47" s="32">
        <f t="shared" si="14"/>
        <v>-9.0680100755667487E-2</v>
      </c>
      <c r="F47" s="18">
        <f>IF(ISNUMBER(D47), $B64 * E47, "")</f>
        <v>-13602.015113350122</v>
      </c>
      <c r="G47" s="31">
        <v>3.5799999999999998E-2</v>
      </c>
      <c r="H47" s="32">
        <f t="shared" si="15"/>
        <v>-9.8236775818639821E-2</v>
      </c>
      <c r="I47" s="91">
        <f>IF(ISNUMBER(G47), $B64 * H47, "")</f>
        <v>-14735.516372795973</v>
      </c>
      <c r="J47" s="15">
        <v>3.56E-2</v>
      </c>
      <c r="K47" s="32">
        <f t="shared" si="16"/>
        <v>-0.10327455919395465</v>
      </c>
      <c r="L47" s="18">
        <f>IF(ISNUMBER(J47), $B64 * K47, "")</f>
        <v>-15491.183879093196</v>
      </c>
      <c r="M47" s="31">
        <v>3.5900000000000001E-2</v>
      </c>
      <c r="N47" s="32">
        <f t="shared" si="17"/>
        <v>-9.5717884130982311E-2</v>
      </c>
      <c r="O47" s="18">
        <f>IF(ISNUMBER(M47), $B64 * N47, "")</f>
        <v>-14357.682619647347</v>
      </c>
      <c r="Q47" s="146"/>
      <c r="R47" s="146"/>
      <c r="S47" s="146"/>
    </row>
    <row r="48" spans="1:19" ht="17.25" customHeight="1" thickBot="1">
      <c r="A48" s="111" t="s">
        <v>237</v>
      </c>
      <c r="B48" s="112">
        <v>34.4</v>
      </c>
      <c r="C48" s="71">
        <v>2.07715134E-2</v>
      </c>
      <c r="D48" s="20">
        <v>30.6</v>
      </c>
      <c r="E48" s="21">
        <f t="shared" si="14"/>
        <v>-0.11046511627906969</v>
      </c>
      <c r="F48" s="22">
        <f>IF(ISNUMBER(D48), $B64 * E48, "")</f>
        <v>-16569.767441860455</v>
      </c>
      <c r="G48" s="30">
        <v>30.6</v>
      </c>
      <c r="H48" s="21">
        <f t="shared" si="15"/>
        <v>-0.11046511627906969</v>
      </c>
      <c r="I48" s="95">
        <f>IF(ISNUMBER(G48), $B64 * H48, "")</f>
        <v>-16569.767441860455</v>
      </c>
      <c r="J48" s="20">
        <v>30</v>
      </c>
      <c r="K48" s="21">
        <f t="shared" si="16"/>
        <v>-0.12790697674418602</v>
      </c>
      <c r="L48" s="22">
        <f>IF(ISNUMBER(J48), $B64 * K48, "")</f>
        <v>-19186.046511627905</v>
      </c>
      <c r="M48" s="30">
        <v>30.1</v>
      </c>
      <c r="N48" s="21">
        <f t="shared" si="17"/>
        <v>-0.12499999999999992</v>
      </c>
      <c r="O48" s="22">
        <f>IF(ISNUMBER(M48), $B64 * N48, "")</f>
        <v>-18749.999999999989</v>
      </c>
      <c r="Q48" s="146"/>
      <c r="R48" s="146"/>
      <c r="S48" s="146"/>
    </row>
    <row r="49" spans="1:19" ht="17.25" customHeight="1" thickBot="1">
      <c r="A49" s="109" t="s">
        <v>207</v>
      </c>
      <c r="B49" s="113">
        <v>84.1</v>
      </c>
      <c r="C49" s="73">
        <v>1.9393939400000001E-2</v>
      </c>
      <c r="D49" s="96">
        <v>78.5</v>
      </c>
      <c r="E49" s="97">
        <f>IF(ISNUMBER(D49), (D49 - $B49) / $B49, "")</f>
        <v>-6.6587395957193748E-2</v>
      </c>
      <c r="F49" s="98">
        <f>IF(ISNUMBER(D49), $B64 * E49, "")</f>
        <v>-9988.1093935790632</v>
      </c>
      <c r="G49" s="99">
        <v>81.3</v>
      </c>
      <c r="H49" s="97">
        <f>IF(ISNUMBER(G49), (G49 - $B49) / $B49, "")</f>
        <v>-3.3293697978596874E-2</v>
      </c>
      <c r="I49" s="100">
        <f>IF(ISNUMBER(G49), $B64 * H49, "")</f>
        <v>-4994.0546967895316</v>
      </c>
      <c r="J49" s="96">
        <v>80.7</v>
      </c>
      <c r="K49" s="97">
        <f>IF(ISNUMBER(J49), (J49 - $B49) / $B49, "")</f>
        <v>-4.0428061831153293E-2</v>
      </c>
      <c r="L49" s="98">
        <f>IF(ISNUMBER(J49), $B64 * K49, "")</f>
        <v>-6064.2092746729941</v>
      </c>
      <c r="M49" s="99">
        <v>79.3</v>
      </c>
      <c r="N49" s="97">
        <f>IF(ISNUMBER(M49), (M49 - $B49) / $B49, "")</f>
        <v>-5.707491082045181E-2</v>
      </c>
      <c r="O49" s="98">
        <f>IF(ISNUMBER(M49), $B64 * N49, "")</f>
        <v>-8561.2366230677708</v>
      </c>
      <c r="Q49" s="146"/>
      <c r="R49" s="146"/>
      <c r="S49" s="146"/>
    </row>
    <row r="50" spans="1:19" ht="17.25" customHeight="1" thickBot="1">
      <c r="A50" s="109" t="s">
        <v>126</v>
      </c>
      <c r="B50" s="110">
        <v>33.299999999999997</v>
      </c>
      <c r="C50" s="70">
        <v>1.83486239E-2</v>
      </c>
      <c r="D50" s="15">
        <v>30.2</v>
      </c>
      <c r="E50" s="32">
        <f t="shared" ref="E50:E53" si="18">IF(ISNUMBER(D50), (D50 - $B50) / $B50, "")</f>
        <v>-9.3093093093093035E-2</v>
      </c>
      <c r="F50" s="18">
        <f>IF(ISNUMBER(D50), $B64 * E50, "")</f>
        <v>-13963.963963963955</v>
      </c>
      <c r="G50" s="31">
        <v>29.8</v>
      </c>
      <c r="H50" s="32">
        <f t="shared" ref="H50:H53" si="19">IF(ISNUMBER(G50), (G50 - $B50) / $B50, "")</f>
        <v>-0.10510510510510501</v>
      </c>
      <c r="I50" s="91">
        <f>IF(ISNUMBER(G50), $B64 * H50, "")</f>
        <v>-15765.765765765751</v>
      </c>
      <c r="J50" s="15">
        <v>29.9</v>
      </c>
      <c r="K50" s="32">
        <f t="shared" ref="K50:K53" si="20">IF(ISNUMBER(J50), (J50 - $B50) / $B50, "")</f>
        <v>-0.10210210210210206</v>
      </c>
      <c r="L50" s="18">
        <f>IF(ISNUMBER(J50), $B64 * K50, "")</f>
        <v>-15315.315315315309</v>
      </c>
      <c r="M50" s="31">
        <v>30.3</v>
      </c>
      <c r="N50" s="32">
        <f t="shared" ref="N50:N53" si="21">IF(ISNUMBER(M50), (M50 - $B50) / $B50, "")</f>
        <v>-9.0090090090089989E-2</v>
      </c>
      <c r="O50" s="18">
        <f>IF(ISNUMBER(M50), $B64 * N50, "")</f>
        <v>-13513.513513513499</v>
      </c>
      <c r="Q50" s="146"/>
      <c r="R50" s="146"/>
      <c r="S50" s="146"/>
    </row>
    <row r="51" spans="1:19" ht="17.25" customHeight="1" thickBot="1">
      <c r="A51" s="109" t="s">
        <v>71</v>
      </c>
      <c r="B51" s="110">
        <v>13.2</v>
      </c>
      <c r="C51" s="70">
        <v>1.5384615399999999E-2</v>
      </c>
      <c r="D51" s="15">
        <v>12</v>
      </c>
      <c r="E51" s="32">
        <f t="shared" si="18"/>
        <v>-9.0909090909090856E-2</v>
      </c>
      <c r="F51" s="18">
        <f>IF(ISNUMBER(D51), $B64 * E51, "")</f>
        <v>-13636.363636363629</v>
      </c>
      <c r="G51" s="31">
        <v>12</v>
      </c>
      <c r="H51" s="32">
        <f t="shared" si="19"/>
        <v>-9.0909090909090856E-2</v>
      </c>
      <c r="I51" s="91">
        <f>IF(ISNUMBER(G51), $B64 * H51, "")</f>
        <v>-13636.363636363629</v>
      </c>
      <c r="J51" s="15">
        <v>12</v>
      </c>
      <c r="K51" s="32">
        <f t="shared" si="20"/>
        <v>-9.0909090909090856E-2</v>
      </c>
      <c r="L51" s="18">
        <f>IF(ISNUMBER(J51), $B64 * K51, "")</f>
        <v>-13636.363636363629</v>
      </c>
      <c r="M51" s="31">
        <v>12.1</v>
      </c>
      <c r="N51" s="32">
        <f t="shared" si="21"/>
        <v>-8.3333333333333315E-2</v>
      </c>
      <c r="O51" s="18">
        <f>IF(ISNUMBER(M51), $B64 * N51, "")</f>
        <v>-12499.999999999996</v>
      </c>
      <c r="Q51" s="146"/>
      <c r="R51" s="146"/>
      <c r="S51" s="146"/>
    </row>
    <row r="52" spans="1:19" ht="17.25" customHeight="1" thickBot="1">
      <c r="A52" s="109" t="s">
        <v>155</v>
      </c>
      <c r="B52" s="110">
        <v>33.5</v>
      </c>
      <c r="C52" s="70">
        <v>1.51515152E-2</v>
      </c>
      <c r="D52" s="15">
        <v>30.3</v>
      </c>
      <c r="E52" s="32">
        <f t="shared" si="18"/>
        <v>-9.5522388059701466E-2</v>
      </c>
      <c r="F52" s="18">
        <f>IF(ISNUMBER(D52), $B64 * E52, "")</f>
        <v>-14328.35820895522</v>
      </c>
      <c r="G52" s="31">
        <v>30.3</v>
      </c>
      <c r="H52" s="32">
        <f t="shared" si="19"/>
        <v>-9.5522388059701466E-2</v>
      </c>
      <c r="I52" s="91">
        <f>IF(ISNUMBER(G52), $B64 * H52, "")</f>
        <v>-14328.35820895522</v>
      </c>
      <c r="J52" s="15">
        <v>30</v>
      </c>
      <c r="K52" s="32">
        <f t="shared" si="20"/>
        <v>-0.1044776119402985</v>
      </c>
      <c r="L52" s="18">
        <f>IF(ISNUMBER(J52), $B64 * K52, "")</f>
        <v>-15671.641791044776</v>
      </c>
      <c r="M52" s="31">
        <v>30.1</v>
      </c>
      <c r="N52" s="32">
        <f t="shared" si="21"/>
        <v>-0.10149253731343279</v>
      </c>
      <c r="O52" s="18">
        <f>IF(ISNUMBER(M52), $B64 * N52, "")</f>
        <v>-15223.880597014919</v>
      </c>
      <c r="Q52" s="33"/>
      <c r="R52" s="33"/>
    </row>
    <row r="53" spans="1:19" ht="17.25" customHeight="1" thickBot="1">
      <c r="A53" s="114" t="s">
        <v>141</v>
      </c>
      <c r="B53" s="115">
        <v>4.9000000000000004</v>
      </c>
      <c r="C53" s="72">
        <v>1.44927536E-2</v>
      </c>
      <c r="D53" s="24">
        <v>4.46</v>
      </c>
      <c r="E53" s="25">
        <f t="shared" si="18"/>
        <v>-8.9795918367347016E-2</v>
      </c>
      <c r="F53" s="94">
        <f>IF(ISNUMBER(D53), $B64 * E53, "")</f>
        <v>-13469.387755102052</v>
      </c>
      <c r="G53" s="92">
        <v>4.4400000000000004</v>
      </c>
      <c r="H53" s="25">
        <f t="shared" si="19"/>
        <v>-9.3877551020408151E-2</v>
      </c>
      <c r="I53" s="93">
        <f>IF(ISNUMBER(G53), $B64 * H53, "")</f>
        <v>-14081.632653061222</v>
      </c>
      <c r="J53" s="24">
        <v>4.42</v>
      </c>
      <c r="K53" s="25">
        <f t="shared" si="20"/>
        <v>-9.7959183673469466E-2</v>
      </c>
      <c r="L53" s="94">
        <f>IF(ISNUMBER(J53), $B64 * K53, "")</f>
        <v>-14693.87755102042</v>
      </c>
      <c r="M53" s="92">
        <v>4.47</v>
      </c>
      <c r="N53" s="25">
        <f t="shared" si="21"/>
        <v>-8.7755102040816449E-2</v>
      </c>
      <c r="O53" s="94">
        <f>IF(ISNUMBER(M53), $B64 * N53, "")</f>
        <v>-13163.265306122468</v>
      </c>
      <c r="Q53" s="147"/>
      <c r="R53" s="148"/>
      <c r="S53" s="149"/>
    </row>
    <row r="54" spans="1:19" ht="17.25" customHeight="1">
      <c r="A54" s="107" t="s">
        <v>122</v>
      </c>
      <c r="B54" s="108">
        <v>30</v>
      </c>
      <c r="C54" s="69">
        <v>1.3513513499999999E-2</v>
      </c>
      <c r="D54" s="13">
        <v>27.2</v>
      </c>
      <c r="E54" s="14">
        <f>IF(ISNUMBER(D54), (D54 - $B54) / $B54, "")</f>
        <v>-9.3333333333333351E-2</v>
      </c>
      <c r="F54" s="16">
        <f>IF(ISNUMBER(D54), $B64 * E54, "")</f>
        <v>-14000.000000000002</v>
      </c>
      <c r="G54" s="29">
        <v>27.1</v>
      </c>
      <c r="H54" s="14">
        <f>IF(ISNUMBER(G54), (G54 - $B54) / $B54, "")</f>
        <v>-9.6666666666666623E-2</v>
      </c>
      <c r="I54" s="90">
        <f>IF(ISNUMBER(G54), $B64 * H54, "")</f>
        <v>-14499.999999999993</v>
      </c>
      <c r="J54" s="13">
        <v>27.5</v>
      </c>
      <c r="K54" s="14">
        <f>IF(ISNUMBER(J54), (J54 - $B54) / $B54, "")</f>
        <v>-8.3333333333333329E-2</v>
      </c>
      <c r="L54" s="16">
        <f>IF(ISNUMBER(J54), $B64 * K54, "")</f>
        <v>-12500</v>
      </c>
      <c r="M54" s="29">
        <v>27.9</v>
      </c>
      <c r="N54" s="14">
        <f>IF(ISNUMBER(M54), (M54 - $B54) / $B54, "")</f>
        <v>-7.0000000000000048E-2</v>
      </c>
      <c r="O54" s="16">
        <f>IF(ISNUMBER(M54), $B64 * N54, "")</f>
        <v>-10500.000000000007</v>
      </c>
      <c r="Q54" s="150"/>
      <c r="R54" s="151"/>
      <c r="S54" s="152"/>
    </row>
    <row r="55" spans="1:19" ht="17.25" customHeight="1" thickBot="1">
      <c r="A55" s="109" t="s">
        <v>124</v>
      </c>
      <c r="B55" s="110">
        <v>39.799999999999997</v>
      </c>
      <c r="C55" s="70">
        <v>1.2722646299999999E-2</v>
      </c>
      <c r="D55" s="15">
        <v>36.6</v>
      </c>
      <c r="E55" s="32">
        <f t="shared" ref="E55:E58" si="22">IF(ISNUMBER(D55), (D55 - $B55) / $B55, "")</f>
        <v>-8.040201005025116E-2</v>
      </c>
      <c r="F55" s="18">
        <f>IF(ISNUMBER(D55), $B64 * E55, "")</f>
        <v>-12060.301507537673</v>
      </c>
      <c r="G55" s="31">
        <v>37</v>
      </c>
      <c r="H55" s="32">
        <f t="shared" ref="H55:H58" si="23">IF(ISNUMBER(G55), (G55 - $B55) / $B55, "")</f>
        <v>-7.0351758793969779E-2</v>
      </c>
      <c r="I55" s="91">
        <f>IF(ISNUMBER(G55), $B64 * H55, "")</f>
        <v>-10552.763819095468</v>
      </c>
      <c r="J55" s="15">
        <v>36.6</v>
      </c>
      <c r="K55" s="32">
        <f t="shared" ref="K55:K58" si="24">IF(ISNUMBER(J55), (J55 - $B55) / $B55, "")</f>
        <v>-8.040201005025116E-2</v>
      </c>
      <c r="L55" s="18">
        <f>IF(ISNUMBER(J55), $B64 * K55, "")</f>
        <v>-12060.301507537673</v>
      </c>
      <c r="M55" s="31">
        <v>36.9</v>
      </c>
      <c r="N55" s="32">
        <f t="shared" ref="N55:N58" si="25">IF(ISNUMBER(M55), (M55 - $B55) / $B55, "")</f>
        <v>-7.286432160804017E-2</v>
      </c>
      <c r="O55" s="18">
        <f>IF(ISNUMBER(M55), $B64 * N55, "")</f>
        <v>-10929.648241206025</v>
      </c>
      <c r="Q55" s="153"/>
      <c r="R55" s="154"/>
      <c r="S55" s="155"/>
    </row>
    <row r="56" spans="1:19" ht="17.25" customHeight="1" thickBot="1">
      <c r="A56" s="109" t="s">
        <v>332</v>
      </c>
      <c r="B56" s="110">
        <v>7.69</v>
      </c>
      <c r="C56" s="70">
        <v>1.1842105299999999E-2</v>
      </c>
      <c r="D56" s="15">
        <v>7.07</v>
      </c>
      <c r="E56" s="32">
        <f t="shared" si="22"/>
        <v>-8.0624187256176857E-2</v>
      </c>
      <c r="F56" s="18">
        <f>IF(ISNUMBER(D56), $B64 * E56, "")</f>
        <v>-12093.628088426529</v>
      </c>
      <c r="G56" s="31">
        <v>7.15</v>
      </c>
      <c r="H56" s="32">
        <f t="shared" si="23"/>
        <v>-7.0221066319895969E-2</v>
      </c>
      <c r="I56" s="91">
        <f>IF(ISNUMBER(G56), $B64 * H56, "")</f>
        <v>-10533.159947984395</v>
      </c>
      <c r="J56" s="15">
        <v>7.07</v>
      </c>
      <c r="K56" s="32">
        <f t="shared" si="24"/>
        <v>-8.0624187256176857E-2</v>
      </c>
      <c r="L56" s="18">
        <f>IF(ISNUMBER(J56), $B64 * K56, "")</f>
        <v>-12093.628088426529</v>
      </c>
      <c r="M56" s="31">
        <v>7.14</v>
      </c>
      <c r="N56" s="32">
        <f t="shared" si="25"/>
        <v>-7.1521456436931169E-2</v>
      </c>
      <c r="O56" s="18">
        <f>IF(ISNUMBER(M56), $B64 * N56, "")</f>
        <v>-10728.218465539676</v>
      </c>
      <c r="Q56" s="146"/>
      <c r="R56" s="146"/>
      <c r="S56" s="146"/>
    </row>
    <row r="57" spans="1:19" ht="17.25" customHeight="1" thickBot="1">
      <c r="A57" s="109" t="s">
        <v>191</v>
      </c>
      <c r="B57" s="110">
        <v>78.099999999999994</v>
      </c>
      <c r="C57" s="70">
        <v>1.1658031100000001E-2</v>
      </c>
      <c r="D57" s="15">
        <v>80.099999999999994</v>
      </c>
      <c r="E57" s="32">
        <f t="shared" si="22"/>
        <v>2.5608194622279132E-2</v>
      </c>
      <c r="F57" s="18">
        <f>IF(ISNUMBER(D57), $B64 * E57, "")</f>
        <v>3841.2291933418696</v>
      </c>
      <c r="G57" s="31">
        <v>79.3</v>
      </c>
      <c r="H57" s="32">
        <f t="shared" si="23"/>
        <v>1.5364916773367515E-2</v>
      </c>
      <c r="I57" s="91">
        <f>IF(ISNUMBER(G57), $B64 * H57, "")</f>
        <v>2304.7375160051274</v>
      </c>
      <c r="J57" s="15">
        <v>75.7</v>
      </c>
      <c r="K57" s="32">
        <f t="shared" si="24"/>
        <v>-3.072983354673485E-2</v>
      </c>
      <c r="L57" s="18">
        <f>IF(ISNUMBER(J57), $B64 * K57, "")</f>
        <v>-4609.4750320102276</v>
      </c>
      <c r="M57" s="31">
        <v>75.8</v>
      </c>
      <c r="N57" s="32">
        <f t="shared" si="25"/>
        <v>-2.9449423815620965E-2</v>
      </c>
      <c r="O57" s="18">
        <f>IF(ISNUMBER(M57), $B64 * N57, "")</f>
        <v>-4417.4135723431446</v>
      </c>
      <c r="Q57" s="156"/>
      <c r="R57" s="156"/>
      <c r="S57" s="156"/>
    </row>
    <row r="58" spans="1:19" ht="17.25" customHeight="1" thickBot="1">
      <c r="A58" s="111" t="s">
        <v>253</v>
      </c>
      <c r="B58" s="112">
        <v>96.3</v>
      </c>
      <c r="C58" s="71">
        <v>1.15546218E-2</v>
      </c>
      <c r="D58" s="20">
        <v>88.7</v>
      </c>
      <c r="E58" s="21">
        <f t="shared" si="22"/>
        <v>-7.8920041536863911E-2</v>
      </c>
      <c r="F58" s="22">
        <f>IF(ISNUMBER(D58), $B64 * E58, "")</f>
        <v>-11838.006230529587</v>
      </c>
      <c r="G58" s="30">
        <v>87.6</v>
      </c>
      <c r="H58" s="21">
        <f t="shared" si="23"/>
        <v>-9.0342679127725894E-2</v>
      </c>
      <c r="I58" s="95">
        <f>IF(ISNUMBER(G58), $B64 * H58, "")</f>
        <v>-13551.401869158884</v>
      </c>
      <c r="J58" s="20">
        <v>87.1</v>
      </c>
      <c r="K58" s="21">
        <f t="shared" si="24"/>
        <v>-9.5534787123572204E-2</v>
      </c>
      <c r="L58" s="22">
        <f>IF(ISNUMBER(J58), $B64 * K58, "")</f>
        <v>-14330.218068535831</v>
      </c>
      <c r="M58" s="30">
        <v>87.7</v>
      </c>
      <c r="N58" s="21">
        <f t="shared" si="25"/>
        <v>-8.9304257528556544E-2</v>
      </c>
      <c r="O58" s="22">
        <f>IF(ISNUMBER(M58), $B64 * N58, "")</f>
        <v>-13395.638629283481</v>
      </c>
      <c r="Q58" s="156"/>
      <c r="R58" s="156"/>
      <c r="S58" s="156"/>
    </row>
    <row r="59" spans="1:19" ht="17.25" customHeight="1" thickBot="1">
      <c r="A59" s="109" t="s">
        <v>145</v>
      </c>
      <c r="B59" s="113">
        <v>88.2</v>
      </c>
      <c r="C59" s="73">
        <v>1.14678899E-2</v>
      </c>
      <c r="D59" s="96">
        <v>78.5</v>
      </c>
      <c r="E59" s="97">
        <f>IF(ISNUMBER(D59), (D59 - $B59) / $B59, "")</f>
        <v>-0.10997732426303858</v>
      </c>
      <c r="F59" s="98">
        <f>IF(ISNUMBER(D59), $B64 * E59, "")</f>
        <v>-16496.598639455788</v>
      </c>
      <c r="G59" s="99">
        <v>76.599999999999994</v>
      </c>
      <c r="H59" s="97">
        <f>IF(ISNUMBER(G59), (G59 - $B59) / $B59, "")</f>
        <v>-0.13151927437641733</v>
      </c>
      <c r="I59" s="100">
        <f>IF(ISNUMBER(G59), $B64 * H59, "")</f>
        <v>-19727.8911564626</v>
      </c>
      <c r="J59" s="96">
        <v>76.5</v>
      </c>
      <c r="K59" s="97">
        <f>IF(ISNUMBER(J59), (J59 - $B59) / $B59, "")</f>
        <v>-0.13265306122448983</v>
      </c>
      <c r="L59" s="98">
        <f>IF(ISNUMBER(J59), $B64 * K59, "")</f>
        <v>-19897.959183673476</v>
      </c>
      <c r="M59" s="99">
        <v>76.900000000000006</v>
      </c>
      <c r="N59" s="97">
        <f>IF(ISNUMBER(M59), (M59 - $B59) / $B59, "")</f>
        <v>-0.1281179138321995</v>
      </c>
      <c r="O59" s="98">
        <f>IF(ISNUMBER(M59), $B64 * N59, "")</f>
        <v>-19217.687074829926</v>
      </c>
      <c r="Q59" s="146"/>
      <c r="R59" s="146"/>
      <c r="S59" s="146"/>
    </row>
    <row r="60" spans="1:19" ht="17.25" customHeight="1" thickBot="1">
      <c r="A60" s="109" t="s">
        <v>227</v>
      </c>
      <c r="B60" s="110">
        <v>56.6</v>
      </c>
      <c r="C60" s="70">
        <v>8.9126559999999997E-3</v>
      </c>
      <c r="D60" s="15">
        <v>52.7</v>
      </c>
      <c r="E60" s="32">
        <f t="shared" ref="E60:E63" si="26">IF(ISNUMBER(D60), (D60 - $B60) / $B60, "")</f>
        <v>-6.8904593639575948E-2</v>
      </c>
      <c r="F60" s="18">
        <f>IF(ISNUMBER(D60), $B64 * E60, "")</f>
        <v>-10335.689045936393</v>
      </c>
      <c r="G60" s="31">
        <v>53.8</v>
      </c>
      <c r="H60" s="32">
        <f t="shared" ref="H60:H63" si="27">IF(ISNUMBER(G60), (G60 - $B60) / $B60, "")</f>
        <v>-4.9469964664311028E-2</v>
      </c>
      <c r="I60" s="91">
        <f>IF(ISNUMBER(G60), $B64 * H60, "")</f>
        <v>-7420.4946996466542</v>
      </c>
      <c r="J60" s="15">
        <v>54.3</v>
      </c>
      <c r="K60" s="32">
        <f t="shared" ref="K60:K63" si="28">IF(ISNUMBER(J60), (J60 - $B60) / $B60, "")</f>
        <v>-4.0636042402826929E-2</v>
      </c>
      <c r="L60" s="18">
        <f>IF(ISNUMBER(J60), $B64 * K60, "")</f>
        <v>-6095.4063604240391</v>
      </c>
      <c r="M60" s="31">
        <v>53.2</v>
      </c>
      <c r="N60" s="32">
        <f t="shared" ref="N60:N63" si="29">IF(ISNUMBER(M60), (M60 - $B60) / $B60, "")</f>
        <v>-6.0070671378091849E-2</v>
      </c>
      <c r="O60" s="18">
        <f>IF(ISNUMBER(M60), $B64 * N60, "")</f>
        <v>-9010.600706713778</v>
      </c>
      <c r="Q60" s="146"/>
      <c r="R60" s="146"/>
      <c r="S60" s="146"/>
    </row>
    <row r="61" spans="1:19" ht="17.25" customHeight="1" thickBot="1">
      <c r="A61" s="109" t="s">
        <v>320</v>
      </c>
      <c r="B61" s="110">
        <v>5.72</v>
      </c>
      <c r="C61" s="70">
        <v>8.8183422000000008E-3</v>
      </c>
      <c r="D61" s="15">
        <v>5.2</v>
      </c>
      <c r="E61" s="32">
        <f t="shared" si="26"/>
        <v>-9.0909090909090842E-2</v>
      </c>
      <c r="F61" s="18">
        <f>IF(ISNUMBER(D61), $B64 * E61, "")</f>
        <v>-13636.363636363627</v>
      </c>
      <c r="G61" s="31">
        <v>5.29</v>
      </c>
      <c r="H61" s="32">
        <f t="shared" si="27"/>
        <v>-7.5174825174825127E-2</v>
      </c>
      <c r="I61" s="91">
        <f>IF(ISNUMBER(G61), $B64 * H61, "")</f>
        <v>-11276.223776223769</v>
      </c>
      <c r="J61" s="15">
        <v>5.18</v>
      </c>
      <c r="K61" s="32">
        <f t="shared" si="28"/>
        <v>-9.4405594405594415E-2</v>
      </c>
      <c r="L61" s="18">
        <f>IF(ISNUMBER(J61), $B64 * K61, "")</f>
        <v>-14160.839160839163</v>
      </c>
      <c r="M61" s="31">
        <v>5.17</v>
      </c>
      <c r="N61" s="32">
        <f t="shared" si="29"/>
        <v>-9.6153846153846131E-2</v>
      </c>
      <c r="O61" s="18">
        <f>IF(ISNUMBER(M61), $B64 * N61, "")</f>
        <v>-14423.07692307692</v>
      </c>
      <c r="Q61" s="146"/>
      <c r="R61" s="146"/>
      <c r="S61" s="146"/>
    </row>
    <row r="62" spans="1:19" ht="17.25" customHeight="1">
      <c r="A62" s="109" t="s">
        <v>203</v>
      </c>
      <c r="B62" s="110">
        <v>4.13</v>
      </c>
      <c r="C62" s="70">
        <v>7.3170732000000004E-3</v>
      </c>
      <c r="D62" s="15">
        <v>3.74</v>
      </c>
      <c r="E62" s="32">
        <f t="shared" si="26"/>
        <v>-9.4430992736077413E-2</v>
      </c>
      <c r="F62" s="18">
        <f>IF(ISNUMBER(D62), $B64 * E62, "")</f>
        <v>-14164.648910411612</v>
      </c>
      <c r="G62" s="31">
        <v>3.8</v>
      </c>
      <c r="H62" s="32">
        <f t="shared" si="27"/>
        <v>-7.9903147699757884E-2</v>
      </c>
      <c r="I62" s="91">
        <f>IF(ISNUMBER(G62), $B64 * H62, "")</f>
        <v>-11985.472154963683</v>
      </c>
      <c r="J62" s="15">
        <v>3.75</v>
      </c>
      <c r="K62" s="32">
        <f t="shared" si="28"/>
        <v>-9.2009685230024188E-2</v>
      </c>
      <c r="L62" s="18">
        <f>IF(ISNUMBER(J62), $B64 * K62, "")</f>
        <v>-13801.452784503628</v>
      </c>
      <c r="M62" s="31">
        <v>3.76</v>
      </c>
      <c r="N62" s="32">
        <f t="shared" si="29"/>
        <v>-8.9588377723970977E-2</v>
      </c>
      <c r="O62" s="18">
        <f>IF(ISNUMBER(M62), $B64 * N62, "")</f>
        <v>-13438.256658595647</v>
      </c>
      <c r="Q62" s="135"/>
      <c r="R62" s="136"/>
      <c r="S62" s="137"/>
    </row>
    <row r="63" spans="1:19" ht="17.25" customHeight="1" thickBot="1">
      <c r="A63" s="114" t="s">
        <v>217</v>
      </c>
      <c r="B63" s="115">
        <v>87.7</v>
      </c>
      <c r="C63" s="72">
        <v>5.7339449999999998E-3</v>
      </c>
      <c r="D63" s="24">
        <v>78.900000000000006</v>
      </c>
      <c r="E63" s="25">
        <f t="shared" si="26"/>
        <v>-0.1003420752565564</v>
      </c>
      <c r="F63" s="94">
        <f>IF(ISNUMBER(D63), $B64 * E63, "")</f>
        <v>-15051.311288483461</v>
      </c>
      <c r="G63" s="92">
        <v>78.5</v>
      </c>
      <c r="H63" s="25">
        <f t="shared" si="27"/>
        <v>-0.10490307867730904</v>
      </c>
      <c r="I63" s="93">
        <f>IF(ISNUMBER(G63), $B64 * H63, "")</f>
        <v>-15735.461801596355</v>
      </c>
      <c r="J63" s="24">
        <v>77.3</v>
      </c>
      <c r="K63" s="25">
        <f t="shared" si="28"/>
        <v>-0.11858608893956676</v>
      </c>
      <c r="L63" s="94">
        <f>IF(ISNUMBER(J63), $B64 * K63, "")</f>
        <v>-17787.913340935014</v>
      </c>
      <c r="M63" s="92">
        <v>77.599999999999994</v>
      </c>
      <c r="N63" s="25">
        <f t="shared" si="29"/>
        <v>-0.11516533637400238</v>
      </c>
      <c r="O63" s="94">
        <f>IF(ISNUMBER(M63), $B64 * N63, "")</f>
        <v>-17274.800456100358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-8.5256439500190226E-2</v>
      </c>
      <c r="F64" s="28">
        <f>SUM(F44:F63)</f>
        <v>-255769.31850057069</v>
      </c>
      <c r="G64" s="26" t="s">
        <v>258</v>
      </c>
      <c r="H64" s="27">
        <f>IF(COUNT(H44:H63), SUM(H44:H63) / COUNT(H44:H63), 0)</f>
        <v>-8.4972316308711285E-2</v>
      </c>
      <c r="I64" s="28">
        <f>SUM(I44:I63)</f>
        <v>-254916.94892613392</v>
      </c>
      <c r="J64" s="26" t="s">
        <v>258</v>
      </c>
      <c r="K64" s="27">
        <f>IF(COUNT(K44:K63), SUM(K44:K63) / COUNT(K44:K63), 0)</f>
        <v>-9.3352495742387728E-2</v>
      </c>
      <c r="L64" s="28">
        <f>SUM(L44:L63)</f>
        <v>-280057.48722716316</v>
      </c>
      <c r="M64" s="26" t="s">
        <v>258</v>
      </c>
      <c r="N64" s="27">
        <f>IF(COUNT(N44:N63), SUM(N44:N63) / COUNT(N44:N63), 0)</f>
        <v>-8.8865256650790966E-2</v>
      </c>
      <c r="O64" s="28">
        <f>SUM(O44:O63)</f>
        <v>-266595.76995237288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2023-03-10(금) 오전 00:00</v>
      </c>
      <c r="C69" s="198"/>
      <c r="D69" s="170" t="str">
        <f>TEXT($G$1, "[$-ko-KR]yyyy-mm-dd(ddd) ") &amp; "오후 14:00"</f>
        <v>2023-03-10(금) 오후 14:00</v>
      </c>
      <c r="E69" s="171"/>
      <c r="F69" s="172"/>
      <c r="G69" s="170" t="str">
        <f>TEXT($G$1, "[$-ko-KR]yyyy-mm-dd(ddd) ") &amp; "오후 19:00"</f>
        <v>2023-03-10(금) 오후 19:00</v>
      </c>
      <c r="H69" s="171"/>
      <c r="I69" s="172"/>
      <c r="J69" s="170" t="str">
        <f>TEXT($G$1, "[$-ko-KR]yyyy-mm-dd(ddd) ") &amp; "오후 21:00"</f>
        <v>2023-03-10(금) 오후 21:00</v>
      </c>
      <c r="K69" s="171"/>
      <c r="L69" s="172"/>
      <c r="M69" s="170" t="str">
        <f>TEXT($G$1+1, "[$-ko-KR]yyyy-mm-dd(ddd) ") &amp; "오전 00:00"</f>
        <v>2023-03-11(토)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130</v>
      </c>
      <c r="B71" s="108">
        <v>929</v>
      </c>
      <c r="C71" s="69">
        <v>4.4994375699999999E-2</v>
      </c>
      <c r="D71" s="13">
        <v>829</v>
      </c>
      <c r="E71" s="14">
        <f>IF(ISNUMBER(D71), (D71 - $B71) / $B71, "")</f>
        <v>-0.10764262648008611</v>
      </c>
      <c r="F71" s="16">
        <f>IF(ISNUMBER(D71), $B91 * E71, "")</f>
        <v>-16146.393972012916</v>
      </c>
      <c r="G71" s="29">
        <v>805</v>
      </c>
      <c r="H71" s="14">
        <f>IF(ISNUMBER(G71), (G71 - $B71) / $B71, "")</f>
        <v>-0.13347685683530677</v>
      </c>
      <c r="I71" s="90">
        <f>IF(ISNUMBER(G71), $B91 * H71, "")</f>
        <v>-20021.528525296017</v>
      </c>
      <c r="J71" s="13">
        <v>799</v>
      </c>
      <c r="K71" s="14">
        <f>IF(ISNUMBER(J71), (J71 - $B71) / $B71, "")</f>
        <v>-0.13993541442411195</v>
      </c>
      <c r="L71" s="16">
        <f>IF(ISNUMBER(J71), $B91 * K71, "")</f>
        <v>-20990.312163616793</v>
      </c>
      <c r="M71" s="29">
        <v>800</v>
      </c>
      <c r="N71" s="14">
        <f>IF(ISNUMBER(M71), (M71 - $B71) / $B71, "")</f>
        <v>-0.13885898815931108</v>
      </c>
      <c r="O71" s="16">
        <f>IF(ISNUMBER(M71), $B91 * N71, "")</f>
        <v>-20828.848223896661</v>
      </c>
      <c r="Q71" s="156"/>
      <c r="R71" s="156"/>
      <c r="S71" s="156"/>
    </row>
    <row r="72" spans="1:19" ht="17.25" thickBot="1">
      <c r="A72" s="109" t="s">
        <v>169</v>
      </c>
      <c r="B72" s="110">
        <v>276</v>
      </c>
      <c r="C72" s="70">
        <v>3.7593985000000003E-2</v>
      </c>
      <c r="D72" s="15">
        <v>254</v>
      </c>
      <c r="E72" s="32">
        <f t="shared" ref="E72:E75" si="30">IF(ISNUMBER(D72), (D72 - $B72) / $B72, "")</f>
        <v>-7.9710144927536225E-2</v>
      </c>
      <c r="F72" s="18">
        <f>IF(ISNUMBER(D72), $B91 * E72, "")</f>
        <v>-11956.521739130434</v>
      </c>
      <c r="G72" s="31">
        <v>248</v>
      </c>
      <c r="H72" s="32">
        <f t="shared" ref="H72:H75" si="31">IF(ISNUMBER(G72), (G72 - $B72) / $B72, "")</f>
        <v>-0.10144927536231885</v>
      </c>
      <c r="I72" s="91">
        <f>IF(ISNUMBER(G72), $B91 * H72, "")</f>
        <v>-15217.391304347828</v>
      </c>
      <c r="J72" s="15">
        <v>249</v>
      </c>
      <c r="K72" s="32">
        <f t="shared" ref="K72:K75" si="32">IF(ISNUMBER(J72), (J72 - $B72) / $B72, "")</f>
        <v>-9.7826086956521743E-2</v>
      </c>
      <c r="L72" s="18">
        <f>IF(ISNUMBER(J72), $B91 * K72, "")</f>
        <v>-14673.913043478262</v>
      </c>
      <c r="M72" s="31">
        <v>250</v>
      </c>
      <c r="N72" s="32">
        <f t="shared" ref="N72:N75" si="33">IF(ISNUMBER(M72), (M72 - $B72) / $B72, "")</f>
        <v>-9.420289855072464E-2</v>
      </c>
      <c r="O72" s="18">
        <f>IF(ISNUMBER(M72), $B91 * N72, "")</f>
        <v>-14130.434782608696</v>
      </c>
      <c r="Q72" s="156"/>
      <c r="R72" s="156"/>
      <c r="S72" s="156"/>
    </row>
    <row r="73" spans="1:19" ht="17.25" thickBot="1">
      <c r="A73" s="109" t="s">
        <v>101</v>
      </c>
      <c r="B73" s="110">
        <v>288</v>
      </c>
      <c r="C73" s="70">
        <v>3.5971222999999997E-2</v>
      </c>
      <c r="D73" s="15">
        <v>255</v>
      </c>
      <c r="E73" s="32">
        <f t="shared" si="30"/>
        <v>-0.11458333333333333</v>
      </c>
      <c r="F73" s="18">
        <f>IF(ISNUMBER(D73), $B91 * E73, "")</f>
        <v>-17187.5</v>
      </c>
      <c r="G73" s="31">
        <v>248</v>
      </c>
      <c r="H73" s="32">
        <f t="shared" si="31"/>
        <v>-0.1388888888888889</v>
      </c>
      <c r="I73" s="91">
        <f>IF(ISNUMBER(G73), $B91 * H73, "")</f>
        <v>-20833.333333333336</v>
      </c>
      <c r="J73" s="15">
        <v>248</v>
      </c>
      <c r="K73" s="32">
        <f t="shared" si="32"/>
        <v>-0.1388888888888889</v>
      </c>
      <c r="L73" s="18">
        <f>IF(ISNUMBER(J73), $B91 * K73, "")</f>
        <v>-20833.333333333336</v>
      </c>
      <c r="M73" s="31">
        <v>249</v>
      </c>
      <c r="N73" s="32">
        <f t="shared" si="33"/>
        <v>-0.13541666666666666</v>
      </c>
      <c r="O73" s="18">
        <f>IF(ISNUMBER(M73), $B91 * N73, "")</f>
        <v>-20312.5</v>
      </c>
      <c r="Q73" s="146"/>
      <c r="R73" s="146"/>
      <c r="S73" s="146"/>
    </row>
    <row r="74" spans="1:19" ht="17.25" thickBot="1">
      <c r="A74" s="109" t="s">
        <v>340</v>
      </c>
      <c r="B74" s="110">
        <v>820</v>
      </c>
      <c r="C74" s="70">
        <v>3.2745591900000003E-2</v>
      </c>
      <c r="D74" s="15">
        <v>750</v>
      </c>
      <c r="E74" s="32">
        <f t="shared" si="30"/>
        <v>-8.5365853658536592E-2</v>
      </c>
      <c r="F74" s="18">
        <f>IF(ISNUMBER(D74), $B91 * E74, "")</f>
        <v>-12804.878048780489</v>
      </c>
      <c r="G74" s="31">
        <v>732</v>
      </c>
      <c r="H74" s="32">
        <f t="shared" si="31"/>
        <v>-0.10731707317073171</v>
      </c>
      <c r="I74" s="91">
        <f>IF(ISNUMBER(G74), $B91 * H74, "")</f>
        <v>-16097.560975609756</v>
      </c>
      <c r="J74" s="15">
        <v>734</v>
      </c>
      <c r="K74" s="32">
        <f t="shared" si="32"/>
        <v>-0.1048780487804878</v>
      </c>
      <c r="L74" s="18">
        <f>IF(ISNUMBER(J74), $B91 * K74, "")</f>
        <v>-15731.707317073171</v>
      </c>
      <c r="M74" s="31">
        <v>743</v>
      </c>
      <c r="N74" s="32">
        <f t="shared" si="33"/>
        <v>-9.3902439024390244E-2</v>
      </c>
      <c r="O74" s="18">
        <f>IF(ISNUMBER(M74), $B91 * N74, "")</f>
        <v>-14085.365853658537</v>
      </c>
      <c r="Q74" s="146"/>
      <c r="R74" s="146"/>
      <c r="S74" s="146"/>
    </row>
    <row r="75" spans="1:19" ht="17.25" thickBot="1">
      <c r="A75" s="111" t="s">
        <v>327</v>
      </c>
      <c r="B75" s="112">
        <v>453</v>
      </c>
      <c r="C75" s="71">
        <v>2.9545454499999999E-2</v>
      </c>
      <c r="D75" s="20">
        <v>407</v>
      </c>
      <c r="E75" s="21">
        <f t="shared" si="30"/>
        <v>-0.10154525386313466</v>
      </c>
      <c r="F75" s="22">
        <f>IF(ISNUMBER(D75), $B91 * E75, "")</f>
        <v>-15231.7880794702</v>
      </c>
      <c r="G75" s="30">
        <v>399</v>
      </c>
      <c r="H75" s="21">
        <f t="shared" si="31"/>
        <v>-0.11920529801324503</v>
      </c>
      <c r="I75" s="95">
        <f>IF(ISNUMBER(G75), $B91 * H75, "")</f>
        <v>-17880.794701986753</v>
      </c>
      <c r="J75" s="20">
        <v>398</v>
      </c>
      <c r="K75" s="21">
        <f t="shared" si="32"/>
        <v>-0.12141280353200883</v>
      </c>
      <c r="L75" s="22">
        <f>IF(ISNUMBER(J75), $B91 * K75, "")</f>
        <v>-18211.920529801322</v>
      </c>
      <c r="M75" s="30">
        <v>403</v>
      </c>
      <c r="N75" s="21">
        <f t="shared" si="33"/>
        <v>-0.11037527593818984</v>
      </c>
      <c r="O75" s="22">
        <f>IF(ISNUMBER(M75), $B91 * N75, "")</f>
        <v>-16556.291390728475</v>
      </c>
      <c r="Q75" s="146"/>
      <c r="R75" s="146"/>
      <c r="S75" s="146"/>
    </row>
    <row r="76" spans="1:19" ht="17.25" thickBot="1">
      <c r="A76" s="109" t="s">
        <v>153</v>
      </c>
      <c r="B76" s="113">
        <v>464</v>
      </c>
      <c r="C76" s="73">
        <v>2.88248337E-2</v>
      </c>
      <c r="D76" s="96">
        <v>413</v>
      </c>
      <c r="E76" s="97">
        <f>IF(ISNUMBER(D76), (D76 - $B76) / $B76, "")</f>
        <v>-0.10991379310344827</v>
      </c>
      <c r="F76" s="98">
        <f>IF(ISNUMBER(D76), $B91 * E76, "")</f>
        <v>-16487.068965517243</v>
      </c>
      <c r="G76" s="99">
        <v>400</v>
      </c>
      <c r="H76" s="97">
        <f>IF(ISNUMBER(G76), (G76 - $B76) / $B76, "")</f>
        <v>-0.13793103448275862</v>
      </c>
      <c r="I76" s="100">
        <f>IF(ISNUMBER(G76), $B91 * H76, "")</f>
        <v>-20689.655172413793</v>
      </c>
      <c r="J76" s="96">
        <v>399</v>
      </c>
      <c r="K76" s="97">
        <f>IF(ISNUMBER(J76), (J76 - $B76) / $B76, "")</f>
        <v>-0.14008620689655171</v>
      </c>
      <c r="L76" s="98">
        <f>IF(ISNUMBER(J76), $B91 * K76, "")</f>
        <v>-21012.931034482757</v>
      </c>
      <c r="M76" s="99">
        <v>403</v>
      </c>
      <c r="N76" s="97">
        <f>IF(ISNUMBER(M76), (M76 - $B76) / $B76, "")</f>
        <v>-0.13146551724137931</v>
      </c>
      <c r="O76" s="98">
        <f>IF(ISNUMBER(M76), $B91 * N76, "")</f>
        <v>-19719.827586206895</v>
      </c>
      <c r="Q76" s="146"/>
      <c r="R76" s="146"/>
      <c r="S76" s="146"/>
    </row>
    <row r="77" spans="1:19" ht="17.25" thickBot="1">
      <c r="A77" s="109" t="s">
        <v>85</v>
      </c>
      <c r="B77" s="110">
        <v>153</v>
      </c>
      <c r="C77" s="70">
        <v>2.68456376E-2</v>
      </c>
      <c r="D77" s="15">
        <v>141</v>
      </c>
      <c r="E77" s="32">
        <f t="shared" ref="E77:E80" si="34">IF(ISNUMBER(D77), (D77 - $B77) / $B77, "")</f>
        <v>-7.8431372549019607E-2</v>
      </c>
      <c r="F77" s="18">
        <f>IF(ISNUMBER(D77), $B91 * E77, "")</f>
        <v>-11764.705882352941</v>
      </c>
      <c r="G77" s="31">
        <v>140</v>
      </c>
      <c r="H77" s="32">
        <f t="shared" ref="H77:H80" si="35">IF(ISNUMBER(G77), (G77 - $B77) / $B77, "")</f>
        <v>-8.4967320261437912E-2</v>
      </c>
      <c r="I77" s="91">
        <f>IF(ISNUMBER(G77), $B91 * H77, "")</f>
        <v>-12745.098039215687</v>
      </c>
      <c r="J77" s="15">
        <v>143</v>
      </c>
      <c r="K77" s="32">
        <f t="shared" ref="K77:K80" si="36">IF(ISNUMBER(J77), (J77 - $B77) / $B77, "")</f>
        <v>-6.535947712418301E-2</v>
      </c>
      <c r="L77" s="18">
        <f>IF(ISNUMBER(J77), $B91 * K77, "")</f>
        <v>-9803.9215686274511</v>
      </c>
      <c r="M77" s="31">
        <v>143</v>
      </c>
      <c r="N77" s="32">
        <f t="shared" ref="N77:N80" si="37">IF(ISNUMBER(M77), (M77 - $B77) / $B77, "")</f>
        <v>-6.535947712418301E-2</v>
      </c>
      <c r="O77" s="18">
        <f>IF(ISNUMBER(M77), $B91 * N77, "")</f>
        <v>-9803.9215686274511</v>
      </c>
      <c r="Q77" s="146"/>
      <c r="R77" s="146"/>
      <c r="S77" s="146"/>
    </row>
    <row r="78" spans="1:19" ht="17.25" thickBot="1">
      <c r="A78" s="109" t="s">
        <v>111</v>
      </c>
      <c r="B78" s="110">
        <v>780</v>
      </c>
      <c r="C78" s="70">
        <v>2.6315789499999999E-2</v>
      </c>
      <c r="D78" s="15">
        <v>716</v>
      </c>
      <c r="E78" s="32">
        <f t="shared" si="34"/>
        <v>-8.2051282051282051E-2</v>
      </c>
      <c r="F78" s="18">
        <f>IF(ISNUMBER(D78), $B91 * E78, "")</f>
        <v>-12307.692307692309</v>
      </c>
      <c r="G78" s="31">
        <v>705</v>
      </c>
      <c r="H78" s="32">
        <f t="shared" si="35"/>
        <v>-9.6153846153846159E-2</v>
      </c>
      <c r="I78" s="91">
        <f>IF(ISNUMBER(G78), $B91 * H78, "")</f>
        <v>-14423.076923076924</v>
      </c>
      <c r="J78" s="15">
        <v>705</v>
      </c>
      <c r="K78" s="32">
        <f t="shared" si="36"/>
        <v>-9.6153846153846159E-2</v>
      </c>
      <c r="L78" s="18">
        <f>IF(ISNUMBER(J78), $B91 * K78, "")</f>
        <v>-14423.076923076924</v>
      </c>
      <c r="M78" s="31">
        <v>708</v>
      </c>
      <c r="N78" s="32">
        <f t="shared" si="37"/>
        <v>-9.2307692307692313E-2</v>
      </c>
      <c r="O78" s="18">
        <f>IF(ISNUMBER(M78), $B91 * N78, "")</f>
        <v>-13846.153846153848</v>
      </c>
      <c r="Q78" s="146"/>
      <c r="R78" s="146"/>
      <c r="S78" s="146"/>
    </row>
    <row r="79" spans="1:19" ht="17.25" thickBot="1">
      <c r="A79" s="109" t="s">
        <v>161</v>
      </c>
      <c r="B79" s="110">
        <v>859</v>
      </c>
      <c r="C79" s="70">
        <v>2.6284348900000001E-2</v>
      </c>
      <c r="D79" s="15">
        <v>765</v>
      </c>
      <c r="E79" s="32">
        <f t="shared" si="34"/>
        <v>-0.10942956926658906</v>
      </c>
      <c r="F79" s="18">
        <f>IF(ISNUMBER(D79), $B91 * E79, "")</f>
        <v>-16414.435389988361</v>
      </c>
      <c r="G79" s="31">
        <v>743</v>
      </c>
      <c r="H79" s="32">
        <f t="shared" si="35"/>
        <v>-0.1350407450523865</v>
      </c>
      <c r="I79" s="91">
        <f>IF(ISNUMBER(G79), $B91 * H79, "")</f>
        <v>-20256.111757857976</v>
      </c>
      <c r="J79" s="15">
        <v>728</v>
      </c>
      <c r="K79" s="32">
        <f t="shared" si="36"/>
        <v>-0.15250291036088476</v>
      </c>
      <c r="L79" s="18">
        <f>IF(ISNUMBER(J79), $B91 * K79, "")</f>
        <v>-22875.436554132713</v>
      </c>
      <c r="M79" s="31">
        <v>748</v>
      </c>
      <c r="N79" s="32">
        <f t="shared" si="37"/>
        <v>-0.12922002328288706</v>
      </c>
      <c r="O79" s="18">
        <f>IF(ISNUMBER(M79), $B91 * N79, "")</f>
        <v>-19383.003492433061</v>
      </c>
      <c r="Q79" s="33"/>
      <c r="R79" s="33"/>
    </row>
    <row r="80" spans="1:19" ht="17.25" thickBot="1">
      <c r="A80" s="114" t="s">
        <v>79</v>
      </c>
      <c r="B80" s="115">
        <v>323</v>
      </c>
      <c r="C80" s="72">
        <v>2.53968254E-2</v>
      </c>
      <c r="D80" s="24">
        <v>292</v>
      </c>
      <c r="E80" s="25">
        <f t="shared" si="34"/>
        <v>-9.5975232198142413E-2</v>
      </c>
      <c r="F80" s="94">
        <f>IF(ISNUMBER(D80), $B91 * E80, "")</f>
        <v>-14396.284829721362</v>
      </c>
      <c r="G80" s="92">
        <v>289</v>
      </c>
      <c r="H80" s="25">
        <f t="shared" si="35"/>
        <v>-0.10526315789473684</v>
      </c>
      <c r="I80" s="93">
        <f>IF(ISNUMBER(G80), $B91 * H80, "")</f>
        <v>-15789.473684210525</v>
      </c>
      <c r="J80" s="24">
        <v>286</v>
      </c>
      <c r="K80" s="25">
        <f t="shared" si="36"/>
        <v>-0.11455108359133127</v>
      </c>
      <c r="L80" s="94">
        <f>IF(ISNUMBER(J80), $B91 * K80, "")</f>
        <v>-17182.662538699689</v>
      </c>
      <c r="M80" s="92">
        <v>281</v>
      </c>
      <c r="N80" s="25">
        <f t="shared" si="37"/>
        <v>-0.13003095975232198</v>
      </c>
      <c r="O80" s="94">
        <f>IF(ISNUMBER(M80), $B91 * N80, "")</f>
        <v>-19504.643962848299</v>
      </c>
      <c r="Q80" s="147"/>
      <c r="R80" s="148"/>
      <c r="S80" s="149"/>
    </row>
    <row r="81" spans="1:19">
      <c r="A81" s="107" t="s">
        <v>336</v>
      </c>
      <c r="B81" s="108">
        <v>353</v>
      </c>
      <c r="C81" s="69">
        <v>2.3188405799999999E-2</v>
      </c>
      <c r="D81" s="13">
        <v>317</v>
      </c>
      <c r="E81" s="14">
        <f>IF(ISNUMBER(D81), (D81 - $B81) / $B81, "")</f>
        <v>-0.10198300283286119</v>
      </c>
      <c r="F81" s="16">
        <f>IF(ISNUMBER(D81), $B91 * E81, "")</f>
        <v>-15297.450424929179</v>
      </c>
      <c r="G81" s="29">
        <v>314</v>
      </c>
      <c r="H81" s="14">
        <f>IF(ISNUMBER(G81), (G81 - $B81) / $B81, "")</f>
        <v>-0.11048158640226628</v>
      </c>
      <c r="I81" s="90">
        <f>IF(ISNUMBER(G81), $B91 * H81, "")</f>
        <v>-16572.237960339942</v>
      </c>
      <c r="J81" s="13">
        <v>315</v>
      </c>
      <c r="K81" s="14">
        <f>IF(ISNUMBER(J81), (J81 - $B81) / $B81, "")</f>
        <v>-0.10764872521246459</v>
      </c>
      <c r="L81" s="16">
        <f>IF(ISNUMBER(J81), $B91 * K81, "")</f>
        <v>-16147.308781869688</v>
      </c>
      <c r="M81" s="29">
        <v>315</v>
      </c>
      <c r="N81" s="14">
        <f>IF(ISNUMBER(M81), (M81 - $B81) / $B81, "")</f>
        <v>-0.10764872521246459</v>
      </c>
      <c r="O81" s="16">
        <f>IF(ISNUMBER(M81), $B91 * N81, "")</f>
        <v>-16147.308781869688</v>
      </c>
      <c r="Q81" s="150"/>
      <c r="R81" s="151"/>
      <c r="S81" s="152"/>
    </row>
    <row r="82" spans="1:19" ht="17.25" thickBot="1">
      <c r="A82" s="109" t="s">
        <v>105</v>
      </c>
      <c r="B82" s="110">
        <v>274</v>
      </c>
      <c r="C82" s="70">
        <v>2.2388059700000001E-2</v>
      </c>
      <c r="D82" s="15">
        <v>253</v>
      </c>
      <c r="E82" s="32">
        <f t="shared" ref="E82:E85" si="38">IF(ISNUMBER(D82), (D82 - $B82) / $B82, "")</f>
        <v>-7.6642335766423361E-2</v>
      </c>
      <c r="F82" s="18">
        <f>IF(ISNUMBER(D82), $B91 * E82, "")</f>
        <v>-11496.350364963504</v>
      </c>
      <c r="G82" s="31">
        <v>248</v>
      </c>
      <c r="H82" s="32">
        <f t="shared" ref="H82:H85" si="39">IF(ISNUMBER(G82), (G82 - $B82) / $B82, "")</f>
        <v>-9.4890510948905105E-2</v>
      </c>
      <c r="I82" s="91">
        <f>IF(ISNUMBER(G82), $B91 * H82, "")</f>
        <v>-14233.576642335765</v>
      </c>
      <c r="J82" s="15">
        <v>248</v>
      </c>
      <c r="K82" s="32">
        <f t="shared" ref="K82:K85" si="40">IF(ISNUMBER(J82), (J82 - $B82) / $B82, "")</f>
        <v>-9.4890510948905105E-2</v>
      </c>
      <c r="L82" s="18">
        <f>IF(ISNUMBER(J82), $B91 * K82, "")</f>
        <v>-14233.576642335765</v>
      </c>
      <c r="M82" s="31">
        <v>251</v>
      </c>
      <c r="N82" s="32">
        <f t="shared" ref="N82:N85" si="41">IF(ISNUMBER(M82), (M82 - $B82) / $B82, "")</f>
        <v>-8.3941605839416053E-2</v>
      </c>
      <c r="O82" s="18">
        <f>IF(ISNUMBER(M82), $B91 * N82, "")</f>
        <v>-12591.240875912408</v>
      </c>
      <c r="Q82" s="153"/>
      <c r="R82" s="154"/>
      <c r="S82" s="155"/>
    </row>
    <row r="83" spans="1:19" ht="17.25" thickBot="1">
      <c r="A83" s="109" t="s">
        <v>60</v>
      </c>
      <c r="B83" s="110">
        <v>747</v>
      </c>
      <c r="C83" s="70">
        <v>2.04918033E-2</v>
      </c>
      <c r="D83" s="15">
        <v>693</v>
      </c>
      <c r="E83" s="32">
        <f t="shared" si="38"/>
        <v>-7.2289156626506021E-2</v>
      </c>
      <c r="F83" s="18">
        <f>IF(ISNUMBER(D83), $B91 * E83, "")</f>
        <v>-10843.373493975903</v>
      </c>
      <c r="G83" s="31">
        <v>678</v>
      </c>
      <c r="H83" s="32">
        <f t="shared" si="39"/>
        <v>-9.2369477911646583E-2</v>
      </c>
      <c r="I83" s="91">
        <f>IF(ISNUMBER(G83), $B91 * H83, "")</f>
        <v>-13855.421686746988</v>
      </c>
      <c r="J83" s="15">
        <v>676</v>
      </c>
      <c r="K83" s="32">
        <f t="shared" si="40"/>
        <v>-9.5046854082998664E-2</v>
      </c>
      <c r="L83" s="18">
        <f>IF(ISNUMBER(J83), $B91 * K83, "")</f>
        <v>-14257.0281124498</v>
      </c>
      <c r="M83" s="31">
        <v>687</v>
      </c>
      <c r="N83" s="32">
        <f t="shared" si="41"/>
        <v>-8.0321285140562249E-2</v>
      </c>
      <c r="O83" s="18">
        <f>IF(ISNUMBER(M83), $B91 * N83, "")</f>
        <v>-12048.192771084337</v>
      </c>
      <c r="Q83" s="146"/>
      <c r="R83" s="146"/>
      <c r="S83" s="146"/>
    </row>
    <row r="84" spans="1:19" ht="17.25" thickBot="1">
      <c r="A84" s="109" t="s">
        <v>183</v>
      </c>
      <c r="B84" s="110">
        <v>153</v>
      </c>
      <c r="C84" s="70">
        <v>0.02</v>
      </c>
      <c r="D84" s="15">
        <v>138</v>
      </c>
      <c r="E84" s="32">
        <f t="shared" si="38"/>
        <v>-9.8039215686274508E-2</v>
      </c>
      <c r="F84" s="18">
        <f>IF(ISNUMBER(D84), $B91 * E84, "")</f>
        <v>-14705.882352941177</v>
      </c>
      <c r="G84" s="31">
        <v>138</v>
      </c>
      <c r="H84" s="32">
        <f t="shared" si="39"/>
        <v>-9.8039215686274508E-2</v>
      </c>
      <c r="I84" s="91">
        <f>IF(ISNUMBER(G84), $B91 * H84, "")</f>
        <v>-14705.882352941177</v>
      </c>
      <c r="J84" s="15">
        <v>136</v>
      </c>
      <c r="K84" s="32">
        <f t="shared" si="40"/>
        <v>-0.1111111111111111</v>
      </c>
      <c r="L84" s="18">
        <f>IF(ISNUMBER(J84), $B91 * K84, "")</f>
        <v>-16666.666666666664</v>
      </c>
      <c r="M84" s="31">
        <v>136</v>
      </c>
      <c r="N84" s="32">
        <f t="shared" si="41"/>
        <v>-0.1111111111111111</v>
      </c>
      <c r="O84" s="18">
        <f>IF(ISNUMBER(M84), $B91 * N84, "")</f>
        <v>-16666.666666666664</v>
      </c>
      <c r="Q84" s="156"/>
      <c r="R84" s="156"/>
      <c r="S84" s="156"/>
    </row>
    <row r="85" spans="1:19" ht="17.25" thickBot="1">
      <c r="A85" s="111" t="s">
        <v>176</v>
      </c>
      <c r="B85" s="112">
        <v>365</v>
      </c>
      <c r="C85" s="71">
        <v>1.9553072599999999E-2</v>
      </c>
      <c r="D85" s="20">
        <v>329</v>
      </c>
      <c r="E85" s="21">
        <f t="shared" si="38"/>
        <v>-9.8630136986301367E-2</v>
      </c>
      <c r="F85" s="22">
        <f>IF(ISNUMBER(D85), $B91 * E85, "")</f>
        <v>-14794.520547945205</v>
      </c>
      <c r="G85" s="30">
        <v>332</v>
      </c>
      <c r="H85" s="21">
        <f t="shared" si="39"/>
        <v>-9.0410958904109592E-2</v>
      </c>
      <c r="I85" s="95">
        <f>IF(ISNUMBER(G85), $B91 * H85, "")</f>
        <v>-13561.643835616438</v>
      </c>
      <c r="J85" s="20">
        <v>326</v>
      </c>
      <c r="K85" s="21">
        <f t="shared" si="40"/>
        <v>-0.10684931506849316</v>
      </c>
      <c r="L85" s="22">
        <f>IF(ISNUMBER(J85), $B91 * K85, "")</f>
        <v>-16027.397260273974</v>
      </c>
      <c r="M85" s="30">
        <v>328</v>
      </c>
      <c r="N85" s="21">
        <f t="shared" si="41"/>
        <v>-0.10136986301369863</v>
      </c>
      <c r="O85" s="22">
        <f>IF(ISNUMBER(M85), $B91 * N85, "")</f>
        <v>-15205.479452054795</v>
      </c>
      <c r="Q85" s="156"/>
      <c r="R85" s="156"/>
      <c r="S85" s="156"/>
    </row>
    <row r="86" spans="1:19" ht="17.25" thickBot="1">
      <c r="A86" s="109" t="s">
        <v>66</v>
      </c>
      <c r="B86" s="113">
        <v>897</v>
      </c>
      <c r="C86" s="73">
        <v>1.9318181800000001E-2</v>
      </c>
      <c r="D86" s="96">
        <v>805</v>
      </c>
      <c r="E86" s="97">
        <f>IF(ISNUMBER(D86), (D86 - $B86) / $B86, "")</f>
        <v>-0.10256410256410256</v>
      </c>
      <c r="F86" s="98">
        <f>IF(ISNUMBER(D86), $B91 * E86, "")</f>
        <v>-15384.615384615385</v>
      </c>
      <c r="G86" s="99">
        <v>809</v>
      </c>
      <c r="H86" s="97">
        <f>IF(ISNUMBER(G86), (G86 - $B86) / $B86, "")</f>
        <v>-9.8104793756967665E-2</v>
      </c>
      <c r="I86" s="100">
        <f>IF(ISNUMBER(G86), $B91 * H86, "")</f>
        <v>-14715.71906354515</v>
      </c>
      <c r="J86" s="96">
        <v>805</v>
      </c>
      <c r="K86" s="97">
        <f>IF(ISNUMBER(J86), (J86 - $B86) / $B86, "")</f>
        <v>-0.10256410256410256</v>
      </c>
      <c r="L86" s="98">
        <f>IF(ISNUMBER(J86), $B91 * K86, "")</f>
        <v>-15384.615384615385</v>
      </c>
      <c r="M86" s="99">
        <v>804</v>
      </c>
      <c r="N86" s="97">
        <f>IF(ISNUMBER(M86), (M86 - $B86) / $B86, "")</f>
        <v>-0.10367892976588629</v>
      </c>
      <c r="O86" s="98">
        <f>IF(ISNUMBER(M86), $B91 * N86, "")</f>
        <v>-15551.839464882944</v>
      </c>
      <c r="Q86" s="146"/>
      <c r="R86" s="146"/>
      <c r="S86" s="146"/>
    </row>
    <row r="87" spans="1:19" ht="17.25" thickBot="1">
      <c r="A87" s="109" t="s">
        <v>325</v>
      </c>
      <c r="B87" s="110">
        <v>644</v>
      </c>
      <c r="C87" s="70">
        <v>1.8987341800000002E-2</v>
      </c>
      <c r="D87" s="15">
        <v>584</v>
      </c>
      <c r="E87" s="32">
        <f t="shared" ref="E87:E90" si="42">IF(ISNUMBER(D87), (D87 - $B87) / $B87, "")</f>
        <v>-9.3167701863354033E-2</v>
      </c>
      <c r="F87" s="18">
        <f>IF(ISNUMBER(D87), $B91 * E87, "")</f>
        <v>-13975.155279503106</v>
      </c>
      <c r="G87" s="31">
        <v>575</v>
      </c>
      <c r="H87" s="32">
        <f t="shared" ref="H87:H90" si="43">IF(ISNUMBER(G87), (G87 - $B87) / $B87, "")</f>
        <v>-0.10714285714285714</v>
      </c>
      <c r="I87" s="91">
        <f>IF(ISNUMBER(G87), $B91 * H87, "")</f>
        <v>-16071.428571428571</v>
      </c>
      <c r="J87" s="15">
        <v>572</v>
      </c>
      <c r="K87" s="32">
        <f t="shared" ref="K87:K90" si="44">IF(ISNUMBER(J87), (J87 - $B87) / $B87, "")</f>
        <v>-0.11180124223602485</v>
      </c>
      <c r="L87" s="18">
        <f>IF(ISNUMBER(J87), $B91 * K87, "")</f>
        <v>-16770.186335403727</v>
      </c>
      <c r="M87" s="31">
        <v>575</v>
      </c>
      <c r="N87" s="32">
        <f t="shared" ref="N87:N90" si="45">IF(ISNUMBER(M87), (M87 - $B87) / $B87, "")</f>
        <v>-0.10714285714285714</v>
      </c>
      <c r="O87" s="18">
        <f>IF(ISNUMBER(M87), $B91 * N87, "")</f>
        <v>-16071.428571428571</v>
      </c>
      <c r="Q87" s="146"/>
      <c r="R87" s="146"/>
      <c r="S87" s="146"/>
    </row>
    <row r="88" spans="1:19" ht="17.25" thickBot="1">
      <c r="A88" s="109" t="s">
        <v>201</v>
      </c>
      <c r="B88" s="110">
        <v>275</v>
      </c>
      <c r="C88" s="70">
        <v>1.8518518500000001E-2</v>
      </c>
      <c r="D88" s="15">
        <v>246</v>
      </c>
      <c r="E88" s="32">
        <f t="shared" si="42"/>
        <v>-0.10545454545454545</v>
      </c>
      <c r="F88" s="18">
        <f>IF(ISNUMBER(D88), $B91 * E88, "")</f>
        <v>-15818.181818181818</v>
      </c>
      <c r="G88" s="31">
        <v>247</v>
      </c>
      <c r="H88" s="32">
        <f t="shared" si="43"/>
        <v>-0.10181818181818182</v>
      </c>
      <c r="I88" s="91">
        <f>IF(ISNUMBER(G88), $B91 * H88, "")</f>
        <v>-15272.727272727274</v>
      </c>
      <c r="J88" s="15">
        <v>244</v>
      </c>
      <c r="K88" s="32">
        <f t="shared" si="44"/>
        <v>-0.11272727272727273</v>
      </c>
      <c r="L88" s="18">
        <f>IF(ISNUMBER(J88), $B91 * K88, "")</f>
        <v>-16909.090909090908</v>
      </c>
      <c r="M88" s="31">
        <v>245</v>
      </c>
      <c r="N88" s="32">
        <f t="shared" si="45"/>
        <v>-0.10909090909090909</v>
      </c>
      <c r="O88" s="18">
        <f>IF(ISNUMBER(M88), $B91 * N88, "")</f>
        <v>-16363.636363636362</v>
      </c>
      <c r="Q88" s="146"/>
      <c r="R88" s="146"/>
      <c r="S88" s="146"/>
    </row>
    <row r="89" spans="1:19">
      <c r="A89" s="109" t="s">
        <v>231</v>
      </c>
      <c r="B89" s="110">
        <v>417</v>
      </c>
      <c r="C89" s="70">
        <v>1.7073170700000001E-2</v>
      </c>
      <c r="D89" s="15">
        <v>383</v>
      </c>
      <c r="E89" s="32">
        <f t="shared" si="42"/>
        <v>-8.1534772182254203E-2</v>
      </c>
      <c r="F89" s="18">
        <f>IF(ISNUMBER(D89), $B91 * E89, "")</f>
        <v>-12230.21582733813</v>
      </c>
      <c r="G89" s="31">
        <v>383</v>
      </c>
      <c r="H89" s="32">
        <f t="shared" si="43"/>
        <v>-8.1534772182254203E-2</v>
      </c>
      <c r="I89" s="91">
        <f>IF(ISNUMBER(G89), $B91 * H89, "")</f>
        <v>-12230.21582733813</v>
      </c>
      <c r="J89" s="15">
        <v>380</v>
      </c>
      <c r="K89" s="32">
        <f t="shared" si="44"/>
        <v>-8.8729016786570747E-2</v>
      </c>
      <c r="L89" s="18">
        <f>IF(ISNUMBER(J89), $B91 * K89, "")</f>
        <v>-13309.352517985611</v>
      </c>
      <c r="M89" s="31">
        <v>379</v>
      </c>
      <c r="N89" s="32">
        <f t="shared" si="45"/>
        <v>-9.1127098321342928E-2</v>
      </c>
      <c r="O89" s="18">
        <f>IF(ISNUMBER(M89), $B91 * N89, "")</f>
        <v>-13669.064748201439</v>
      </c>
      <c r="Q89" s="135"/>
      <c r="R89" s="136"/>
      <c r="S89" s="137"/>
    </row>
    <row r="90" spans="1:19" ht="17.25" thickBot="1">
      <c r="A90" s="114" t="s">
        <v>235</v>
      </c>
      <c r="B90" s="115">
        <v>667</v>
      </c>
      <c r="C90" s="72">
        <v>1.67682927E-2</v>
      </c>
      <c r="D90" s="24">
        <v>607</v>
      </c>
      <c r="E90" s="25">
        <f t="shared" si="42"/>
        <v>-8.9955022488755629E-2</v>
      </c>
      <c r="F90" s="94">
        <f>IF(ISNUMBER(D90), $B91 * E90, "")</f>
        <v>-13493.253373313344</v>
      </c>
      <c r="G90" s="92">
        <v>611</v>
      </c>
      <c r="H90" s="25">
        <f t="shared" si="43"/>
        <v>-8.395802098950525E-2</v>
      </c>
      <c r="I90" s="93">
        <f>IF(ISNUMBER(G90), $B91 * H90, "")</f>
        <v>-12593.703148425788</v>
      </c>
      <c r="J90" s="24">
        <v>604</v>
      </c>
      <c r="K90" s="25">
        <f t="shared" si="44"/>
        <v>-9.4452773613193403E-2</v>
      </c>
      <c r="L90" s="94">
        <f>IF(ISNUMBER(J90), $B91 * K90, "")</f>
        <v>-14167.91604197901</v>
      </c>
      <c r="M90" s="92">
        <v>610</v>
      </c>
      <c r="N90" s="25">
        <f t="shared" si="45"/>
        <v>-8.5457271364317841E-2</v>
      </c>
      <c r="O90" s="94">
        <f>IF(ISNUMBER(M90), $B91 * N90, "")</f>
        <v>-12818.590704647677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-9.4245422694124351E-2</v>
      </c>
      <c r="F91" s="28">
        <f>SUM(F71:F90)</f>
        <v>-282736.26808237296</v>
      </c>
      <c r="G91" s="26" t="s">
        <v>258</v>
      </c>
      <c r="H91" s="27">
        <f>IF(COUNT(H71:H90), SUM(H71:H90) / COUNT(H71:H90), 0)</f>
        <v>-0.10592219359293129</v>
      </c>
      <c r="I91" s="28">
        <f>SUM(I71:I90)</f>
        <v>-317766.58077879384</v>
      </c>
      <c r="J91" s="26" t="s">
        <v>258</v>
      </c>
      <c r="K91" s="27">
        <f>IF(COUNT(K71:K90), SUM(K71:K90) / COUNT(K71:K90), 0)</f>
        <v>-0.10987078455299766</v>
      </c>
      <c r="L91" s="28">
        <f>SUM(L71:L90)</f>
        <v>-329612.35365899291</v>
      </c>
      <c r="M91" s="26" t="s">
        <v>258</v>
      </c>
      <c r="N91" s="27">
        <f>IF(COUNT(N71:N90), SUM(N71:N90) / COUNT(N71:N90), 0)</f>
        <v>-0.10510147970251563</v>
      </c>
      <c r="O91" s="28">
        <f>SUM(O71:O90)</f>
        <v>-315304.43910754682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2023-03-10(금) 오전 00:00</v>
      </c>
      <c r="C96" s="198"/>
      <c r="D96" s="170" t="str">
        <f>TEXT($G$1, "[$-ko-KR]yyyy-mm-dd(ddd) ") &amp; "오후 14:00"</f>
        <v>2023-03-10(금) 오후 14:00</v>
      </c>
      <c r="E96" s="171"/>
      <c r="F96" s="172"/>
      <c r="G96" s="170" t="str">
        <f>TEXT($G$1, "[$-ko-KR]yyyy-mm-dd(ddd) ") &amp; "오후 19:00"</f>
        <v>2023-03-10(금) 오후 19:00</v>
      </c>
      <c r="H96" s="171"/>
      <c r="I96" s="172"/>
      <c r="J96" s="170" t="str">
        <f>TEXT($G$1, "[$-ko-KR]yyyy-mm-dd(ddd) ") &amp; "오후 21:00"</f>
        <v>2023-03-10(금) 오후 21:00</v>
      </c>
      <c r="K96" s="171"/>
      <c r="L96" s="172"/>
      <c r="M96" s="170" t="str">
        <f>TEXT($G$1+1, "[$-ko-KR]yyyy-mm-dd(ddd) ") &amp; "오전 00:00"</f>
        <v>2023-03-11(토)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344</v>
      </c>
      <c r="B98" s="108">
        <v>15120</v>
      </c>
      <c r="C98" s="69">
        <v>7.4626865700000003E-2</v>
      </c>
      <c r="D98" s="13">
        <v>15200</v>
      </c>
      <c r="E98" s="14">
        <f>IF(ISNUMBER(D98), (D98 - $B98) / $B98, "")</f>
        <v>5.2910052910052907E-3</v>
      </c>
      <c r="F98" s="16">
        <f>IF(ISNUMBER(D98), $B118 * E98, "")</f>
        <v>793.65079365079362</v>
      </c>
      <c r="G98" s="29">
        <v>13510</v>
      </c>
      <c r="H98" s="14">
        <f>IF(ISNUMBER(G98), (G98 - $B98) / $B98, "")</f>
        <v>-0.10648148148148148</v>
      </c>
      <c r="I98" s="90">
        <f>IF(ISNUMBER(G98), $B118 * H98, "")</f>
        <v>-15972.222222222223</v>
      </c>
      <c r="J98" s="13">
        <v>13570</v>
      </c>
      <c r="K98" s="14">
        <f>IF(ISNUMBER(J98), (J98 - $B98) / $B98, "")</f>
        <v>-0.10251322751322751</v>
      </c>
      <c r="L98" s="16">
        <f>IF(ISNUMBER(J98), $B118 * K98, "")</f>
        <v>-15376.984126984127</v>
      </c>
      <c r="M98" s="29">
        <v>13910</v>
      </c>
      <c r="N98" s="14">
        <f>IF(ISNUMBER(M98), (M98 - $B98) / $B98, "")</f>
        <v>-8.0026455026455029E-2</v>
      </c>
      <c r="O98" s="16">
        <f>IF(ISNUMBER(M98), $B118 * N98, "")</f>
        <v>-12003.968253968254</v>
      </c>
      <c r="Q98" s="156"/>
      <c r="R98" s="156"/>
      <c r="S98" s="156"/>
    </row>
    <row r="99" spans="1:19" ht="17.25" thickBot="1">
      <c r="A99" s="109" t="s">
        <v>116</v>
      </c>
      <c r="B99" s="110">
        <v>1625</v>
      </c>
      <c r="C99" s="70">
        <v>6.5573770500000003E-2</v>
      </c>
      <c r="D99" s="15">
        <v>1395</v>
      </c>
      <c r="E99" s="32">
        <f t="shared" ref="E99:E102" si="46">IF(ISNUMBER(D99), (D99 - $B99) / $B99, "")</f>
        <v>-0.14153846153846153</v>
      </c>
      <c r="F99" s="18">
        <f>IF(ISNUMBER(D99), $B118 * E99, "")</f>
        <v>-21230.76923076923</v>
      </c>
      <c r="G99" s="31">
        <v>1390</v>
      </c>
      <c r="H99" s="32">
        <f t="shared" ref="H99:H102" si="47">IF(ISNUMBER(G99), (G99 - $B99) / $B99, "")</f>
        <v>-0.14461538461538462</v>
      </c>
      <c r="I99" s="91">
        <f>IF(ISNUMBER(G99), $B118 * H99, "")</f>
        <v>-21692.307692307691</v>
      </c>
      <c r="J99" s="15">
        <v>1380</v>
      </c>
      <c r="K99" s="32">
        <f t="shared" ref="K99:K102" si="48">IF(ISNUMBER(J99), (J99 - $B99) / $B99, "")</f>
        <v>-0.15076923076923077</v>
      </c>
      <c r="L99" s="18">
        <f>IF(ISNUMBER(J99), $B118 * K99, "")</f>
        <v>-22615.384615384613</v>
      </c>
      <c r="M99" s="31">
        <v>1385</v>
      </c>
      <c r="N99" s="32">
        <f t="shared" ref="N99:N102" si="49">IF(ISNUMBER(M99), (M99 - $B99) / $B99, "")</f>
        <v>-0.14769230769230771</v>
      </c>
      <c r="O99" s="18">
        <f>IF(ISNUMBER(M99), $B118 * N99, "")</f>
        <v>-22153.846153846156</v>
      </c>
      <c r="Q99" s="156"/>
      <c r="R99" s="156"/>
      <c r="S99" s="156"/>
    </row>
    <row r="100" spans="1:19" ht="17.25" thickBot="1">
      <c r="A100" s="109" t="s">
        <v>178</v>
      </c>
      <c r="B100" s="110">
        <v>2285</v>
      </c>
      <c r="C100" s="70">
        <v>6.0324825999999998E-2</v>
      </c>
      <c r="D100" s="15">
        <v>2250</v>
      </c>
      <c r="E100" s="32">
        <f t="shared" si="46"/>
        <v>-1.5317286652078774E-2</v>
      </c>
      <c r="F100" s="18">
        <f>IF(ISNUMBER(D100), $B118 * E100, "")</f>
        <v>-2297.5929978118161</v>
      </c>
      <c r="G100" s="31">
        <v>2230</v>
      </c>
      <c r="H100" s="32">
        <f t="shared" si="47"/>
        <v>-2.4070021881838075E-2</v>
      </c>
      <c r="I100" s="91">
        <f>IF(ISNUMBER(G100), $B118 * H100, "")</f>
        <v>-3610.5032822757112</v>
      </c>
      <c r="J100" s="15">
        <v>2085</v>
      </c>
      <c r="K100" s="32">
        <f t="shared" si="48"/>
        <v>-8.7527352297592995E-2</v>
      </c>
      <c r="L100" s="18">
        <f>IF(ISNUMBER(J100), $B118 * K100, "")</f>
        <v>-13129.10284463895</v>
      </c>
      <c r="M100" s="31">
        <v>2110</v>
      </c>
      <c r="N100" s="32">
        <f t="shared" si="49"/>
        <v>-7.6586433260393869E-2</v>
      </c>
      <c r="O100" s="18">
        <f>IF(ISNUMBER(M100), $B118 * N100, "")</f>
        <v>-11487.964989059081</v>
      </c>
      <c r="Q100" s="146"/>
      <c r="R100" s="146"/>
      <c r="S100" s="146"/>
    </row>
    <row r="101" spans="1:19" ht="17.25" thickBot="1">
      <c r="A101" s="109" t="s">
        <v>83</v>
      </c>
      <c r="B101" s="110">
        <v>1570</v>
      </c>
      <c r="C101" s="70">
        <v>5.0167224099999998E-2</v>
      </c>
      <c r="D101" s="15">
        <v>1415</v>
      </c>
      <c r="E101" s="32">
        <f t="shared" si="46"/>
        <v>-9.8726114649681534E-2</v>
      </c>
      <c r="F101" s="18">
        <f>IF(ISNUMBER(D101), $B118 * E101, "")</f>
        <v>-14808.917197452231</v>
      </c>
      <c r="G101" s="31">
        <v>1390</v>
      </c>
      <c r="H101" s="32">
        <f t="shared" si="47"/>
        <v>-0.11464968152866242</v>
      </c>
      <c r="I101" s="91">
        <f>IF(ISNUMBER(G101), $B118 * H101, "")</f>
        <v>-17197.452229299364</v>
      </c>
      <c r="J101" s="15">
        <v>1400</v>
      </c>
      <c r="K101" s="32">
        <f t="shared" si="48"/>
        <v>-0.10828025477707007</v>
      </c>
      <c r="L101" s="18">
        <f>IF(ISNUMBER(J101), $B118 * K101, "")</f>
        <v>-16242.03821656051</v>
      </c>
      <c r="M101" s="31">
        <v>1400</v>
      </c>
      <c r="N101" s="32">
        <f t="shared" si="49"/>
        <v>-0.10828025477707007</v>
      </c>
      <c r="O101" s="18">
        <f>IF(ISNUMBER(M101), $B118 * N101, "")</f>
        <v>-16242.03821656051</v>
      </c>
      <c r="Q101" s="146"/>
      <c r="R101" s="146"/>
      <c r="S101" s="146"/>
    </row>
    <row r="102" spans="1:19" ht="17.25" thickBot="1">
      <c r="A102" s="111" t="s">
        <v>130</v>
      </c>
      <c r="B102" s="112">
        <v>929</v>
      </c>
      <c r="C102" s="71">
        <v>4.4994375699999999E-2</v>
      </c>
      <c r="D102" s="20">
        <v>829</v>
      </c>
      <c r="E102" s="21">
        <f t="shared" si="46"/>
        <v>-0.10764262648008611</v>
      </c>
      <c r="F102" s="22">
        <f>IF(ISNUMBER(D102), $B118 * E102, "")</f>
        <v>-16146.393972012916</v>
      </c>
      <c r="G102" s="30">
        <v>805</v>
      </c>
      <c r="H102" s="21">
        <f t="shared" si="47"/>
        <v>-0.13347685683530677</v>
      </c>
      <c r="I102" s="95">
        <f>IF(ISNUMBER(G102), $B118 * H102, "")</f>
        <v>-20021.528525296017</v>
      </c>
      <c r="J102" s="20">
        <v>799</v>
      </c>
      <c r="K102" s="21">
        <f t="shared" si="48"/>
        <v>-0.13993541442411195</v>
      </c>
      <c r="L102" s="22">
        <f>IF(ISNUMBER(J102), $B118 * K102, "")</f>
        <v>-20990.312163616793</v>
      </c>
      <c r="M102" s="30">
        <v>800</v>
      </c>
      <c r="N102" s="21">
        <f t="shared" si="49"/>
        <v>-0.13885898815931108</v>
      </c>
      <c r="O102" s="22">
        <f>IF(ISNUMBER(M102), $B118 * N102, "")</f>
        <v>-20828.848223896661</v>
      </c>
      <c r="Q102" s="146"/>
      <c r="R102" s="146"/>
      <c r="S102" s="146"/>
    </row>
    <row r="103" spans="1:19" ht="17.25" thickBot="1">
      <c r="A103" s="109" t="s">
        <v>169</v>
      </c>
      <c r="B103" s="113">
        <v>276</v>
      </c>
      <c r="C103" s="73">
        <v>3.7593985000000003E-2</v>
      </c>
      <c r="D103" s="96">
        <v>254</v>
      </c>
      <c r="E103" s="97">
        <f>IF(ISNUMBER(D103), (D103 - $B103) / $B103, "")</f>
        <v>-7.9710144927536225E-2</v>
      </c>
      <c r="F103" s="98">
        <f>IF(ISNUMBER(D103), $B118 * E103, "")</f>
        <v>-11956.521739130434</v>
      </c>
      <c r="G103" s="99">
        <v>248</v>
      </c>
      <c r="H103" s="97">
        <f>IF(ISNUMBER(G103), (G103 - $B103) / $B103, "")</f>
        <v>-0.10144927536231885</v>
      </c>
      <c r="I103" s="100">
        <f>IF(ISNUMBER(G103), $B118 * H103, "")</f>
        <v>-15217.391304347828</v>
      </c>
      <c r="J103" s="96">
        <v>249</v>
      </c>
      <c r="K103" s="97">
        <f>IF(ISNUMBER(J103), (J103 - $B103) / $B103, "")</f>
        <v>-9.7826086956521743E-2</v>
      </c>
      <c r="L103" s="98">
        <f>IF(ISNUMBER(J103), $B118 * K103, "")</f>
        <v>-14673.913043478262</v>
      </c>
      <c r="M103" s="99">
        <v>250</v>
      </c>
      <c r="N103" s="97">
        <f>IF(ISNUMBER(M103), (M103 - $B103) / $B103, "")</f>
        <v>-9.420289855072464E-2</v>
      </c>
      <c r="O103" s="98">
        <f>IF(ISNUMBER(M103), $B118 * N103, "")</f>
        <v>-14130.434782608696</v>
      </c>
      <c r="Q103" s="146"/>
      <c r="R103" s="146"/>
      <c r="S103" s="146"/>
    </row>
    <row r="104" spans="1:19" ht="17.25" thickBot="1">
      <c r="A104" s="109" t="s">
        <v>62</v>
      </c>
      <c r="B104" s="110">
        <v>14560</v>
      </c>
      <c r="C104" s="70">
        <v>3.7037037000000002E-2</v>
      </c>
      <c r="D104" s="15">
        <v>12960</v>
      </c>
      <c r="E104" s="32">
        <f t="shared" ref="E104:E107" si="50">IF(ISNUMBER(D104), (D104 - $B104) / $B104, "")</f>
        <v>-0.10989010989010989</v>
      </c>
      <c r="F104" s="18">
        <f>IF(ISNUMBER(D104), $B118 * E104, "")</f>
        <v>-16483.516483516483</v>
      </c>
      <c r="G104" s="31">
        <v>12840</v>
      </c>
      <c r="H104" s="32">
        <f t="shared" ref="H104:H107" si="51">IF(ISNUMBER(G104), (G104 - $B104) / $B104, "")</f>
        <v>-0.11813186813186813</v>
      </c>
      <c r="I104" s="91">
        <f>IF(ISNUMBER(G104), $B118 * H104, "")</f>
        <v>-17719.780219780219</v>
      </c>
      <c r="J104" s="15">
        <v>12760</v>
      </c>
      <c r="K104" s="32">
        <f t="shared" ref="K104:K107" si="52">IF(ISNUMBER(J104), (J104 - $B104) / $B104, "")</f>
        <v>-0.12362637362637363</v>
      </c>
      <c r="L104" s="18">
        <f>IF(ISNUMBER(J104), $B118 * K104, "")</f>
        <v>-18543.956043956045</v>
      </c>
      <c r="M104" s="31">
        <v>12760</v>
      </c>
      <c r="N104" s="32">
        <f t="shared" ref="N104:N107" si="53">IF(ISNUMBER(M104), (M104 - $B104) / $B104, "")</f>
        <v>-0.12362637362637363</v>
      </c>
      <c r="O104" s="18">
        <f>IF(ISNUMBER(M104), $B118 * N104, "")</f>
        <v>-18543.956043956045</v>
      </c>
      <c r="Q104" s="146"/>
      <c r="R104" s="146"/>
      <c r="S104" s="146"/>
    </row>
    <row r="105" spans="1:19" ht="17.25" thickBot="1">
      <c r="A105" s="109" t="s">
        <v>101</v>
      </c>
      <c r="B105" s="110">
        <v>288</v>
      </c>
      <c r="C105" s="70">
        <v>3.5971222999999997E-2</v>
      </c>
      <c r="D105" s="15">
        <v>255</v>
      </c>
      <c r="E105" s="32">
        <f t="shared" si="50"/>
        <v>-0.11458333333333333</v>
      </c>
      <c r="F105" s="18">
        <f>IF(ISNUMBER(D105), $B118 * E105, "")</f>
        <v>-17187.5</v>
      </c>
      <c r="G105" s="31">
        <v>248</v>
      </c>
      <c r="H105" s="32">
        <f t="shared" si="51"/>
        <v>-0.1388888888888889</v>
      </c>
      <c r="I105" s="91">
        <f>IF(ISNUMBER(G105), $B118 * H105, "")</f>
        <v>-20833.333333333336</v>
      </c>
      <c r="J105" s="15">
        <v>248</v>
      </c>
      <c r="K105" s="32">
        <f t="shared" si="52"/>
        <v>-0.1388888888888889</v>
      </c>
      <c r="L105" s="18">
        <f>IF(ISNUMBER(J105), $B118 * K105, "")</f>
        <v>-20833.333333333336</v>
      </c>
      <c r="M105" s="31">
        <v>249</v>
      </c>
      <c r="N105" s="32">
        <f t="shared" si="53"/>
        <v>-0.13541666666666666</v>
      </c>
      <c r="O105" s="18">
        <f>IF(ISNUMBER(M105), $B118 * N105, "")</f>
        <v>-20312.5</v>
      </c>
      <c r="Q105" s="146"/>
      <c r="R105" s="146"/>
      <c r="S105" s="146"/>
    </row>
    <row r="106" spans="1:19" ht="17.25" thickBot="1">
      <c r="A106" s="109" t="s">
        <v>165</v>
      </c>
      <c r="B106" s="110">
        <v>1460</v>
      </c>
      <c r="C106" s="70">
        <v>3.5460992900000002E-2</v>
      </c>
      <c r="D106" s="15">
        <v>1295</v>
      </c>
      <c r="E106" s="32">
        <f t="shared" si="50"/>
        <v>-0.11301369863013698</v>
      </c>
      <c r="F106" s="18">
        <f>IF(ISNUMBER(D106), $B118 * E106, "")</f>
        <v>-16952.054794520547</v>
      </c>
      <c r="G106" s="31">
        <v>1270</v>
      </c>
      <c r="H106" s="32">
        <f t="shared" si="51"/>
        <v>-0.13013698630136986</v>
      </c>
      <c r="I106" s="91">
        <f>IF(ISNUMBER(G106), $B118 * H106, "")</f>
        <v>-19520.547945205479</v>
      </c>
      <c r="J106" s="15">
        <v>1260</v>
      </c>
      <c r="K106" s="32">
        <f t="shared" si="52"/>
        <v>-0.13698630136986301</v>
      </c>
      <c r="L106" s="18">
        <f>IF(ISNUMBER(J106), $B118 * K106, "")</f>
        <v>-20547.945205479449</v>
      </c>
      <c r="M106" s="31">
        <v>1290</v>
      </c>
      <c r="N106" s="32">
        <f t="shared" si="53"/>
        <v>-0.11643835616438356</v>
      </c>
      <c r="O106" s="18">
        <f>IF(ISNUMBER(M106), $B118 * N106, "")</f>
        <v>-17465.753424657534</v>
      </c>
      <c r="Q106" s="33"/>
      <c r="R106" s="33"/>
    </row>
    <row r="107" spans="1:19" ht="17.25" thickBot="1">
      <c r="A107" s="114" t="s">
        <v>163</v>
      </c>
      <c r="B107" s="115">
        <v>10280</v>
      </c>
      <c r="C107" s="72">
        <v>3.4725717199999999E-2</v>
      </c>
      <c r="D107" s="24">
        <v>9570</v>
      </c>
      <c r="E107" s="25">
        <f t="shared" si="50"/>
        <v>-6.9066147859922183E-2</v>
      </c>
      <c r="F107" s="94">
        <f>IF(ISNUMBER(D107), $B118 * E107, "")</f>
        <v>-10359.922178988327</v>
      </c>
      <c r="G107" s="92">
        <v>9625</v>
      </c>
      <c r="H107" s="25">
        <f t="shared" si="51"/>
        <v>-6.3715953307392992E-2</v>
      </c>
      <c r="I107" s="93">
        <f>IF(ISNUMBER(G107), $B118 * H107, "")</f>
        <v>-9557.3929961089489</v>
      </c>
      <c r="J107" s="24">
        <v>9400</v>
      </c>
      <c r="K107" s="25">
        <f t="shared" si="52"/>
        <v>-8.5603112840466927E-2</v>
      </c>
      <c r="L107" s="94">
        <f>IF(ISNUMBER(J107), $B118 * K107, "")</f>
        <v>-12840.466926070039</v>
      </c>
      <c r="M107" s="92">
        <v>9505</v>
      </c>
      <c r="N107" s="25">
        <f t="shared" si="53"/>
        <v>-7.5389105058365755E-2</v>
      </c>
      <c r="O107" s="94">
        <f>IF(ISNUMBER(M107), $B118 * N107, "")</f>
        <v>-11308.365758754862</v>
      </c>
      <c r="Q107" s="147"/>
      <c r="R107" s="148"/>
      <c r="S107" s="149"/>
    </row>
    <row r="108" spans="1:19">
      <c r="A108" s="107" t="s">
        <v>138</v>
      </c>
      <c r="B108" s="108">
        <v>40.9</v>
      </c>
      <c r="C108" s="69">
        <v>3.2828282799999997E-2</v>
      </c>
      <c r="D108" s="13">
        <v>36.6</v>
      </c>
      <c r="E108" s="14">
        <f>IF(ISNUMBER(D108), (D108 - $B108) / $B108, "")</f>
        <v>-0.10513447432762829</v>
      </c>
      <c r="F108" s="16">
        <f>IF(ISNUMBER(D108), $B118 * E108, "")</f>
        <v>-15770.171149144244</v>
      </c>
      <c r="G108" s="29">
        <v>35.9</v>
      </c>
      <c r="H108" s="14">
        <f>IF(ISNUMBER(G108), (G108 - $B108) / $B108, "")</f>
        <v>-0.12224938875305624</v>
      </c>
      <c r="I108" s="90">
        <f>IF(ISNUMBER(G108), $B118 * H108, "")</f>
        <v>-18337.408312958436</v>
      </c>
      <c r="J108" s="13">
        <v>35.700000000000003</v>
      </c>
      <c r="K108" s="14">
        <f>IF(ISNUMBER(J108), (J108 - $B108) / $B108, "")</f>
        <v>-0.12713936430317838</v>
      </c>
      <c r="L108" s="16">
        <f>IF(ISNUMBER(J108), $B118 * K108, "")</f>
        <v>-19070.904645476756</v>
      </c>
      <c r="M108" s="29">
        <v>36</v>
      </c>
      <c r="N108" s="14">
        <f>IF(ISNUMBER(M108), (M108 - $B108) / $B108, "")</f>
        <v>-0.11980440097799508</v>
      </c>
      <c r="O108" s="16">
        <f>IF(ISNUMBER(M108), $B118 * N108, "")</f>
        <v>-17970.660146699262</v>
      </c>
      <c r="Q108" s="150"/>
      <c r="R108" s="151"/>
      <c r="S108" s="152"/>
    </row>
    <row r="109" spans="1:19" ht="17.25" thickBot="1">
      <c r="A109" s="109" t="s">
        <v>340</v>
      </c>
      <c r="B109" s="110">
        <v>820</v>
      </c>
      <c r="C109" s="70">
        <v>3.2745591900000003E-2</v>
      </c>
      <c r="D109" s="15">
        <v>750</v>
      </c>
      <c r="E109" s="32">
        <f t="shared" ref="E109:E112" si="54">IF(ISNUMBER(D109), (D109 - $B109) / $B109, "")</f>
        <v>-8.5365853658536592E-2</v>
      </c>
      <c r="F109" s="18">
        <f>IF(ISNUMBER(D109), $B118 * E109, "")</f>
        <v>-12804.878048780489</v>
      </c>
      <c r="G109" s="31">
        <v>732</v>
      </c>
      <c r="H109" s="32">
        <f t="shared" ref="H109:H112" si="55">IF(ISNUMBER(G109), (G109 - $B109) / $B109, "")</f>
        <v>-0.10731707317073171</v>
      </c>
      <c r="I109" s="91">
        <f>IF(ISNUMBER(G109), $B118 * H109, "")</f>
        <v>-16097.560975609756</v>
      </c>
      <c r="J109" s="15">
        <v>734</v>
      </c>
      <c r="K109" s="32">
        <f t="shared" ref="K109:K112" si="56">IF(ISNUMBER(J109), (J109 - $B109) / $B109, "")</f>
        <v>-0.1048780487804878</v>
      </c>
      <c r="L109" s="18">
        <f>IF(ISNUMBER(J109), $B118 * K109, "")</f>
        <v>-15731.707317073171</v>
      </c>
      <c r="M109" s="31">
        <v>743</v>
      </c>
      <c r="N109" s="32">
        <f t="shared" ref="N109:N112" si="57">IF(ISNUMBER(M109), (M109 - $B109) / $B109, "")</f>
        <v>-9.3902439024390244E-2</v>
      </c>
      <c r="O109" s="18">
        <f>IF(ISNUMBER(M109), $B118 * N109, "")</f>
        <v>-14085.365853658537</v>
      </c>
      <c r="Q109" s="153"/>
      <c r="R109" s="154"/>
      <c r="S109" s="155"/>
    </row>
    <row r="110" spans="1:19" ht="17.25" thickBot="1">
      <c r="A110" s="109" t="s">
        <v>56</v>
      </c>
      <c r="B110" s="110">
        <v>50.9</v>
      </c>
      <c r="C110" s="70">
        <v>3.2454361100000002E-2</v>
      </c>
      <c r="D110" s="15">
        <v>45.5</v>
      </c>
      <c r="E110" s="32">
        <f t="shared" si="54"/>
        <v>-0.10609037328094301</v>
      </c>
      <c r="F110" s="18">
        <f>IF(ISNUMBER(D110), $B118 * E110, "")</f>
        <v>-15913.555992141451</v>
      </c>
      <c r="G110" s="31">
        <v>45.2</v>
      </c>
      <c r="H110" s="32">
        <f t="shared" si="55"/>
        <v>-0.11198428290766201</v>
      </c>
      <c r="I110" s="91">
        <f>IF(ISNUMBER(G110), $B118 * H110, "")</f>
        <v>-16797.642436149301</v>
      </c>
      <c r="J110" s="15">
        <v>44.2</v>
      </c>
      <c r="K110" s="32">
        <f t="shared" si="56"/>
        <v>-0.13163064833005886</v>
      </c>
      <c r="L110" s="18">
        <f>IF(ISNUMBER(J110), $B118 * K110, "")</f>
        <v>-19744.597249508828</v>
      </c>
      <c r="M110" s="31">
        <v>44.9</v>
      </c>
      <c r="N110" s="32">
        <f t="shared" si="57"/>
        <v>-0.11787819253438114</v>
      </c>
      <c r="O110" s="18">
        <f>IF(ISNUMBER(M110), $B118 * N110, "")</f>
        <v>-17681.72888015717</v>
      </c>
      <c r="Q110" s="146"/>
      <c r="R110" s="146"/>
      <c r="S110" s="146"/>
    </row>
    <row r="111" spans="1:19" ht="17.25" thickBot="1">
      <c r="A111" s="109" t="s">
        <v>147</v>
      </c>
      <c r="B111" s="110">
        <v>10920</v>
      </c>
      <c r="C111" s="70">
        <v>3.2136105900000003E-2</v>
      </c>
      <c r="D111" s="15">
        <v>9900</v>
      </c>
      <c r="E111" s="32">
        <f t="shared" si="54"/>
        <v>-9.3406593406593408E-2</v>
      </c>
      <c r="F111" s="18">
        <f>IF(ISNUMBER(D111), $B118 * E111, "")</f>
        <v>-14010.989010989011</v>
      </c>
      <c r="G111" s="31">
        <v>9665</v>
      </c>
      <c r="H111" s="32">
        <f t="shared" si="55"/>
        <v>-0.11492673992673992</v>
      </c>
      <c r="I111" s="91">
        <f>IF(ISNUMBER(G111), $B118 * H111, "")</f>
        <v>-17239.010989010989</v>
      </c>
      <c r="J111" s="15">
        <v>9600</v>
      </c>
      <c r="K111" s="32">
        <f t="shared" si="56"/>
        <v>-0.12087912087912088</v>
      </c>
      <c r="L111" s="18">
        <f>IF(ISNUMBER(J111), $B118 * K111, "")</f>
        <v>-18131.868131868134</v>
      </c>
      <c r="M111" s="31">
        <v>9780</v>
      </c>
      <c r="N111" s="32">
        <f t="shared" si="57"/>
        <v>-0.1043956043956044</v>
      </c>
      <c r="O111" s="18">
        <f>IF(ISNUMBER(M111), $B118 * N111, "")</f>
        <v>-15659.34065934066</v>
      </c>
      <c r="Q111" s="156"/>
      <c r="R111" s="156"/>
      <c r="S111" s="156"/>
    </row>
    <row r="112" spans="1:19" ht="17.25" thickBot="1">
      <c r="A112" s="111" t="s">
        <v>64</v>
      </c>
      <c r="B112" s="112">
        <v>13</v>
      </c>
      <c r="C112" s="71">
        <v>3.1746031700000003E-2</v>
      </c>
      <c r="D112" s="20">
        <v>11.9</v>
      </c>
      <c r="E112" s="21">
        <f t="shared" si="54"/>
        <v>-8.4615384615384592E-2</v>
      </c>
      <c r="F112" s="22">
        <f>IF(ISNUMBER(D112), $B118 * E112, "")</f>
        <v>-12692.30769230769</v>
      </c>
      <c r="G112" s="30">
        <v>11.9</v>
      </c>
      <c r="H112" s="21">
        <f t="shared" si="55"/>
        <v>-8.4615384615384592E-2</v>
      </c>
      <c r="I112" s="95">
        <f>IF(ISNUMBER(G112), $B118 * H112, "")</f>
        <v>-12692.30769230769</v>
      </c>
      <c r="J112" s="20">
        <v>11.8</v>
      </c>
      <c r="K112" s="21">
        <f t="shared" si="56"/>
        <v>-9.2307692307692257E-2</v>
      </c>
      <c r="L112" s="22">
        <f>IF(ISNUMBER(J112), $B118 * K112, "")</f>
        <v>-13846.153846153838</v>
      </c>
      <c r="M112" s="30">
        <v>12</v>
      </c>
      <c r="N112" s="21">
        <f t="shared" si="57"/>
        <v>-7.6923076923076927E-2</v>
      </c>
      <c r="O112" s="22">
        <f>IF(ISNUMBER(M112), $B118 * N112, "")</f>
        <v>-11538.461538461539</v>
      </c>
      <c r="Q112" s="156"/>
      <c r="R112" s="156"/>
      <c r="S112" s="156"/>
    </row>
    <row r="113" spans="1:19" ht="17.25" thickBot="1">
      <c r="A113" s="109" t="s">
        <v>348</v>
      </c>
      <c r="B113" s="113">
        <v>20850</v>
      </c>
      <c r="C113" s="73">
        <v>3.1157270000000001E-2</v>
      </c>
      <c r="D113" s="96">
        <v>19480</v>
      </c>
      <c r="E113" s="97">
        <f>IF(ISNUMBER(D113), (D113 - $B113) / $B113, "")</f>
        <v>-6.5707434052757793E-2</v>
      </c>
      <c r="F113" s="98">
        <f>IF(ISNUMBER(D113), $B118 * E113, "")</f>
        <v>-9856.1151079136689</v>
      </c>
      <c r="G113" s="99">
        <v>19190</v>
      </c>
      <c r="H113" s="97">
        <f>IF(ISNUMBER(G113), (G113 - $B113) / $B113, "")</f>
        <v>-7.9616306954436444E-2</v>
      </c>
      <c r="I113" s="100">
        <f>IF(ISNUMBER(G113), $B118 * H113, "")</f>
        <v>-11942.446043165466</v>
      </c>
      <c r="J113" s="96">
        <v>19550</v>
      </c>
      <c r="K113" s="97">
        <f>IF(ISNUMBER(J113), (J113 - $B113) / $B113, "")</f>
        <v>-6.235011990407674E-2</v>
      </c>
      <c r="L113" s="98">
        <f>IF(ISNUMBER(J113), $B118 * K113, "")</f>
        <v>-9352.5179856115101</v>
      </c>
      <c r="M113" s="99">
        <v>19870</v>
      </c>
      <c r="N113" s="97">
        <f>IF(ISNUMBER(M113), (M113 - $B113) / $B113, "")</f>
        <v>-4.7002398081534773E-2</v>
      </c>
      <c r="O113" s="98">
        <f>IF(ISNUMBER(M113), $B118 * N113, "")</f>
        <v>-7050.3597122302162</v>
      </c>
      <c r="Q113" s="146"/>
      <c r="R113" s="146"/>
      <c r="S113" s="146"/>
    </row>
    <row r="114" spans="1:19" ht="17.25" thickBot="1">
      <c r="A114" s="109" t="s">
        <v>327</v>
      </c>
      <c r="B114" s="110">
        <v>453</v>
      </c>
      <c r="C114" s="70">
        <v>2.9545454499999999E-2</v>
      </c>
      <c r="D114" s="15">
        <v>407</v>
      </c>
      <c r="E114" s="32">
        <f t="shared" ref="E114:E117" si="58">IF(ISNUMBER(D114), (D114 - $B114) / $B114, "")</f>
        <v>-0.10154525386313466</v>
      </c>
      <c r="F114" s="18">
        <f>IF(ISNUMBER(D114), $B118 * E114, "")</f>
        <v>-15231.7880794702</v>
      </c>
      <c r="G114" s="31">
        <v>399</v>
      </c>
      <c r="H114" s="32">
        <f t="shared" ref="H114:H117" si="59">IF(ISNUMBER(G114), (G114 - $B114) / $B114, "")</f>
        <v>-0.11920529801324503</v>
      </c>
      <c r="I114" s="91">
        <f>IF(ISNUMBER(G114), $B118 * H114, "")</f>
        <v>-17880.794701986753</v>
      </c>
      <c r="J114" s="15">
        <v>398</v>
      </c>
      <c r="K114" s="32">
        <f t="shared" ref="K114:K117" si="60">IF(ISNUMBER(J114), (J114 - $B114) / $B114, "")</f>
        <v>-0.12141280353200883</v>
      </c>
      <c r="L114" s="18">
        <f>IF(ISNUMBER(J114), $B118 * K114, "")</f>
        <v>-18211.920529801322</v>
      </c>
      <c r="M114" s="31">
        <v>403</v>
      </c>
      <c r="N114" s="32">
        <f t="shared" ref="N114:N117" si="61">IF(ISNUMBER(M114), (M114 - $B114) / $B114, "")</f>
        <v>-0.11037527593818984</v>
      </c>
      <c r="O114" s="18">
        <f>IF(ISNUMBER(M114), $B118 * N114, "")</f>
        <v>-16556.291390728475</v>
      </c>
      <c r="Q114" s="146"/>
      <c r="R114" s="146"/>
      <c r="S114" s="146"/>
    </row>
    <row r="115" spans="1:19" ht="17.25" thickBot="1">
      <c r="A115" s="109" t="s">
        <v>128</v>
      </c>
      <c r="B115" s="110">
        <v>7700</v>
      </c>
      <c r="C115" s="70">
        <v>2.9411764699999999E-2</v>
      </c>
      <c r="D115" s="15">
        <v>7270</v>
      </c>
      <c r="E115" s="32">
        <f t="shared" si="58"/>
        <v>-5.5844155844155842E-2</v>
      </c>
      <c r="F115" s="18">
        <f>IF(ISNUMBER(D115), $B118 * E115, "")</f>
        <v>-8376.6233766233763</v>
      </c>
      <c r="G115" s="31">
        <v>7125</v>
      </c>
      <c r="H115" s="32">
        <f t="shared" si="59"/>
        <v>-7.4675324675324672E-2</v>
      </c>
      <c r="I115" s="91">
        <f>IF(ISNUMBER(G115), $B118 * H115, "")</f>
        <v>-11201.298701298701</v>
      </c>
      <c r="J115" s="15">
        <v>7200</v>
      </c>
      <c r="K115" s="32">
        <f t="shared" si="60"/>
        <v>-6.4935064935064929E-2</v>
      </c>
      <c r="L115" s="18">
        <f>IF(ISNUMBER(J115), $B118 * K115, "")</f>
        <v>-9740.2597402597385</v>
      </c>
      <c r="M115" s="31">
        <v>7360</v>
      </c>
      <c r="N115" s="32">
        <f t="shared" si="61"/>
        <v>-4.4155844155844157E-2</v>
      </c>
      <c r="O115" s="18">
        <f>IF(ISNUMBER(M115), $B118 * N115, "")</f>
        <v>-6623.3766233766237</v>
      </c>
      <c r="Q115" s="146"/>
      <c r="R115" s="146"/>
      <c r="S115" s="146"/>
    </row>
    <row r="116" spans="1:19">
      <c r="A116" s="109" t="s">
        <v>153</v>
      </c>
      <c r="B116" s="110">
        <v>464</v>
      </c>
      <c r="C116" s="70">
        <v>2.88248337E-2</v>
      </c>
      <c r="D116" s="15">
        <v>413</v>
      </c>
      <c r="E116" s="32">
        <f t="shared" si="58"/>
        <v>-0.10991379310344827</v>
      </c>
      <c r="F116" s="18">
        <f>IF(ISNUMBER(D116), $B118 * E116, "")</f>
        <v>-16487.068965517243</v>
      </c>
      <c r="G116" s="31">
        <v>400</v>
      </c>
      <c r="H116" s="32">
        <f t="shared" si="59"/>
        <v>-0.13793103448275862</v>
      </c>
      <c r="I116" s="91">
        <f>IF(ISNUMBER(G116), $B118 * H116, "")</f>
        <v>-20689.655172413793</v>
      </c>
      <c r="J116" s="15">
        <v>399</v>
      </c>
      <c r="K116" s="32">
        <f t="shared" si="60"/>
        <v>-0.14008620689655171</v>
      </c>
      <c r="L116" s="18">
        <f>IF(ISNUMBER(J116), $B118 * K116, "")</f>
        <v>-21012.931034482757</v>
      </c>
      <c r="M116" s="31">
        <v>403</v>
      </c>
      <c r="N116" s="32">
        <f t="shared" si="61"/>
        <v>-0.13146551724137931</v>
      </c>
      <c r="O116" s="18">
        <f>IF(ISNUMBER(M116), $B118 * N116, "")</f>
        <v>-19719.827586206895</v>
      </c>
      <c r="Q116" s="135"/>
      <c r="R116" s="136"/>
      <c r="S116" s="137"/>
    </row>
    <row r="117" spans="1:19" ht="17.25" thickBot="1">
      <c r="A117" s="114" t="s">
        <v>350</v>
      </c>
      <c r="B117" s="115">
        <v>2535</v>
      </c>
      <c r="C117" s="72">
        <v>2.8397565900000001E-2</v>
      </c>
      <c r="D117" s="24">
        <v>2425</v>
      </c>
      <c r="E117" s="25">
        <f t="shared" si="58"/>
        <v>-4.3392504930966469E-2</v>
      </c>
      <c r="F117" s="94">
        <f>IF(ISNUMBER(D117), $B118 * E117, "")</f>
        <v>-6508.8757396449701</v>
      </c>
      <c r="G117" s="92">
        <v>2365</v>
      </c>
      <c r="H117" s="25">
        <f t="shared" si="59"/>
        <v>-6.7061143984220903E-2</v>
      </c>
      <c r="I117" s="93">
        <f>IF(ISNUMBER(G117), $B118 * H117, "")</f>
        <v>-10059.171597633136</v>
      </c>
      <c r="J117" s="24">
        <v>2345</v>
      </c>
      <c r="K117" s="25">
        <f t="shared" si="60"/>
        <v>-7.4950690335305714E-2</v>
      </c>
      <c r="L117" s="94">
        <f>IF(ISNUMBER(J117), $B118 * K117, "")</f>
        <v>-11242.603550295857</v>
      </c>
      <c r="M117" s="92">
        <v>2380</v>
      </c>
      <c r="N117" s="25">
        <f t="shared" si="61"/>
        <v>-6.1143984220907298E-2</v>
      </c>
      <c r="O117" s="94">
        <f>IF(ISNUMBER(M117), $B118 * N117, "")</f>
        <v>-9171.5976331360944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-8.476063698769451E-2</v>
      </c>
      <c r="F118" s="28">
        <f>SUM(F98:F117)</f>
        <v>-254281.91096308356</v>
      </c>
      <c r="G118" s="26" t="s">
        <v>258</v>
      </c>
      <c r="H118" s="27">
        <f>IF(COUNT(H98:H117), SUM(H98:H117) / COUNT(H98:H117), 0)</f>
        <v>-0.1047599187909036</v>
      </c>
      <c r="I118" s="28">
        <f>SUM(I98:I117)</f>
        <v>-314279.75637271086</v>
      </c>
      <c r="J118" s="26" t="s">
        <v>258</v>
      </c>
      <c r="K118" s="27">
        <f>IF(COUNT(K98:K117), SUM(K98:K117) / COUNT(K98:K117), 0)</f>
        <v>-0.11062630018334467</v>
      </c>
      <c r="L118" s="28">
        <f>SUM(L98:L117)</f>
        <v>-331878.90055003407</v>
      </c>
      <c r="M118" s="26" t="s">
        <v>258</v>
      </c>
      <c r="N118" s="27">
        <f>IF(COUNT(N98:N117), SUM(N98:N117) / COUNT(N98:N117), 0)</f>
        <v>-0.10017822862376775</v>
      </c>
      <c r="O118" s="28">
        <f>SUM(O98:O117)</f>
        <v>-300534.68587130326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2023-03-10(금) 오전 00:00</v>
      </c>
      <c r="C123" s="198"/>
      <c r="D123" s="170" t="str">
        <f>TEXT($G$1, "[$-ko-KR]yyyy-mm-dd(ddd) ") &amp; "오후 14:00"</f>
        <v>2023-03-10(금) 오후 14:00</v>
      </c>
      <c r="E123" s="171"/>
      <c r="F123" s="172"/>
      <c r="G123" s="170" t="str">
        <f>TEXT($G$1, "[$-ko-KR]yyyy-mm-dd(ddd) ") &amp; "오후 19:00"</f>
        <v>2023-03-10(금) 오후 19:00</v>
      </c>
      <c r="H123" s="171"/>
      <c r="I123" s="172"/>
      <c r="J123" s="170" t="str">
        <f>TEXT($G$1, "[$-ko-KR]yyyy-mm-dd(ddd) ") &amp; "오후 21:00"</f>
        <v>2023-03-10(금) 오후 21:00</v>
      </c>
      <c r="K123" s="171"/>
      <c r="L123" s="172"/>
      <c r="M123" s="170" t="str">
        <f>TEXT($G$1+1, "[$-ko-KR]yyyy-mm-dd(ddd) ") &amp; "오전 00:00"</f>
        <v>2023-03-11(토)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227</v>
      </c>
      <c r="B125" s="108">
        <v>56.6</v>
      </c>
      <c r="C125" s="69">
        <v>8.9126559999999997E-3</v>
      </c>
      <c r="D125" s="13">
        <v>52.7</v>
      </c>
      <c r="E125" s="14">
        <f>IF(ISNUMBER(D125), (D125 - $B125) / $B125, "")</f>
        <v>-6.8904593639575948E-2</v>
      </c>
      <c r="F125" s="16">
        <f>IF(ISNUMBER(D125), $B145 * E125, "")</f>
        <v>-10335.689045936393</v>
      </c>
      <c r="G125" s="29">
        <v>53.8</v>
      </c>
      <c r="H125" s="14">
        <f>IF(ISNUMBER(G125), (G125 - $B125) / $B125, "")</f>
        <v>-4.9469964664311028E-2</v>
      </c>
      <c r="I125" s="90">
        <f>IF(ISNUMBER(G125), $B145 * H125, "")</f>
        <v>-7420.4946996466542</v>
      </c>
      <c r="J125" s="13">
        <v>54.3</v>
      </c>
      <c r="K125" s="14">
        <f>IF(ISNUMBER(J125), (J125 - $B125) / $B125, "")</f>
        <v>-4.0636042402826929E-2</v>
      </c>
      <c r="L125" s="16">
        <f>IF(ISNUMBER(J125), $B145 * K125, "")</f>
        <v>-6095.4063604240391</v>
      </c>
      <c r="M125" s="29">
        <v>53.2</v>
      </c>
      <c r="N125" s="14">
        <f>IF(ISNUMBER(M125), (M125 - $B125) / $B125, "")</f>
        <v>-6.0070671378091849E-2</v>
      </c>
      <c r="O125" s="16">
        <f>IF(ISNUMBER(M125), $B145 * N125, "")</f>
        <v>-9010.600706713778</v>
      </c>
      <c r="Q125" s="156"/>
      <c r="R125" s="156"/>
      <c r="S125" s="156"/>
    </row>
    <row r="126" spans="1:19" ht="17.25" thickBot="1">
      <c r="A126" s="109" t="s">
        <v>320</v>
      </c>
      <c r="B126" s="110">
        <v>5.72</v>
      </c>
      <c r="C126" s="70">
        <v>8.8183422000000008E-3</v>
      </c>
      <c r="D126" s="15">
        <v>5.2</v>
      </c>
      <c r="E126" s="32">
        <f t="shared" ref="E126:E129" si="62">IF(ISNUMBER(D126), (D126 - $B126) / $B126, "")</f>
        <v>-9.0909090909090842E-2</v>
      </c>
      <c r="F126" s="18">
        <f>IF(ISNUMBER(D126), $B145 * E126, "")</f>
        <v>-13636.363636363627</v>
      </c>
      <c r="G126" s="31">
        <v>5.29</v>
      </c>
      <c r="H126" s="32">
        <f t="shared" ref="H126:H129" si="63">IF(ISNUMBER(G126), (G126 - $B126) / $B126, "")</f>
        <v>-7.5174825174825127E-2</v>
      </c>
      <c r="I126" s="91">
        <f>IF(ISNUMBER(G126), $B145 * H126, "")</f>
        <v>-11276.223776223769</v>
      </c>
      <c r="J126" s="15">
        <v>5.18</v>
      </c>
      <c r="K126" s="32">
        <f t="shared" ref="K126:K129" si="64">IF(ISNUMBER(J126), (J126 - $B126) / $B126, "")</f>
        <v>-9.4405594405594415E-2</v>
      </c>
      <c r="L126" s="18">
        <f>IF(ISNUMBER(J126), $B145 * K126, "")</f>
        <v>-14160.839160839163</v>
      </c>
      <c r="M126" s="31">
        <v>5.17</v>
      </c>
      <c r="N126" s="32">
        <f t="shared" ref="N126:N129" si="65">IF(ISNUMBER(M126), (M126 - $B126) / $B126, "")</f>
        <v>-9.6153846153846131E-2</v>
      </c>
      <c r="O126" s="18">
        <f>IF(ISNUMBER(M126), $B145 * N126, "")</f>
        <v>-14423.07692307692</v>
      </c>
      <c r="Q126" s="156"/>
      <c r="R126" s="156"/>
      <c r="S126" s="156"/>
    </row>
    <row r="127" spans="1:19" ht="17.25" thickBot="1">
      <c r="A127" s="109" t="s">
        <v>203</v>
      </c>
      <c r="B127" s="110">
        <v>4.13</v>
      </c>
      <c r="C127" s="70">
        <v>7.3170732000000004E-3</v>
      </c>
      <c r="D127" s="15">
        <v>3.74</v>
      </c>
      <c r="E127" s="32">
        <f t="shared" si="62"/>
        <v>-9.4430992736077413E-2</v>
      </c>
      <c r="F127" s="18">
        <f>IF(ISNUMBER(D127), $B145 * E127, "")</f>
        <v>-14164.648910411612</v>
      </c>
      <c r="G127" s="31">
        <v>3.8</v>
      </c>
      <c r="H127" s="32">
        <f t="shared" si="63"/>
        <v>-7.9903147699757884E-2</v>
      </c>
      <c r="I127" s="91">
        <f>IF(ISNUMBER(G127), $B145 * H127, "")</f>
        <v>-11985.472154963683</v>
      </c>
      <c r="J127" s="15">
        <v>3.75</v>
      </c>
      <c r="K127" s="32">
        <f t="shared" si="64"/>
        <v>-9.2009685230024188E-2</v>
      </c>
      <c r="L127" s="18">
        <f>IF(ISNUMBER(J127), $B145 * K127, "")</f>
        <v>-13801.452784503628</v>
      </c>
      <c r="M127" s="31">
        <v>3.76</v>
      </c>
      <c r="N127" s="32">
        <f t="shared" si="65"/>
        <v>-8.9588377723970977E-2</v>
      </c>
      <c r="O127" s="18">
        <f>IF(ISNUMBER(M127), $B145 * N127, "")</f>
        <v>-13438.256658595647</v>
      </c>
      <c r="Q127" s="146"/>
      <c r="R127" s="146"/>
      <c r="S127" s="146"/>
    </row>
    <row r="128" spans="1:19" ht="17.25" thickBot="1">
      <c r="A128" s="109" t="s">
        <v>217</v>
      </c>
      <c r="B128" s="110">
        <v>87.7</v>
      </c>
      <c r="C128" s="70">
        <v>5.7339449999999998E-3</v>
      </c>
      <c r="D128" s="15">
        <v>78.900000000000006</v>
      </c>
      <c r="E128" s="32">
        <f t="shared" si="62"/>
        <v>-0.1003420752565564</v>
      </c>
      <c r="F128" s="18">
        <f>IF(ISNUMBER(D128), $B145 * E128, "")</f>
        <v>-15051.311288483461</v>
      </c>
      <c r="G128" s="31">
        <v>78.5</v>
      </c>
      <c r="H128" s="32">
        <f t="shared" si="63"/>
        <v>-0.10490307867730904</v>
      </c>
      <c r="I128" s="91">
        <f>IF(ISNUMBER(G128), $B145 * H128, "")</f>
        <v>-15735.461801596355</v>
      </c>
      <c r="J128" s="15">
        <v>77.3</v>
      </c>
      <c r="K128" s="32">
        <f t="shared" si="64"/>
        <v>-0.11858608893956676</v>
      </c>
      <c r="L128" s="18">
        <f>IF(ISNUMBER(J128), $B145 * K128, "")</f>
        <v>-17787.913340935014</v>
      </c>
      <c r="M128" s="31">
        <v>77.599999999999994</v>
      </c>
      <c r="N128" s="32">
        <f t="shared" si="65"/>
        <v>-0.11516533637400238</v>
      </c>
      <c r="O128" s="18">
        <f>IF(ISNUMBER(M128), $B145 * N128, "")</f>
        <v>-17274.800456100358</v>
      </c>
      <c r="Q128" s="146"/>
      <c r="R128" s="146"/>
      <c r="S128" s="146"/>
    </row>
    <row r="129" spans="1:19" ht="17.25" thickBot="1">
      <c r="A129" s="111" t="s">
        <v>334</v>
      </c>
      <c r="B129" s="112">
        <v>45.9</v>
      </c>
      <c r="C129" s="71">
        <v>4.3763676000000001E-3</v>
      </c>
      <c r="D129" s="20">
        <v>43.9</v>
      </c>
      <c r="E129" s="21">
        <f t="shared" si="62"/>
        <v>-4.357298474945534E-2</v>
      </c>
      <c r="F129" s="22">
        <f>IF(ISNUMBER(D129), $B145 * E129, "")</f>
        <v>-6535.9477124183013</v>
      </c>
      <c r="G129" s="30">
        <v>43.2</v>
      </c>
      <c r="H129" s="21">
        <f t="shared" si="63"/>
        <v>-5.8823529411764615E-2</v>
      </c>
      <c r="I129" s="95">
        <f>IF(ISNUMBER(G129), $B145 * H129, "")</f>
        <v>-8823.5294117646918</v>
      </c>
      <c r="J129" s="20">
        <v>42.4</v>
      </c>
      <c r="K129" s="21">
        <f t="shared" si="64"/>
        <v>-7.6252723311546838E-2</v>
      </c>
      <c r="L129" s="22">
        <f>IF(ISNUMBER(J129), $B145 * K129, "")</f>
        <v>-11437.908496732025</v>
      </c>
      <c r="M129" s="30">
        <v>43</v>
      </c>
      <c r="N129" s="21">
        <f t="shared" si="65"/>
        <v>-6.3180827886710214E-2</v>
      </c>
      <c r="O129" s="22">
        <f>IF(ISNUMBER(M129), $B145 * N129, "")</f>
        <v>-9477.1241830065319</v>
      </c>
      <c r="Q129" s="146"/>
      <c r="R129" s="146"/>
      <c r="S129" s="146"/>
    </row>
    <row r="130" spans="1:19" ht="17.25" thickBot="1">
      <c r="A130" s="109" t="s">
        <v>107</v>
      </c>
      <c r="B130" s="113">
        <v>46.4</v>
      </c>
      <c r="C130" s="73">
        <v>4.3290042999999997E-3</v>
      </c>
      <c r="D130" s="96">
        <v>41.6</v>
      </c>
      <c r="E130" s="97">
        <f>IF(ISNUMBER(D130), (D130 - $B130) / $B130, "")</f>
        <v>-0.10344827586206891</v>
      </c>
      <c r="F130" s="98">
        <f>IF(ISNUMBER(D130), $B145 * E130, "")</f>
        <v>-15517.241379310337</v>
      </c>
      <c r="G130" s="99">
        <v>41.8</v>
      </c>
      <c r="H130" s="97">
        <f>IF(ISNUMBER(G130), (G130 - $B130) / $B130, "")</f>
        <v>-9.913793103448279E-2</v>
      </c>
      <c r="I130" s="100">
        <f>IF(ISNUMBER(G130), $B145 * H130, "")</f>
        <v>-14870.689655172418</v>
      </c>
      <c r="J130" s="96">
        <v>41</v>
      </c>
      <c r="K130" s="97">
        <f>IF(ISNUMBER(J130), (J130 - $B130) / $B130, "")</f>
        <v>-0.11637931034482756</v>
      </c>
      <c r="L130" s="98">
        <f>IF(ISNUMBER(J130), $B145 * K130, "")</f>
        <v>-17456.896551724134</v>
      </c>
      <c r="M130" s="99">
        <v>41.2</v>
      </c>
      <c r="N130" s="97">
        <f>IF(ISNUMBER(M130), (M130 - $B130) / $B130, "")</f>
        <v>-0.11206896551724128</v>
      </c>
      <c r="O130" s="98">
        <f>IF(ISNUMBER(M130), $B145 * N130, "")</f>
        <v>-16810.344827586192</v>
      </c>
      <c r="Q130" s="146"/>
      <c r="R130" s="146"/>
      <c r="S130" s="146"/>
    </row>
    <row r="131" spans="1:19" ht="17.25" thickBot="1">
      <c r="A131" s="109" t="s">
        <v>221</v>
      </c>
      <c r="B131" s="110">
        <v>23.9</v>
      </c>
      <c r="C131" s="70">
        <v>4.2016807E-3</v>
      </c>
      <c r="D131" s="15">
        <v>21.6</v>
      </c>
      <c r="E131" s="32">
        <f t="shared" ref="E131:E134" si="66">IF(ISNUMBER(D131), (D131 - $B131) / $B131, "")</f>
        <v>-9.6234309623430853E-2</v>
      </c>
      <c r="F131" s="18">
        <f>IF(ISNUMBER(D131), $B145 * E131, "")</f>
        <v>-14435.146443514628</v>
      </c>
      <c r="G131" s="31">
        <v>21.9</v>
      </c>
      <c r="H131" s="32">
        <f t="shared" ref="H131:H134" si="67">IF(ISNUMBER(G131), (G131 - $B131) / $B131, "")</f>
        <v>-8.3682008368200847E-2</v>
      </c>
      <c r="I131" s="91">
        <f>IF(ISNUMBER(G131), $B145 * H131, "")</f>
        <v>-12552.301255230128</v>
      </c>
      <c r="J131" s="15">
        <v>21.9</v>
      </c>
      <c r="K131" s="32">
        <f t="shared" ref="K131:K134" si="68">IF(ISNUMBER(J131), (J131 - $B131) / $B131, "")</f>
        <v>-8.3682008368200847E-2</v>
      </c>
      <c r="L131" s="18">
        <f>IF(ISNUMBER(J131), $B145 * K131, "")</f>
        <v>-12552.301255230128</v>
      </c>
      <c r="M131" s="31">
        <v>21.9</v>
      </c>
      <c r="N131" s="32">
        <f t="shared" ref="N131:N134" si="69">IF(ISNUMBER(M131), (M131 - $B131) / $B131, "")</f>
        <v>-8.3682008368200847E-2</v>
      </c>
      <c r="O131" s="18">
        <f>IF(ISNUMBER(M131), $B145 * N131, "")</f>
        <v>-12552.301255230128</v>
      </c>
      <c r="Q131" s="146"/>
      <c r="R131" s="146"/>
      <c r="S131" s="146"/>
    </row>
    <row r="132" spans="1:19" ht="17.25" thickBot="1">
      <c r="A132" s="109" t="s">
        <v>185</v>
      </c>
      <c r="B132" s="110">
        <v>39.4</v>
      </c>
      <c r="C132" s="70">
        <v>2.5445292999999999E-3</v>
      </c>
      <c r="D132" s="15">
        <v>35.5</v>
      </c>
      <c r="E132" s="32">
        <f t="shared" si="66"/>
        <v>-9.8984771573604025E-2</v>
      </c>
      <c r="F132" s="18">
        <f>IF(ISNUMBER(D132), $B145 * E132, "")</f>
        <v>-14847.715736040604</v>
      </c>
      <c r="G132" s="31">
        <v>35.200000000000003</v>
      </c>
      <c r="H132" s="32">
        <f t="shared" si="67"/>
        <v>-0.10659898477157349</v>
      </c>
      <c r="I132" s="91">
        <f>IF(ISNUMBER(G132), $B145 * H132, "")</f>
        <v>-15989.847715736025</v>
      </c>
      <c r="J132" s="15">
        <v>35.200000000000003</v>
      </c>
      <c r="K132" s="32">
        <f t="shared" si="68"/>
        <v>-0.10659898477157349</v>
      </c>
      <c r="L132" s="18">
        <f>IF(ISNUMBER(J132), $B145 * K132, "")</f>
        <v>-15989.847715736025</v>
      </c>
      <c r="M132" s="31">
        <v>35.200000000000003</v>
      </c>
      <c r="N132" s="32">
        <f t="shared" si="69"/>
        <v>-0.10659898477157349</v>
      </c>
      <c r="O132" s="18">
        <f>IF(ISNUMBER(M132), $B145 * N132, "")</f>
        <v>-15989.847715736025</v>
      </c>
      <c r="Q132" s="146"/>
      <c r="R132" s="146"/>
      <c r="S132" s="146"/>
    </row>
    <row r="133" spans="1:19" ht="17.25" thickBot="1">
      <c r="A133" s="109" t="s">
        <v>323</v>
      </c>
      <c r="B133" s="110">
        <v>90.2</v>
      </c>
      <c r="C133" s="70">
        <v>2.2222221999999999E-3</v>
      </c>
      <c r="D133" s="15">
        <v>82.6</v>
      </c>
      <c r="E133" s="32">
        <f t="shared" si="66"/>
        <v>-8.4257206208425819E-2</v>
      </c>
      <c r="F133" s="18">
        <f>IF(ISNUMBER(D133), $B145 * E133, "")</f>
        <v>-12638.580931263872</v>
      </c>
      <c r="G133" s="31">
        <v>82.9</v>
      </c>
      <c r="H133" s="32">
        <f t="shared" si="67"/>
        <v>-8.0931263858093086E-2</v>
      </c>
      <c r="I133" s="91">
        <f>IF(ISNUMBER(G133), $B145 * H133, "")</f>
        <v>-12139.689578713964</v>
      </c>
      <c r="J133" s="15">
        <v>82.1</v>
      </c>
      <c r="K133" s="32">
        <f t="shared" si="68"/>
        <v>-8.9800443458980139E-2</v>
      </c>
      <c r="L133" s="18">
        <f>IF(ISNUMBER(J133), $B145 * K133, "")</f>
        <v>-13470.066518847021</v>
      </c>
      <c r="M133" s="31">
        <v>83</v>
      </c>
      <c r="N133" s="32">
        <f t="shared" si="69"/>
        <v>-7.9822616407982286E-2</v>
      </c>
      <c r="O133" s="18">
        <f>IF(ISNUMBER(M133), $B145 * N133, "")</f>
        <v>-11973.392461197343</v>
      </c>
      <c r="Q133" s="33"/>
      <c r="R133" s="33"/>
    </row>
    <row r="134" spans="1:19" ht="17.25" thickBot="1">
      <c r="A134" s="114" t="s">
        <v>143</v>
      </c>
      <c r="B134" s="115">
        <v>5.44</v>
      </c>
      <c r="C134" s="72">
        <v>1.8416206E-3</v>
      </c>
      <c r="D134" s="24">
        <v>5.32</v>
      </c>
      <c r="E134" s="25">
        <f t="shared" si="66"/>
        <v>-2.2058823529411783E-2</v>
      </c>
      <c r="F134" s="94">
        <f>IF(ISNUMBER(D134), $B145 * E134, "")</f>
        <v>-3308.8235294117676</v>
      </c>
      <c r="G134" s="92">
        <v>5.35</v>
      </c>
      <c r="H134" s="25">
        <f t="shared" si="67"/>
        <v>-1.6544117647058959E-2</v>
      </c>
      <c r="I134" s="93">
        <f>IF(ISNUMBER(G134), $B145 * H134, "")</f>
        <v>-2481.6176470588439</v>
      </c>
      <c r="J134" s="24">
        <v>5</v>
      </c>
      <c r="K134" s="25">
        <f t="shared" si="68"/>
        <v>-8.088235294117653E-2</v>
      </c>
      <c r="L134" s="94">
        <f>IF(ISNUMBER(J134), $B145 * K134, "")</f>
        <v>-12132.352941176479</v>
      </c>
      <c r="M134" s="92">
        <v>5.03</v>
      </c>
      <c r="N134" s="25">
        <f t="shared" si="69"/>
        <v>-7.5367647058823553E-2</v>
      </c>
      <c r="O134" s="94">
        <f>IF(ISNUMBER(M134), $B145 * N134, "")</f>
        <v>-11305.147058823533</v>
      </c>
      <c r="Q134" s="147"/>
      <c r="R134" s="148"/>
      <c r="S134" s="149"/>
    </row>
    <row r="135" spans="1:19">
      <c r="A135" s="107" t="s">
        <v>195</v>
      </c>
      <c r="B135" s="108">
        <v>8.3699999999999992</v>
      </c>
      <c r="C135" s="69">
        <v>1.1961722E-3</v>
      </c>
      <c r="D135" s="13">
        <v>8.43</v>
      </c>
      <c r="E135" s="14">
        <f>IF(ISNUMBER(D135), (D135 - $B135) / $B135, "")</f>
        <v>7.168458781362067E-3</v>
      </c>
      <c r="F135" s="16">
        <f>IF(ISNUMBER(D135), $B145 * E135, "")</f>
        <v>1075.2688172043102</v>
      </c>
      <c r="G135" s="29">
        <v>9.0500000000000007</v>
      </c>
      <c r="H135" s="14">
        <f>IF(ISNUMBER(G135), (G135 - $B135) / $B135, "")</f>
        <v>8.124253285543627E-2</v>
      </c>
      <c r="I135" s="90">
        <f>IF(ISNUMBER(G135), $B145 * H135, "")</f>
        <v>12186.37992831544</v>
      </c>
      <c r="J135" s="13">
        <v>8.35</v>
      </c>
      <c r="K135" s="14">
        <f>IF(ISNUMBER(J135), (J135 - $B135) / $B135, "")</f>
        <v>-2.3894862604539515E-3</v>
      </c>
      <c r="L135" s="16">
        <f>IF(ISNUMBER(J135), $B145 * K135, "")</f>
        <v>-358.42293906809272</v>
      </c>
      <c r="M135" s="29">
        <v>8.4</v>
      </c>
      <c r="N135" s="14">
        <f>IF(ISNUMBER(M135), (M135 - $B135) / $B135, "")</f>
        <v>3.5842293906811398E-3</v>
      </c>
      <c r="O135" s="16">
        <f>IF(ISNUMBER(M135), $B145 * N135, "")</f>
        <v>537.63440860217099</v>
      </c>
      <c r="Q135" s="150"/>
      <c r="R135" s="151"/>
      <c r="S135" s="152"/>
    </row>
    <row r="136" spans="1:19" ht="17.25" thickBot="1">
      <c r="A136" s="109" t="s">
        <v>97</v>
      </c>
      <c r="B136" s="110">
        <v>8.9999999999999998E-4</v>
      </c>
      <c r="C136" s="70">
        <v>0</v>
      </c>
      <c r="D136" s="15">
        <v>8.9999999999999998E-4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8.9999999999999998E-4</v>
      </c>
      <c r="H136" s="32">
        <f t="shared" ref="H136:H139" si="71">IF(ISNUMBER(G136), (G136 - $B136) / $B136, "")</f>
        <v>0</v>
      </c>
      <c r="I136" s="91">
        <f>IF(ISNUMBER(G136), $B145 * H136, "")</f>
        <v>0</v>
      </c>
      <c r="J136" s="15">
        <v>8.9999999999999998E-4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8.9999999999999998E-4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53"/>
      <c r="R136" s="154"/>
      <c r="S136" s="155"/>
    </row>
    <row r="137" spans="1:19" ht="17.25" thickBot="1">
      <c r="A137" s="109" t="s">
        <v>132</v>
      </c>
      <c r="B137" s="110">
        <v>68.2</v>
      </c>
      <c r="C137" s="70">
        <v>-4.379562E-3</v>
      </c>
      <c r="D137" s="15">
        <v>61.3</v>
      </c>
      <c r="E137" s="32">
        <f t="shared" si="70"/>
        <v>-0.10117302052785931</v>
      </c>
      <c r="F137" s="18">
        <f>IF(ISNUMBER(D137), $B145 * E137, "")</f>
        <v>-15175.953079178897</v>
      </c>
      <c r="G137" s="31">
        <v>61.3</v>
      </c>
      <c r="H137" s="32">
        <f t="shared" si="71"/>
        <v>-0.10117302052785931</v>
      </c>
      <c r="I137" s="91">
        <f>IF(ISNUMBER(G137), $B145 * H137, "")</f>
        <v>-15175.953079178897</v>
      </c>
      <c r="J137" s="15">
        <v>60.4</v>
      </c>
      <c r="K137" s="32">
        <f t="shared" si="72"/>
        <v>-0.11436950146627571</v>
      </c>
      <c r="L137" s="18">
        <f>IF(ISNUMBER(J137), $B145 * K137, "")</f>
        <v>-17155.425219941357</v>
      </c>
      <c r="M137" s="31">
        <v>61</v>
      </c>
      <c r="N137" s="32">
        <f t="shared" si="73"/>
        <v>-0.10557184750733141</v>
      </c>
      <c r="O137" s="18">
        <f>IF(ISNUMBER(M137), $B145 * N137, "")</f>
        <v>-15835.777126099711</v>
      </c>
      <c r="Q137" s="146"/>
      <c r="R137" s="146"/>
      <c r="S137" s="146"/>
    </row>
    <row r="138" spans="1:19" ht="17.25" thickBot="1">
      <c r="A138" s="109" t="s">
        <v>181</v>
      </c>
      <c r="B138" s="110">
        <v>5.18</v>
      </c>
      <c r="C138" s="70">
        <v>-5.7581574E-3</v>
      </c>
      <c r="D138" s="15">
        <v>4.82</v>
      </c>
      <c r="E138" s="32">
        <f t="shared" si="70"/>
        <v>-6.9498069498069387E-2</v>
      </c>
      <c r="F138" s="18">
        <f>IF(ISNUMBER(D138), $B145 * E138, "")</f>
        <v>-10424.710424710409</v>
      </c>
      <c r="G138" s="31">
        <v>4.91</v>
      </c>
      <c r="H138" s="32">
        <f t="shared" si="71"/>
        <v>-5.2123552123552047E-2</v>
      </c>
      <c r="I138" s="91">
        <f>IF(ISNUMBER(G138), $B145 * H138, "")</f>
        <v>-7818.5328185328071</v>
      </c>
      <c r="J138" s="15">
        <v>4.83</v>
      </c>
      <c r="K138" s="32">
        <f t="shared" si="72"/>
        <v>-6.7567567567567502E-2</v>
      </c>
      <c r="L138" s="18">
        <f>IF(ISNUMBER(J138), $B145 * K138, "")</f>
        <v>-10135.135135135126</v>
      </c>
      <c r="M138" s="31">
        <v>4.88</v>
      </c>
      <c r="N138" s="32">
        <f t="shared" si="73"/>
        <v>-5.7915057915057883E-2</v>
      </c>
      <c r="O138" s="18">
        <f>IF(ISNUMBER(M138), $B145 * N138, "")</f>
        <v>-8687.2586872586817</v>
      </c>
      <c r="Q138" s="156"/>
      <c r="R138" s="156"/>
      <c r="S138" s="156"/>
    </row>
    <row r="139" spans="1:19" ht="17.25" thickBot="1">
      <c r="A139" s="111" t="s">
        <v>317</v>
      </c>
      <c r="B139" s="112">
        <v>1.46E-2</v>
      </c>
      <c r="C139" s="71">
        <v>-6.8027210999999999E-3</v>
      </c>
      <c r="D139" s="20">
        <v>1.3599999999999999E-2</v>
      </c>
      <c r="E139" s="21">
        <f t="shared" si="70"/>
        <v>-6.8493150684931572E-2</v>
      </c>
      <c r="F139" s="22">
        <f>IF(ISNUMBER(D139), $B145 * E139, "")</f>
        <v>-10273.972602739736</v>
      </c>
      <c r="G139" s="30">
        <v>1.3599999999999999E-2</v>
      </c>
      <c r="H139" s="21">
        <f t="shared" si="71"/>
        <v>-6.8493150684931572E-2</v>
      </c>
      <c r="I139" s="95">
        <f>IF(ISNUMBER(G139), $B145 * H139, "")</f>
        <v>-10273.972602739736</v>
      </c>
      <c r="J139" s="20">
        <v>1.35E-2</v>
      </c>
      <c r="K139" s="21">
        <f t="shared" si="72"/>
        <v>-7.5342465753424681E-2</v>
      </c>
      <c r="L139" s="22">
        <f>IF(ISNUMBER(J139), $B145 * K139, "")</f>
        <v>-11301.369863013702</v>
      </c>
      <c r="M139" s="30">
        <v>1.37E-2</v>
      </c>
      <c r="N139" s="21">
        <f t="shared" si="73"/>
        <v>-6.1643835616438339E-2</v>
      </c>
      <c r="O139" s="22">
        <f>IF(ISNUMBER(M139), $B145 * N139, "")</f>
        <v>-9246.5753424657505</v>
      </c>
      <c r="Q139" s="156"/>
      <c r="R139" s="156"/>
      <c r="S139" s="156"/>
    </row>
    <row r="140" spans="1:19" ht="17.25" thickBot="1">
      <c r="A140" s="109" t="s">
        <v>335</v>
      </c>
      <c r="B140" s="113">
        <v>80.5</v>
      </c>
      <c r="C140" s="73">
        <v>-7.3982737000000002E-3</v>
      </c>
      <c r="D140" s="96">
        <v>76.2</v>
      </c>
      <c r="E140" s="97">
        <f>IF(ISNUMBER(D140), (D140 - $B140) / $B140, "")</f>
        <v>-5.3416149068322948E-2</v>
      </c>
      <c r="F140" s="98">
        <f>IF(ISNUMBER(D140), $B145 * E140, "")</f>
        <v>-8012.4223602484417</v>
      </c>
      <c r="G140" s="99">
        <v>76.8</v>
      </c>
      <c r="H140" s="97">
        <f>IF(ISNUMBER(G140), (G140 - $B140) / $B140, "")</f>
        <v>-4.5962732919254692E-2</v>
      </c>
      <c r="I140" s="100">
        <f>IF(ISNUMBER(G140), $B145 * H140, "")</f>
        <v>-6894.4099378882038</v>
      </c>
      <c r="J140" s="96">
        <v>76.400000000000006</v>
      </c>
      <c r="K140" s="97">
        <f>IF(ISNUMBER(J140), (J140 - $B140) / $B140, "")</f>
        <v>-5.0931677018633471E-2</v>
      </c>
      <c r="L140" s="98">
        <f>IF(ISNUMBER(J140), $B145 * K140, "")</f>
        <v>-7639.7515527950209</v>
      </c>
      <c r="M140" s="99">
        <v>78.3</v>
      </c>
      <c r="N140" s="97">
        <f>IF(ISNUMBER(M140), (M140 - $B140) / $B140, "")</f>
        <v>-2.7329192546583888E-2</v>
      </c>
      <c r="O140" s="98">
        <f>IF(ISNUMBER(M140), $B145 * N140, "")</f>
        <v>-4099.3788819875836</v>
      </c>
      <c r="Q140" s="146"/>
      <c r="R140" s="146"/>
      <c r="S140" s="146"/>
    </row>
    <row r="141" spans="1:19" ht="17.25" thickBot="1">
      <c r="A141" s="109" t="s">
        <v>193</v>
      </c>
      <c r="B141" s="110">
        <v>23</v>
      </c>
      <c r="C141" s="70">
        <v>-1.28755365E-2</v>
      </c>
      <c r="D141" s="15">
        <v>20.5</v>
      </c>
      <c r="E141" s="32">
        <f t="shared" ref="E141:E144" si="74">IF(ISNUMBER(D141), (D141 - $B141) / $B141, "")</f>
        <v>-0.10869565217391304</v>
      </c>
      <c r="F141" s="18">
        <f>IF(ISNUMBER(D141), $B145 * E141, "")</f>
        <v>-16304.347826086956</v>
      </c>
      <c r="G141" s="31">
        <v>20.8</v>
      </c>
      <c r="H141" s="32">
        <f t="shared" ref="H141:H144" si="75">IF(ISNUMBER(G141), (G141 - $B141) / $B141, "")</f>
        <v>-9.5652173913043453E-2</v>
      </c>
      <c r="I141" s="91">
        <f>IF(ISNUMBER(G141), $B145 * H141, "")</f>
        <v>-14347.826086956518</v>
      </c>
      <c r="J141" s="15">
        <v>20.5</v>
      </c>
      <c r="K141" s="32">
        <f t="shared" ref="K141:K144" si="76">IF(ISNUMBER(J141), (J141 - $B141) / $B141, "")</f>
        <v>-0.10869565217391304</v>
      </c>
      <c r="L141" s="18">
        <f>IF(ISNUMBER(J141), $B145 * K141, "")</f>
        <v>-16304.347826086956</v>
      </c>
      <c r="M141" s="31">
        <v>20.7</v>
      </c>
      <c r="N141" s="32">
        <f t="shared" ref="N141:N144" si="77">IF(ISNUMBER(M141), (M141 - $B141) / $B141, "")</f>
        <v>-0.10000000000000003</v>
      </c>
      <c r="O141" s="18">
        <f>IF(ISNUMBER(M141), $B145 * N141, "")</f>
        <v>-15000.000000000005</v>
      </c>
      <c r="Q141" s="146"/>
      <c r="R141" s="146"/>
      <c r="S141" s="146"/>
    </row>
    <row r="142" spans="1:19" ht="17.25" thickBot="1">
      <c r="A142" s="109" t="s">
        <v>118</v>
      </c>
      <c r="B142" s="110">
        <v>7.69</v>
      </c>
      <c r="C142" s="70">
        <v>-2.1628498699999998E-2</v>
      </c>
      <c r="D142" s="15">
        <v>6.95</v>
      </c>
      <c r="E142" s="32">
        <f t="shared" si="74"/>
        <v>-9.6228868660598196E-2</v>
      </c>
      <c r="F142" s="18">
        <f>IF(ISNUMBER(D142), $B145 * E142, "")</f>
        <v>-14434.33029908973</v>
      </c>
      <c r="G142" s="31">
        <v>6.87</v>
      </c>
      <c r="H142" s="32">
        <f t="shared" si="75"/>
        <v>-0.1066319895968791</v>
      </c>
      <c r="I142" s="91">
        <f>IF(ISNUMBER(G142), $B145 * H142, "")</f>
        <v>-15994.798439531865</v>
      </c>
      <c r="J142" s="15">
        <v>6.87</v>
      </c>
      <c r="K142" s="32">
        <f t="shared" si="76"/>
        <v>-0.1066319895968791</v>
      </c>
      <c r="L142" s="18">
        <f>IF(ISNUMBER(J142), $B145 * K142, "")</f>
        <v>-15994.798439531865</v>
      </c>
      <c r="M142" s="31">
        <v>6.91</v>
      </c>
      <c r="N142" s="32">
        <f t="shared" si="77"/>
        <v>-0.10143042912873865</v>
      </c>
      <c r="O142" s="18">
        <f>IF(ISNUMBER(M142), $B145 * N142, "")</f>
        <v>-15214.564369310798</v>
      </c>
      <c r="Q142" s="146"/>
      <c r="R142" s="146"/>
      <c r="S142" s="146"/>
    </row>
    <row r="143" spans="1:19">
      <c r="A143" s="109" t="s">
        <v>197</v>
      </c>
      <c r="B143" s="110">
        <v>11</v>
      </c>
      <c r="C143" s="70">
        <v>-2.65486726E-2</v>
      </c>
      <c r="D143" s="15">
        <v>10.1</v>
      </c>
      <c r="E143" s="32">
        <f t="shared" si="74"/>
        <v>-8.1818181818181845E-2</v>
      </c>
      <c r="F143" s="18">
        <f>IF(ISNUMBER(D143), $B145 * E143, "")</f>
        <v>-12272.727272727278</v>
      </c>
      <c r="G143" s="31">
        <v>10.5</v>
      </c>
      <c r="H143" s="32">
        <f t="shared" si="75"/>
        <v>-4.5454545454545456E-2</v>
      </c>
      <c r="I143" s="91">
        <f>IF(ISNUMBER(G143), $B145 * H143, "")</f>
        <v>-6818.181818181818</v>
      </c>
      <c r="J143" s="15">
        <v>10.3</v>
      </c>
      <c r="K143" s="32">
        <f t="shared" si="76"/>
        <v>-6.3636363636363574E-2</v>
      </c>
      <c r="L143" s="18">
        <f>IF(ISNUMBER(J143), $B145 * K143, "")</f>
        <v>-9545.4545454545369</v>
      </c>
      <c r="M143" s="31">
        <v>10.3</v>
      </c>
      <c r="N143" s="32">
        <f t="shared" si="77"/>
        <v>-6.3636363636363574E-2</v>
      </c>
      <c r="O143" s="18">
        <f>IF(ISNUMBER(M143), $B145 * N143, "")</f>
        <v>-9545.4545454545369</v>
      </c>
      <c r="Q143" s="135"/>
      <c r="R143" s="136"/>
      <c r="S143" s="137"/>
    </row>
    <row r="144" spans="1:19" ht="17.25" thickBot="1">
      <c r="A144" s="114" t="s">
        <v>225</v>
      </c>
      <c r="B144" s="115">
        <v>83.2</v>
      </c>
      <c r="C144" s="72">
        <v>-5.6689342400000002E-2</v>
      </c>
      <c r="D144" s="24">
        <v>77</v>
      </c>
      <c r="E144" s="25">
        <f t="shared" si="74"/>
        <v>-7.4519230769230796E-2</v>
      </c>
      <c r="F144" s="94">
        <f>IF(ISNUMBER(D144), $B145 * E144, "")</f>
        <v>-11177.884615384619</v>
      </c>
      <c r="G144" s="92">
        <v>77.7</v>
      </c>
      <c r="H144" s="25">
        <f t="shared" si="75"/>
        <v>-6.6105769230769232E-2</v>
      </c>
      <c r="I144" s="93">
        <f>IF(ISNUMBER(G144), $B145 * H144, "")</f>
        <v>-9915.8653846153848</v>
      </c>
      <c r="J144" s="24">
        <v>75.3</v>
      </c>
      <c r="K144" s="25">
        <f t="shared" si="76"/>
        <v>-9.4951923076923142E-2</v>
      </c>
      <c r="L144" s="94">
        <f>IF(ISNUMBER(J144), $B145 * K144, "")</f>
        <v>-14242.788461538472</v>
      </c>
      <c r="M144" s="92">
        <v>76.3</v>
      </c>
      <c r="N144" s="25">
        <f t="shared" si="77"/>
        <v>-8.2932692307692374E-2</v>
      </c>
      <c r="O144" s="94">
        <f>IF(ISNUMBER(M144), $B145 * N144, "")</f>
        <v>-12439.903846153857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-7.2490849425372123E-2</v>
      </c>
      <c r="F145" s="28">
        <f>SUM(F125:F144)</f>
        <v>-217472.54827611631</v>
      </c>
      <c r="G145" s="26" t="s">
        <v>258</v>
      </c>
      <c r="H145" s="27">
        <f>IF(COUNT(H125:H144), SUM(H125:H144) / COUNT(H125:H144), 0)</f>
        <v>-6.2776162645138772E-2</v>
      </c>
      <c r="I145" s="28">
        <f>SUM(I125:I144)</f>
        <v>-188328.48793541634</v>
      </c>
      <c r="J145" s="26" t="s">
        <v>258</v>
      </c>
      <c r="K145" s="27">
        <f>IF(COUNT(K125:K144), SUM(K125:K144) / COUNT(K125:K144), 0)</f>
        <v>-7.9187493036237594E-2</v>
      </c>
      <c r="L145" s="28">
        <f>SUM(L125:L144)</f>
        <v>-237562.47910871275</v>
      </c>
      <c r="M145" s="26" t="s">
        <v>258</v>
      </c>
      <c r="N145" s="27">
        <f>IF(COUNT(N125:N144), SUM(N125:N144) / COUNT(N125:N144), 0)</f>
        <v>-7.3928723545398395E-2</v>
      </c>
      <c r="O145" s="28">
        <f>SUM(O125:O144)</f>
        <v>-221786.17063619519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2023-03-10(금) 오전 00:00</v>
      </c>
      <c r="C150" s="198"/>
      <c r="D150" s="170" t="str">
        <f>TEXT($G$1, "[$-ko-KR]yyyy-mm-dd(ddd) ") &amp; "오후 14:00"</f>
        <v>2023-03-10(금) 오후 14:00</v>
      </c>
      <c r="E150" s="171"/>
      <c r="F150" s="172"/>
      <c r="G150" s="170" t="str">
        <f>TEXT($G$1, "[$-ko-KR]yyyy-mm-dd(ddd) ") &amp; "오후 19:00"</f>
        <v>2023-03-10(금) 오후 19:00</v>
      </c>
      <c r="H150" s="171"/>
      <c r="I150" s="172"/>
      <c r="J150" s="170" t="str">
        <f>TEXT($G$1, "[$-ko-KR]yyyy-mm-dd(ddd) ") &amp; "오후 21:00"</f>
        <v>2023-03-10(금) 오후 21:00</v>
      </c>
      <c r="K150" s="171"/>
      <c r="L150" s="172"/>
      <c r="M150" s="170" t="str">
        <f>TEXT($G$1+1, "[$-ko-KR]yyyy-mm-dd(ddd) ") &amp; "오전 00:00"</f>
        <v>2023-03-11(토)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89</v>
      </c>
      <c r="B152" s="108">
        <v>526</v>
      </c>
      <c r="C152" s="69">
        <v>1.34874759E-2</v>
      </c>
      <c r="D152" s="13">
        <v>501</v>
      </c>
      <c r="E152" s="14">
        <f>IF(ISNUMBER(D152), (D152 - $B152) / $B152, "")</f>
        <v>-4.7528517110266157E-2</v>
      </c>
      <c r="F152" s="16">
        <f>IF(ISNUMBER(D152), $B172 * E152, "")</f>
        <v>-7129.2775665399231</v>
      </c>
      <c r="G152" s="29">
        <v>496</v>
      </c>
      <c r="H152" s="14">
        <f>IF(ISNUMBER(G152), (G152 - $B152) / $B152, "")</f>
        <v>-5.7034220532319393E-2</v>
      </c>
      <c r="I152" s="90">
        <f>IF(ISNUMBER(G152), $B172 * H152, "")</f>
        <v>-8555.1330798479084</v>
      </c>
      <c r="J152" s="13">
        <v>492</v>
      </c>
      <c r="K152" s="14">
        <f>IF(ISNUMBER(J152), (J152 - $B152) / $B152, "")</f>
        <v>-6.4638783269961975E-2</v>
      </c>
      <c r="L152" s="16">
        <f>IF(ISNUMBER(J152), $B172 * K152, "")</f>
        <v>-9695.8174904942971</v>
      </c>
      <c r="M152" s="29">
        <v>498</v>
      </c>
      <c r="N152" s="14">
        <f>IF(ISNUMBER(M152), (M152 - $B152) / $B152, "")</f>
        <v>-5.3231939163498096E-2</v>
      </c>
      <c r="O152" s="16">
        <f>IF(ISNUMBER(M152), $B172 * N152, "")</f>
        <v>-7984.7908745247141</v>
      </c>
      <c r="Q152" s="156"/>
      <c r="R152" s="156"/>
      <c r="S152" s="156"/>
    </row>
    <row r="153" spans="1:19" ht="17.25" thickBot="1">
      <c r="A153" s="109" t="s">
        <v>159</v>
      </c>
      <c r="B153" s="110">
        <v>231</v>
      </c>
      <c r="C153" s="70">
        <v>1.3157894700000001E-2</v>
      </c>
      <c r="D153" s="15">
        <v>206</v>
      </c>
      <c r="E153" s="32">
        <f t="shared" ref="E153:E156" si="78">IF(ISNUMBER(D153), (D153 - $B153) / $B153, "")</f>
        <v>-0.10822510822510822</v>
      </c>
      <c r="F153" s="18">
        <f>IF(ISNUMBER(D153), $B172 * E153, "")</f>
        <v>-16233.766233766233</v>
      </c>
      <c r="G153" s="31">
        <v>206</v>
      </c>
      <c r="H153" s="32">
        <f t="shared" ref="H153:H156" si="79">IF(ISNUMBER(G153), (G153 - $B153) / $B153, "")</f>
        <v>-0.10822510822510822</v>
      </c>
      <c r="I153" s="91">
        <f>IF(ISNUMBER(G153), $B172 * H153, "")</f>
        <v>-16233.766233766233</v>
      </c>
      <c r="J153" s="15">
        <v>205</v>
      </c>
      <c r="K153" s="32">
        <f t="shared" ref="K153:K156" si="80">IF(ISNUMBER(J153), (J153 - $B153) / $B153, "")</f>
        <v>-0.11255411255411256</v>
      </c>
      <c r="L153" s="18">
        <f>IF(ISNUMBER(J153), $B172 * K153, "")</f>
        <v>-16883.116883116883</v>
      </c>
      <c r="M153" s="31">
        <v>207</v>
      </c>
      <c r="N153" s="32">
        <f t="shared" ref="N153:N156" si="81">IF(ISNUMBER(M153), (M153 - $B153) / $B153, "")</f>
        <v>-0.1038961038961039</v>
      </c>
      <c r="O153" s="18">
        <f>IF(ISNUMBER(M153), $B172 * N153, "")</f>
        <v>-15584.415584415585</v>
      </c>
      <c r="Q153" s="156"/>
      <c r="R153" s="156"/>
      <c r="S153" s="156"/>
    </row>
    <row r="154" spans="1:19" ht="17.25" thickBot="1">
      <c r="A154" s="109" t="s">
        <v>223</v>
      </c>
      <c r="B154" s="110">
        <v>255</v>
      </c>
      <c r="C154" s="70">
        <v>1.19047619E-2</v>
      </c>
      <c r="D154" s="15">
        <v>228</v>
      </c>
      <c r="E154" s="32">
        <f t="shared" si="78"/>
        <v>-0.10588235294117647</v>
      </c>
      <c r="F154" s="18">
        <f>IF(ISNUMBER(D154), $B172 * E154, "")</f>
        <v>-15882.35294117647</v>
      </c>
      <c r="G154" s="31">
        <v>233</v>
      </c>
      <c r="H154" s="32">
        <f t="shared" si="79"/>
        <v>-8.6274509803921567E-2</v>
      </c>
      <c r="I154" s="91">
        <f>IF(ISNUMBER(G154), $B172 * H154, "")</f>
        <v>-12941.176470588234</v>
      </c>
      <c r="J154" s="15">
        <v>231</v>
      </c>
      <c r="K154" s="32">
        <f t="shared" si="80"/>
        <v>-9.4117647058823528E-2</v>
      </c>
      <c r="L154" s="18">
        <f>IF(ISNUMBER(J154), $B172 * K154, "")</f>
        <v>-14117.64705882353</v>
      </c>
      <c r="M154" s="31">
        <v>234</v>
      </c>
      <c r="N154" s="32">
        <f t="shared" si="81"/>
        <v>-8.2352941176470587E-2</v>
      </c>
      <c r="O154" s="18">
        <f>IF(ISNUMBER(M154), $B172 * N154, "")</f>
        <v>-12352.941176470587</v>
      </c>
      <c r="Q154" s="146"/>
      <c r="R154" s="146"/>
      <c r="S154" s="146"/>
    </row>
    <row r="155" spans="1:19" ht="17.25" thickBot="1">
      <c r="A155" s="109" t="s">
        <v>219</v>
      </c>
      <c r="B155" s="110">
        <v>500</v>
      </c>
      <c r="C155" s="70">
        <v>1.01010101E-2</v>
      </c>
      <c r="D155" s="15">
        <v>456</v>
      </c>
      <c r="E155" s="32">
        <f t="shared" si="78"/>
        <v>-8.7999999999999995E-2</v>
      </c>
      <c r="F155" s="18">
        <f>IF(ISNUMBER(D155), $B172 * E155, "")</f>
        <v>-13200</v>
      </c>
      <c r="G155" s="31">
        <v>452</v>
      </c>
      <c r="H155" s="32">
        <f t="shared" si="79"/>
        <v>-9.6000000000000002E-2</v>
      </c>
      <c r="I155" s="91">
        <f>IF(ISNUMBER(G155), $B172 * H155, "")</f>
        <v>-14400</v>
      </c>
      <c r="J155" s="15">
        <v>450</v>
      </c>
      <c r="K155" s="32">
        <f t="shared" si="80"/>
        <v>-0.1</v>
      </c>
      <c r="L155" s="18">
        <f>IF(ISNUMBER(J155), $B172 * K155, "")</f>
        <v>-15000</v>
      </c>
      <c r="M155" s="31">
        <v>450</v>
      </c>
      <c r="N155" s="32">
        <f t="shared" si="81"/>
        <v>-0.1</v>
      </c>
      <c r="O155" s="18">
        <f>IF(ISNUMBER(M155), $B172 * N155, "")</f>
        <v>-15000</v>
      </c>
      <c r="Q155" s="146"/>
      <c r="R155" s="146"/>
      <c r="S155" s="146"/>
    </row>
    <row r="156" spans="1:19" ht="17.25" thickBot="1">
      <c r="A156" s="111" t="s">
        <v>319</v>
      </c>
      <c r="B156" s="112">
        <v>207</v>
      </c>
      <c r="C156" s="71">
        <v>9.7560975999999994E-3</v>
      </c>
      <c r="D156" s="20">
        <v>186</v>
      </c>
      <c r="E156" s="21">
        <f t="shared" si="78"/>
        <v>-0.10144927536231885</v>
      </c>
      <c r="F156" s="22">
        <f>IF(ISNUMBER(D156), $B172 * E156, "")</f>
        <v>-15217.391304347828</v>
      </c>
      <c r="G156" s="30">
        <v>189</v>
      </c>
      <c r="H156" s="21">
        <f t="shared" si="79"/>
        <v>-8.6956521739130432E-2</v>
      </c>
      <c r="I156" s="95">
        <f>IF(ISNUMBER(G156), $B172 * H156, "")</f>
        <v>-13043.478260869564</v>
      </c>
      <c r="J156" s="20">
        <v>184</v>
      </c>
      <c r="K156" s="21">
        <f t="shared" si="80"/>
        <v>-0.1111111111111111</v>
      </c>
      <c r="L156" s="22">
        <f>IF(ISNUMBER(J156), $B172 * K156, "")</f>
        <v>-16666.666666666664</v>
      </c>
      <c r="M156" s="30">
        <v>185</v>
      </c>
      <c r="N156" s="21">
        <f t="shared" si="81"/>
        <v>-0.10628019323671498</v>
      </c>
      <c r="O156" s="22">
        <f>IF(ISNUMBER(M156), $B172 * N156, "")</f>
        <v>-15942.028985507246</v>
      </c>
      <c r="Q156" s="146"/>
      <c r="R156" s="146"/>
      <c r="S156" s="146"/>
    </row>
    <row r="157" spans="1:19" ht="17.25" thickBot="1">
      <c r="A157" s="109" t="s">
        <v>81</v>
      </c>
      <c r="B157" s="113">
        <v>428</v>
      </c>
      <c r="C157" s="73">
        <v>9.4339622999999994E-3</v>
      </c>
      <c r="D157" s="96">
        <v>415</v>
      </c>
      <c r="E157" s="97">
        <f>IF(ISNUMBER(D157), (D157 - $B157) / $B157, "")</f>
        <v>-3.0373831775700934E-2</v>
      </c>
      <c r="F157" s="98">
        <f>IF(ISNUMBER(D157), $B172 * E157, "")</f>
        <v>-4556.0747663551401</v>
      </c>
      <c r="G157" s="99">
        <v>411</v>
      </c>
      <c r="H157" s="97">
        <f>IF(ISNUMBER(G157), (G157 - $B157) / $B157, "")</f>
        <v>-3.9719626168224297E-2</v>
      </c>
      <c r="I157" s="100">
        <f>IF(ISNUMBER(G157), $B172 * H157, "")</f>
        <v>-5957.9439252336442</v>
      </c>
      <c r="J157" s="96">
        <v>413</v>
      </c>
      <c r="K157" s="97">
        <f>IF(ISNUMBER(J157), (J157 - $B157) / $B157, "")</f>
        <v>-3.5046728971962614E-2</v>
      </c>
      <c r="L157" s="98">
        <f>IF(ISNUMBER(J157), $B172 * K157, "")</f>
        <v>-5257.0093457943922</v>
      </c>
      <c r="M157" s="99">
        <v>420</v>
      </c>
      <c r="N157" s="97">
        <f>IF(ISNUMBER(M157), (M157 - $B157) / $B157, "")</f>
        <v>-1.8691588785046728E-2</v>
      </c>
      <c r="O157" s="98">
        <f>IF(ISNUMBER(M157), $B172 * N157, "")</f>
        <v>-2803.7383177570091</v>
      </c>
      <c r="Q157" s="146"/>
      <c r="R157" s="146"/>
      <c r="S157" s="146"/>
    </row>
    <row r="158" spans="1:19" ht="17.25" thickBot="1">
      <c r="A158" s="109" t="s">
        <v>329</v>
      </c>
      <c r="B158" s="110">
        <v>563</v>
      </c>
      <c r="C158" s="70">
        <v>8.9605734999999992E-3</v>
      </c>
      <c r="D158" s="15">
        <v>503</v>
      </c>
      <c r="E158" s="32">
        <f t="shared" ref="E158:E161" si="82">IF(ISNUMBER(D158), (D158 - $B158) / $B158, "")</f>
        <v>-0.10657193605683836</v>
      </c>
      <c r="F158" s="18">
        <f>IF(ISNUMBER(D158), $B172 * E158, "")</f>
        <v>-15985.790408525754</v>
      </c>
      <c r="G158" s="31">
        <v>503</v>
      </c>
      <c r="H158" s="32">
        <f t="shared" ref="H158:H161" si="83">IF(ISNUMBER(G158), (G158 - $B158) / $B158, "")</f>
        <v>-0.10657193605683836</v>
      </c>
      <c r="I158" s="91">
        <f>IF(ISNUMBER(G158), $B172 * H158, "")</f>
        <v>-15985.790408525754</v>
      </c>
      <c r="J158" s="15">
        <v>501</v>
      </c>
      <c r="K158" s="32">
        <f t="shared" ref="K158:K161" si="84">IF(ISNUMBER(J158), (J158 - $B158) / $B158, "")</f>
        <v>-0.11012433392539965</v>
      </c>
      <c r="L158" s="18">
        <f>IF(ISNUMBER(J158), $B172 * K158, "")</f>
        <v>-16518.650088809947</v>
      </c>
      <c r="M158" s="31">
        <v>505</v>
      </c>
      <c r="N158" s="32">
        <f t="shared" ref="N158:N161" si="85">IF(ISNUMBER(M158), (M158 - $B158) / $B158, "")</f>
        <v>-0.10301953818827708</v>
      </c>
      <c r="O158" s="18">
        <f>IF(ISNUMBER(M158), $B172 * N158, "")</f>
        <v>-15452.930728241563</v>
      </c>
      <c r="Q158" s="146"/>
      <c r="R158" s="146"/>
      <c r="S158" s="146"/>
    </row>
    <row r="159" spans="1:19" ht="17.25" thickBot="1">
      <c r="A159" s="109" t="s">
        <v>241</v>
      </c>
      <c r="B159" s="110">
        <v>116</v>
      </c>
      <c r="C159" s="70">
        <v>8.6956522000000008E-3</v>
      </c>
      <c r="D159" s="15">
        <v>103</v>
      </c>
      <c r="E159" s="32">
        <f t="shared" si="82"/>
        <v>-0.11206896551724138</v>
      </c>
      <c r="F159" s="18">
        <f>IF(ISNUMBER(D159), $B172 * E159, "")</f>
        <v>-16810.344827586207</v>
      </c>
      <c r="G159" s="31">
        <v>106</v>
      </c>
      <c r="H159" s="32">
        <f t="shared" si="83"/>
        <v>-8.6206896551724144E-2</v>
      </c>
      <c r="I159" s="91">
        <f>IF(ISNUMBER(G159), $B172 * H159, "")</f>
        <v>-12931.034482758621</v>
      </c>
      <c r="J159" s="15">
        <v>105</v>
      </c>
      <c r="K159" s="32">
        <f t="shared" si="84"/>
        <v>-9.4827586206896547E-2</v>
      </c>
      <c r="L159" s="18">
        <f>IF(ISNUMBER(J159), $B172 * K159, "")</f>
        <v>-14224.137931034482</v>
      </c>
      <c r="M159" s="31">
        <v>106</v>
      </c>
      <c r="N159" s="32">
        <f t="shared" si="85"/>
        <v>-8.6206896551724144E-2</v>
      </c>
      <c r="O159" s="18">
        <f>IF(ISNUMBER(M159), $B172 * N159, "")</f>
        <v>-12931.034482758621</v>
      </c>
      <c r="Q159" s="146"/>
      <c r="R159" s="146"/>
      <c r="S159" s="146"/>
    </row>
    <row r="160" spans="1:19" ht="17.25" thickBot="1">
      <c r="A160" s="109" t="s">
        <v>120</v>
      </c>
      <c r="B160" s="110">
        <v>132</v>
      </c>
      <c r="C160" s="70">
        <v>7.6335878000000001E-3</v>
      </c>
      <c r="D160" s="15">
        <v>119</v>
      </c>
      <c r="E160" s="32">
        <f t="shared" si="82"/>
        <v>-9.8484848484848481E-2</v>
      </c>
      <c r="F160" s="18">
        <f>IF(ISNUMBER(D160), $B172 * E160, "")</f>
        <v>-14772.727272727272</v>
      </c>
      <c r="G160" s="31">
        <v>119</v>
      </c>
      <c r="H160" s="32">
        <f t="shared" si="83"/>
        <v>-9.8484848484848481E-2</v>
      </c>
      <c r="I160" s="91">
        <f>IF(ISNUMBER(G160), $B172 * H160, "")</f>
        <v>-14772.727272727272</v>
      </c>
      <c r="J160" s="15">
        <v>117</v>
      </c>
      <c r="K160" s="32">
        <f t="shared" si="84"/>
        <v>-0.11363636363636363</v>
      </c>
      <c r="L160" s="18">
        <f>IF(ISNUMBER(J160), $B172 * K160, "")</f>
        <v>-17045.454545454544</v>
      </c>
      <c r="M160" s="31">
        <v>118</v>
      </c>
      <c r="N160" s="32">
        <f t="shared" si="85"/>
        <v>-0.10606060606060606</v>
      </c>
      <c r="O160" s="18">
        <f>IF(ISNUMBER(M160), $B172 * N160, "")</f>
        <v>-15909.09090909091</v>
      </c>
      <c r="Q160" s="33"/>
      <c r="R160" s="33"/>
    </row>
    <row r="161" spans="1:19" ht="17.25" thickBot="1">
      <c r="A161" s="114" t="s">
        <v>187</v>
      </c>
      <c r="B161" s="115">
        <v>922</v>
      </c>
      <c r="C161" s="72">
        <v>5.4525627E-3</v>
      </c>
      <c r="D161" s="24">
        <v>867</v>
      </c>
      <c r="E161" s="25">
        <f t="shared" si="82"/>
        <v>-5.9652928416485902E-2</v>
      </c>
      <c r="F161" s="94">
        <f>IF(ISNUMBER(D161), $B172 * E161, "")</f>
        <v>-8947.9392624728862</v>
      </c>
      <c r="G161" s="92">
        <v>881</v>
      </c>
      <c r="H161" s="25">
        <f t="shared" si="83"/>
        <v>-4.4468546637744036E-2</v>
      </c>
      <c r="I161" s="93">
        <f>IF(ISNUMBER(G161), $B172 * H161, "")</f>
        <v>-6670.2819956616049</v>
      </c>
      <c r="J161" s="24">
        <v>954</v>
      </c>
      <c r="K161" s="25">
        <f t="shared" si="84"/>
        <v>3.4707158351409979E-2</v>
      </c>
      <c r="L161" s="94">
        <f>IF(ISNUMBER(J161), $B172 * K161, "")</f>
        <v>5206.073752711497</v>
      </c>
      <c r="M161" s="92">
        <v>911</v>
      </c>
      <c r="N161" s="25">
        <f t="shared" si="85"/>
        <v>-1.193058568329718E-2</v>
      </c>
      <c r="O161" s="94">
        <f>IF(ISNUMBER(M161), $B172 * N161, "")</f>
        <v>-1789.587852494577</v>
      </c>
      <c r="Q161" s="147"/>
      <c r="R161" s="148"/>
      <c r="S161" s="149"/>
    </row>
    <row r="162" spans="1:19">
      <c r="A162" s="107" t="s">
        <v>157</v>
      </c>
      <c r="B162" s="108">
        <v>374</v>
      </c>
      <c r="C162" s="69">
        <v>5.3763441000000004E-3</v>
      </c>
      <c r="D162" s="13">
        <v>377</v>
      </c>
      <c r="E162" s="14">
        <f>IF(ISNUMBER(D162), (D162 - $B162) / $B162, "")</f>
        <v>8.0213903743315516E-3</v>
      </c>
      <c r="F162" s="16">
        <f>IF(ISNUMBER(D162), $B172 * E162, "")</f>
        <v>1203.2085561497327</v>
      </c>
      <c r="G162" s="29">
        <v>379</v>
      </c>
      <c r="H162" s="14">
        <f>IF(ISNUMBER(G162), (G162 - $B162) / $B162, "")</f>
        <v>1.3368983957219251E-2</v>
      </c>
      <c r="I162" s="90">
        <f>IF(ISNUMBER(G162), $B172 * H162, "")</f>
        <v>2005.3475935828876</v>
      </c>
      <c r="J162" s="13">
        <v>378</v>
      </c>
      <c r="K162" s="14">
        <f>IF(ISNUMBER(J162), (J162 - $B162) / $B162, "")</f>
        <v>1.06951871657754E-2</v>
      </c>
      <c r="L162" s="16">
        <f>IF(ISNUMBER(J162), $B172 * K162, "")</f>
        <v>1604.2780748663101</v>
      </c>
      <c r="M162" s="29">
        <v>378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150"/>
      <c r="R162" s="151"/>
      <c r="S162" s="152"/>
    </row>
    <row r="163" spans="1:19" ht="17.25" thickBot="1">
      <c r="A163" s="109" t="s">
        <v>167</v>
      </c>
      <c r="B163" s="110">
        <v>228</v>
      </c>
      <c r="C163" s="70">
        <v>4.4052863000000001E-3</v>
      </c>
      <c r="D163" s="15">
        <v>206</v>
      </c>
      <c r="E163" s="32">
        <f t="shared" ref="E163:E166" si="86">IF(ISNUMBER(D163), (D163 - $B163) / $B163, "")</f>
        <v>-9.6491228070175433E-2</v>
      </c>
      <c r="F163" s="18">
        <f>IF(ISNUMBER(D163), $B172 * E163, "")</f>
        <v>-14473.684210526315</v>
      </c>
      <c r="G163" s="31">
        <v>207</v>
      </c>
      <c r="H163" s="32">
        <f t="shared" ref="H163:H166" si="87">IF(ISNUMBER(G163), (G163 - $B163) / $B163, "")</f>
        <v>-9.2105263157894732E-2</v>
      </c>
      <c r="I163" s="91">
        <f>IF(ISNUMBER(G163), $B172 * H163, "")</f>
        <v>-13815.78947368421</v>
      </c>
      <c r="J163" s="15">
        <v>204</v>
      </c>
      <c r="K163" s="32">
        <f t="shared" ref="K163:K166" si="88">IF(ISNUMBER(J163), (J163 - $B163) / $B163, "")</f>
        <v>-0.10526315789473684</v>
      </c>
      <c r="L163" s="18">
        <f>IF(ISNUMBER(J163), $B172 * K163, "")</f>
        <v>-15789.473684210525</v>
      </c>
      <c r="M163" s="31">
        <v>207</v>
      </c>
      <c r="N163" s="32">
        <f t="shared" ref="N163:N166" si="89">IF(ISNUMBER(M163), (M163 - $B163) / $B163, "")</f>
        <v>-9.2105263157894732E-2</v>
      </c>
      <c r="O163" s="18">
        <f>IF(ISNUMBER(M163), $B172 * N163, "")</f>
        <v>-13815.78947368421</v>
      </c>
      <c r="Q163" s="153"/>
      <c r="R163" s="154"/>
      <c r="S163" s="155"/>
    </row>
    <row r="164" spans="1:19" ht="17.25" thickBot="1">
      <c r="A164" s="109" t="s">
        <v>149</v>
      </c>
      <c r="B164" s="110">
        <v>526</v>
      </c>
      <c r="C164" s="70">
        <v>3.8167939000000001E-3</v>
      </c>
      <c r="D164" s="15">
        <v>473</v>
      </c>
      <c r="E164" s="32">
        <f t="shared" si="86"/>
        <v>-0.10076045627376426</v>
      </c>
      <c r="F164" s="18">
        <f>IF(ISNUMBER(D164), $B172 * E164, "")</f>
        <v>-15114.068441064639</v>
      </c>
      <c r="G164" s="31">
        <v>465</v>
      </c>
      <c r="H164" s="32">
        <f t="shared" si="87"/>
        <v>-0.11596958174904944</v>
      </c>
      <c r="I164" s="91">
        <f>IF(ISNUMBER(G164), $B172 * H164, "")</f>
        <v>-17395.437262357416</v>
      </c>
      <c r="J164" s="15">
        <v>467</v>
      </c>
      <c r="K164" s="32">
        <f t="shared" si="88"/>
        <v>-0.11216730038022814</v>
      </c>
      <c r="L164" s="18">
        <f>IF(ISNUMBER(J164), $B172 * K164, "")</f>
        <v>-16825.095057034221</v>
      </c>
      <c r="M164" s="31">
        <v>472</v>
      </c>
      <c r="N164" s="32">
        <f t="shared" si="89"/>
        <v>-0.10266159695817491</v>
      </c>
      <c r="O164" s="18">
        <f>IF(ISNUMBER(M164), $B172 * N164, "")</f>
        <v>-15399.239543726237</v>
      </c>
      <c r="Q164" s="146"/>
      <c r="R164" s="146"/>
      <c r="S164" s="146"/>
    </row>
    <row r="165" spans="1:19" ht="17.25" thickBot="1">
      <c r="A165" s="109" t="s">
        <v>229</v>
      </c>
      <c r="B165" s="110">
        <v>298</v>
      </c>
      <c r="C165" s="70">
        <v>3.3670034000000001E-3</v>
      </c>
      <c r="D165" s="15">
        <v>267</v>
      </c>
      <c r="E165" s="32">
        <f t="shared" si="86"/>
        <v>-0.1040268456375839</v>
      </c>
      <c r="F165" s="18">
        <f>IF(ISNUMBER(D165), $B172 * E165, "")</f>
        <v>-15604.026845637583</v>
      </c>
      <c r="G165" s="31">
        <v>271</v>
      </c>
      <c r="H165" s="32">
        <f t="shared" si="87"/>
        <v>-9.0604026845637578E-2</v>
      </c>
      <c r="I165" s="91">
        <f>IF(ISNUMBER(G165), $B172 * H165, "")</f>
        <v>-13590.604026845636</v>
      </c>
      <c r="J165" s="15">
        <v>268</v>
      </c>
      <c r="K165" s="32">
        <f t="shared" si="88"/>
        <v>-0.10067114093959731</v>
      </c>
      <c r="L165" s="18">
        <f>IF(ISNUMBER(J165), $B172 * K165, "")</f>
        <v>-15100.671140939596</v>
      </c>
      <c r="M165" s="31">
        <v>270</v>
      </c>
      <c r="N165" s="32">
        <f t="shared" si="89"/>
        <v>-9.3959731543624164E-2</v>
      </c>
      <c r="O165" s="18">
        <f>IF(ISNUMBER(M165), $B172 * N165, "")</f>
        <v>-14093.959731543624</v>
      </c>
      <c r="Q165" s="156"/>
      <c r="R165" s="156"/>
      <c r="S165" s="156"/>
    </row>
    <row r="166" spans="1:19" ht="17.25" thickBot="1">
      <c r="A166" s="111" t="s">
        <v>199</v>
      </c>
      <c r="B166" s="112">
        <v>339</v>
      </c>
      <c r="C166" s="71">
        <v>2.9585799000000001E-3</v>
      </c>
      <c r="D166" s="20">
        <v>309</v>
      </c>
      <c r="E166" s="21">
        <f t="shared" si="86"/>
        <v>-8.8495575221238937E-2</v>
      </c>
      <c r="F166" s="22">
        <f>IF(ISNUMBER(D166), $B172 * E166, "")</f>
        <v>-13274.336283185841</v>
      </c>
      <c r="G166" s="30">
        <v>314</v>
      </c>
      <c r="H166" s="21">
        <f t="shared" si="87"/>
        <v>-7.3746312684365781E-2</v>
      </c>
      <c r="I166" s="95">
        <f>IF(ISNUMBER(G166), $B172 * H166, "")</f>
        <v>-11061.946902654867</v>
      </c>
      <c r="J166" s="20">
        <v>312</v>
      </c>
      <c r="K166" s="21">
        <f t="shared" si="88"/>
        <v>-7.9646017699115043E-2</v>
      </c>
      <c r="L166" s="22">
        <f>IF(ISNUMBER(J166), $B172 * K166, "")</f>
        <v>-11946.902654867257</v>
      </c>
      <c r="M166" s="30">
        <v>315</v>
      </c>
      <c r="N166" s="21">
        <f t="shared" si="89"/>
        <v>-7.0796460176991149E-2</v>
      </c>
      <c r="O166" s="22">
        <f>IF(ISNUMBER(M166), $B172 * N166, "")</f>
        <v>-10619.469026548672</v>
      </c>
      <c r="Q166" s="156"/>
      <c r="R166" s="156"/>
      <c r="S166" s="156"/>
    </row>
    <row r="167" spans="1:19" ht="17.25" thickBot="1">
      <c r="A167" s="109" t="s">
        <v>51</v>
      </c>
      <c r="B167" s="113">
        <v>108</v>
      </c>
      <c r="C167" s="73">
        <v>0</v>
      </c>
      <c r="D167" s="96">
        <v>104</v>
      </c>
      <c r="E167" s="97">
        <f>IF(ISNUMBER(D167), (D167 - $B167) / $B167, "")</f>
        <v>-3.7037037037037035E-2</v>
      </c>
      <c r="F167" s="98">
        <f>IF(ISNUMBER(D167), $B172 * E167, "")</f>
        <v>-5555.5555555555557</v>
      </c>
      <c r="G167" s="99">
        <v>103</v>
      </c>
      <c r="H167" s="97">
        <f>IF(ISNUMBER(G167), (G167 - $B167) / $B167, "")</f>
        <v>-4.6296296296296294E-2</v>
      </c>
      <c r="I167" s="100">
        <f>IF(ISNUMBER(G167), $B172 * H167, "")</f>
        <v>-6944.4444444444443</v>
      </c>
      <c r="J167" s="96">
        <v>103</v>
      </c>
      <c r="K167" s="97">
        <f>IF(ISNUMBER(J167), (J167 - $B167) / $B167, "")</f>
        <v>-4.6296296296296294E-2</v>
      </c>
      <c r="L167" s="98">
        <f>IF(ISNUMBER(J167), $B172 * K167, "")</f>
        <v>-6944.4444444444443</v>
      </c>
      <c r="M167" s="99">
        <v>104</v>
      </c>
      <c r="N167" s="97">
        <f>IF(ISNUMBER(M167), (M167 - $B167) / $B167, "")</f>
        <v>-3.7037037037037035E-2</v>
      </c>
      <c r="O167" s="98">
        <f>IF(ISNUMBER(M167), $B172 * N167, "")</f>
        <v>-5555.5555555555557</v>
      </c>
      <c r="Q167" s="146"/>
      <c r="R167" s="146"/>
      <c r="S167" s="146"/>
    </row>
    <row r="168" spans="1:19" ht="17.25" thickBot="1">
      <c r="A168" s="109" t="s">
        <v>239</v>
      </c>
      <c r="B168" s="110">
        <v>514</v>
      </c>
      <c r="C168" s="70">
        <v>-1.9417475999999999E-3</v>
      </c>
      <c r="D168" s="15">
        <v>477</v>
      </c>
      <c r="E168" s="32">
        <f t="shared" ref="E168:E171" si="90">IF(ISNUMBER(D168), (D168 - $B168) / $B168, "")</f>
        <v>-7.1984435797665364E-2</v>
      </c>
      <c r="F168" s="18">
        <f>IF(ISNUMBER(D168), $B172 * E168, "")</f>
        <v>-10797.665369649805</v>
      </c>
      <c r="G168" s="31">
        <v>473</v>
      </c>
      <c r="H168" s="32">
        <f t="shared" ref="H168:H171" si="91">IF(ISNUMBER(G168), (G168 - $B168) / $B168, "")</f>
        <v>-7.9766536964980539E-2</v>
      </c>
      <c r="I168" s="91">
        <f>IF(ISNUMBER(G168), $B172 * H168, "")</f>
        <v>-11964.980544747081</v>
      </c>
      <c r="J168" s="15">
        <v>470</v>
      </c>
      <c r="K168" s="32">
        <f t="shared" ref="K168:K171" si="92">IF(ISNUMBER(J168), (J168 - $B168) / $B168, "")</f>
        <v>-8.5603112840466927E-2</v>
      </c>
      <c r="L168" s="18">
        <f>IF(ISNUMBER(J168), $B172 * K168, "")</f>
        <v>-12840.466926070039</v>
      </c>
      <c r="M168" s="31">
        <v>474</v>
      </c>
      <c r="N168" s="32">
        <f t="shared" ref="N168:N171" si="93">IF(ISNUMBER(M168), (M168 - $B168) / $B168, "")</f>
        <v>-7.7821011673151752E-2</v>
      </c>
      <c r="O168" s="18">
        <f>IF(ISNUMBER(M168), $B172 * N168, "")</f>
        <v>-11673.151750972764</v>
      </c>
      <c r="Q168" s="146"/>
      <c r="R168" s="146"/>
      <c r="S168" s="146"/>
    </row>
    <row r="169" spans="1:19" ht="17.25" thickBot="1">
      <c r="A169" s="109" t="s">
        <v>68</v>
      </c>
      <c r="B169" s="110">
        <v>506</v>
      </c>
      <c r="C169" s="70">
        <v>-3.9370079000000001E-3</v>
      </c>
      <c r="D169" s="15">
        <v>445</v>
      </c>
      <c r="E169" s="32">
        <f t="shared" si="90"/>
        <v>-0.12055335968379446</v>
      </c>
      <c r="F169" s="18">
        <f>IF(ISNUMBER(D169), $B172 * E169, "")</f>
        <v>-18083.003952569168</v>
      </c>
      <c r="G169" s="31">
        <v>447</v>
      </c>
      <c r="H169" s="32">
        <f t="shared" si="91"/>
        <v>-0.116600790513834</v>
      </c>
      <c r="I169" s="91">
        <f>IF(ISNUMBER(G169), $B172 * H169, "")</f>
        <v>-17490.1185770751</v>
      </c>
      <c r="J169" s="15">
        <v>439</v>
      </c>
      <c r="K169" s="32">
        <f t="shared" si="92"/>
        <v>-0.1324110671936759</v>
      </c>
      <c r="L169" s="18">
        <f>IF(ISNUMBER(J169), $B172 * K169, "")</f>
        <v>-19861.660079051384</v>
      </c>
      <c r="M169" s="31">
        <v>445</v>
      </c>
      <c r="N169" s="32">
        <f t="shared" si="93"/>
        <v>-0.12055335968379446</v>
      </c>
      <c r="O169" s="18">
        <f>IF(ISNUMBER(M169), $B172 * N169, "")</f>
        <v>-18083.003952569168</v>
      </c>
      <c r="Q169" s="146"/>
      <c r="R169" s="146"/>
      <c r="S169" s="146"/>
    </row>
    <row r="170" spans="1:19">
      <c r="A170" s="109" t="s">
        <v>352</v>
      </c>
      <c r="B170" s="110">
        <v>243</v>
      </c>
      <c r="C170" s="70">
        <v>-1.2195121999999999E-2</v>
      </c>
      <c r="D170" s="15">
        <v>242</v>
      </c>
      <c r="E170" s="32">
        <f t="shared" si="90"/>
        <v>-4.11522633744856E-3</v>
      </c>
      <c r="F170" s="18">
        <f>IF(ISNUMBER(D170), $B172 * E170, "")</f>
        <v>-617.28395061728395</v>
      </c>
      <c r="G170" s="31">
        <v>230</v>
      </c>
      <c r="H170" s="32">
        <f t="shared" si="91"/>
        <v>-5.3497942386831275E-2</v>
      </c>
      <c r="I170" s="91">
        <f>IF(ISNUMBER(G170), $B172 * H170, "")</f>
        <v>-8024.691358024691</v>
      </c>
      <c r="J170" s="15">
        <v>228</v>
      </c>
      <c r="K170" s="32">
        <f t="shared" si="92"/>
        <v>-6.1728395061728392E-2</v>
      </c>
      <c r="L170" s="18">
        <f>IF(ISNUMBER(J170), $B172 * K170, "")</f>
        <v>-9259.2592592592591</v>
      </c>
      <c r="M170" s="31">
        <v>230</v>
      </c>
      <c r="N170" s="32">
        <f t="shared" si="93"/>
        <v>-5.3497942386831275E-2</v>
      </c>
      <c r="O170" s="18">
        <f>IF(ISNUMBER(M170), $B172 * N170, "")</f>
        <v>-8024.691358024691</v>
      </c>
      <c r="Q170" s="135"/>
      <c r="R170" s="136"/>
      <c r="S170" s="137"/>
    </row>
    <row r="171" spans="1:19" ht="17.25" thickBot="1">
      <c r="A171" s="114" t="s">
        <v>215</v>
      </c>
      <c r="B171" s="115">
        <v>475</v>
      </c>
      <c r="C171" s="72">
        <v>-2.2633744899999999E-2</v>
      </c>
      <c r="D171" s="24">
        <v>438</v>
      </c>
      <c r="E171" s="25">
        <f t="shared" si="90"/>
        <v>-7.7894736842105267E-2</v>
      </c>
      <c r="F171" s="94">
        <f>IF(ISNUMBER(D171), $B172 * E171, "")</f>
        <v>-11684.21052631579</v>
      </c>
      <c r="G171" s="92">
        <v>440</v>
      </c>
      <c r="H171" s="25">
        <f t="shared" si="91"/>
        <v>-7.3684210526315783E-2</v>
      </c>
      <c r="I171" s="93">
        <f>IF(ISNUMBER(G171), $B172 * H171, "")</f>
        <v>-11052.631578947367</v>
      </c>
      <c r="J171" s="24">
        <v>432</v>
      </c>
      <c r="K171" s="25">
        <f t="shared" si="92"/>
        <v>-9.0526315789473691E-2</v>
      </c>
      <c r="L171" s="94">
        <f>IF(ISNUMBER(J171), $B172 * K171, "")</f>
        <v>-13578.947368421053</v>
      </c>
      <c r="M171" s="92">
        <v>443</v>
      </c>
      <c r="N171" s="25">
        <f t="shared" si="93"/>
        <v>-6.7368421052631577E-2</v>
      </c>
      <c r="O171" s="94">
        <f>IF(ISNUMBER(M171), $B172 * N171, "")</f>
        <v>-10105.263157894737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-7.7578763720823313E-2</v>
      </c>
      <c r="F172" s="28">
        <f>SUM(F152:F171)</f>
        <v>-232736.29116246998</v>
      </c>
      <c r="G172" s="26" t="s">
        <v>258</v>
      </c>
      <c r="H172" s="27">
        <f>IF(COUNT(H152:H171), SUM(H152:H171) / COUNT(H152:H171), 0)</f>
        <v>-7.6942209568392247E-2</v>
      </c>
      <c r="I172" s="28">
        <f>SUM(I152:I171)</f>
        <v>-230826.62870517676</v>
      </c>
      <c r="J172" s="26" t="s">
        <v>258</v>
      </c>
      <c r="K172" s="27">
        <f>IF(COUNT(K152:K171), SUM(K152:K171) / COUNT(K152:K171), 0)</f>
        <v>-8.0248356265638227E-2</v>
      </c>
      <c r="L172" s="28">
        <f>SUM(L152:L171)</f>
        <v>-240745.06879691477</v>
      </c>
      <c r="M172" s="26" t="s">
        <v>258</v>
      </c>
      <c r="N172" s="27">
        <f>IF(COUNT(N152:N171), SUM(N152:N171) / COUNT(N152:N171), 0)</f>
        <v>-7.3838801462304732E-2</v>
      </c>
      <c r="O172" s="28">
        <f>SUM(O152:O171)</f>
        <v>-221516.40438691416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2023-03-10(금) 오전 00:00</v>
      </c>
      <c r="C177" s="198"/>
      <c r="D177" s="170" t="str">
        <f>TEXT($G$1, "[$-ko-KR]yyyy-mm-dd(ddd) ") &amp; "오후 14:00"</f>
        <v>2023-03-10(금) 오후 14:00</v>
      </c>
      <c r="E177" s="171"/>
      <c r="F177" s="172"/>
      <c r="G177" s="170" t="str">
        <f>TEXT($G$1, "[$-ko-KR]yyyy-mm-dd(ddd) ") &amp; "오후 19:00"</f>
        <v>2023-03-10(금) 오후 19:00</v>
      </c>
      <c r="H177" s="171"/>
      <c r="I177" s="172"/>
      <c r="J177" s="170" t="str">
        <f>TEXT($G$1, "[$-ko-KR]yyyy-mm-dd(ddd) ") &amp; "오후 21:00"</f>
        <v>2023-03-10(금) 오후 21:00</v>
      </c>
      <c r="K177" s="171"/>
      <c r="L177" s="172"/>
      <c r="M177" s="170" t="str">
        <f>TEXT($G$1+1, "[$-ko-KR]yyyy-mm-dd(ddd) ") &amp; "오전 00:00"</f>
        <v>2023-03-11(토)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195</v>
      </c>
      <c r="B179" s="108">
        <v>8.3699999999999992</v>
      </c>
      <c r="C179" s="69">
        <v>1.1961722E-3</v>
      </c>
      <c r="D179" s="13">
        <v>8.43</v>
      </c>
      <c r="E179" s="14">
        <f>IF(ISNUMBER(D179), (D179 - $B179) / $B179, "")</f>
        <v>7.168458781362067E-3</v>
      </c>
      <c r="F179" s="16">
        <f>IF(ISNUMBER(D179), $B199 * E179, "")</f>
        <v>1075.2688172043102</v>
      </c>
      <c r="G179" s="29">
        <v>9.0500000000000007</v>
      </c>
      <c r="H179" s="14">
        <f>IF(ISNUMBER(G179), (G179 - $B179) / $B179, "")</f>
        <v>8.124253285543627E-2</v>
      </c>
      <c r="I179" s="90">
        <f>IF(ISNUMBER(G179), $B199 * H179, "")</f>
        <v>12186.37992831544</v>
      </c>
      <c r="J179" s="13">
        <v>8.35</v>
      </c>
      <c r="K179" s="14">
        <f>IF(ISNUMBER(J179), (J179 - $B179) / $B179, "")</f>
        <v>-2.3894862604539515E-3</v>
      </c>
      <c r="L179" s="16">
        <f>IF(ISNUMBER(J179), $B199 * K179, "")</f>
        <v>-358.42293906809272</v>
      </c>
      <c r="M179" s="29">
        <v>8.4</v>
      </c>
      <c r="N179" s="14">
        <f>IF(ISNUMBER(M179), (M179 - $B179) / $B179, "")</f>
        <v>3.5842293906811398E-3</v>
      </c>
      <c r="O179" s="16">
        <f>IF(ISNUMBER(M179), $B199 * N179, "")</f>
        <v>537.63440860217099</v>
      </c>
      <c r="Q179" s="156"/>
      <c r="R179" s="156"/>
      <c r="S179" s="156"/>
    </row>
    <row r="180" spans="1:19" ht="17.25" thickBot="1">
      <c r="A180" s="109" t="s">
        <v>49</v>
      </c>
      <c r="B180" s="110">
        <v>29047000</v>
      </c>
      <c r="C180" s="70">
        <v>8.2693040000000005E-4</v>
      </c>
      <c r="D180" s="15">
        <v>26851000</v>
      </c>
      <c r="E180" s="32">
        <f t="shared" ref="E180:E183" si="94">IF(ISNUMBER(D180), (D180 - $B180) / $B180, "")</f>
        <v>-7.5601611181877651E-2</v>
      </c>
      <c r="F180" s="18">
        <f>IF(ISNUMBER(D180), $B199 * E180, "")</f>
        <v>-11340.241677281647</v>
      </c>
      <c r="G180" s="31">
        <v>27037000</v>
      </c>
      <c r="H180" s="32">
        <f t="shared" ref="H180:H183" si="95">IF(ISNUMBER(G180), (G180 - $B180) / $B180, "")</f>
        <v>-6.9198196027128442E-2</v>
      </c>
      <c r="I180" s="91">
        <f>IF(ISNUMBER(G180), $B199 * H180, "")</f>
        <v>-10379.729404069267</v>
      </c>
      <c r="J180" s="15">
        <v>26869000</v>
      </c>
      <c r="K180" s="32">
        <f t="shared" ref="K180:K183" si="96">IF(ISNUMBER(J180), (J180 - $B180) / $B180, "")</f>
        <v>-7.4981925844321271E-2</v>
      </c>
      <c r="L180" s="18">
        <f>IF(ISNUMBER(J180), $B199 * K180, "")</f>
        <v>-11247.28887664819</v>
      </c>
      <c r="M180" s="31">
        <v>26892000</v>
      </c>
      <c r="N180" s="32">
        <f t="shared" ref="N180:N183" si="97">IF(ISNUMBER(M180), (M180 - $B180) / $B180, "")</f>
        <v>-7.4190105690777011E-2</v>
      </c>
      <c r="O180" s="18">
        <f>IF(ISNUMBER(M180), $B199 * N180, "")</f>
        <v>-11128.515853616551</v>
      </c>
      <c r="Q180" s="156"/>
      <c r="R180" s="156"/>
      <c r="S180" s="156"/>
    </row>
    <row r="181" spans="1:19" ht="17.25" thickBot="1">
      <c r="A181" s="109" t="s">
        <v>91</v>
      </c>
      <c r="B181" s="110">
        <v>20060</v>
      </c>
      <c r="C181" s="70">
        <v>4.9875310000000003E-4</v>
      </c>
      <c r="D181" s="15">
        <v>18180</v>
      </c>
      <c r="E181" s="32">
        <f t="shared" si="94"/>
        <v>-9.3718843469591223E-2</v>
      </c>
      <c r="F181" s="18">
        <f>IF(ISNUMBER(D181), $B199 * E181, "")</f>
        <v>-14057.826520438683</v>
      </c>
      <c r="G181" s="31">
        <v>18120</v>
      </c>
      <c r="H181" s="32">
        <f t="shared" si="95"/>
        <v>-9.6709870388833497E-2</v>
      </c>
      <c r="I181" s="91">
        <f>IF(ISNUMBER(G181), $B199 * H181, "")</f>
        <v>-14506.480558325024</v>
      </c>
      <c r="J181" s="15">
        <v>18050</v>
      </c>
      <c r="K181" s="32">
        <f t="shared" si="96"/>
        <v>-0.10019940179461616</v>
      </c>
      <c r="L181" s="18">
        <f>IF(ISNUMBER(J181), $B199 * K181, "")</f>
        <v>-15029.910269192424</v>
      </c>
      <c r="M181" s="31">
        <v>18200</v>
      </c>
      <c r="N181" s="32">
        <f t="shared" si="97"/>
        <v>-9.2721834496510475E-2</v>
      </c>
      <c r="O181" s="18">
        <f>IF(ISNUMBER(M181), $B199 * N181, "")</f>
        <v>-13908.275174476572</v>
      </c>
      <c r="Q181" s="146"/>
      <c r="R181" s="146"/>
      <c r="S181" s="146"/>
    </row>
    <row r="182" spans="1:19" ht="17.25" thickBot="1">
      <c r="A182" s="109" t="s">
        <v>97</v>
      </c>
      <c r="B182" s="110">
        <v>8.9999999999999998E-4</v>
      </c>
      <c r="C182" s="70">
        <v>0</v>
      </c>
      <c r="D182" s="15">
        <v>8.9999999999999998E-4</v>
      </c>
      <c r="E182" s="32">
        <f t="shared" si="94"/>
        <v>0</v>
      </c>
      <c r="F182" s="18">
        <f>IF(ISNUMBER(D182), $B199 * E182, "")</f>
        <v>0</v>
      </c>
      <c r="G182" s="31">
        <v>8.9999999999999998E-4</v>
      </c>
      <c r="H182" s="32">
        <f t="shared" si="95"/>
        <v>0</v>
      </c>
      <c r="I182" s="91">
        <f>IF(ISNUMBER(G182), $B199 * H182, "")</f>
        <v>0</v>
      </c>
      <c r="J182" s="15">
        <v>8.9999999999999998E-4</v>
      </c>
      <c r="K182" s="32">
        <f t="shared" si="96"/>
        <v>0</v>
      </c>
      <c r="L182" s="18">
        <f>IF(ISNUMBER(J182), $B199 * K182, "")</f>
        <v>0</v>
      </c>
      <c r="M182" s="31">
        <v>8.9999999999999998E-4</v>
      </c>
      <c r="N182" s="32">
        <f t="shared" si="97"/>
        <v>0</v>
      </c>
      <c r="O182" s="18">
        <f>IF(ISNUMBER(M182), $B199 * N182, "")</f>
        <v>0</v>
      </c>
      <c r="Q182" s="146"/>
      <c r="R182" s="146"/>
      <c r="S182" s="146"/>
    </row>
    <row r="183" spans="1:19" ht="17.25" thickBot="1">
      <c r="A183" s="111" t="s">
        <v>51</v>
      </c>
      <c r="B183" s="112">
        <v>108</v>
      </c>
      <c r="C183" s="71">
        <v>0</v>
      </c>
      <c r="D183" s="20">
        <v>104</v>
      </c>
      <c r="E183" s="21">
        <f t="shared" si="94"/>
        <v>-3.7037037037037035E-2</v>
      </c>
      <c r="F183" s="22">
        <f>IF(ISNUMBER(D183), $B199 * E183, "")</f>
        <v>-5555.5555555555557</v>
      </c>
      <c r="G183" s="30">
        <v>103</v>
      </c>
      <c r="H183" s="21">
        <f t="shared" si="95"/>
        <v>-4.6296296296296294E-2</v>
      </c>
      <c r="I183" s="95">
        <f>IF(ISNUMBER(G183), $B199 * H183, "")</f>
        <v>-6944.4444444444443</v>
      </c>
      <c r="J183" s="20">
        <v>103</v>
      </c>
      <c r="K183" s="21">
        <f t="shared" si="96"/>
        <v>-4.6296296296296294E-2</v>
      </c>
      <c r="L183" s="22">
        <f>IF(ISNUMBER(J183), $B199 * K183, "")</f>
        <v>-6944.4444444444443</v>
      </c>
      <c r="M183" s="30">
        <v>104</v>
      </c>
      <c r="N183" s="21">
        <f t="shared" si="97"/>
        <v>-3.7037037037037035E-2</v>
      </c>
      <c r="O183" s="22">
        <f>IF(ISNUMBER(M183), $B199 * N183, "")</f>
        <v>-5555.5555555555557</v>
      </c>
      <c r="Q183" s="146"/>
      <c r="R183" s="146"/>
      <c r="S183" s="146"/>
    </row>
    <row r="184" spans="1:19" ht="17.25" thickBot="1">
      <c r="A184" s="109" t="s">
        <v>239</v>
      </c>
      <c r="B184" s="113">
        <v>514</v>
      </c>
      <c r="C184" s="73">
        <v>-1.9417475999999999E-3</v>
      </c>
      <c r="D184" s="96">
        <v>477</v>
      </c>
      <c r="E184" s="97">
        <f>IF(ISNUMBER(D184), (D184 - $B184) / $B184, "")</f>
        <v>-7.1984435797665364E-2</v>
      </c>
      <c r="F184" s="98">
        <f>IF(ISNUMBER(D184), $B199 * E184, "")</f>
        <v>-10797.665369649805</v>
      </c>
      <c r="G184" s="99">
        <v>473</v>
      </c>
      <c r="H184" s="97">
        <f>IF(ISNUMBER(G184), (G184 - $B184) / $B184, "")</f>
        <v>-7.9766536964980539E-2</v>
      </c>
      <c r="I184" s="100">
        <f>IF(ISNUMBER(G184), $B199 * H184, "")</f>
        <v>-11964.980544747081</v>
      </c>
      <c r="J184" s="96">
        <v>470</v>
      </c>
      <c r="K184" s="97">
        <f>IF(ISNUMBER(J184), (J184 - $B184) / $B184, "")</f>
        <v>-8.5603112840466927E-2</v>
      </c>
      <c r="L184" s="98">
        <f>IF(ISNUMBER(J184), $B199 * K184, "")</f>
        <v>-12840.466926070039</v>
      </c>
      <c r="M184" s="99">
        <v>474</v>
      </c>
      <c r="N184" s="97">
        <f>IF(ISNUMBER(M184), (M184 - $B184) / $B184, "")</f>
        <v>-7.7821011673151752E-2</v>
      </c>
      <c r="O184" s="98">
        <f>IF(ISNUMBER(M184), $B199 * N184, "")</f>
        <v>-11673.151750972764</v>
      </c>
      <c r="Q184" s="146"/>
      <c r="R184" s="146"/>
      <c r="S184" s="146"/>
    </row>
    <row r="185" spans="1:19" ht="17.25" thickBot="1">
      <c r="A185" s="109" t="s">
        <v>68</v>
      </c>
      <c r="B185" s="110">
        <v>506</v>
      </c>
      <c r="C185" s="70">
        <v>-3.9370079000000001E-3</v>
      </c>
      <c r="D185" s="15">
        <v>445</v>
      </c>
      <c r="E185" s="32">
        <f t="shared" ref="E185:E188" si="98">IF(ISNUMBER(D185), (D185 - $B185) / $B185, "")</f>
        <v>-0.12055335968379446</v>
      </c>
      <c r="F185" s="18">
        <f>IF(ISNUMBER(D185), $B199 * E185, "")</f>
        <v>-18083.003952569168</v>
      </c>
      <c r="G185" s="31">
        <v>447</v>
      </c>
      <c r="H185" s="32">
        <f t="shared" ref="H185:H188" si="99">IF(ISNUMBER(G185), (G185 - $B185) / $B185, "")</f>
        <v>-0.116600790513834</v>
      </c>
      <c r="I185" s="91">
        <f>IF(ISNUMBER(G185), $B199 * H185, "")</f>
        <v>-17490.1185770751</v>
      </c>
      <c r="J185" s="15">
        <v>439</v>
      </c>
      <c r="K185" s="32">
        <f t="shared" ref="K185:K188" si="100">IF(ISNUMBER(J185), (J185 - $B185) / $B185, "")</f>
        <v>-0.1324110671936759</v>
      </c>
      <c r="L185" s="18">
        <f>IF(ISNUMBER(J185), $B199 * K185, "")</f>
        <v>-19861.660079051384</v>
      </c>
      <c r="M185" s="31">
        <v>445</v>
      </c>
      <c r="N185" s="32">
        <f t="shared" ref="N185:N188" si="101">IF(ISNUMBER(M185), (M185 - $B185) / $B185, "")</f>
        <v>-0.12055335968379446</v>
      </c>
      <c r="O185" s="18">
        <f>IF(ISNUMBER(M185), $B199 * N185, "")</f>
        <v>-18083.003952569168</v>
      </c>
      <c r="Q185" s="146"/>
      <c r="R185" s="146"/>
      <c r="S185" s="146"/>
    </row>
    <row r="186" spans="1:19" ht="17.25" thickBot="1">
      <c r="A186" s="109" t="s">
        <v>132</v>
      </c>
      <c r="B186" s="110">
        <v>68.2</v>
      </c>
      <c r="C186" s="70">
        <v>-4.379562E-3</v>
      </c>
      <c r="D186" s="15">
        <v>61.3</v>
      </c>
      <c r="E186" s="32">
        <f t="shared" si="98"/>
        <v>-0.10117302052785931</v>
      </c>
      <c r="F186" s="18">
        <f>IF(ISNUMBER(D186), $B199 * E186, "")</f>
        <v>-15175.953079178897</v>
      </c>
      <c r="G186" s="31">
        <v>61.3</v>
      </c>
      <c r="H186" s="32">
        <f t="shared" si="99"/>
        <v>-0.10117302052785931</v>
      </c>
      <c r="I186" s="91">
        <f>IF(ISNUMBER(G186), $B199 * H186, "")</f>
        <v>-15175.953079178897</v>
      </c>
      <c r="J186" s="15">
        <v>60.4</v>
      </c>
      <c r="K186" s="32">
        <f t="shared" si="100"/>
        <v>-0.11436950146627571</v>
      </c>
      <c r="L186" s="18">
        <f>IF(ISNUMBER(J186), $B199 * K186, "")</f>
        <v>-17155.425219941357</v>
      </c>
      <c r="M186" s="31">
        <v>61</v>
      </c>
      <c r="N186" s="32">
        <f t="shared" si="101"/>
        <v>-0.10557184750733141</v>
      </c>
      <c r="O186" s="18">
        <f>IF(ISNUMBER(M186), $B199 * N186, "")</f>
        <v>-15835.777126099711</v>
      </c>
      <c r="Q186" s="146"/>
      <c r="R186" s="146"/>
      <c r="S186" s="146"/>
    </row>
    <row r="187" spans="1:19" ht="17.25" thickBot="1">
      <c r="A187" s="109" t="s">
        <v>73</v>
      </c>
      <c r="B187" s="110">
        <v>14570</v>
      </c>
      <c r="C187" s="70">
        <v>-5.4607509000000002E-3</v>
      </c>
      <c r="D187" s="15">
        <v>14720</v>
      </c>
      <c r="E187" s="32">
        <f t="shared" si="98"/>
        <v>1.029512697323267E-2</v>
      </c>
      <c r="F187" s="18">
        <f>IF(ISNUMBER(D187), $B199 * E187, "")</f>
        <v>1544.2690459849005</v>
      </c>
      <c r="G187" s="31">
        <v>14230</v>
      </c>
      <c r="H187" s="32">
        <f t="shared" si="99"/>
        <v>-2.3335621139327384E-2</v>
      </c>
      <c r="I187" s="91">
        <f>IF(ISNUMBER(G187), $B199 * H187, "")</f>
        <v>-3500.3431708991075</v>
      </c>
      <c r="J187" s="15">
        <v>14380</v>
      </c>
      <c r="K187" s="32">
        <f t="shared" si="100"/>
        <v>-1.3040494166094716E-2</v>
      </c>
      <c r="L187" s="18">
        <f>IF(ISNUMBER(J187), $B199 * K187, "")</f>
        <v>-1956.0741249142075</v>
      </c>
      <c r="M187" s="31">
        <v>14840</v>
      </c>
      <c r="N187" s="32">
        <f t="shared" si="101"/>
        <v>1.8531228551818806E-2</v>
      </c>
      <c r="O187" s="18">
        <f>IF(ISNUMBER(M187), $B199 * N187, "")</f>
        <v>2779.684282772821</v>
      </c>
      <c r="Q187" s="33"/>
      <c r="R187" s="33"/>
    </row>
    <row r="188" spans="1:19" ht="17.25" thickBot="1">
      <c r="A188" s="114" t="s">
        <v>181</v>
      </c>
      <c r="B188" s="115">
        <v>5.18</v>
      </c>
      <c r="C188" s="72">
        <v>-5.7581574E-3</v>
      </c>
      <c r="D188" s="24">
        <v>4.82</v>
      </c>
      <c r="E188" s="25">
        <f t="shared" si="98"/>
        <v>-6.9498069498069387E-2</v>
      </c>
      <c r="F188" s="94">
        <f>IF(ISNUMBER(D188), $B199 * E188, "")</f>
        <v>-10424.710424710409</v>
      </c>
      <c r="G188" s="92">
        <v>4.91</v>
      </c>
      <c r="H188" s="25">
        <f t="shared" si="99"/>
        <v>-5.2123552123552047E-2</v>
      </c>
      <c r="I188" s="93">
        <f>IF(ISNUMBER(G188), $B199 * H188, "")</f>
        <v>-7818.5328185328071</v>
      </c>
      <c r="J188" s="24">
        <v>4.83</v>
      </c>
      <c r="K188" s="25">
        <f t="shared" si="100"/>
        <v>-6.7567567567567502E-2</v>
      </c>
      <c r="L188" s="94">
        <f>IF(ISNUMBER(J188), $B199 * K188, "")</f>
        <v>-10135.135135135126</v>
      </c>
      <c r="M188" s="92">
        <v>4.88</v>
      </c>
      <c r="N188" s="25">
        <f t="shared" si="101"/>
        <v>-5.7915057915057883E-2</v>
      </c>
      <c r="O188" s="94">
        <f>IF(ISNUMBER(M188), $B199 * N188, "")</f>
        <v>-8687.2586872586817</v>
      </c>
      <c r="Q188" s="147"/>
      <c r="R188" s="148"/>
      <c r="S188" s="149"/>
    </row>
    <row r="189" spans="1:19">
      <c r="A189" s="107" t="s">
        <v>317</v>
      </c>
      <c r="B189" s="108">
        <v>1.46E-2</v>
      </c>
      <c r="C189" s="69">
        <v>-6.8027210999999999E-3</v>
      </c>
      <c r="D189" s="13">
        <v>1.3599999999999999E-2</v>
      </c>
      <c r="E189" s="14">
        <f>IF(ISNUMBER(D189), (D189 - $B189) / $B189, "")</f>
        <v>-6.8493150684931572E-2</v>
      </c>
      <c r="F189" s="16">
        <f>IF(ISNUMBER(D189), $B199 * E189, "")</f>
        <v>-10273.972602739736</v>
      </c>
      <c r="G189" s="29">
        <v>1.3599999999999999E-2</v>
      </c>
      <c r="H189" s="14">
        <f>IF(ISNUMBER(G189), (G189 - $B189) / $B189, "")</f>
        <v>-6.8493150684931572E-2</v>
      </c>
      <c r="I189" s="90">
        <f>IF(ISNUMBER(G189), $B199 * H189, "")</f>
        <v>-10273.972602739736</v>
      </c>
      <c r="J189" s="13">
        <v>1.35E-2</v>
      </c>
      <c r="K189" s="14">
        <f>IF(ISNUMBER(J189), (J189 - $B189) / $B189, "")</f>
        <v>-7.5342465753424681E-2</v>
      </c>
      <c r="L189" s="16">
        <f>IF(ISNUMBER(J189), $B199 * K189, "")</f>
        <v>-11301.369863013702</v>
      </c>
      <c r="M189" s="29">
        <v>1.37E-2</v>
      </c>
      <c r="N189" s="14">
        <f>IF(ISNUMBER(M189), (M189 - $B189) / $B189, "")</f>
        <v>-6.1643835616438339E-2</v>
      </c>
      <c r="O189" s="16">
        <f>IF(ISNUMBER(M189), $B199 * N189, "")</f>
        <v>-9246.5753424657505</v>
      </c>
      <c r="Q189" s="150"/>
      <c r="R189" s="151"/>
      <c r="S189" s="152"/>
    </row>
    <row r="190" spans="1:19" ht="17.25" thickBot="1">
      <c r="A190" s="109" t="s">
        <v>335</v>
      </c>
      <c r="B190" s="110">
        <v>80.5</v>
      </c>
      <c r="C190" s="70">
        <v>-7.3982737000000002E-3</v>
      </c>
      <c r="D190" s="15">
        <v>76.2</v>
      </c>
      <c r="E190" s="32">
        <f t="shared" ref="E190:E193" si="102">IF(ISNUMBER(D190), (D190 - $B190) / $B190, "")</f>
        <v>-5.3416149068322948E-2</v>
      </c>
      <c r="F190" s="18">
        <f>IF(ISNUMBER(D190), $B199 * E190, "")</f>
        <v>-8012.4223602484417</v>
      </c>
      <c r="G190" s="31">
        <v>76.8</v>
      </c>
      <c r="H190" s="32">
        <f t="shared" ref="H190:H193" si="103">IF(ISNUMBER(G190), (G190 - $B190) / $B190, "")</f>
        <v>-4.5962732919254692E-2</v>
      </c>
      <c r="I190" s="91">
        <f>IF(ISNUMBER(G190), $B199 * H190, "")</f>
        <v>-6894.4099378882038</v>
      </c>
      <c r="J190" s="15">
        <v>76.400000000000006</v>
      </c>
      <c r="K190" s="32">
        <f t="shared" ref="K190:K193" si="104">IF(ISNUMBER(J190), (J190 - $B190) / $B190, "")</f>
        <v>-5.0931677018633471E-2</v>
      </c>
      <c r="L190" s="18">
        <f>IF(ISNUMBER(J190), $B199 * K190, "")</f>
        <v>-7639.7515527950209</v>
      </c>
      <c r="M190" s="31">
        <v>78.3</v>
      </c>
      <c r="N190" s="32">
        <f t="shared" ref="N190:N193" si="105">IF(ISNUMBER(M190), (M190 - $B190) / $B190, "")</f>
        <v>-2.7329192546583888E-2</v>
      </c>
      <c r="O190" s="18">
        <f>IF(ISNUMBER(M190), $B199 * N190, "")</f>
        <v>-4099.3788819875836</v>
      </c>
      <c r="Q190" s="153"/>
      <c r="R190" s="154"/>
      <c r="S190" s="155"/>
    </row>
    <row r="191" spans="1:19" ht="17.25" thickBot="1">
      <c r="A191" s="109" t="s">
        <v>352</v>
      </c>
      <c r="B191" s="110">
        <v>243</v>
      </c>
      <c r="C191" s="70">
        <v>-1.2195121999999999E-2</v>
      </c>
      <c r="D191" s="15">
        <v>242</v>
      </c>
      <c r="E191" s="32">
        <f t="shared" si="102"/>
        <v>-4.11522633744856E-3</v>
      </c>
      <c r="F191" s="18">
        <f>IF(ISNUMBER(D191), $B199 * E191, "")</f>
        <v>-617.28395061728395</v>
      </c>
      <c r="G191" s="31">
        <v>230</v>
      </c>
      <c r="H191" s="32">
        <f t="shared" si="103"/>
        <v>-5.3497942386831275E-2</v>
      </c>
      <c r="I191" s="91">
        <f>IF(ISNUMBER(G191), $B199 * H191, "")</f>
        <v>-8024.691358024691</v>
      </c>
      <c r="J191" s="15">
        <v>228</v>
      </c>
      <c r="K191" s="32">
        <f t="shared" si="104"/>
        <v>-6.1728395061728392E-2</v>
      </c>
      <c r="L191" s="18">
        <f>IF(ISNUMBER(J191), $B199 * K191, "")</f>
        <v>-9259.2592592592591</v>
      </c>
      <c r="M191" s="31">
        <v>230</v>
      </c>
      <c r="N191" s="32">
        <f t="shared" si="105"/>
        <v>-5.3497942386831275E-2</v>
      </c>
      <c r="O191" s="18">
        <f>IF(ISNUMBER(M191), $B199 * N191, "")</f>
        <v>-8024.691358024691</v>
      </c>
      <c r="Q191" s="146"/>
      <c r="R191" s="146"/>
      <c r="S191" s="146"/>
    </row>
    <row r="192" spans="1:19" ht="17.25" thickBot="1">
      <c r="A192" s="109" t="s">
        <v>193</v>
      </c>
      <c r="B192" s="110">
        <v>23</v>
      </c>
      <c r="C192" s="70">
        <v>-1.28755365E-2</v>
      </c>
      <c r="D192" s="15">
        <v>20.5</v>
      </c>
      <c r="E192" s="32">
        <f t="shared" si="102"/>
        <v>-0.10869565217391304</v>
      </c>
      <c r="F192" s="18">
        <f>IF(ISNUMBER(D192), $B199 * E192, "")</f>
        <v>-16304.347826086956</v>
      </c>
      <c r="G192" s="31">
        <v>20.8</v>
      </c>
      <c r="H192" s="32">
        <f t="shared" si="103"/>
        <v>-9.5652173913043453E-2</v>
      </c>
      <c r="I192" s="91">
        <f>IF(ISNUMBER(G192), $B199 * H192, "")</f>
        <v>-14347.826086956518</v>
      </c>
      <c r="J192" s="15">
        <v>20.5</v>
      </c>
      <c r="K192" s="32">
        <f t="shared" si="104"/>
        <v>-0.10869565217391304</v>
      </c>
      <c r="L192" s="18">
        <f>IF(ISNUMBER(J192), $B199 * K192, "")</f>
        <v>-16304.347826086956</v>
      </c>
      <c r="M192" s="31">
        <v>20.7</v>
      </c>
      <c r="N192" s="32">
        <f t="shared" si="105"/>
        <v>-0.10000000000000003</v>
      </c>
      <c r="O192" s="18">
        <f>IF(ISNUMBER(M192), $B199 * N192, "")</f>
        <v>-15000.000000000005</v>
      </c>
      <c r="Q192" s="156"/>
      <c r="R192" s="156"/>
      <c r="S192" s="156"/>
    </row>
    <row r="193" spans="1:19" ht="17.25" thickBot="1">
      <c r="A193" s="111" t="s">
        <v>118</v>
      </c>
      <c r="B193" s="112">
        <v>7.69</v>
      </c>
      <c r="C193" s="71">
        <v>-2.1628498699999998E-2</v>
      </c>
      <c r="D193" s="20">
        <v>6.95</v>
      </c>
      <c r="E193" s="21">
        <f t="shared" si="102"/>
        <v>-9.6228868660598196E-2</v>
      </c>
      <c r="F193" s="22">
        <f>IF(ISNUMBER(D193), $B199 * E193, "")</f>
        <v>-14434.33029908973</v>
      </c>
      <c r="G193" s="30">
        <v>6.87</v>
      </c>
      <c r="H193" s="21">
        <f t="shared" si="103"/>
        <v>-0.1066319895968791</v>
      </c>
      <c r="I193" s="95">
        <f>IF(ISNUMBER(G193), $B199 * H193, "")</f>
        <v>-15994.798439531865</v>
      </c>
      <c r="J193" s="20">
        <v>6.87</v>
      </c>
      <c r="K193" s="21">
        <f t="shared" si="104"/>
        <v>-0.1066319895968791</v>
      </c>
      <c r="L193" s="22">
        <f>IF(ISNUMBER(J193), $B199 * K193, "")</f>
        <v>-15994.798439531865</v>
      </c>
      <c r="M193" s="30">
        <v>6.91</v>
      </c>
      <c r="N193" s="21">
        <f t="shared" si="105"/>
        <v>-0.10143042912873865</v>
      </c>
      <c r="O193" s="22">
        <f>IF(ISNUMBER(M193), $B199 * N193, "")</f>
        <v>-15214.564369310798</v>
      </c>
      <c r="Q193" s="156"/>
      <c r="R193" s="156"/>
      <c r="S193" s="156"/>
    </row>
    <row r="194" spans="1:19" ht="17.25" thickBot="1">
      <c r="A194" s="109" t="s">
        <v>215</v>
      </c>
      <c r="B194" s="113">
        <v>475</v>
      </c>
      <c r="C194" s="73">
        <v>-2.2633744899999999E-2</v>
      </c>
      <c r="D194" s="96">
        <v>438</v>
      </c>
      <c r="E194" s="97">
        <f>IF(ISNUMBER(D194), (D194 - $B194) / $B194, "")</f>
        <v>-7.7894736842105267E-2</v>
      </c>
      <c r="F194" s="98">
        <f>IF(ISNUMBER(D194), $B199 * E194, "")</f>
        <v>-11684.21052631579</v>
      </c>
      <c r="G194" s="99">
        <v>440</v>
      </c>
      <c r="H194" s="97">
        <f>IF(ISNUMBER(G194), (G194 - $B194) / $B194, "")</f>
        <v>-7.3684210526315783E-2</v>
      </c>
      <c r="I194" s="100">
        <f>IF(ISNUMBER(G194), $B199 * H194, "")</f>
        <v>-11052.631578947367</v>
      </c>
      <c r="J194" s="96">
        <v>432</v>
      </c>
      <c r="K194" s="97">
        <f>IF(ISNUMBER(J194), (J194 - $B194) / $B194, "")</f>
        <v>-9.0526315789473691E-2</v>
      </c>
      <c r="L194" s="98">
        <f>IF(ISNUMBER(J194), $B199 * K194, "")</f>
        <v>-13578.947368421053</v>
      </c>
      <c r="M194" s="99">
        <v>443</v>
      </c>
      <c r="N194" s="97">
        <f>IF(ISNUMBER(M194), (M194 - $B194) / $B194, "")</f>
        <v>-6.7368421052631577E-2</v>
      </c>
      <c r="O194" s="98">
        <f>IF(ISNUMBER(M194), $B199 * N194, "")</f>
        <v>-10105.263157894737</v>
      </c>
      <c r="Q194" s="146"/>
      <c r="R194" s="146"/>
      <c r="S194" s="146"/>
    </row>
    <row r="195" spans="1:19" ht="17.25" thickBot="1">
      <c r="A195" s="109" t="s">
        <v>197</v>
      </c>
      <c r="B195" s="110">
        <v>11</v>
      </c>
      <c r="C195" s="70">
        <v>-2.65486726E-2</v>
      </c>
      <c r="D195" s="15">
        <v>10.1</v>
      </c>
      <c r="E195" s="32">
        <f t="shared" ref="E195:E198" si="106">IF(ISNUMBER(D195), (D195 - $B195) / $B195, "")</f>
        <v>-8.1818181818181845E-2</v>
      </c>
      <c r="F195" s="18">
        <f>IF(ISNUMBER(D195), $B199 * E195, "")</f>
        <v>-12272.727272727278</v>
      </c>
      <c r="G195" s="31">
        <v>10.5</v>
      </c>
      <c r="H195" s="32">
        <f t="shared" ref="H195:H198" si="107">IF(ISNUMBER(G195), (G195 - $B195) / $B195, "")</f>
        <v>-4.5454545454545456E-2</v>
      </c>
      <c r="I195" s="91">
        <f>IF(ISNUMBER(G195), $B199 * H195, "")</f>
        <v>-6818.181818181818</v>
      </c>
      <c r="J195" s="15">
        <v>10.3</v>
      </c>
      <c r="K195" s="32">
        <f t="shared" ref="K195:K198" si="108">IF(ISNUMBER(J195), (J195 - $B195) / $B195, "")</f>
        <v>-6.3636363636363574E-2</v>
      </c>
      <c r="L195" s="18">
        <f>IF(ISNUMBER(J195), $B199 * K195, "")</f>
        <v>-9545.4545454545369</v>
      </c>
      <c r="M195" s="31">
        <v>10.3</v>
      </c>
      <c r="N195" s="32">
        <f t="shared" ref="N195:N198" si="109">IF(ISNUMBER(M195), (M195 - $B195) / $B195, "")</f>
        <v>-6.3636363636363574E-2</v>
      </c>
      <c r="O195" s="18">
        <f>IF(ISNUMBER(M195), $B199 * N195, "")</f>
        <v>-9545.4545454545369</v>
      </c>
      <c r="Q195" s="146"/>
      <c r="R195" s="146"/>
      <c r="S195" s="146"/>
    </row>
    <row r="196" spans="1:19" ht="17.25" thickBot="1">
      <c r="A196" s="109" t="s">
        <v>113</v>
      </c>
      <c r="B196" s="110">
        <v>1550</v>
      </c>
      <c r="C196" s="70">
        <v>-4.0247678000000002E-2</v>
      </c>
      <c r="D196" s="15">
        <v>1480</v>
      </c>
      <c r="E196" s="32">
        <f t="shared" si="106"/>
        <v>-4.5161290322580643E-2</v>
      </c>
      <c r="F196" s="18">
        <f>IF(ISNUMBER(D196), $B199 * E196, "")</f>
        <v>-6774.1935483870966</v>
      </c>
      <c r="G196" s="31">
        <v>1465</v>
      </c>
      <c r="H196" s="32">
        <f t="shared" si="107"/>
        <v>-5.4838709677419356E-2</v>
      </c>
      <c r="I196" s="91">
        <f>IF(ISNUMBER(G196), $B199 * H196, "")</f>
        <v>-8225.8064516129034</v>
      </c>
      <c r="J196" s="15">
        <v>1470</v>
      </c>
      <c r="K196" s="32">
        <f t="shared" si="108"/>
        <v>-5.1612903225806452E-2</v>
      </c>
      <c r="L196" s="18">
        <f>IF(ISNUMBER(J196), $B199 * K196, "")</f>
        <v>-7741.9354838709678</v>
      </c>
      <c r="M196" s="31">
        <v>1470</v>
      </c>
      <c r="N196" s="32">
        <f t="shared" si="109"/>
        <v>-5.1612903225806452E-2</v>
      </c>
      <c r="O196" s="18">
        <f>IF(ISNUMBER(M196), $B199 * N196, "")</f>
        <v>-7741.9354838709678</v>
      </c>
      <c r="Q196" s="146"/>
      <c r="R196" s="146"/>
      <c r="S196" s="146"/>
    </row>
    <row r="197" spans="1:19">
      <c r="A197" s="109" t="s">
        <v>354</v>
      </c>
      <c r="B197" s="110">
        <v>4340</v>
      </c>
      <c r="C197" s="70">
        <v>-4.19426049E-2</v>
      </c>
      <c r="D197" s="15">
        <v>3845</v>
      </c>
      <c r="E197" s="32">
        <f t="shared" si="106"/>
        <v>-0.11405529953917051</v>
      </c>
      <c r="F197" s="18">
        <f>IF(ISNUMBER(D197), $B199 * E197, "")</f>
        <v>-17108.294930875578</v>
      </c>
      <c r="G197" s="31">
        <v>3710</v>
      </c>
      <c r="H197" s="32">
        <f t="shared" si="107"/>
        <v>-0.14516129032258066</v>
      </c>
      <c r="I197" s="91">
        <f>IF(ISNUMBER(G197), $B199 * H197, "")</f>
        <v>-21774.193548387098</v>
      </c>
      <c r="J197" s="15">
        <v>3660</v>
      </c>
      <c r="K197" s="32">
        <f t="shared" si="108"/>
        <v>-0.15668202764976957</v>
      </c>
      <c r="L197" s="18">
        <f>IF(ISNUMBER(J197), $B199 * K197, "")</f>
        <v>-23502.304147465435</v>
      </c>
      <c r="M197" s="31">
        <v>3730</v>
      </c>
      <c r="N197" s="32">
        <f t="shared" si="109"/>
        <v>-0.14055299539170507</v>
      </c>
      <c r="O197" s="18">
        <f>IF(ISNUMBER(M197), $B199 * N197, "")</f>
        <v>-21082.94930875576</v>
      </c>
      <c r="Q197" s="135"/>
      <c r="R197" s="136"/>
      <c r="S197" s="137"/>
    </row>
    <row r="198" spans="1:19" ht="17.25" thickBot="1">
      <c r="A198" s="114" t="s">
        <v>225</v>
      </c>
      <c r="B198" s="115">
        <v>83.2</v>
      </c>
      <c r="C198" s="72">
        <v>-5.6689342400000002E-2</v>
      </c>
      <c r="D198" s="24">
        <v>77</v>
      </c>
      <c r="E198" s="25">
        <f t="shared" si="106"/>
        <v>-7.4519230769230796E-2</v>
      </c>
      <c r="F198" s="94">
        <f>IF(ISNUMBER(D198), $B199 * E198, "")</f>
        <v>-11177.884615384619</v>
      </c>
      <c r="G198" s="92">
        <v>77.7</v>
      </c>
      <c r="H198" s="25">
        <f t="shared" si="107"/>
        <v>-6.6105769230769232E-2</v>
      </c>
      <c r="I198" s="93">
        <f>IF(ISNUMBER(G198), $B199 * H198, "")</f>
        <v>-9915.8653846153848</v>
      </c>
      <c r="J198" s="24">
        <v>75.3</v>
      </c>
      <c r="K198" s="25">
        <f t="shared" si="108"/>
        <v>-9.4951923076923142E-2</v>
      </c>
      <c r="L198" s="94">
        <f>IF(ISNUMBER(J198), $B199 * K198, "")</f>
        <v>-14242.788461538472</v>
      </c>
      <c r="M198" s="92">
        <v>76.3</v>
      </c>
      <c r="N198" s="25">
        <f t="shared" si="109"/>
        <v>-8.2932692307692374E-2</v>
      </c>
      <c r="O198" s="94">
        <f>IF(ISNUMBER(M198), $B199 * N198, "")</f>
        <v>-12439.903846153857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-6.3825028882889157E-2</v>
      </c>
      <c r="F199" s="28">
        <f>SUM(F179:F198)</f>
        <v>-191475.08664866746</v>
      </c>
      <c r="G199" s="26" t="s">
        <v>258</v>
      </c>
      <c r="H199" s="27">
        <f>IF(COUNT(H179:H198), SUM(H179:H198) / COUNT(H179:H198), 0)</f>
        <v>-6.2972193291947282E-2</v>
      </c>
      <c r="I199" s="28">
        <f>SUM(I179:I198)</f>
        <v>-188916.57987584188</v>
      </c>
      <c r="J199" s="26" t="s">
        <v>258</v>
      </c>
      <c r="K199" s="27">
        <f>IF(COUNT(K179:K198), SUM(K179:K198) / COUNT(K179:K198), 0)</f>
        <v>-7.487992832063417E-2</v>
      </c>
      <c r="L199" s="28">
        <f>SUM(L179:L198)</f>
        <v>-224639.78496190251</v>
      </c>
      <c r="M199" s="26" t="s">
        <v>258</v>
      </c>
      <c r="N199" s="27">
        <f>IF(COUNT(N179:N198), SUM(N179:N198) / COUNT(N179:N198), 0)</f>
        <v>-6.4684978567697546E-2</v>
      </c>
      <c r="O199" s="28">
        <f>SUM(O179:O198)</f>
        <v>-194054.93570309266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CFEDD-5617-4653-8B00-1DD014499A4F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44996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-38,076 KRW (-1.27%)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-4,409 KRW (-0.15%)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-2,242 KRW (-0.07%)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6,820 KRW (0.23%)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2023-03-11(토) 오전 00:00</v>
      </c>
      <c r="C15" s="196"/>
      <c r="D15" s="170" t="str">
        <f>TEXT($G$1, "[$-ko-KR]yyyy-mm-dd(ddd) ") &amp; "오후 14:00"</f>
        <v>2023-03-11(토) 오후 14:00</v>
      </c>
      <c r="E15" s="171"/>
      <c r="F15" s="172"/>
      <c r="G15" s="170" t="str">
        <f>TEXT($G$1, "[$-ko-KR]yyyy-mm-dd(ddd) ") &amp; "오후 19:00"</f>
        <v>2023-03-11(토) 오후 19:00</v>
      </c>
      <c r="H15" s="171"/>
      <c r="I15" s="172"/>
      <c r="J15" s="170" t="str">
        <f>TEXT($G$1, "[$-ko-KR]yyyy-mm-dd(ddd) ") &amp; "오후 21:00"</f>
        <v>2023-03-11(토) 오후 21:00</v>
      </c>
      <c r="K15" s="171"/>
      <c r="L15" s="172"/>
      <c r="M15" s="170" t="str">
        <f>TEXT($G$1+1, "[$-ko-KR]yyyy-mm-dd(ddd) ") &amp; "오전 00:00"</f>
        <v>2023-03-12(일)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2023-03-11(토) 오전 00:00</v>
      </c>
      <c r="C42" s="198"/>
      <c r="D42" s="170" t="str">
        <f>TEXT($G$1, "[$-ko-KR]yyyy-mm-dd(ddd) ") &amp; "오후 14:00"</f>
        <v>2023-03-11(토) 오후 14:00</v>
      </c>
      <c r="E42" s="171"/>
      <c r="F42" s="172"/>
      <c r="G42" s="170" t="str">
        <f>TEXT($G$1, "[$-ko-KR]yyyy-mm-dd(ddd) ") &amp; "오후 19:00"</f>
        <v>2023-03-11(토) 오후 19:00</v>
      </c>
      <c r="H42" s="171"/>
      <c r="I42" s="172"/>
      <c r="J42" s="170" t="str">
        <f>TEXT($G$1, "[$-ko-KR]yyyy-mm-dd(ddd) ") &amp; "오후 21:00"</f>
        <v>2023-03-11(토) 오후 21:00</v>
      </c>
      <c r="K42" s="171"/>
      <c r="L42" s="172"/>
      <c r="M42" s="170" t="str">
        <f>TEXT($G$1+1, "[$-ko-KR]yyyy-mm-dd(ddd) ") &amp; "오전 00:00"</f>
        <v>2023-03-12(일)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97</v>
      </c>
      <c r="B44" s="108">
        <v>8.9999999999999998E-4</v>
      </c>
      <c r="C44" s="69">
        <v>0.125</v>
      </c>
      <c r="D44" s="13">
        <v>8.9999999999999998E-4</v>
      </c>
      <c r="E44" s="14">
        <f>IF(ISNUMBER(D44), (D44 - $B44) / $B44, "")</f>
        <v>0</v>
      </c>
      <c r="F44" s="16">
        <f>IF(ISNUMBER(D44), $B64 * E44, "")</f>
        <v>0</v>
      </c>
      <c r="G44" s="29">
        <v>8.9999999999999998E-4</v>
      </c>
      <c r="H44" s="14">
        <f>IF(ISNUMBER(G44), (G44 - $B44) / $B44, "")</f>
        <v>0</v>
      </c>
      <c r="I44" s="90">
        <f>IF(ISNUMBER(G44), $B64 * H44, "")</f>
        <v>0</v>
      </c>
      <c r="J44" s="13">
        <v>8.9999999999999998E-4</v>
      </c>
      <c r="K44" s="14">
        <f>IF(ISNUMBER(J44), (J44 - $B44) / $B44, "")</f>
        <v>0</v>
      </c>
      <c r="L44" s="16">
        <f>IF(ISNUMBER(J44), $B64 * K44, "")</f>
        <v>0</v>
      </c>
      <c r="M44" s="29">
        <v>8.9999999999999998E-4</v>
      </c>
      <c r="N44" s="14">
        <f>IF(ISNUMBER(M44), (M44 - $B44) / $B44, "")</f>
        <v>0</v>
      </c>
      <c r="O44" s="16">
        <f>IF(ISNUMBER(M44), $B64 * N44, "")</f>
        <v>0</v>
      </c>
      <c r="Q44" s="156"/>
      <c r="R44" s="156"/>
      <c r="S44" s="156"/>
    </row>
    <row r="45" spans="1:19" ht="17.25" customHeight="1" thickBot="1">
      <c r="A45" s="109" t="s">
        <v>191</v>
      </c>
      <c r="B45" s="110">
        <v>75.8</v>
      </c>
      <c r="C45" s="70">
        <v>3.8356164399999997E-2</v>
      </c>
      <c r="D45" s="15">
        <v>78.5</v>
      </c>
      <c r="E45" s="32">
        <f t="shared" ref="E45:E48" si="14">IF(ISNUMBER(D45), (D45 - $B45) / $B45, "")</f>
        <v>3.5620052770448586E-2</v>
      </c>
      <c r="F45" s="18">
        <f>IF(ISNUMBER(D45), $B64 * E45, "")</f>
        <v>5343.0079155672884</v>
      </c>
      <c r="G45" s="31">
        <v>75</v>
      </c>
      <c r="H45" s="32">
        <f t="shared" ref="H45:H48" si="15">IF(ISNUMBER(G45), (G45 - $B45) / $B45, "")</f>
        <v>-1.0554089709762496E-2</v>
      </c>
      <c r="I45" s="91">
        <f>IF(ISNUMBER(G45), $B64 * H45, "")</f>
        <v>-1583.1134564643744</v>
      </c>
      <c r="J45" s="15">
        <v>74.3</v>
      </c>
      <c r="K45" s="32">
        <f t="shared" ref="K45:K48" si="16">IF(ISNUMBER(J45), (J45 - $B45) / $B45, "")</f>
        <v>-1.9788918205804751E-2</v>
      </c>
      <c r="L45" s="18">
        <f>IF(ISNUMBER(J45), $B64 * K45, "")</f>
        <v>-2968.3377308707127</v>
      </c>
      <c r="M45" s="31">
        <v>74.7</v>
      </c>
      <c r="N45" s="32">
        <f t="shared" ref="N45:N48" si="17">IF(ISNUMBER(M45), (M45 - $B45) / $B45, "")</f>
        <v>-1.4511873350923408E-2</v>
      </c>
      <c r="O45" s="18">
        <f>IF(ISNUMBER(M45), $B64 * N45, "")</f>
        <v>-2176.7810026385114</v>
      </c>
      <c r="Q45" s="156"/>
      <c r="R45" s="156"/>
      <c r="S45" s="156"/>
    </row>
    <row r="46" spans="1:19" ht="17.25" customHeight="1" thickBot="1">
      <c r="A46" s="109" t="s">
        <v>195</v>
      </c>
      <c r="B46" s="110">
        <v>8.4</v>
      </c>
      <c r="C46" s="70">
        <v>3.7037037000000002E-2</v>
      </c>
      <c r="D46" s="15">
        <v>8.2100000000000009</v>
      </c>
      <c r="E46" s="32">
        <f t="shared" si="14"/>
        <v>-2.261904761904756E-2</v>
      </c>
      <c r="F46" s="18">
        <f>IF(ISNUMBER(D46), $B64 * E46, "")</f>
        <v>-3392.857142857134</v>
      </c>
      <c r="G46" s="31">
        <v>7.93</v>
      </c>
      <c r="H46" s="32">
        <f t="shared" si="15"/>
        <v>-5.5952380952381024E-2</v>
      </c>
      <c r="I46" s="91">
        <f>IF(ISNUMBER(G46), $B64 * H46, "")</f>
        <v>-8392.857142857154</v>
      </c>
      <c r="J46" s="15">
        <v>7.83</v>
      </c>
      <c r="K46" s="32">
        <f t="shared" si="16"/>
        <v>-6.7857142857142894E-2</v>
      </c>
      <c r="L46" s="18">
        <f>IF(ISNUMBER(J46), $B64 * K46, "")</f>
        <v>-10178.571428571435</v>
      </c>
      <c r="M46" s="31">
        <v>7.83</v>
      </c>
      <c r="N46" s="32">
        <f t="shared" si="17"/>
        <v>-6.7857142857142894E-2</v>
      </c>
      <c r="O46" s="18">
        <f>IF(ISNUMBER(M46), $B64 * N46, "")</f>
        <v>-10178.571428571435</v>
      </c>
      <c r="Q46" s="146"/>
      <c r="R46" s="146"/>
      <c r="S46" s="146"/>
    </row>
    <row r="47" spans="1:19" ht="17.25" customHeight="1" thickBot="1">
      <c r="A47" s="109" t="s">
        <v>122</v>
      </c>
      <c r="B47" s="110">
        <v>27.9</v>
      </c>
      <c r="C47" s="70">
        <v>1.4545454500000001E-2</v>
      </c>
      <c r="D47" s="15">
        <v>27.8</v>
      </c>
      <c r="E47" s="32">
        <f t="shared" si="14"/>
        <v>-3.5842293906809273E-3</v>
      </c>
      <c r="F47" s="18">
        <f>IF(ISNUMBER(D47), $B64 * E47, "")</f>
        <v>-537.63440860213905</v>
      </c>
      <c r="G47" s="31">
        <v>26.9</v>
      </c>
      <c r="H47" s="32">
        <f t="shared" si="15"/>
        <v>-3.5842293906810041E-2</v>
      </c>
      <c r="I47" s="91">
        <f>IF(ISNUMBER(G47), $B64 * H47, "")</f>
        <v>-5376.344086021506</v>
      </c>
      <c r="J47" s="15">
        <v>26.8</v>
      </c>
      <c r="K47" s="32">
        <f t="shared" si="16"/>
        <v>-3.9426523297490967E-2</v>
      </c>
      <c r="L47" s="18">
        <f>IF(ISNUMBER(J47), $B64 * K47, "")</f>
        <v>-5913.978494623645</v>
      </c>
      <c r="M47" s="31">
        <v>26.8</v>
      </c>
      <c r="N47" s="32">
        <f t="shared" si="17"/>
        <v>-3.9426523297490967E-2</v>
      </c>
      <c r="O47" s="18">
        <f>IF(ISNUMBER(M47), $B64 * N47, "")</f>
        <v>-5913.978494623645</v>
      </c>
      <c r="Q47" s="146"/>
      <c r="R47" s="146"/>
      <c r="S47" s="146"/>
    </row>
    <row r="48" spans="1:19" ht="17.25" customHeight="1" thickBot="1">
      <c r="A48" s="111" t="s">
        <v>335</v>
      </c>
      <c r="B48" s="112">
        <v>78.3</v>
      </c>
      <c r="C48" s="71">
        <v>6.4267352000000003E-3</v>
      </c>
      <c r="D48" s="20">
        <v>80.8</v>
      </c>
      <c r="E48" s="21">
        <f t="shared" si="14"/>
        <v>3.1928480204342274E-2</v>
      </c>
      <c r="F48" s="22">
        <f>IF(ISNUMBER(D48), $B64 * E48, "")</f>
        <v>4789.2720306513411</v>
      </c>
      <c r="G48" s="30">
        <v>81.099999999999994</v>
      </c>
      <c r="H48" s="21">
        <f t="shared" si="15"/>
        <v>3.575989782886331E-2</v>
      </c>
      <c r="I48" s="95">
        <f>IF(ISNUMBER(G48), $B64 * H48, "")</f>
        <v>5363.9846743294966</v>
      </c>
      <c r="J48" s="20">
        <v>79.599999999999994</v>
      </c>
      <c r="K48" s="21">
        <f t="shared" si="16"/>
        <v>1.6602809706257948E-2</v>
      </c>
      <c r="L48" s="22">
        <f>IF(ISNUMBER(J48), $B64 * K48, "")</f>
        <v>2490.4214559386924</v>
      </c>
      <c r="M48" s="30">
        <v>78</v>
      </c>
      <c r="N48" s="21">
        <f t="shared" si="17"/>
        <v>-3.8314176245210366E-3</v>
      </c>
      <c r="O48" s="22">
        <f>IF(ISNUMBER(M48), $B64 * N48, "")</f>
        <v>-574.71264367815547</v>
      </c>
      <c r="Q48" s="146"/>
      <c r="R48" s="146"/>
      <c r="S48" s="146"/>
    </row>
    <row r="49" spans="1:19" ht="17.25" customHeight="1" thickBot="1">
      <c r="A49" s="109" t="s">
        <v>227</v>
      </c>
      <c r="B49" s="113">
        <v>53.2</v>
      </c>
      <c r="C49" s="73">
        <v>3.7735848999999998E-3</v>
      </c>
      <c r="D49" s="96">
        <v>54.8</v>
      </c>
      <c r="E49" s="97">
        <f>IF(ISNUMBER(D49), (D49 - $B49) / $B49, "")</f>
        <v>3.0075187969924703E-2</v>
      </c>
      <c r="F49" s="98">
        <f>IF(ISNUMBER(D49), $B64 * E49, "")</f>
        <v>4511.278195488705</v>
      </c>
      <c r="G49" s="99">
        <v>52.9</v>
      </c>
      <c r="H49" s="97">
        <f>IF(ISNUMBER(G49), (G49 - $B49) / $B49, "")</f>
        <v>-5.6390977443609817E-3</v>
      </c>
      <c r="I49" s="100">
        <f>IF(ISNUMBER(G49), $B64 * H49, "")</f>
        <v>-845.86466165414731</v>
      </c>
      <c r="J49" s="96">
        <v>52.6</v>
      </c>
      <c r="K49" s="97">
        <f>IF(ISNUMBER(J49), (J49 - $B49) / $B49, "")</f>
        <v>-1.127819548872183E-2</v>
      </c>
      <c r="L49" s="98">
        <f>IF(ISNUMBER(J49), $B64 * K49, "")</f>
        <v>-1691.7293233082744</v>
      </c>
      <c r="M49" s="99">
        <v>52.6</v>
      </c>
      <c r="N49" s="97">
        <f>IF(ISNUMBER(M49), (M49 - $B49) / $B49, "")</f>
        <v>-1.127819548872183E-2</v>
      </c>
      <c r="O49" s="98">
        <f>IF(ISNUMBER(M49), $B64 * N49, "")</f>
        <v>-1691.7293233082744</v>
      </c>
      <c r="Q49" s="146"/>
      <c r="R49" s="146"/>
      <c r="S49" s="146"/>
    </row>
    <row r="50" spans="1:19" ht="17.25" customHeight="1" thickBot="1">
      <c r="A50" s="109" t="s">
        <v>181</v>
      </c>
      <c r="B50" s="110">
        <v>4.88</v>
      </c>
      <c r="C50" s="70">
        <v>2.0533881000000002E-3</v>
      </c>
      <c r="D50" s="15">
        <v>5.03</v>
      </c>
      <c r="E50" s="32">
        <f t="shared" ref="E50:E53" si="18">IF(ISNUMBER(D50), (D50 - $B50) / $B50, "")</f>
        <v>3.0737704918032859E-2</v>
      </c>
      <c r="F50" s="18">
        <f>IF(ISNUMBER(D50), $B64 * E50, "")</f>
        <v>4610.6557377049285</v>
      </c>
      <c r="G50" s="31">
        <v>4.84</v>
      </c>
      <c r="H50" s="32">
        <f t="shared" ref="H50:H53" si="19">IF(ISNUMBER(G50), (G50 - $B50) / $B50, "")</f>
        <v>-8.1967213114754172E-3</v>
      </c>
      <c r="I50" s="91">
        <f>IF(ISNUMBER(G50), $B64 * H50, "")</f>
        <v>-1229.5081967213125</v>
      </c>
      <c r="J50" s="15">
        <v>4.8099999999999996</v>
      </c>
      <c r="K50" s="32">
        <f t="shared" ref="K50:K53" si="20">IF(ISNUMBER(J50), (J50 - $B50) / $B50, "")</f>
        <v>-1.4344262295082027E-2</v>
      </c>
      <c r="L50" s="18">
        <f>IF(ISNUMBER(J50), $B64 * K50, "")</f>
        <v>-2151.6393442623039</v>
      </c>
      <c r="M50" s="31">
        <v>4.8600000000000003</v>
      </c>
      <c r="N50" s="32">
        <f t="shared" ref="N50:N53" si="21">IF(ISNUMBER(M50), (M50 - $B50) / $B50, "")</f>
        <v>-4.0983606557376175E-3</v>
      </c>
      <c r="O50" s="18">
        <f>IF(ISNUMBER(M50), $B64 * N50, "")</f>
        <v>-614.75409836064262</v>
      </c>
      <c r="Q50" s="146"/>
      <c r="R50" s="146"/>
      <c r="S50" s="146"/>
    </row>
    <row r="51" spans="1:19" ht="17.25" customHeight="1" thickBot="1">
      <c r="A51" s="109" t="s">
        <v>71</v>
      </c>
      <c r="B51" s="110">
        <v>12.1</v>
      </c>
      <c r="C51" s="70">
        <v>0</v>
      </c>
      <c r="D51" s="15">
        <v>12.5</v>
      </c>
      <c r="E51" s="32">
        <f t="shared" si="18"/>
        <v>3.305785123966945E-2</v>
      </c>
      <c r="F51" s="18">
        <f>IF(ISNUMBER(D51), $B64 * E51, "")</f>
        <v>4958.6776859504171</v>
      </c>
      <c r="G51" s="31">
        <v>12.2</v>
      </c>
      <c r="H51" s="32">
        <f t="shared" si="19"/>
        <v>8.2644628099173261E-3</v>
      </c>
      <c r="I51" s="91">
        <f>IF(ISNUMBER(G51), $B64 * H51, "")</f>
        <v>1239.6694214875988</v>
      </c>
      <c r="J51" s="15">
        <v>12.1</v>
      </c>
      <c r="K51" s="32">
        <f t="shared" si="20"/>
        <v>0</v>
      </c>
      <c r="L51" s="18">
        <f>IF(ISNUMBER(J51), $B64 * K51, "")</f>
        <v>0</v>
      </c>
      <c r="M51" s="31">
        <v>12.1</v>
      </c>
      <c r="N51" s="32">
        <f t="shared" si="21"/>
        <v>0</v>
      </c>
      <c r="O51" s="18">
        <f>IF(ISNUMBER(M51), $B64 * N51, "")</f>
        <v>0</v>
      </c>
      <c r="Q51" s="146"/>
      <c r="R51" s="146"/>
      <c r="S51" s="146"/>
    </row>
    <row r="52" spans="1:19" ht="17.25" customHeight="1" thickBot="1">
      <c r="A52" s="109" t="s">
        <v>317</v>
      </c>
      <c r="B52" s="110">
        <v>1.37E-2</v>
      </c>
      <c r="C52" s="70">
        <v>0</v>
      </c>
      <c r="D52" s="15">
        <v>1.3899999999999999E-2</v>
      </c>
      <c r="E52" s="32">
        <f t="shared" si="18"/>
        <v>1.4598540145985313E-2</v>
      </c>
      <c r="F52" s="18">
        <f>IF(ISNUMBER(D52), $B64 * E52, "")</f>
        <v>2189.781021897797</v>
      </c>
      <c r="G52" s="31">
        <v>1.38E-2</v>
      </c>
      <c r="H52" s="32">
        <f t="shared" si="19"/>
        <v>7.2992700729926563E-3</v>
      </c>
      <c r="I52" s="91">
        <f>IF(ISNUMBER(G52), $B64 * H52, "")</f>
        <v>1094.8905109488985</v>
      </c>
      <c r="J52" s="15">
        <v>1.3599999999999999E-2</v>
      </c>
      <c r="K52" s="32">
        <f t="shared" si="20"/>
        <v>-7.2992700729927829E-3</v>
      </c>
      <c r="L52" s="18">
        <f>IF(ISNUMBER(J52), $B64 * K52, "")</f>
        <v>-1094.8905109489174</v>
      </c>
      <c r="M52" s="31">
        <v>1.3599999999999999E-2</v>
      </c>
      <c r="N52" s="32">
        <f t="shared" si="21"/>
        <v>-7.2992700729927829E-3</v>
      </c>
      <c r="O52" s="18">
        <f>IF(ISNUMBER(M52), $B64 * N52, "")</f>
        <v>-1094.8905109489174</v>
      </c>
      <c r="Q52" s="33"/>
      <c r="R52" s="33"/>
    </row>
    <row r="53" spans="1:19" ht="17.25" customHeight="1" thickBot="1">
      <c r="A53" s="114" t="s">
        <v>334</v>
      </c>
      <c r="B53" s="115">
        <v>43</v>
      </c>
      <c r="C53" s="72">
        <v>0</v>
      </c>
      <c r="D53" s="24">
        <v>44.5</v>
      </c>
      <c r="E53" s="25">
        <f t="shared" si="18"/>
        <v>3.4883720930232558E-2</v>
      </c>
      <c r="F53" s="94">
        <f>IF(ISNUMBER(D53), $B64 * E53, "")</f>
        <v>5232.5581395348836</v>
      </c>
      <c r="G53" s="92">
        <v>43</v>
      </c>
      <c r="H53" s="25">
        <f t="shared" si="19"/>
        <v>0</v>
      </c>
      <c r="I53" s="93">
        <f>IF(ISNUMBER(G53), $B64 * H53, "")</f>
        <v>0</v>
      </c>
      <c r="J53" s="24">
        <v>42.6</v>
      </c>
      <c r="K53" s="25">
        <f t="shared" si="20"/>
        <v>-9.3023255813953157E-3</v>
      </c>
      <c r="L53" s="94">
        <f>IF(ISNUMBER(J53), $B64 * K53, "")</f>
        <v>-1395.3488372092975</v>
      </c>
      <c r="M53" s="92">
        <v>42.6</v>
      </c>
      <c r="N53" s="25">
        <f t="shared" si="21"/>
        <v>-9.3023255813953157E-3</v>
      </c>
      <c r="O53" s="94">
        <f>IF(ISNUMBER(M53), $B64 * N53, "")</f>
        <v>-1395.3488372092975</v>
      </c>
      <c r="Q53" s="147"/>
      <c r="R53" s="148"/>
      <c r="S53" s="149"/>
    </row>
    <row r="54" spans="1:19" ht="17.25" customHeight="1">
      <c r="A54" s="107" t="s">
        <v>207</v>
      </c>
      <c r="B54" s="108">
        <v>79.3</v>
      </c>
      <c r="C54" s="69">
        <v>-1.2594457999999999E-3</v>
      </c>
      <c r="D54" s="13">
        <v>86</v>
      </c>
      <c r="E54" s="14">
        <f>IF(ISNUMBER(D54), (D54 - $B54) / $B54, "")</f>
        <v>8.4489281210592723E-2</v>
      </c>
      <c r="F54" s="16">
        <f>IF(ISNUMBER(D54), $B64 * E54, "")</f>
        <v>12673.392181588908</v>
      </c>
      <c r="G54" s="29">
        <v>85.2</v>
      </c>
      <c r="H54" s="14">
        <f>IF(ISNUMBER(G54), (G54 - $B54) / $B54, "")</f>
        <v>7.4401008827238407E-2</v>
      </c>
      <c r="I54" s="90">
        <f>IF(ISNUMBER(G54), $B64 * H54, "")</f>
        <v>11160.15132408576</v>
      </c>
      <c r="J54" s="13">
        <v>83.3</v>
      </c>
      <c r="K54" s="14">
        <f>IF(ISNUMBER(J54), (J54 - $B54) / $B54, "")</f>
        <v>5.0441361916771753E-2</v>
      </c>
      <c r="L54" s="16">
        <f>IF(ISNUMBER(J54), $B64 * K54, "")</f>
        <v>7566.2042875157631</v>
      </c>
      <c r="M54" s="29">
        <v>80.900000000000006</v>
      </c>
      <c r="N54" s="14">
        <f>IF(ISNUMBER(M54), (M54 - $B54) / $B54, "")</f>
        <v>2.0176544766708809E-2</v>
      </c>
      <c r="O54" s="16">
        <f>IF(ISNUMBER(M54), $B64 * N54, "")</f>
        <v>3026.4817150063213</v>
      </c>
      <c r="Q54" s="150"/>
      <c r="R54" s="151"/>
      <c r="S54" s="152"/>
    </row>
    <row r="55" spans="1:19" ht="17.25" customHeight="1" thickBot="1">
      <c r="A55" s="109" t="s">
        <v>64</v>
      </c>
      <c r="B55" s="110">
        <v>12</v>
      </c>
      <c r="C55" s="70">
        <v>-8.2644628000000005E-3</v>
      </c>
      <c r="D55" s="15">
        <v>12.4</v>
      </c>
      <c r="E55" s="32">
        <f t="shared" ref="E55:E58" si="22">IF(ISNUMBER(D55), (D55 - $B55) / $B55, "")</f>
        <v>3.3333333333333361E-2</v>
      </c>
      <c r="F55" s="18">
        <f>IF(ISNUMBER(D55), $B64 * E55, "")</f>
        <v>5000.0000000000045</v>
      </c>
      <c r="G55" s="31">
        <v>12.1</v>
      </c>
      <c r="H55" s="32">
        <f t="shared" ref="H55:H58" si="23">IF(ISNUMBER(G55), (G55 - $B55) / $B55, "")</f>
        <v>8.3333333333333037E-3</v>
      </c>
      <c r="I55" s="91">
        <f>IF(ISNUMBER(G55), $B64 * H55, "")</f>
        <v>1249.9999999999955</v>
      </c>
      <c r="J55" s="15">
        <v>12.1</v>
      </c>
      <c r="K55" s="32">
        <f t="shared" ref="K55:K58" si="24">IF(ISNUMBER(J55), (J55 - $B55) / $B55, "")</f>
        <v>8.3333333333333037E-3</v>
      </c>
      <c r="L55" s="18">
        <f>IF(ISNUMBER(J55), $B64 * K55, "")</f>
        <v>1249.9999999999955</v>
      </c>
      <c r="M55" s="31">
        <v>11.9</v>
      </c>
      <c r="N55" s="32">
        <f t="shared" ref="N55:N58" si="25">IF(ISNUMBER(M55), (M55 - $B55) / $B55, "")</f>
        <v>-8.3333333333333037E-3</v>
      </c>
      <c r="O55" s="18">
        <f>IF(ISNUMBER(M55), $B64 * N55, "")</f>
        <v>-1249.9999999999955</v>
      </c>
      <c r="Q55" s="153"/>
      <c r="R55" s="154"/>
      <c r="S55" s="155"/>
    </row>
    <row r="56" spans="1:19" ht="17.25" customHeight="1" thickBot="1">
      <c r="A56" s="109" t="s">
        <v>126</v>
      </c>
      <c r="B56" s="110">
        <v>30.3</v>
      </c>
      <c r="C56" s="70">
        <v>-9.8039215999999995E-3</v>
      </c>
      <c r="D56" s="15">
        <v>30.7</v>
      </c>
      <c r="E56" s="32">
        <f t="shared" si="22"/>
        <v>1.3201320132013155E-2</v>
      </c>
      <c r="F56" s="18">
        <f>IF(ISNUMBER(D56), $B64 * E56, "")</f>
        <v>1980.1980198019733</v>
      </c>
      <c r="G56" s="31">
        <v>30.2</v>
      </c>
      <c r="H56" s="32">
        <f t="shared" si="23"/>
        <v>-3.3003300330033472E-3</v>
      </c>
      <c r="I56" s="91">
        <f>IF(ISNUMBER(G56), $B64 * H56, "")</f>
        <v>-495.04950495050207</v>
      </c>
      <c r="J56" s="15">
        <v>30</v>
      </c>
      <c r="K56" s="32">
        <f t="shared" si="24"/>
        <v>-9.9009900990099237E-3</v>
      </c>
      <c r="L56" s="18">
        <f>IF(ISNUMBER(J56), $B64 * K56, "")</f>
        <v>-1485.1485148514885</v>
      </c>
      <c r="M56" s="31">
        <v>29.8</v>
      </c>
      <c r="N56" s="32">
        <f t="shared" si="25"/>
        <v>-1.65016501650165E-2</v>
      </c>
      <c r="O56" s="18">
        <f>IF(ISNUMBER(M56), $B64 * N56, "")</f>
        <v>-2475.2475247524749</v>
      </c>
      <c r="Q56" s="146"/>
      <c r="R56" s="146"/>
      <c r="S56" s="146"/>
    </row>
    <row r="57" spans="1:19" ht="17.25" customHeight="1" thickBot="1">
      <c r="A57" s="109" t="s">
        <v>124</v>
      </c>
      <c r="B57" s="110">
        <v>36.9</v>
      </c>
      <c r="C57" s="70">
        <v>-1.3368984E-2</v>
      </c>
      <c r="D57" s="15">
        <v>40.799999999999997</v>
      </c>
      <c r="E57" s="32">
        <f t="shared" si="22"/>
        <v>0.10569105691056907</v>
      </c>
      <c r="F57" s="18">
        <f>IF(ISNUMBER(D57), $B64 * E57, "")</f>
        <v>15853.658536585361</v>
      </c>
      <c r="G57" s="31">
        <v>39.5</v>
      </c>
      <c r="H57" s="32">
        <f t="shared" si="23"/>
        <v>7.0460704607046107E-2</v>
      </c>
      <c r="I57" s="91">
        <f>IF(ISNUMBER(G57), $B64 * H57, "")</f>
        <v>10569.105691056917</v>
      </c>
      <c r="J57" s="15">
        <v>39</v>
      </c>
      <c r="K57" s="32">
        <f t="shared" si="24"/>
        <v>5.6910569105691096E-2</v>
      </c>
      <c r="L57" s="18">
        <f>IF(ISNUMBER(J57), $B64 * K57, "")</f>
        <v>8536.5853658536653</v>
      </c>
      <c r="M57" s="31">
        <v>38</v>
      </c>
      <c r="N57" s="32">
        <f t="shared" si="25"/>
        <v>2.9810298102981071E-2</v>
      </c>
      <c r="O57" s="18">
        <f>IF(ISNUMBER(M57), $B64 * N57, "")</f>
        <v>4471.5447154471603</v>
      </c>
      <c r="Q57" s="156"/>
      <c r="R57" s="156"/>
      <c r="S57" s="156"/>
    </row>
    <row r="58" spans="1:19" ht="17.25" customHeight="1" thickBot="1">
      <c r="A58" s="111" t="s">
        <v>141</v>
      </c>
      <c r="B58" s="112">
        <v>4.47</v>
      </c>
      <c r="C58" s="71">
        <v>-1.7582417600000001E-2</v>
      </c>
      <c r="D58" s="20">
        <v>4.7</v>
      </c>
      <c r="E58" s="21">
        <f t="shared" si="22"/>
        <v>5.1454138702460947E-2</v>
      </c>
      <c r="F58" s="22">
        <f>IF(ISNUMBER(D58), $B64 * E58, "")</f>
        <v>7718.1208053691416</v>
      </c>
      <c r="G58" s="30">
        <v>4.5999999999999996</v>
      </c>
      <c r="H58" s="21">
        <f t="shared" si="23"/>
        <v>2.908277404921698E-2</v>
      </c>
      <c r="I58" s="95">
        <f>IF(ISNUMBER(G58), $B64 * H58, "")</f>
        <v>4362.4161073825471</v>
      </c>
      <c r="J58" s="20">
        <v>4.5599999999999996</v>
      </c>
      <c r="K58" s="21">
        <f t="shared" si="24"/>
        <v>2.0134228187919434E-2</v>
      </c>
      <c r="L58" s="22">
        <f>IF(ISNUMBER(J58), $B64 * K58, "")</f>
        <v>3020.1342281879151</v>
      </c>
      <c r="M58" s="30">
        <v>4.5999999999999996</v>
      </c>
      <c r="N58" s="21">
        <f t="shared" si="25"/>
        <v>2.908277404921698E-2</v>
      </c>
      <c r="O58" s="22">
        <f>IF(ISNUMBER(M58), $B64 * N58, "")</f>
        <v>4362.4161073825471</v>
      </c>
      <c r="Q58" s="156"/>
      <c r="R58" s="156"/>
      <c r="S58" s="156"/>
    </row>
    <row r="59" spans="1:19" ht="17.25" customHeight="1" thickBot="1">
      <c r="A59" s="109" t="s">
        <v>203</v>
      </c>
      <c r="B59" s="113">
        <v>3.76</v>
      </c>
      <c r="C59" s="73">
        <v>-1.82767624E-2</v>
      </c>
      <c r="D59" s="96">
        <v>3.98</v>
      </c>
      <c r="E59" s="97">
        <f>IF(ISNUMBER(D59), (D59 - $B59) / $B59, "")</f>
        <v>5.8510638297872397E-2</v>
      </c>
      <c r="F59" s="98">
        <f>IF(ISNUMBER(D59), $B64 * E59, "")</f>
        <v>8776.5957446808588</v>
      </c>
      <c r="G59" s="99">
        <v>3.83</v>
      </c>
      <c r="H59" s="97">
        <f>IF(ISNUMBER(G59), (G59 - $B59) / $B59, "")</f>
        <v>1.861702127659582E-2</v>
      </c>
      <c r="I59" s="100">
        <f>IF(ISNUMBER(G59), $B64 * H59, "")</f>
        <v>2792.5531914893731</v>
      </c>
      <c r="J59" s="96">
        <v>3.79</v>
      </c>
      <c r="K59" s="97">
        <f>IF(ISNUMBER(J59), (J59 - $B59) / $B59, "")</f>
        <v>7.9787234042553862E-3</v>
      </c>
      <c r="L59" s="98">
        <f>IF(ISNUMBER(J59), $B64 * K59, "")</f>
        <v>1196.808510638308</v>
      </c>
      <c r="M59" s="99">
        <v>3.84</v>
      </c>
      <c r="N59" s="97">
        <f>IF(ISNUMBER(M59), (M59 - $B59) / $B59, "")</f>
        <v>2.1276595744680871E-2</v>
      </c>
      <c r="O59" s="98">
        <f>IF(ISNUMBER(M59), $B64 * N59, "")</f>
        <v>3191.4893617021307</v>
      </c>
      <c r="Q59" s="146"/>
      <c r="R59" s="146"/>
      <c r="S59" s="146"/>
    </row>
    <row r="60" spans="1:19" ht="17.25" customHeight="1" thickBot="1">
      <c r="A60" s="109" t="s">
        <v>253</v>
      </c>
      <c r="B60" s="110">
        <v>87.7</v>
      </c>
      <c r="C60" s="70">
        <v>-1.901566E-2</v>
      </c>
      <c r="D60" s="15">
        <v>89.6</v>
      </c>
      <c r="E60" s="32">
        <f t="shared" ref="E60:E63" si="26">IF(ISNUMBER(D60), (D60 - $B60) / $B60, "")</f>
        <v>2.166476624857459E-2</v>
      </c>
      <c r="F60" s="18">
        <f>IF(ISNUMBER(D60), $B64 * E60, "")</f>
        <v>3249.7149372861886</v>
      </c>
      <c r="G60" s="31">
        <v>88.2</v>
      </c>
      <c r="H60" s="32">
        <f t="shared" ref="H60:H63" si="27">IF(ISNUMBER(G60), (G60 - $B60) / $B60, "")</f>
        <v>5.7012542759407071E-3</v>
      </c>
      <c r="I60" s="91">
        <f>IF(ISNUMBER(G60), $B64 * H60, "")</f>
        <v>855.18814139110611</v>
      </c>
      <c r="J60" s="15">
        <v>87.9</v>
      </c>
      <c r="K60" s="32">
        <f t="shared" ref="K60:K63" si="28">IF(ISNUMBER(J60), (J60 - $B60) / $B60, "")</f>
        <v>2.2805017103763149E-3</v>
      </c>
      <c r="L60" s="18">
        <f>IF(ISNUMBER(J60), $B64 * K60, "")</f>
        <v>342.07525655644724</v>
      </c>
      <c r="M60" s="31">
        <v>87.9</v>
      </c>
      <c r="N60" s="32">
        <f t="shared" ref="N60:N63" si="29">IF(ISNUMBER(M60), (M60 - $B60) / $B60, "")</f>
        <v>2.2805017103763149E-3</v>
      </c>
      <c r="O60" s="18">
        <f>IF(ISNUMBER(M60), $B64 * N60, "")</f>
        <v>342.07525655644724</v>
      </c>
      <c r="Q60" s="146"/>
      <c r="R60" s="146"/>
      <c r="S60" s="146"/>
    </row>
    <row r="61" spans="1:19" ht="17.25" customHeight="1" thickBot="1">
      <c r="A61" s="109" t="s">
        <v>197</v>
      </c>
      <c r="B61" s="110">
        <v>10.3</v>
      </c>
      <c r="C61" s="70">
        <v>-1.9047618999999998E-2</v>
      </c>
      <c r="D61" s="15">
        <v>10.9</v>
      </c>
      <c r="E61" s="32">
        <f t="shared" si="26"/>
        <v>5.825242718446598E-2</v>
      </c>
      <c r="F61" s="18">
        <f>IF(ISNUMBER(D61), $B64 * E61, "")</f>
        <v>8737.8640776698976</v>
      </c>
      <c r="G61" s="31">
        <v>10.4</v>
      </c>
      <c r="H61" s="32">
        <f t="shared" si="27"/>
        <v>9.7087378640776344E-3</v>
      </c>
      <c r="I61" s="91">
        <f>IF(ISNUMBER(G61), $B64 * H61, "")</f>
        <v>1456.3106796116451</v>
      </c>
      <c r="J61" s="15">
        <v>10.4</v>
      </c>
      <c r="K61" s="32">
        <f t="shared" si="28"/>
        <v>9.7087378640776344E-3</v>
      </c>
      <c r="L61" s="18">
        <f>IF(ISNUMBER(J61), $B64 * K61, "")</f>
        <v>1456.3106796116451</v>
      </c>
      <c r="M61" s="31">
        <v>10.4</v>
      </c>
      <c r="N61" s="32">
        <f t="shared" si="29"/>
        <v>9.7087378640776344E-3</v>
      </c>
      <c r="O61" s="18">
        <f>IF(ISNUMBER(M61), $B64 * N61, "")</f>
        <v>1456.3106796116451</v>
      </c>
      <c r="Q61" s="146"/>
      <c r="R61" s="146"/>
      <c r="S61" s="146"/>
    </row>
    <row r="62" spans="1:19" ht="17.25" customHeight="1">
      <c r="A62" s="109" t="s">
        <v>221</v>
      </c>
      <c r="B62" s="110">
        <v>21.9</v>
      </c>
      <c r="C62" s="70">
        <v>-2.2321428599999998E-2</v>
      </c>
      <c r="D62" s="15">
        <v>22.7</v>
      </c>
      <c r="E62" s="32">
        <f t="shared" si="26"/>
        <v>3.6529680365296836E-2</v>
      </c>
      <c r="F62" s="18">
        <f>IF(ISNUMBER(D62), $B64 * E62, "")</f>
        <v>5479.4520547945258</v>
      </c>
      <c r="G62" s="31">
        <v>22</v>
      </c>
      <c r="H62" s="32">
        <f t="shared" si="27"/>
        <v>4.5662100456621653E-3</v>
      </c>
      <c r="I62" s="91">
        <f>IF(ISNUMBER(G62), $B64 * H62, "")</f>
        <v>684.93150684932482</v>
      </c>
      <c r="J62" s="15">
        <v>21.8</v>
      </c>
      <c r="K62" s="32">
        <f t="shared" si="28"/>
        <v>-4.5662100456620031E-3</v>
      </c>
      <c r="L62" s="18">
        <f>IF(ISNUMBER(J62), $B64 * K62, "")</f>
        <v>-684.93150684930049</v>
      </c>
      <c r="M62" s="31">
        <v>22</v>
      </c>
      <c r="N62" s="32">
        <f t="shared" si="29"/>
        <v>4.5662100456621653E-3</v>
      </c>
      <c r="O62" s="18">
        <f>IF(ISNUMBER(M62), $B64 * N62, "")</f>
        <v>684.93150684932482</v>
      </c>
      <c r="Q62" s="135"/>
      <c r="R62" s="136"/>
      <c r="S62" s="137"/>
    </row>
    <row r="63" spans="1:19" ht="17.25" customHeight="1" thickBot="1">
      <c r="A63" s="114" t="s">
        <v>323</v>
      </c>
      <c r="B63" s="115">
        <v>83</v>
      </c>
      <c r="C63" s="72">
        <v>-2.35294118E-2</v>
      </c>
      <c r="D63" s="24">
        <v>86.8</v>
      </c>
      <c r="E63" s="25">
        <f t="shared" si="26"/>
        <v>4.5783132530120445E-2</v>
      </c>
      <c r="F63" s="94">
        <f>IF(ISNUMBER(D63), $B64 * E63, "")</f>
        <v>6867.4698795180666</v>
      </c>
      <c r="G63" s="92">
        <v>85.2</v>
      </c>
      <c r="H63" s="25">
        <f t="shared" si="27"/>
        <v>2.6506024096385576E-2</v>
      </c>
      <c r="I63" s="93">
        <f>IF(ISNUMBER(G63), $B64 * H63, "")</f>
        <v>3975.9036144578363</v>
      </c>
      <c r="J63" s="24">
        <v>84.9</v>
      </c>
      <c r="K63" s="25">
        <f t="shared" si="28"/>
        <v>2.2891566265060309E-2</v>
      </c>
      <c r="L63" s="94">
        <f>IF(ISNUMBER(J63), $B64 * K63, "")</f>
        <v>3433.7349397590465</v>
      </c>
      <c r="M63" s="92">
        <v>86</v>
      </c>
      <c r="N63" s="25">
        <f t="shared" si="29"/>
        <v>3.614457831325301E-2</v>
      </c>
      <c r="O63" s="94">
        <f>IF(ISNUMBER(M63), $B64 * N63, "")</f>
        <v>5421.6867469879517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3.4680401804210337E-2</v>
      </c>
      <c r="F64" s="28">
        <f>SUM(F44:F63)</f>
        <v>104041.20541263101</v>
      </c>
      <c r="G64" s="26" t="s">
        <v>258</v>
      </c>
      <c r="H64" s="27">
        <f>IF(COUNT(H44:H63), SUM(H44:H63) / COUNT(H44:H63), 0)</f>
        <v>8.960789271473835E-3</v>
      </c>
      <c r="I64" s="28">
        <f>SUM(I44:I63)</f>
        <v>26882.367814421501</v>
      </c>
      <c r="J64" s="26" t="s">
        <v>258</v>
      </c>
      <c r="K64" s="27">
        <f>IF(COUNT(K44:K63), SUM(K44:K63) / COUNT(K44:K63), 0)</f>
        <v>5.7589967752203484E-4</v>
      </c>
      <c r="L64" s="28">
        <f>SUM(L44:L63)</f>
        <v>1727.6990325661031</v>
      </c>
      <c r="M64" s="26" t="s">
        <v>258</v>
      </c>
      <c r="N64" s="27">
        <f>IF(COUNT(N44:N63), SUM(N44:N63) / COUNT(N44:N63), 0)</f>
        <v>-1.4696925915159409E-3</v>
      </c>
      <c r="O64" s="28">
        <f>SUM(O44:O63)</f>
        <v>-4409.0777745478235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2023-03-11(토) 오전 00:00</v>
      </c>
      <c r="C69" s="198"/>
      <c r="D69" s="170" t="str">
        <f>TEXT($G$1, "[$-ko-KR]yyyy-mm-dd(ddd) ") &amp; "오후 14:00"</f>
        <v>2023-03-11(토) 오후 14:00</v>
      </c>
      <c r="E69" s="171"/>
      <c r="F69" s="172"/>
      <c r="G69" s="170" t="str">
        <f>TEXT($G$1, "[$-ko-KR]yyyy-mm-dd(ddd) ") &amp; "오후 19:00"</f>
        <v>2023-03-11(토) 오후 19:00</v>
      </c>
      <c r="H69" s="171"/>
      <c r="I69" s="172"/>
      <c r="J69" s="170" t="str">
        <f>TEXT($G$1, "[$-ko-KR]yyyy-mm-dd(ddd) ") &amp; "오후 21:00"</f>
        <v>2023-03-11(토) 오후 21:00</v>
      </c>
      <c r="K69" s="171"/>
      <c r="L69" s="172"/>
      <c r="M69" s="170" t="str">
        <f>TEXT($G$1+1, "[$-ko-KR]yyyy-mm-dd(ddd) ") &amp; "오전 00:00"</f>
        <v>2023-03-12(일)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187</v>
      </c>
      <c r="B71" s="108">
        <v>911</v>
      </c>
      <c r="C71" s="69">
        <v>5.8072009299999998E-2</v>
      </c>
      <c r="D71" s="13">
        <v>884</v>
      </c>
      <c r="E71" s="14">
        <f>IF(ISNUMBER(D71), (D71 - $B71) / $B71, "")</f>
        <v>-2.9637760702524697E-2</v>
      </c>
      <c r="F71" s="16">
        <f>IF(ISNUMBER(D71), $B91 * E71, "")</f>
        <v>-4445.6641053787043</v>
      </c>
      <c r="G71" s="29">
        <v>860</v>
      </c>
      <c r="H71" s="14">
        <f>IF(ISNUMBER(G71), (G71 - $B71) / $B71, "")</f>
        <v>-5.598243688254665E-2</v>
      </c>
      <c r="I71" s="90">
        <f>IF(ISNUMBER(G71), $B91 * H71, "")</f>
        <v>-8397.3655323819967</v>
      </c>
      <c r="J71" s="13">
        <v>859</v>
      </c>
      <c r="K71" s="14">
        <f>IF(ISNUMBER(J71), (J71 - $B71) / $B71, "")</f>
        <v>-5.7080131723380903E-2</v>
      </c>
      <c r="L71" s="16">
        <f>IF(ISNUMBER(J71), $B91 * K71, "")</f>
        <v>-8562.0197585071346</v>
      </c>
      <c r="M71" s="29">
        <v>860</v>
      </c>
      <c r="N71" s="14">
        <f>IF(ISNUMBER(M71), (M71 - $B71) / $B71, "")</f>
        <v>-5.598243688254665E-2</v>
      </c>
      <c r="O71" s="16">
        <f>IF(ISNUMBER(M71), $B91 * N71, "")</f>
        <v>-8397.3655323819967</v>
      </c>
      <c r="Q71" s="156"/>
      <c r="R71" s="156"/>
      <c r="S71" s="156"/>
    </row>
    <row r="72" spans="1:19" ht="17.25" thickBot="1">
      <c r="A72" s="109" t="s">
        <v>81</v>
      </c>
      <c r="B72" s="110">
        <v>420</v>
      </c>
      <c r="C72" s="70">
        <v>0</v>
      </c>
      <c r="D72" s="15">
        <v>428</v>
      </c>
      <c r="E72" s="32">
        <f t="shared" ref="E72:E75" si="30">IF(ISNUMBER(D72), (D72 - $B72) / $B72, "")</f>
        <v>1.9047619047619049E-2</v>
      </c>
      <c r="F72" s="18">
        <f>IF(ISNUMBER(D72), $B91 * E72, "")</f>
        <v>2857.1428571428573</v>
      </c>
      <c r="G72" s="31">
        <v>422</v>
      </c>
      <c r="H72" s="32">
        <f t="shared" ref="H72:H75" si="31">IF(ISNUMBER(G72), (G72 - $B72) / $B72, "")</f>
        <v>4.7619047619047623E-3</v>
      </c>
      <c r="I72" s="91">
        <f>IF(ISNUMBER(G72), $B91 * H72, "")</f>
        <v>714.28571428571433</v>
      </c>
      <c r="J72" s="15">
        <v>418</v>
      </c>
      <c r="K72" s="32">
        <f t="shared" ref="K72:K75" si="32">IF(ISNUMBER(J72), (J72 - $B72) / $B72, "")</f>
        <v>-4.7619047619047623E-3</v>
      </c>
      <c r="L72" s="18">
        <f>IF(ISNUMBER(J72), $B91 * K72, "")</f>
        <v>-714.28571428571433</v>
      </c>
      <c r="M72" s="31">
        <v>417</v>
      </c>
      <c r="N72" s="32">
        <f t="shared" ref="N72:N75" si="33">IF(ISNUMBER(M72), (M72 - $B72) / $B72, "")</f>
        <v>-7.1428571428571426E-3</v>
      </c>
      <c r="O72" s="18">
        <f>IF(ISNUMBER(M72), $B91 * N72, "")</f>
        <v>-1071.4285714285713</v>
      </c>
      <c r="Q72" s="156"/>
      <c r="R72" s="156"/>
      <c r="S72" s="156"/>
    </row>
    <row r="73" spans="1:19" ht="17.25" thickBot="1">
      <c r="A73" s="109" t="s">
        <v>85</v>
      </c>
      <c r="B73" s="110">
        <v>143</v>
      </c>
      <c r="C73" s="70">
        <v>0</v>
      </c>
      <c r="D73" s="15">
        <v>148</v>
      </c>
      <c r="E73" s="32">
        <f t="shared" si="30"/>
        <v>3.4965034965034968E-2</v>
      </c>
      <c r="F73" s="18">
        <f>IF(ISNUMBER(D73), $B91 * E73, "")</f>
        <v>5244.7552447552453</v>
      </c>
      <c r="G73" s="31">
        <v>148</v>
      </c>
      <c r="H73" s="32">
        <f t="shared" si="31"/>
        <v>3.4965034965034968E-2</v>
      </c>
      <c r="I73" s="91">
        <f>IF(ISNUMBER(G73), $B91 * H73, "")</f>
        <v>5244.7552447552453</v>
      </c>
      <c r="J73" s="15">
        <v>146</v>
      </c>
      <c r="K73" s="32">
        <f t="shared" si="32"/>
        <v>2.097902097902098E-2</v>
      </c>
      <c r="L73" s="18">
        <f>IF(ISNUMBER(J73), $B91 * K73, "")</f>
        <v>3146.8531468531469</v>
      </c>
      <c r="M73" s="31">
        <v>146</v>
      </c>
      <c r="N73" s="32">
        <f t="shared" si="33"/>
        <v>2.097902097902098E-2</v>
      </c>
      <c r="O73" s="18">
        <f>IF(ISNUMBER(M73), $B91 * N73, "")</f>
        <v>3146.8531468531469</v>
      </c>
      <c r="Q73" s="146"/>
      <c r="R73" s="146"/>
      <c r="S73" s="146"/>
    </row>
    <row r="74" spans="1:19" ht="17.25" thickBot="1">
      <c r="A74" s="109" t="s">
        <v>89</v>
      </c>
      <c r="B74" s="110">
        <v>498</v>
      </c>
      <c r="C74" s="70">
        <v>-5.9880239999999998E-3</v>
      </c>
      <c r="D74" s="15">
        <v>498</v>
      </c>
      <c r="E74" s="32">
        <f t="shared" si="30"/>
        <v>0</v>
      </c>
      <c r="F74" s="18">
        <f>IF(ISNUMBER(D74), $B91 * E74, "")</f>
        <v>0</v>
      </c>
      <c r="G74" s="31">
        <v>495</v>
      </c>
      <c r="H74" s="32">
        <f t="shared" si="31"/>
        <v>-6.024096385542169E-3</v>
      </c>
      <c r="I74" s="91">
        <f>IF(ISNUMBER(G74), $B91 * H74, "")</f>
        <v>-903.61445783132535</v>
      </c>
      <c r="J74" s="15">
        <v>493</v>
      </c>
      <c r="K74" s="32">
        <f t="shared" si="32"/>
        <v>-1.0040160642570281E-2</v>
      </c>
      <c r="L74" s="18">
        <f>IF(ISNUMBER(J74), $B91 * K74, "")</f>
        <v>-1506.0240963855422</v>
      </c>
      <c r="M74" s="31">
        <v>492</v>
      </c>
      <c r="N74" s="32">
        <f t="shared" si="33"/>
        <v>-1.2048192771084338E-2</v>
      </c>
      <c r="O74" s="18">
        <f>IF(ISNUMBER(M74), $B91 * N74, "")</f>
        <v>-1807.2289156626507</v>
      </c>
      <c r="Q74" s="146"/>
      <c r="R74" s="146"/>
      <c r="S74" s="146"/>
    </row>
    <row r="75" spans="1:19" ht="17.25" thickBot="1">
      <c r="A75" s="111" t="s">
        <v>51</v>
      </c>
      <c r="B75" s="112">
        <v>104</v>
      </c>
      <c r="C75" s="71">
        <v>-9.5238094999999991E-3</v>
      </c>
      <c r="D75" s="20">
        <v>105</v>
      </c>
      <c r="E75" s="21">
        <f t="shared" si="30"/>
        <v>9.6153846153846159E-3</v>
      </c>
      <c r="F75" s="22">
        <f>IF(ISNUMBER(D75), $B91 * E75, "")</f>
        <v>1442.3076923076924</v>
      </c>
      <c r="G75" s="30">
        <v>104</v>
      </c>
      <c r="H75" s="21">
        <f t="shared" si="31"/>
        <v>0</v>
      </c>
      <c r="I75" s="95">
        <f>IF(ISNUMBER(G75), $B91 * H75, "")</f>
        <v>0</v>
      </c>
      <c r="J75" s="20">
        <v>104</v>
      </c>
      <c r="K75" s="21">
        <f t="shared" si="32"/>
        <v>0</v>
      </c>
      <c r="L75" s="22">
        <f>IF(ISNUMBER(J75), $B91 * K75, "")</f>
        <v>0</v>
      </c>
      <c r="M75" s="30">
        <v>103</v>
      </c>
      <c r="N75" s="21">
        <f t="shared" si="33"/>
        <v>-9.6153846153846159E-3</v>
      </c>
      <c r="O75" s="22">
        <f>IF(ISNUMBER(M75), $B91 * N75, "")</f>
        <v>-1442.3076923076924</v>
      </c>
      <c r="Q75" s="146"/>
      <c r="R75" s="146"/>
      <c r="S75" s="146"/>
    </row>
    <row r="76" spans="1:19" ht="17.25" thickBot="1">
      <c r="A76" s="109" t="s">
        <v>340</v>
      </c>
      <c r="B76" s="113">
        <v>743</v>
      </c>
      <c r="C76" s="73">
        <v>-1.0652463399999999E-2</v>
      </c>
      <c r="D76" s="96">
        <v>761</v>
      </c>
      <c r="E76" s="97">
        <f>IF(ISNUMBER(D76), (D76 - $B76) / $B76, "")</f>
        <v>2.4226110363391656E-2</v>
      </c>
      <c r="F76" s="98">
        <f>IF(ISNUMBER(D76), $B91 * E76, "")</f>
        <v>3633.9165545087485</v>
      </c>
      <c r="G76" s="99">
        <v>727</v>
      </c>
      <c r="H76" s="97">
        <f>IF(ISNUMBER(G76), (G76 - $B76) / $B76, "")</f>
        <v>-2.1534320323014805E-2</v>
      </c>
      <c r="I76" s="100">
        <f>IF(ISNUMBER(G76), $B91 * H76, "")</f>
        <v>-3230.1480484522208</v>
      </c>
      <c r="J76" s="96">
        <v>716</v>
      </c>
      <c r="K76" s="97">
        <f>IF(ISNUMBER(J76), (J76 - $B76) / $B76, "")</f>
        <v>-3.6339165545087482E-2</v>
      </c>
      <c r="L76" s="98">
        <f>IF(ISNUMBER(J76), $B91 * K76, "")</f>
        <v>-5450.8748317631225</v>
      </c>
      <c r="M76" s="99">
        <v>712</v>
      </c>
      <c r="N76" s="97">
        <f>IF(ISNUMBER(M76), (M76 - $B76) / $B76, "")</f>
        <v>-4.1722745625841183E-2</v>
      </c>
      <c r="O76" s="98">
        <f>IF(ISNUMBER(M76), $B91 * N76, "")</f>
        <v>-6258.411843876177</v>
      </c>
      <c r="Q76" s="146"/>
      <c r="R76" s="146"/>
      <c r="S76" s="146"/>
    </row>
    <row r="77" spans="1:19" ht="17.25" thickBot="1">
      <c r="A77" s="109" t="s">
        <v>223</v>
      </c>
      <c r="B77" s="110">
        <v>234</v>
      </c>
      <c r="C77" s="70">
        <v>-1.26582278E-2</v>
      </c>
      <c r="D77" s="15">
        <v>241</v>
      </c>
      <c r="E77" s="32">
        <f t="shared" ref="E77:E80" si="34">IF(ISNUMBER(D77), (D77 - $B77) / $B77, "")</f>
        <v>2.9914529914529916E-2</v>
      </c>
      <c r="F77" s="18">
        <f>IF(ISNUMBER(D77), $B91 * E77, "")</f>
        <v>4487.1794871794873</v>
      </c>
      <c r="G77" s="31">
        <v>236</v>
      </c>
      <c r="H77" s="32">
        <f t="shared" ref="H77:H80" si="35">IF(ISNUMBER(G77), (G77 - $B77) / $B77, "")</f>
        <v>8.5470085470085479E-3</v>
      </c>
      <c r="I77" s="91">
        <f>IF(ISNUMBER(G77), $B91 * H77, "")</f>
        <v>1282.0512820512822</v>
      </c>
      <c r="J77" s="15">
        <v>235</v>
      </c>
      <c r="K77" s="32">
        <f t="shared" ref="K77:K80" si="36">IF(ISNUMBER(J77), (J77 - $B77) / $B77, "")</f>
        <v>4.2735042735042739E-3</v>
      </c>
      <c r="L77" s="18">
        <f>IF(ISNUMBER(J77), $B91 * K77, "")</f>
        <v>641.02564102564111</v>
      </c>
      <c r="M77" s="31">
        <v>235</v>
      </c>
      <c r="N77" s="32">
        <f t="shared" ref="N77:N80" si="37">IF(ISNUMBER(M77), (M77 - $B77) / $B77, "")</f>
        <v>4.2735042735042739E-3</v>
      </c>
      <c r="O77" s="18">
        <f>IF(ISNUMBER(M77), $B91 * N77, "")</f>
        <v>641.02564102564111</v>
      </c>
      <c r="Q77" s="146"/>
      <c r="R77" s="146"/>
      <c r="S77" s="146"/>
    </row>
    <row r="78" spans="1:19" ht="17.25" thickBot="1">
      <c r="A78" s="109" t="s">
        <v>346</v>
      </c>
      <c r="B78" s="110">
        <v>257</v>
      </c>
      <c r="C78" s="70">
        <v>-1.5325670499999999E-2</v>
      </c>
      <c r="D78" s="15">
        <v>255</v>
      </c>
      <c r="E78" s="32">
        <f t="shared" si="34"/>
        <v>-7.7821011673151752E-3</v>
      </c>
      <c r="F78" s="18">
        <f>IF(ISNUMBER(D78), $B91 * E78, "")</f>
        <v>-1167.3151750972763</v>
      </c>
      <c r="G78" s="31">
        <v>247</v>
      </c>
      <c r="H78" s="32">
        <f t="shared" si="35"/>
        <v>-3.8910505836575876E-2</v>
      </c>
      <c r="I78" s="91">
        <f>IF(ISNUMBER(G78), $B91 * H78, "")</f>
        <v>-5836.5758754863818</v>
      </c>
      <c r="J78" s="15">
        <v>248</v>
      </c>
      <c r="K78" s="32">
        <f t="shared" si="36"/>
        <v>-3.5019455252918288E-2</v>
      </c>
      <c r="L78" s="18">
        <f>IF(ISNUMBER(J78), $B91 * K78, "")</f>
        <v>-5252.9182879377431</v>
      </c>
      <c r="M78" s="31">
        <v>249</v>
      </c>
      <c r="N78" s="32">
        <f t="shared" si="37"/>
        <v>-3.1128404669260701E-2</v>
      </c>
      <c r="O78" s="18">
        <f>IF(ISNUMBER(M78), $B91 * N78, "")</f>
        <v>-4669.2607003891053</v>
      </c>
      <c r="Q78" s="146"/>
      <c r="R78" s="146"/>
      <c r="S78" s="146"/>
    </row>
    <row r="79" spans="1:19" ht="17.25" thickBot="1">
      <c r="A79" s="109" t="s">
        <v>199</v>
      </c>
      <c r="B79" s="110">
        <v>315</v>
      </c>
      <c r="C79" s="70">
        <v>-1.5625E-2</v>
      </c>
      <c r="D79" s="15">
        <v>321</v>
      </c>
      <c r="E79" s="32">
        <f t="shared" si="34"/>
        <v>1.9047619047619049E-2</v>
      </c>
      <c r="F79" s="18">
        <f>IF(ISNUMBER(D79), $B91 * E79, "")</f>
        <v>2857.1428571428573</v>
      </c>
      <c r="G79" s="31">
        <v>312</v>
      </c>
      <c r="H79" s="32">
        <f t="shared" si="35"/>
        <v>-9.5238095238095247E-3</v>
      </c>
      <c r="I79" s="91">
        <f>IF(ISNUMBER(G79), $B91 * H79, "")</f>
        <v>-1428.5714285714287</v>
      </c>
      <c r="J79" s="15">
        <v>311</v>
      </c>
      <c r="K79" s="32">
        <f t="shared" si="36"/>
        <v>-1.2698412698412698E-2</v>
      </c>
      <c r="L79" s="18">
        <f>IF(ISNUMBER(J79), $B91 * K79, "")</f>
        <v>-1904.7619047619048</v>
      </c>
      <c r="M79" s="31">
        <v>314</v>
      </c>
      <c r="N79" s="32">
        <f t="shared" si="37"/>
        <v>-3.1746031746031746E-3</v>
      </c>
      <c r="O79" s="18">
        <f>IF(ISNUMBER(M79), $B91 * N79, "")</f>
        <v>-476.1904761904762</v>
      </c>
      <c r="Q79" s="33"/>
      <c r="R79" s="33"/>
    </row>
    <row r="80" spans="1:19" ht="17.25" thickBot="1">
      <c r="A80" s="114" t="s">
        <v>205</v>
      </c>
      <c r="B80" s="115">
        <v>119</v>
      </c>
      <c r="C80" s="72">
        <v>-1.6528925600000001E-2</v>
      </c>
      <c r="D80" s="24">
        <v>125</v>
      </c>
      <c r="E80" s="25">
        <f t="shared" si="34"/>
        <v>5.0420168067226892E-2</v>
      </c>
      <c r="F80" s="94">
        <f>IF(ISNUMBER(D80), $B91 * E80, "")</f>
        <v>7563.0252100840335</v>
      </c>
      <c r="G80" s="92">
        <v>121</v>
      </c>
      <c r="H80" s="25">
        <f t="shared" si="35"/>
        <v>1.680672268907563E-2</v>
      </c>
      <c r="I80" s="93">
        <f>IF(ISNUMBER(G80), $B91 * H80, "")</f>
        <v>2521.0084033613443</v>
      </c>
      <c r="J80" s="24">
        <v>123</v>
      </c>
      <c r="K80" s="25">
        <f t="shared" si="36"/>
        <v>3.3613445378151259E-2</v>
      </c>
      <c r="L80" s="94">
        <f>IF(ISNUMBER(J80), $B91 * K80, "")</f>
        <v>5042.0168067226887</v>
      </c>
      <c r="M80" s="92">
        <v>123</v>
      </c>
      <c r="N80" s="25">
        <f t="shared" si="37"/>
        <v>3.3613445378151259E-2</v>
      </c>
      <c r="O80" s="94">
        <f>IF(ISNUMBER(M80), $B91 * N80, "")</f>
        <v>5042.0168067226887</v>
      </c>
      <c r="Q80" s="147"/>
      <c r="R80" s="148"/>
      <c r="S80" s="149"/>
    </row>
    <row r="81" spans="1:19">
      <c r="A81" s="107" t="s">
        <v>241</v>
      </c>
      <c r="B81" s="108">
        <v>106</v>
      </c>
      <c r="C81" s="69">
        <v>-1.8518518500000001E-2</v>
      </c>
      <c r="D81" s="13">
        <v>109</v>
      </c>
      <c r="E81" s="14">
        <f>IF(ISNUMBER(D81), (D81 - $B81) / $B81, "")</f>
        <v>2.8301886792452831E-2</v>
      </c>
      <c r="F81" s="16">
        <f>IF(ISNUMBER(D81), $B91 * E81, "")</f>
        <v>4245.2830188679245</v>
      </c>
      <c r="G81" s="29">
        <v>106</v>
      </c>
      <c r="H81" s="14">
        <f>IF(ISNUMBER(G81), (G81 - $B81) / $B81, "")</f>
        <v>0</v>
      </c>
      <c r="I81" s="90">
        <f>IF(ISNUMBER(G81), $B91 * H81, "")</f>
        <v>0</v>
      </c>
      <c r="J81" s="13">
        <v>106</v>
      </c>
      <c r="K81" s="14">
        <f>IF(ISNUMBER(J81), (J81 - $B81) / $B81, "")</f>
        <v>0</v>
      </c>
      <c r="L81" s="16">
        <f>IF(ISNUMBER(J81), $B91 * K81, "")</f>
        <v>0</v>
      </c>
      <c r="M81" s="29">
        <v>107</v>
      </c>
      <c r="N81" s="14">
        <f>IF(ISNUMBER(M81), (M81 - $B81) / $B81, "")</f>
        <v>9.433962264150943E-3</v>
      </c>
      <c r="O81" s="16">
        <f>IF(ISNUMBER(M81), $B91 * N81, "")</f>
        <v>1415.0943396226414</v>
      </c>
      <c r="Q81" s="150"/>
      <c r="R81" s="151"/>
      <c r="S81" s="152"/>
    </row>
    <row r="82" spans="1:19" ht="17.25" thickBot="1">
      <c r="A82" s="109" t="s">
        <v>103</v>
      </c>
      <c r="B82" s="110">
        <v>265</v>
      </c>
      <c r="C82" s="70">
        <v>-1.8518518500000001E-2</v>
      </c>
      <c r="D82" s="15">
        <v>272</v>
      </c>
      <c r="E82" s="32">
        <f t="shared" ref="E82:E85" si="38">IF(ISNUMBER(D82), (D82 - $B82) / $B82, "")</f>
        <v>2.6415094339622643E-2</v>
      </c>
      <c r="F82" s="18">
        <f>IF(ISNUMBER(D82), $B91 * E82, "")</f>
        <v>3962.2641509433965</v>
      </c>
      <c r="G82" s="31">
        <v>266</v>
      </c>
      <c r="H82" s="32">
        <f t="shared" ref="H82:H85" si="39">IF(ISNUMBER(G82), (G82 - $B82) / $B82, "")</f>
        <v>3.7735849056603774E-3</v>
      </c>
      <c r="I82" s="91">
        <f>IF(ISNUMBER(G82), $B91 * H82, "")</f>
        <v>566.03773584905662</v>
      </c>
      <c r="J82" s="15">
        <v>264</v>
      </c>
      <c r="K82" s="32">
        <f t="shared" ref="K82:K85" si="40">IF(ISNUMBER(J82), (J82 - $B82) / $B82, "")</f>
        <v>-3.7735849056603774E-3</v>
      </c>
      <c r="L82" s="18">
        <f>IF(ISNUMBER(J82), $B91 * K82, "")</f>
        <v>-566.03773584905662</v>
      </c>
      <c r="M82" s="31">
        <v>263</v>
      </c>
      <c r="N82" s="32">
        <f t="shared" ref="N82:N85" si="41">IF(ISNUMBER(M82), (M82 - $B82) / $B82, "")</f>
        <v>-7.5471698113207548E-3</v>
      </c>
      <c r="O82" s="18">
        <f>IF(ISNUMBER(M82), $B91 * N82, "")</f>
        <v>-1132.0754716981132</v>
      </c>
      <c r="Q82" s="153"/>
      <c r="R82" s="154"/>
      <c r="S82" s="155"/>
    </row>
    <row r="83" spans="1:19" ht="17.25" thickBot="1">
      <c r="A83" s="109" t="s">
        <v>60</v>
      </c>
      <c r="B83" s="110">
        <v>687</v>
      </c>
      <c r="C83" s="70">
        <v>-1.9971469299999999E-2</v>
      </c>
      <c r="D83" s="15">
        <v>712</v>
      </c>
      <c r="E83" s="32">
        <f t="shared" si="38"/>
        <v>3.6390101892285295E-2</v>
      </c>
      <c r="F83" s="18">
        <f>IF(ISNUMBER(D83), $B91 * E83, "")</f>
        <v>5458.5152838427939</v>
      </c>
      <c r="G83" s="31">
        <v>696</v>
      </c>
      <c r="H83" s="32">
        <f t="shared" si="39"/>
        <v>1.3100436681222707E-2</v>
      </c>
      <c r="I83" s="91">
        <f>IF(ISNUMBER(G83), $B91 * H83, "")</f>
        <v>1965.0655021834061</v>
      </c>
      <c r="J83" s="15">
        <v>689</v>
      </c>
      <c r="K83" s="32">
        <f t="shared" si="40"/>
        <v>2.911208151382824E-3</v>
      </c>
      <c r="L83" s="18">
        <f>IF(ISNUMBER(J83), $B91 * K83, "")</f>
        <v>436.68122270742361</v>
      </c>
      <c r="M83" s="31">
        <v>689</v>
      </c>
      <c r="N83" s="32">
        <f t="shared" si="41"/>
        <v>2.911208151382824E-3</v>
      </c>
      <c r="O83" s="18">
        <f>IF(ISNUMBER(M83), $B91 * N83, "")</f>
        <v>436.68122270742361</v>
      </c>
      <c r="Q83" s="146"/>
      <c r="R83" s="146"/>
      <c r="S83" s="146"/>
    </row>
    <row r="84" spans="1:19" ht="17.25" thickBot="1">
      <c r="A84" s="109" t="s">
        <v>235</v>
      </c>
      <c r="B84" s="110">
        <v>610</v>
      </c>
      <c r="C84" s="70">
        <v>-2.0866773700000001E-2</v>
      </c>
      <c r="D84" s="15">
        <v>629</v>
      </c>
      <c r="E84" s="32">
        <f t="shared" si="38"/>
        <v>3.1147540983606559E-2</v>
      </c>
      <c r="F84" s="18">
        <f>IF(ISNUMBER(D84), $B91 * E84, "")</f>
        <v>4672.1311475409839</v>
      </c>
      <c r="G84" s="31">
        <v>613</v>
      </c>
      <c r="H84" s="32">
        <f t="shared" si="39"/>
        <v>4.9180327868852463E-3</v>
      </c>
      <c r="I84" s="91">
        <f>IF(ISNUMBER(G84), $B91 * H84, "")</f>
        <v>737.70491803278696</v>
      </c>
      <c r="J84" s="15">
        <v>609</v>
      </c>
      <c r="K84" s="32">
        <f t="shared" si="40"/>
        <v>-1.639344262295082E-3</v>
      </c>
      <c r="L84" s="18">
        <f>IF(ISNUMBER(J84), $B91 * K84, "")</f>
        <v>-245.90163934426229</v>
      </c>
      <c r="M84" s="31">
        <v>610</v>
      </c>
      <c r="N84" s="32">
        <f t="shared" si="41"/>
        <v>0</v>
      </c>
      <c r="O84" s="18">
        <f>IF(ISNUMBER(M84), $B91 * N84, "")</f>
        <v>0</v>
      </c>
      <c r="Q84" s="156"/>
      <c r="R84" s="156"/>
      <c r="S84" s="156"/>
    </row>
    <row r="85" spans="1:19" ht="17.25" thickBot="1">
      <c r="A85" s="111" t="s">
        <v>111</v>
      </c>
      <c r="B85" s="112">
        <v>708</v>
      </c>
      <c r="C85" s="71">
        <v>-2.2099447500000001E-2</v>
      </c>
      <c r="D85" s="20">
        <v>725</v>
      </c>
      <c r="E85" s="21">
        <f t="shared" si="38"/>
        <v>2.4011299435028249E-2</v>
      </c>
      <c r="F85" s="22">
        <f>IF(ISNUMBER(D85), $B91 * E85, "")</f>
        <v>3601.6949152542375</v>
      </c>
      <c r="G85" s="30">
        <v>707</v>
      </c>
      <c r="H85" s="21">
        <f t="shared" si="39"/>
        <v>-1.4124293785310734E-3</v>
      </c>
      <c r="I85" s="95">
        <f>IF(ISNUMBER(G85), $B91 * H85, "")</f>
        <v>-211.86440677966101</v>
      </c>
      <c r="J85" s="20">
        <v>704</v>
      </c>
      <c r="K85" s="21">
        <f t="shared" si="40"/>
        <v>-5.6497175141242938E-3</v>
      </c>
      <c r="L85" s="22">
        <f>IF(ISNUMBER(J85), $B91 * K85, "")</f>
        <v>-847.45762711864404</v>
      </c>
      <c r="M85" s="30">
        <v>702</v>
      </c>
      <c r="N85" s="21">
        <f t="shared" si="41"/>
        <v>-8.4745762711864406E-3</v>
      </c>
      <c r="O85" s="22">
        <f>IF(ISNUMBER(M85), $B91 * N85, "")</f>
        <v>-1271.1864406779662</v>
      </c>
      <c r="Q85" s="156"/>
      <c r="R85" s="156"/>
      <c r="S85" s="156"/>
    </row>
    <row r="86" spans="1:19" ht="17.25" thickBot="1">
      <c r="A86" s="109" t="s">
        <v>157</v>
      </c>
      <c r="B86" s="113">
        <v>378</v>
      </c>
      <c r="C86" s="73">
        <v>-2.3255814E-2</v>
      </c>
      <c r="D86" s="96">
        <v>384</v>
      </c>
      <c r="E86" s="97">
        <f>IF(ISNUMBER(D86), (D86 - $B86) / $B86, "")</f>
        <v>1.5873015873015872E-2</v>
      </c>
      <c r="F86" s="98">
        <f>IF(ISNUMBER(D86), $B91 * E86, "")</f>
        <v>2380.9523809523807</v>
      </c>
      <c r="G86" s="99">
        <v>396</v>
      </c>
      <c r="H86" s="97">
        <f>IF(ISNUMBER(G86), (G86 - $B86) / $B86, "")</f>
        <v>4.7619047619047616E-2</v>
      </c>
      <c r="I86" s="100">
        <f>IF(ISNUMBER(G86), $B91 * H86, "")</f>
        <v>7142.8571428571422</v>
      </c>
      <c r="J86" s="96">
        <v>394</v>
      </c>
      <c r="K86" s="97">
        <f>IF(ISNUMBER(J86), (J86 - $B86) / $B86, "")</f>
        <v>4.2328042328042326E-2</v>
      </c>
      <c r="L86" s="98">
        <f>IF(ISNUMBER(J86), $B91 * K86, "")</f>
        <v>6349.2063492063489</v>
      </c>
      <c r="M86" s="99">
        <v>412</v>
      </c>
      <c r="N86" s="97">
        <f>IF(ISNUMBER(M86), (M86 - $B86) / $B86, "")</f>
        <v>8.9947089947089942E-2</v>
      </c>
      <c r="O86" s="98">
        <f>IF(ISNUMBER(M86), $B91 * N86, "")</f>
        <v>13492.063492063491</v>
      </c>
      <c r="Q86" s="146"/>
      <c r="R86" s="146"/>
      <c r="S86" s="146"/>
    </row>
    <row r="87" spans="1:19" ht="17.25" thickBot="1">
      <c r="A87" s="109" t="s">
        <v>105</v>
      </c>
      <c r="B87" s="110">
        <v>251</v>
      </c>
      <c r="C87" s="70">
        <v>-2.3346303499999999E-2</v>
      </c>
      <c r="D87" s="15">
        <v>259</v>
      </c>
      <c r="E87" s="32">
        <f t="shared" ref="E87:E90" si="42">IF(ISNUMBER(D87), (D87 - $B87) / $B87, "")</f>
        <v>3.1872509960159362E-2</v>
      </c>
      <c r="F87" s="18">
        <f>IF(ISNUMBER(D87), $B91 * E87, "")</f>
        <v>4780.8764940239043</v>
      </c>
      <c r="G87" s="31">
        <v>253</v>
      </c>
      <c r="H87" s="32">
        <f t="shared" ref="H87:H90" si="43">IF(ISNUMBER(G87), (G87 - $B87) / $B87, "")</f>
        <v>7.9681274900398405E-3</v>
      </c>
      <c r="I87" s="91">
        <f>IF(ISNUMBER(G87), $B91 * H87, "")</f>
        <v>1195.2191235059761</v>
      </c>
      <c r="J87" s="15">
        <v>250</v>
      </c>
      <c r="K87" s="32">
        <f t="shared" ref="K87:K90" si="44">IF(ISNUMBER(J87), (J87 - $B87) / $B87, "")</f>
        <v>-3.9840637450199202E-3</v>
      </c>
      <c r="L87" s="18">
        <f>IF(ISNUMBER(J87), $B91 * K87, "")</f>
        <v>-597.60956175298804</v>
      </c>
      <c r="M87" s="31">
        <v>248</v>
      </c>
      <c r="N87" s="32">
        <f t="shared" ref="N87:N90" si="45">IF(ISNUMBER(M87), (M87 - $B87) / $B87, "")</f>
        <v>-1.1952191235059761E-2</v>
      </c>
      <c r="O87" s="18">
        <f>IF(ISNUMBER(M87), $B91 * N87, "")</f>
        <v>-1792.828685258964</v>
      </c>
      <c r="Q87" s="146"/>
      <c r="R87" s="146"/>
      <c r="S87" s="146"/>
    </row>
    <row r="88" spans="1:19" ht="17.25" thickBot="1">
      <c r="A88" s="109" t="s">
        <v>213</v>
      </c>
      <c r="B88" s="110">
        <v>518</v>
      </c>
      <c r="C88" s="70">
        <v>-2.6315789499999999E-2</v>
      </c>
      <c r="D88" s="15">
        <v>535</v>
      </c>
      <c r="E88" s="32">
        <f t="shared" si="42"/>
        <v>3.2818532818532815E-2</v>
      </c>
      <c r="F88" s="18">
        <f>IF(ISNUMBER(D88), $B91 * E88, "")</f>
        <v>4922.7799227799223</v>
      </c>
      <c r="G88" s="31">
        <v>520</v>
      </c>
      <c r="H88" s="32">
        <f t="shared" si="43"/>
        <v>3.8610038610038611E-3</v>
      </c>
      <c r="I88" s="91">
        <f>IF(ISNUMBER(G88), $B91 * H88, "")</f>
        <v>579.15057915057912</v>
      </c>
      <c r="J88" s="15">
        <v>521</v>
      </c>
      <c r="K88" s="32">
        <f t="shared" si="44"/>
        <v>5.7915057915057912E-3</v>
      </c>
      <c r="L88" s="18">
        <f>IF(ISNUMBER(J88), $B91 * K88, "")</f>
        <v>868.72586872586874</v>
      </c>
      <c r="M88" s="31">
        <v>521</v>
      </c>
      <c r="N88" s="32">
        <f t="shared" si="45"/>
        <v>5.7915057915057912E-3</v>
      </c>
      <c r="O88" s="18">
        <f>IF(ISNUMBER(M88), $B91 * N88, "")</f>
        <v>868.72586872586874</v>
      </c>
      <c r="Q88" s="146"/>
      <c r="R88" s="146"/>
      <c r="S88" s="146"/>
    </row>
    <row r="89" spans="1:19">
      <c r="A89" s="109" t="s">
        <v>215</v>
      </c>
      <c r="B89" s="110">
        <v>443</v>
      </c>
      <c r="C89" s="70">
        <v>-2.6373626399999999E-2</v>
      </c>
      <c r="D89" s="15">
        <v>452</v>
      </c>
      <c r="E89" s="32">
        <f t="shared" si="42"/>
        <v>2.0316027088036117E-2</v>
      </c>
      <c r="F89" s="18">
        <f>IF(ISNUMBER(D89), $B91 * E89, "")</f>
        <v>3047.4040632054175</v>
      </c>
      <c r="G89" s="31">
        <v>439</v>
      </c>
      <c r="H89" s="32">
        <f t="shared" si="43"/>
        <v>-9.0293453724604959E-3</v>
      </c>
      <c r="I89" s="91">
        <f>IF(ISNUMBER(G89), $B91 * H89, "")</f>
        <v>-1354.4018058690745</v>
      </c>
      <c r="J89" s="15">
        <v>436</v>
      </c>
      <c r="K89" s="32">
        <f t="shared" si="44"/>
        <v>-1.580135440180587E-2</v>
      </c>
      <c r="L89" s="18">
        <f>IF(ISNUMBER(J89), $B91 * K89, "")</f>
        <v>-2370.2031602708803</v>
      </c>
      <c r="M89" s="31">
        <v>442</v>
      </c>
      <c r="N89" s="32">
        <f t="shared" si="45"/>
        <v>-2.257336343115124E-3</v>
      </c>
      <c r="O89" s="18">
        <f>IF(ISNUMBER(M89), $B91 * N89, "")</f>
        <v>-338.60045146726861</v>
      </c>
      <c r="Q89" s="135"/>
      <c r="R89" s="136"/>
      <c r="S89" s="137"/>
    </row>
    <row r="90" spans="1:19" ht="17.25" thickBot="1">
      <c r="A90" s="114" t="s">
        <v>176</v>
      </c>
      <c r="B90" s="115">
        <v>328</v>
      </c>
      <c r="C90" s="72">
        <v>-2.67062315E-2</v>
      </c>
      <c r="D90" s="24">
        <v>341</v>
      </c>
      <c r="E90" s="25">
        <f t="shared" si="42"/>
        <v>3.9634146341463415E-2</v>
      </c>
      <c r="F90" s="94">
        <f>IF(ISNUMBER(D90), $B91 * E90, "")</f>
        <v>5945.1219512195121</v>
      </c>
      <c r="G90" s="92">
        <v>332</v>
      </c>
      <c r="H90" s="25">
        <f t="shared" si="43"/>
        <v>1.2195121951219513E-2</v>
      </c>
      <c r="I90" s="93">
        <f>IF(ISNUMBER(G90), $B91 * H90, "")</f>
        <v>1829.2682926829268</v>
      </c>
      <c r="J90" s="24">
        <v>328</v>
      </c>
      <c r="K90" s="25">
        <f t="shared" si="44"/>
        <v>0</v>
      </c>
      <c r="L90" s="94">
        <f>IF(ISNUMBER(J90), $B91 * K90, "")</f>
        <v>0</v>
      </c>
      <c r="M90" s="92">
        <v>331</v>
      </c>
      <c r="N90" s="25">
        <f t="shared" si="45"/>
        <v>9.1463414634146336E-3</v>
      </c>
      <c r="O90" s="94">
        <f>IF(ISNUMBER(M90), $B91 * N90, "")</f>
        <v>1371.9512195121949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2.1829837983758468E-2</v>
      </c>
      <c r="F91" s="28">
        <f>SUM(F71:F90)</f>
        <v>65489.513951275403</v>
      </c>
      <c r="G91" s="26" t="s">
        <v>258</v>
      </c>
      <c r="H91" s="27">
        <f>IF(COUNT(H71:H90), SUM(H71:H90) / COUNT(H71:H90), 0)</f>
        <v>8.0495412778112398E-4</v>
      </c>
      <c r="I91" s="28">
        <f>SUM(I71:I90)</f>
        <v>2414.8623833433703</v>
      </c>
      <c r="J91" s="26" t="s">
        <v>258</v>
      </c>
      <c r="K91" s="27">
        <f>IF(COUNT(K71:K90), SUM(K71:K90) / COUNT(K71:K90), 0)</f>
        <v>-3.844528427578626E-3</v>
      </c>
      <c r="L91" s="28">
        <f>SUM(L71:L90)</f>
        <v>-11533.585282735872</v>
      </c>
      <c r="M91" s="26" t="s">
        <v>258</v>
      </c>
      <c r="N91" s="27">
        <f>IF(COUNT(N71:N90), SUM(N71:N90) / COUNT(N71:N90), 0)</f>
        <v>-7.4749101470196141E-4</v>
      </c>
      <c r="O91" s="28">
        <f>SUM(O71:O90)</f>
        <v>-2242.4730441058855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2023-03-11(토) 오전 00:00</v>
      </c>
      <c r="C96" s="198"/>
      <c r="D96" s="170" t="str">
        <f>TEXT($G$1, "[$-ko-KR]yyyy-mm-dd(ddd) ") &amp; "오후 14:00"</f>
        <v>2023-03-11(토) 오후 14:00</v>
      </c>
      <c r="E96" s="171"/>
      <c r="F96" s="172"/>
      <c r="G96" s="170" t="str">
        <f>TEXT($G$1, "[$-ko-KR]yyyy-mm-dd(ddd) ") &amp; "오후 19:00"</f>
        <v>2023-03-11(토) 오후 19:00</v>
      </c>
      <c r="H96" s="171"/>
      <c r="I96" s="172"/>
      <c r="J96" s="170" t="str">
        <f>TEXT($G$1, "[$-ko-KR]yyyy-mm-dd(ddd) ") &amp; "오후 21:00"</f>
        <v>2023-03-11(토) 오후 21:00</v>
      </c>
      <c r="K96" s="171"/>
      <c r="L96" s="172"/>
      <c r="M96" s="170" t="str">
        <f>TEXT($G$1+1, "[$-ko-KR]yyyy-mm-dd(ddd) ") &amp; "오전 00:00"</f>
        <v>2023-03-12(일)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97</v>
      </c>
      <c r="B98" s="108">
        <v>8.9999999999999998E-4</v>
      </c>
      <c r="C98" s="69">
        <v>0.125</v>
      </c>
      <c r="D98" s="13">
        <v>8.9999999999999998E-4</v>
      </c>
      <c r="E98" s="14">
        <f>IF(ISNUMBER(D98), (D98 - $B98) / $B98, "")</f>
        <v>0</v>
      </c>
      <c r="F98" s="16">
        <f>IF(ISNUMBER(D98), $B118 * E98, "")</f>
        <v>0</v>
      </c>
      <c r="G98" s="29">
        <v>8.9999999999999998E-4</v>
      </c>
      <c r="H98" s="14">
        <f>IF(ISNUMBER(G98), (G98 - $B98) / $B98, "")</f>
        <v>0</v>
      </c>
      <c r="I98" s="90">
        <f>IF(ISNUMBER(G98), $B118 * H98, "")</f>
        <v>0</v>
      </c>
      <c r="J98" s="13">
        <v>8.9999999999999998E-4</v>
      </c>
      <c r="K98" s="14">
        <f>IF(ISNUMBER(J98), (J98 - $B98) / $B98, "")</f>
        <v>0</v>
      </c>
      <c r="L98" s="16">
        <f>IF(ISNUMBER(J98), $B118 * K98, "")</f>
        <v>0</v>
      </c>
      <c r="M98" s="29">
        <v>8.9999999999999998E-4</v>
      </c>
      <c r="N98" s="14">
        <f>IF(ISNUMBER(M98), (M98 - $B98) / $B98, "")</f>
        <v>0</v>
      </c>
      <c r="O98" s="16">
        <f>IF(ISNUMBER(M98), $B118 * N98, "")</f>
        <v>0</v>
      </c>
      <c r="Q98" s="156"/>
      <c r="R98" s="156"/>
      <c r="S98" s="156"/>
    </row>
    <row r="99" spans="1:19" ht="17.25" thickBot="1">
      <c r="A99" s="109" t="s">
        <v>187</v>
      </c>
      <c r="B99" s="110">
        <v>911</v>
      </c>
      <c r="C99" s="70">
        <v>5.8072009299999998E-2</v>
      </c>
      <c r="D99" s="15">
        <v>884</v>
      </c>
      <c r="E99" s="32">
        <f t="shared" ref="E99:E102" si="46">IF(ISNUMBER(D99), (D99 - $B99) / $B99, "")</f>
        <v>-2.9637760702524697E-2</v>
      </c>
      <c r="F99" s="18">
        <f>IF(ISNUMBER(D99), $B118 * E99, "")</f>
        <v>-4445.6641053787043</v>
      </c>
      <c r="G99" s="31">
        <v>860</v>
      </c>
      <c r="H99" s="32">
        <f t="shared" ref="H99:H102" si="47">IF(ISNUMBER(G99), (G99 - $B99) / $B99, "")</f>
        <v>-5.598243688254665E-2</v>
      </c>
      <c r="I99" s="91">
        <f>IF(ISNUMBER(G99), $B118 * H99, "")</f>
        <v>-8397.3655323819967</v>
      </c>
      <c r="J99" s="15">
        <v>859</v>
      </c>
      <c r="K99" s="32">
        <f t="shared" ref="K99:K102" si="48">IF(ISNUMBER(J99), (J99 - $B99) / $B99, "")</f>
        <v>-5.7080131723380903E-2</v>
      </c>
      <c r="L99" s="18">
        <f>IF(ISNUMBER(J99), $B118 * K99, "")</f>
        <v>-8562.0197585071346</v>
      </c>
      <c r="M99" s="31">
        <v>860</v>
      </c>
      <c r="N99" s="32">
        <f t="shared" ref="N99:N102" si="49">IF(ISNUMBER(M99), (M99 - $B99) / $B99, "")</f>
        <v>-5.598243688254665E-2</v>
      </c>
      <c r="O99" s="18">
        <f>IF(ISNUMBER(M99), $B118 * N99, "")</f>
        <v>-8397.3655323819967</v>
      </c>
      <c r="Q99" s="156"/>
      <c r="R99" s="156"/>
      <c r="S99" s="156"/>
    </row>
    <row r="100" spans="1:19" ht="17.25" thickBot="1">
      <c r="A100" s="109" t="s">
        <v>191</v>
      </c>
      <c r="B100" s="110">
        <v>75.8</v>
      </c>
      <c r="C100" s="70">
        <v>3.8356164399999997E-2</v>
      </c>
      <c r="D100" s="15">
        <v>78.5</v>
      </c>
      <c r="E100" s="32">
        <f t="shared" si="46"/>
        <v>3.5620052770448586E-2</v>
      </c>
      <c r="F100" s="18">
        <f>IF(ISNUMBER(D100), $B118 * E100, "")</f>
        <v>5343.0079155672884</v>
      </c>
      <c r="G100" s="31">
        <v>75</v>
      </c>
      <c r="H100" s="32">
        <f t="shared" si="47"/>
        <v>-1.0554089709762496E-2</v>
      </c>
      <c r="I100" s="91">
        <f>IF(ISNUMBER(G100), $B118 * H100, "")</f>
        <v>-1583.1134564643744</v>
      </c>
      <c r="J100" s="15">
        <v>74.3</v>
      </c>
      <c r="K100" s="32">
        <f t="shared" si="48"/>
        <v>-1.9788918205804751E-2</v>
      </c>
      <c r="L100" s="18">
        <f>IF(ISNUMBER(J100), $B118 * K100, "")</f>
        <v>-2968.3377308707127</v>
      </c>
      <c r="M100" s="31">
        <v>74.7</v>
      </c>
      <c r="N100" s="32">
        <f t="shared" si="49"/>
        <v>-1.4511873350923408E-2</v>
      </c>
      <c r="O100" s="18">
        <f>IF(ISNUMBER(M100), $B118 * N100, "")</f>
        <v>-2176.7810026385114</v>
      </c>
      <c r="Q100" s="146"/>
      <c r="R100" s="146"/>
      <c r="S100" s="146"/>
    </row>
    <row r="101" spans="1:19" ht="17.25" thickBot="1">
      <c r="A101" s="109" t="s">
        <v>195</v>
      </c>
      <c r="B101" s="110">
        <v>8.4</v>
      </c>
      <c r="C101" s="70">
        <v>3.7037037000000002E-2</v>
      </c>
      <c r="D101" s="15">
        <v>8.2100000000000009</v>
      </c>
      <c r="E101" s="32">
        <f t="shared" si="46"/>
        <v>-2.261904761904756E-2</v>
      </c>
      <c r="F101" s="18">
        <f>IF(ISNUMBER(D101), $B118 * E101, "")</f>
        <v>-3392.857142857134</v>
      </c>
      <c r="G101" s="31">
        <v>7.93</v>
      </c>
      <c r="H101" s="32">
        <f t="shared" si="47"/>
        <v>-5.5952380952381024E-2</v>
      </c>
      <c r="I101" s="91">
        <f>IF(ISNUMBER(G101), $B118 * H101, "")</f>
        <v>-8392.857142857154</v>
      </c>
      <c r="J101" s="15">
        <v>7.83</v>
      </c>
      <c r="K101" s="32">
        <f t="shared" si="48"/>
        <v>-6.7857142857142894E-2</v>
      </c>
      <c r="L101" s="18">
        <f>IF(ISNUMBER(J101), $B118 * K101, "")</f>
        <v>-10178.571428571435</v>
      </c>
      <c r="M101" s="31">
        <v>7.83</v>
      </c>
      <c r="N101" s="32">
        <f t="shared" si="49"/>
        <v>-6.7857142857142894E-2</v>
      </c>
      <c r="O101" s="18">
        <f>IF(ISNUMBER(M101), $B118 * N101, "")</f>
        <v>-10178.571428571435</v>
      </c>
      <c r="Q101" s="146"/>
      <c r="R101" s="146"/>
      <c r="S101" s="146"/>
    </row>
    <row r="102" spans="1:19" ht="17.25" thickBot="1">
      <c r="A102" s="111" t="s">
        <v>348</v>
      </c>
      <c r="B102" s="112">
        <v>19870</v>
      </c>
      <c r="C102" s="71">
        <v>1.84520759E-2</v>
      </c>
      <c r="D102" s="20">
        <v>19750</v>
      </c>
      <c r="E102" s="21">
        <f t="shared" si="46"/>
        <v>-6.0392551585304478E-3</v>
      </c>
      <c r="F102" s="22">
        <f>IF(ISNUMBER(D102), $B118 * E102, "")</f>
        <v>-905.88827377956716</v>
      </c>
      <c r="G102" s="30">
        <v>19530</v>
      </c>
      <c r="H102" s="21">
        <f t="shared" si="47"/>
        <v>-1.7111222949169603E-2</v>
      </c>
      <c r="I102" s="95">
        <f>IF(ISNUMBER(G102), $B118 * H102, "")</f>
        <v>-2566.6834423754403</v>
      </c>
      <c r="J102" s="20">
        <v>19270</v>
      </c>
      <c r="K102" s="21">
        <f t="shared" si="48"/>
        <v>-3.0196275792652241E-2</v>
      </c>
      <c r="L102" s="22">
        <f>IF(ISNUMBER(J102), $B118 * K102, "")</f>
        <v>-4529.4413688978357</v>
      </c>
      <c r="M102" s="30">
        <v>19150</v>
      </c>
      <c r="N102" s="21">
        <f t="shared" si="49"/>
        <v>-3.623553095118269E-2</v>
      </c>
      <c r="O102" s="22">
        <f>IF(ISNUMBER(M102), $B118 * N102, "")</f>
        <v>-5435.3296426774032</v>
      </c>
      <c r="Q102" s="146"/>
      <c r="R102" s="146"/>
      <c r="S102" s="146"/>
    </row>
    <row r="103" spans="1:19" ht="17.25" thickBot="1">
      <c r="A103" s="109" t="s">
        <v>122</v>
      </c>
      <c r="B103" s="113">
        <v>27.9</v>
      </c>
      <c r="C103" s="73">
        <v>1.4545454500000001E-2</v>
      </c>
      <c r="D103" s="96">
        <v>27.8</v>
      </c>
      <c r="E103" s="97">
        <f>IF(ISNUMBER(D103), (D103 - $B103) / $B103, "")</f>
        <v>-3.5842293906809273E-3</v>
      </c>
      <c r="F103" s="98">
        <f>IF(ISNUMBER(D103), $B118 * E103, "")</f>
        <v>-537.63440860213905</v>
      </c>
      <c r="G103" s="99">
        <v>26.9</v>
      </c>
      <c r="H103" s="97">
        <f>IF(ISNUMBER(G103), (G103 - $B103) / $B103, "")</f>
        <v>-3.5842293906810041E-2</v>
      </c>
      <c r="I103" s="100">
        <f>IF(ISNUMBER(G103), $B118 * H103, "")</f>
        <v>-5376.344086021506</v>
      </c>
      <c r="J103" s="96">
        <v>26.8</v>
      </c>
      <c r="K103" s="97">
        <f>IF(ISNUMBER(J103), (J103 - $B103) / $B103, "")</f>
        <v>-3.9426523297490967E-2</v>
      </c>
      <c r="L103" s="98">
        <f>IF(ISNUMBER(J103), $B118 * K103, "")</f>
        <v>-5913.978494623645</v>
      </c>
      <c r="M103" s="99">
        <v>26.8</v>
      </c>
      <c r="N103" s="97">
        <f>IF(ISNUMBER(M103), (M103 - $B103) / $B103, "")</f>
        <v>-3.9426523297490967E-2</v>
      </c>
      <c r="O103" s="98">
        <f>IF(ISNUMBER(M103), $B118 * N103, "")</f>
        <v>-5913.978494623645</v>
      </c>
      <c r="Q103" s="146"/>
      <c r="R103" s="146"/>
      <c r="S103" s="146"/>
    </row>
    <row r="104" spans="1:19" ht="17.25" thickBot="1">
      <c r="A104" s="109" t="s">
        <v>128</v>
      </c>
      <c r="B104" s="110">
        <v>7360</v>
      </c>
      <c r="C104" s="70">
        <v>1.0989011E-2</v>
      </c>
      <c r="D104" s="15">
        <v>7500</v>
      </c>
      <c r="E104" s="32">
        <f t="shared" ref="E104:E107" si="50">IF(ISNUMBER(D104), (D104 - $B104) / $B104, "")</f>
        <v>1.9021739130434784E-2</v>
      </c>
      <c r="F104" s="18">
        <f>IF(ISNUMBER(D104), $B118 * E104, "")</f>
        <v>2853.2608695652175</v>
      </c>
      <c r="G104" s="31">
        <v>7295</v>
      </c>
      <c r="H104" s="32">
        <f t="shared" ref="H104:H107" si="51">IF(ISNUMBER(G104), (G104 - $B104) / $B104, "")</f>
        <v>-8.8315217391304341E-3</v>
      </c>
      <c r="I104" s="91">
        <f>IF(ISNUMBER(G104), $B118 * H104, "")</f>
        <v>-1324.728260869565</v>
      </c>
      <c r="J104" s="15">
        <v>7215</v>
      </c>
      <c r="K104" s="32">
        <f t="shared" ref="K104:K107" si="52">IF(ISNUMBER(J104), (J104 - $B104) / $B104, "")</f>
        <v>-1.970108695652174E-2</v>
      </c>
      <c r="L104" s="18">
        <f>IF(ISNUMBER(J104), $B118 * K104, "")</f>
        <v>-2955.163043478261</v>
      </c>
      <c r="M104" s="31">
        <v>7205</v>
      </c>
      <c r="N104" s="32">
        <f t="shared" ref="N104:N107" si="53">IF(ISNUMBER(M104), (M104 - $B104) / $B104, "")</f>
        <v>-2.1059782608695652E-2</v>
      </c>
      <c r="O104" s="18">
        <f>IF(ISNUMBER(M104), $B118 * N104, "")</f>
        <v>-3158.967391304348</v>
      </c>
      <c r="Q104" s="146"/>
      <c r="R104" s="146"/>
      <c r="S104" s="146"/>
    </row>
    <row r="105" spans="1:19" ht="17.25" thickBot="1">
      <c r="A105" s="109" t="s">
        <v>335</v>
      </c>
      <c r="B105" s="110">
        <v>78.3</v>
      </c>
      <c r="C105" s="70">
        <v>6.4267352000000003E-3</v>
      </c>
      <c r="D105" s="15">
        <v>80.8</v>
      </c>
      <c r="E105" s="32">
        <f t="shared" si="50"/>
        <v>3.1928480204342274E-2</v>
      </c>
      <c r="F105" s="18">
        <f>IF(ISNUMBER(D105), $B118 * E105, "")</f>
        <v>4789.2720306513411</v>
      </c>
      <c r="G105" s="31">
        <v>81.099999999999994</v>
      </c>
      <c r="H105" s="32">
        <f t="shared" si="51"/>
        <v>3.575989782886331E-2</v>
      </c>
      <c r="I105" s="91">
        <f>IF(ISNUMBER(G105), $B118 * H105, "")</f>
        <v>5363.9846743294966</v>
      </c>
      <c r="J105" s="15">
        <v>79.599999999999994</v>
      </c>
      <c r="K105" s="32">
        <f t="shared" si="52"/>
        <v>1.6602809706257948E-2</v>
      </c>
      <c r="L105" s="18">
        <f>IF(ISNUMBER(J105), $B118 * K105, "")</f>
        <v>2490.4214559386924</v>
      </c>
      <c r="M105" s="31">
        <v>78</v>
      </c>
      <c r="N105" s="32">
        <f t="shared" si="53"/>
        <v>-3.8314176245210366E-3</v>
      </c>
      <c r="O105" s="18">
        <f>IF(ISNUMBER(M105), $B118 * N105, "")</f>
        <v>-574.71264367815547</v>
      </c>
      <c r="Q105" s="146"/>
      <c r="R105" s="146"/>
      <c r="S105" s="146"/>
    </row>
    <row r="106" spans="1:19" ht="17.25" thickBot="1">
      <c r="A106" s="109" t="s">
        <v>227</v>
      </c>
      <c r="B106" s="110">
        <v>53.2</v>
      </c>
      <c r="C106" s="70">
        <v>3.7735848999999998E-3</v>
      </c>
      <c r="D106" s="15">
        <v>54.8</v>
      </c>
      <c r="E106" s="32">
        <f t="shared" si="50"/>
        <v>3.0075187969924703E-2</v>
      </c>
      <c r="F106" s="18">
        <f>IF(ISNUMBER(D106), $B118 * E106, "")</f>
        <v>4511.278195488705</v>
      </c>
      <c r="G106" s="31">
        <v>52.9</v>
      </c>
      <c r="H106" s="32">
        <f t="shared" si="51"/>
        <v>-5.6390977443609817E-3</v>
      </c>
      <c r="I106" s="91">
        <f>IF(ISNUMBER(G106), $B118 * H106, "")</f>
        <v>-845.86466165414731</v>
      </c>
      <c r="J106" s="15">
        <v>52.6</v>
      </c>
      <c r="K106" s="32">
        <f t="shared" si="52"/>
        <v>-1.127819548872183E-2</v>
      </c>
      <c r="L106" s="18">
        <f>IF(ISNUMBER(J106), $B118 * K106, "")</f>
        <v>-1691.7293233082744</v>
      </c>
      <c r="M106" s="31">
        <v>52.6</v>
      </c>
      <c r="N106" s="32">
        <f t="shared" si="53"/>
        <v>-1.127819548872183E-2</v>
      </c>
      <c r="O106" s="18">
        <f>IF(ISNUMBER(M106), $B118 * N106, "")</f>
        <v>-1691.7293233082744</v>
      </c>
      <c r="Q106" s="33"/>
      <c r="R106" s="33"/>
    </row>
    <row r="107" spans="1:19" ht="17.25" thickBot="1">
      <c r="A107" s="114" t="s">
        <v>331</v>
      </c>
      <c r="B107" s="115">
        <v>23530</v>
      </c>
      <c r="C107" s="72">
        <v>2.9838021999999999E-3</v>
      </c>
      <c r="D107" s="24">
        <v>24530</v>
      </c>
      <c r="E107" s="25">
        <f t="shared" si="50"/>
        <v>4.2498937526561836E-2</v>
      </c>
      <c r="F107" s="94">
        <f>IF(ISNUMBER(D107), $B118 * E107, "")</f>
        <v>6374.8406289842751</v>
      </c>
      <c r="G107" s="92">
        <v>23890</v>
      </c>
      <c r="H107" s="25">
        <f t="shared" si="51"/>
        <v>1.529961750956226E-2</v>
      </c>
      <c r="I107" s="93">
        <f>IF(ISNUMBER(G107), $B118 * H107, "")</f>
        <v>2294.9426264343392</v>
      </c>
      <c r="J107" s="24">
        <v>23700</v>
      </c>
      <c r="K107" s="25">
        <f t="shared" si="52"/>
        <v>7.2248193795155123E-3</v>
      </c>
      <c r="L107" s="94">
        <f>IF(ISNUMBER(J107), $B118 * K107, "")</f>
        <v>1083.7229069273269</v>
      </c>
      <c r="M107" s="92">
        <v>23600</v>
      </c>
      <c r="N107" s="25">
        <f t="shared" si="53"/>
        <v>2.9749256268593286E-3</v>
      </c>
      <c r="O107" s="94">
        <f>IF(ISNUMBER(M107), $B118 * N107, "")</f>
        <v>446.23884402889928</v>
      </c>
      <c r="Q107" s="147"/>
      <c r="R107" s="148"/>
      <c r="S107" s="149"/>
    </row>
    <row r="108" spans="1:19">
      <c r="A108" s="107" t="s">
        <v>181</v>
      </c>
      <c r="B108" s="108">
        <v>4.88</v>
      </c>
      <c r="C108" s="69">
        <v>2.0533881000000002E-3</v>
      </c>
      <c r="D108" s="13">
        <v>5.03</v>
      </c>
      <c r="E108" s="14">
        <f>IF(ISNUMBER(D108), (D108 - $B108) / $B108, "")</f>
        <v>3.0737704918032859E-2</v>
      </c>
      <c r="F108" s="16">
        <f>IF(ISNUMBER(D108), $B118 * E108, "")</f>
        <v>4610.6557377049285</v>
      </c>
      <c r="G108" s="29">
        <v>4.84</v>
      </c>
      <c r="H108" s="14">
        <f>IF(ISNUMBER(G108), (G108 - $B108) / $B108, "")</f>
        <v>-8.1967213114754172E-3</v>
      </c>
      <c r="I108" s="90">
        <f>IF(ISNUMBER(G108), $B118 * H108, "")</f>
        <v>-1229.5081967213125</v>
      </c>
      <c r="J108" s="13">
        <v>4.8099999999999996</v>
      </c>
      <c r="K108" s="14">
        <f>IF(ISNUMBER(J108), (J108 - $B108) / $B108, "")</f>
        <v>-1.4344262295082027E-2</v>
      </c>
      <c r="L108" s="16">
        <f>IF(ISNUMBER(J108), $B118 * K108, "")</f>
        <v>-2151.6393442623039</v>
      </c>
      <c r="M108" s="29">
        <v>4.8600000000000003</v>
      </c>
      <c r="N108" s="14">
        <f>IF(ISNUMBER(M108), (M108 - $B108) / $B108, "")</f>
        <v>-4.0983606557376175E-3</v>
      </c>
      <c r="O108" s="16">
        <f>IF(ISNUMBER(M108), $B118 * N108, "")</f>
        <v>-614.75409836064262</v>
      </c>
      <c r="Q108" s="150"/>
      <c r="R108" s="151"/>
      <c r="S108" s="152"/>
    </row>
    <row r="109" spans="1:19" ht="17.25" thickBot="1">
      <c r="A109" s="109" t="s">
        <v>81</v>
      </c>
      <c r="B109" s="110">
        <v>420</v>
      </c>
      <c r="C109" s="70">
        <v>0</v>
      </c>
      <c r="D109" s="15">
        <v>428</v>
      </c>
      <c r="E109" s="32">
        <f t="shared" ref="E109:E112" si="54">IF(ISNUMBER(D109), (D109 - $B109) / $B109, "")</f>
        <v>1.9047619047619049E-2</v>
      </c>
      <c r="F109" s="18">
        <f>IF(ISNUMBER(D109), $B118 * E109, "")</f>
        <v>2857.1428571428573</v>
      </c>
      <c r="G109" s="31">
        <v>422</v>
      </c>
      <c r="H109" s="32">
        <f t="shared" ref="H109:H112" si="55">IF(ISNUMBER(G109), (G109 - $B109) / $B109, "")</f>
        <v>4.7619047619047623E-3</v>
      </c>
      <c r="I109" s="91">
        <f>IF(ISNUMBER(G109), $B118 * H109, "")</f>
        <v>714.28571428571433</v>
      </c>
      <c r="J109" s="15">
        <v>418</v>
      </c>
      <c r="K109" s="32">
        <f t="shared" ref="K109:K112" si="56">IF(ISNUMBER(J109), (J109 - $B109) / $B109, "")</f>
        <v>-4.7619047619047623E-3</v>
      </c>
      <c r="L109" s="18">
        <f>IF(ISNUMBER(J109), $B118 * K109, "")</f>
        <v>-714.28571428571433</v>
      </c>
      <c r="M109" s="31">
        <v>417</v>
      </c>
      <c r="N109" s="32">
        <f t="shared" ref="N109:N112" si="57">IF(ISNUMBER(M109), (M109 - $B109) / $B109, "")</f>
        <v>-7.1428571428571426E-3</v>
      </c>
      <c r="O109" s="18">
        <f>IF(ISNUMBER(M109), $B118 * N109, "")</f>
        <v>-1071.4285714285713</v>
      </c>
      <c r="Q109" s="153"/>
      <c r="R109" s="154"/>
      <c r="S109" s="155"/>
    </row>
    <row r="110" spans="1:19" ht="17.25" thickBot="1">
      <c r="A110" s="109" t="s">
        <v>85</v>
      </c>
      <c r="B110" s="110">
        <v>143</v>
      </c>
      <c r="C110" s="70">
        <v>0</v>
      </c>
      <c r="D110" s="15">
        <v>148</v>
      </c>
      <c r="E110" s="32">
        <f t="shared" si="54"/>
        <v>3.4965034965034968E-2</v>
      </c>
      <c r="F110" s="18">
        <f>IF(ISNUMBER(D110), $B118 * E110, "")</f>
        <v>5244.7552447552453</v>
      </c>
      <c r="G110" s="31">
        <v>148</v>
      </c>
      <c r="H110" s="32">
        <f t="shared" si="55"/>
        <v>3.4965034965034968E-2</v>
      </c>
      <c r="I110" s="91">
        <f>IF(ISNUMBER(G110), $B118 * H110, "")</f>
        <v>5244.7552447552453</v>
      </c>
      <c r="J110" s="15">
        <v>146</v>
      </c>
      <c r="K110" s="32">
        <f t="shared" si="56"/>
        <v>2.097902097902098E-2</v>
      </c>
      <c r="L110" s="18">
        <f>IF(ISNUMBER(J110), $B118 * K110, "")</f>
        <v>3146.8531468531469</v>
      </c>
      <c r="M110" s="31">
        <v>146</v>
      </c>
      <c r="N110" s="32">
        <f t="shared" si="57"/>
        <v>2.097902097902098E-2</v>
      </c>
      <c r="O110" s="18">
        <f>IF(ISNUMBER(M110), $B118 * N110, "")</f>
        <v>3146.8531468531469</v>
      </c>
      <c r="Q110" s="146"/>
      <c r="R110" s="146"/>
      <c r="S110" s="146"/>
    </row>
    <row r="111" spans="1:19" ht="17.25" thickBot="1">
      <c r="A111" s="109" t="s">
        <v>71</v>
      </c>
      <c r="B111" s="110">
        <v>12.1</v>
      </c>
      <c r="C111" s="70">
        <v>0</v>
      </c>
      <c r="D111" s="15">
        <v>12.5</v>
      </c>
      <c r="E111" s="32">
        <f t="shared" si="54"/>
        <v>3.305785123966945E-2</v>
      </c>
      <c r="F111" s="18">
        <f>IF(ISNUMBER(D111), $B118 * E111, "")</f>
        <v>4958.6776859504171</v>
      </c>
      <c r="G111" s="31">
        <v>12.2</v>
      </c>
      <c r="H111" s="32">
        <f t="shared" si="55"/>
        <v>8.2644628099173261E-3</v>
      </c>
      <c r="I111" s="91">
        <f>IF(ISNUMBER(G111), $B118 * H111, "")</f>
        <v>1239.6694214875988</v>
      </c>
      <c r="J111" s="15">
        <v>12.1</v>
      </c>
      <c r="K111" s="32">
        <f t="shared" si="56"/>
        <v>0</v>
      </c>
      <c r="L111" s="18">
        <f>IF(ISNUMBER(J111), $B118 * K111, "")</f>
        <v>0</v>
      </c>
      <c r="M111" s="31">
        <v>12.1</v>
      </c>
      <c r="N111" s="32">
        <f t="shared" si="57"/>
        <v>0</v>
      </c>
      <c r="O111" s="18">
        <f>IF(ISNUMBER(M111), $B118 * N111, "")</f>
        <v>0</v>
      </c>
      <c r="Q111" s="156"/>
      <c r="R111" s="156"/>
      <c r="S111" s="156"/>
    </row>
    <row r="112" spans="1:19" ht="17.25" thickBot="1">
      <c r="A112" s="111" t="s">
        <v>317</v>
      </c>
      <c r="B112" s="112">
        <v>1.37E-2</v>
      </c>
      <c r="C112" s="71">
        <v>0</v>
      </c>
      <c r="D112" s="20">
        <v>1.3899999999999999E-2</v>
      </c>
      <c r="E112" s="21">
        <f t="shared" si="54"/>
        <v>1.4598540145985313E-2</v>
      </c>
      <c r="F112" s="22">
        <f>IF(ISNUMBER(D112), $B118 * E112, "")</f>
        <v>2189.781021897797</v>
      </c>
      <c r="G112" s="30">
        <v>1.38E-2</v>
      </c>
      <c r="H112" s="21">
        <f t="shared" si="55"/>
        <v>7.2992700729926563E-3</v>
      </c>
      <c r="I112" s="95">
        <f>IF(ISNUMBER(G112), $B118 * H112, "")</f>
        <v>1094.8905109488985</v>
      </c>
      <c r="J112" s="20">
        <v>1.3599999999999999E-2</v>
      </c>
      <c r="K112" s="21">
        <f t="shared" si="56"/>
        <v>-7.2992700729927829E-3</v>
      </c>
      <c r="L112" s="22">
        <f>IF(ISNUMBER(J112), $B118 * K112, "")</f>
        <v>-1094.8905109489174</v>
      </c>
      <c r="M112" s="30">
        <v>1.3599999999999999E-2</v>
      </c>
      <c r="N112" s="21">
        <f t="shared" si="57"/>
        <v>-7.2992700729927829E-3</v>
      </c>
      <c r="O112" s="22">
        <f>IF(ISNUMBER(M112), $B118 * N112, "")</f>
        <v>-1094.8905109489174</v>
      </c>
      <c r="Q112" s="156"/>
      <c r="R112" s="156"/>
      <c r="S112" s="156"/>
    </row>
    <row r="113" spans="1:19" ht="17.25" thickBot="1">
      <c r="A113" s="109" t="s">
        <v>334</v>
      </c>
      <c r="B113" s="113">
        <v>43</v>
      </c>
      <c r="C113" s="73">
        <v>0</v>
      </c>
      <c r="D113" s="96">
        <v>44.5</v>
      </c>
      <c r="E113" s="97">
        <f>IF(ISNUMBER(D113), (D113 - $B113) / $B113, "")</f>
        <v>3.4883720930232558E-2</v>
      </c>
      <c r="F113" s="98">
        <f>IF(ISNUMBER(D113), $B118 * E113, "")</f>
        <v>5232.5581395348836</v>
      </c>
      <c r="G113" s="99">
        <v>43</v>
      </c>
      <c r="H113" s="97">
        <f>IF(ISNUMBER(G113), (G113 - $B113) / $B113, "")</f>
        <v>0</v>
      </c>
      <c r="I113" s="100">
        <f>IF(ISNUMBER(G113), $B118 * H113, "")</f>
        <v>0</v>
      </c>
      <c r="J113" s="96">
        <v>42.6</v>
      </c>
      <c r="K113" s="97">
        <f>IF(ISNUMBER(J113), (J113 - $B113) / $B113, "")</f>
        <v>-9.3023255813953157E-3</v>
      </c>
      <c r="L113" s="98">
        <f>IF(ISNUMBER(J113), $B118 * K113, "")</f>
        <v>-1395.3488372092975</v>
      </c>
      <c r="M113" s="99">
        <v>42.6</v>
      </c>
      <c r="N113" s="97">
        <f>IF(ISNUMBER(M113), (M113 - $B113) / $B113, "")</f>
        <v>-9.3023255813953157E-3</v>
      </c>
      <c r="O113" s="98">
        <f>IF(ISNUMBER(M113), $B118 * N113, "")</f>
        <v>-1395.3488372092975</v>
      </c>
      <c r="Q113" s="146"/>
      <c r="R113" s="146"/>
      <c r="S113" s="146"/>
    </row>
    <row r="114" spans="1:19" ht="17.25" thickBot="1">
      <c r="A114" s="109" t="s">
        <v>109</v>
      </c>
      <c r="B114" s="110">
        <v>1200</v>
      </c>
      <c r="C114" s="70">
        <v>0</v>
      </c>
      <c r="D114" s="15">
        <v>1225</v>
      </c>
      <c r="E114" s="32">
        <f t="shared" ref="E114:E117" si="58">IF(ISNUMBER(D114), (D114 - $B114) / $B114, "")</f>
        <v>2.0833333333333332E-2</v>
      </c>
      <c r="F114" s="18">
        <f>IF(ISNUMBER(D114), $B118 * E114, "")</f>
        <v>3125</v>
      </c>
      <c r="G114" s="31">
        <v>1215</v>
      </c>
      <c r="H114" s="32">
        <f t="shared" ref="H114:H117" si="59">IF(ISNUMBER(G114), (G114 - $B114) / $B114, "")</f>
        <v>1.2500000000000001E-2</v>
      </c>
      <c r="I114" s="91">
        <f>IF(ISNUMBER(G114), $B118 * H114, "")</f>
        <v>1875</v>
      </c>
      <c r="J114" s="15">
        <v>1200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1195</v>
      </c>
      <c r="N114" s="32">
        <f t="shared" ref="N114:N117" si="61">IF(ISNUMBER(M114), (M114 - $B114) / $B114, "")</f>
        <v>-4.1666666666666666E-3</v>
      </c>
      <c r="O114" s="18">
        <f>IF(ISNUMBER(M114), $B118 * N114, "")</f>
        <v>-625</v>
      </c>
      <c r="Q114" s="146"/>
      <c r="R114" s="146"/>
      <c r="S114" s="146"/>
    </row>
    <row r="115" spans="1:19" ht="17.25" thickBot="1">
      <c r="A115" s="109" t="s">
        <v>95</v>
      </c>
      <c r="B115" s="110">
        <v>1340</v>
      </c>
      <c r="C115" s="70">
        <v>0</v>
      </c>
      <c r="D115" s="15">
        <v>1365</v>
      </c>
      <c r="E115" s="32">
        <f t="shared" si="58"/>
        <v>1.8656716417910446E-2</v>
      </c>
      <c r="F115" s="18">
        <f>IF(ISNUMBER(D115), $B118 * E115, "")</f>
        <v>2798.5074626865671</v>
      </c>
      <c r="G115" s="31">
        <v>1345</v>
      </c>
      <c r="H115" s="32">
        <f t="shared" si="59"/>
        <v>3.7313432835820895E-3</v>
      </c>
      <c r="I115" s="91">
        <f>IF(ISNUMBER(G115), $B118 * H115, "")</f>
        <v>559.70149253731347</v>
      </c>
      <c r="J115" s="15">
        <v>1335</v>
      </c>
      <c r="K115" s="32">
        <f t="shared" si="60"/>
        <v>-3.7313432835820895E-3</v>
      </c>
      <c r="L115" s="18">
        <f>IF(ISNUMBER(J115), $B118 * K115, "")</f>
        <v>-559.70149253731347</v>
      </c>
      <c r="M115" s="31">
        <v>1335</v>
      </c>
      <c r="N115" s="32">
        <f t="shared" si="61"/>
        <v>-3.7313432835820895E-3</v>
      </c>
      <c r="O115" s="18">
        <f>IF(ISNUMBER(M115), $B118 * N115, "")</f>
        <v>-559.70149253731347</v>
      </c>
      <c r="Q115" s="146"/>
      <c r="R115" s="146"/>
      <c r="S115" s="146"/>
    </row>
    <row r="116" spans="1:19">
      <c r="A116" s="109" t="s">
        <v>207</v>
      </c>
      <c r="B116" s="110">
        <v>79.3</v>
      </c>
      <c r="C116" s="70">
        <v>-1.2594457999999999E-3</v>
      </c>
      <c r="D116" s="15">
        <v>86</v>
      </c>
      <c r="E116" s="32">
        <f t="shared" si="58"/>
        <v>8.4489281210592723E-2</v>
      </c>
      <c r="F116" s="18">
        <f>IF(ISNUMBER(D116), $B118 * E116, "")</f>
        <v>12673.392181588908</v>
      </c>
      <c r="G116" s="31">
        <v>85.2</v>
      </c>
      <c r="H116" s="32">
        <f t="shared" si="59"/>
        <v>7.4401008827238407E-2</v>
      </c>
      <c r="I116" s="91">
        <f>IF(ISNUMBER(G116), $B118 * H116, "")</f>
        <v>11160.15132408576</v>
      </c>
      <c r="J116" s="15">
        <v>83.3</v>
      </c>
      <c r="K116" s="32">
        <f t="shared" si="60"/>
        <v>5.0441361916771753E-2</v>
      </c>
      <c r="L116" s="18">
        <f>IF(ISNUMBER(J116), $B118 * K116, "")</f>
        <v>7566.2042875157631</v>
      </c>
      <c r="M116" s="31">
        <v>80.900000000000006</v>
      </c>
      <c r="N116" s="32">
        <f t="shared" si="61"/>
        <v>2.0176544766708809E-2</v>
      </c>
      <c r="O116" s="18">
        <f>IF(ISNUMBER(M116), $B118 * N116, "")</f>
        <v>3026.4817150063213</v>
      </c>
      <c r="Q116" s="135"/>
      <c r="R116" s="136"/>
      <c r="S116" s="137"/>
    </row>
    <row r="117" spans="1:19" ht="17.25" thickBot="1">
      <c r="A117" s="114" t="s">
        <v>89</v>
      </c>
      <c r="B117" s="115">
        <v>498</v>
      </c>
      <c r="C117" s="72">
        <v>-5.9880239999999998E-3</v>
      </c>
      <c r="D117" s="24">
        <v>498</v>
      </c>
      <c r="E117" s="25">
        <f t="shared" si="58"/>
        <v>0</v>
      </c>
      <c r="F117" s="94">
        <f>IF(ISNUMBER(D117), $B118 * E117, "")</f>
        <v>0</v>
      </c>
      <c r="G117" s="92">
        <v>495</v>
      </c>
      <c r="H117" s="25">
        <f t="shared" si="59"/>
        <v>-6.024096385542169E-3</v>
      </c>
      <c r="I117" s="93">
        <f>IF(ISNUMBER(G117), $B118 * H117, "")</f>
        <v>-903.61445783132535</v>
      </c>
      <c r="J117" s="24">
        <v>493</v>
      </c>
      <c r="K117" s="25">
        <f t="shared" si="60"/>
        <v>-1.0040160642570281E-2</v>
      </c>
      <c r="L117" s="94">
        <f>IF(ISNUMBER(J117), $B118 * K117, "")</f>
        <v>-1506.0240963855422</v>
      </c>
      <c r="M117" s="92">
        <v>492</v>
      </c>
      <c r="N117" s="25">
        <f t="shared" si="61"/>
        <v>-1.2048192771084338E-2</v>
      </c>
      <c r="O117" s="94">
        <f>IF(ISNUMBER(M117), $B118 * N117, "")</f>
        <v>-1807.2289156626507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1.9426695346966959E-2</v>
      </c>
      <c r="F118" s="28">
        <f>SUM(F98:F117)</f>
        <v>58280.086040900889</v>
      </c>
      <c r="G118" s="26" t="s">
        <v>258</v>
      </c>
      <c r="H118" s="27">
        <f>IF(COUNT(H98:H117), SUM(H98:H117) / COUNT(H98:H117), 0)</f>
        <v>-3.5756607610415133E-4</v>
      </c>
      <c r="I118" s="28">
        <f>SUM(I98:I117)</f>
        <v>-1072.6982283124564</v>
      </c>
      <c r="J118" s="26" t="s">
        <v>258</v>
      </c>
      <c r="K118" s="27">
        <f>IF(COUNT(K98:K117), SUM(K98:K117) / COUNT(K98:K117), 0)</f>
        <v>-9.9779764488838185E-3</v>
      </c>
      <c r="L118" s="28">
        <f>SUM(L98:L117)</f>
        <v>-29933.929346651468</v>
      </c>
      <c r="M118" s="26" t="s">
        <v>258</v>
      </c>
      <c r="N118" s="27">
        <f>IF(COUNT(N98:N117), SUM(N98:N117) / COUNT(N98:N117), 0)</f>
        <v>-1.2692071393147594E-2</v>
      </c>
      <c r="O118" s="28">
        <f>SUM(O98:O117)</f>
        <v>-38076.214179442795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2023-03-11(토) 오전 00:00</v>
      </c>
      <c r="C123" s="198"/>
      <c r="D123" s="170" t="str">
        <f>TEXT($G$1, "[$-ko-KR]yyyy-mm-dd(ddd) ") &amp; "오후 14:00"</f>
        <v>2023-03-11(토) 오후 14:00</v>
      </c>
      <c r="E123" s="171"/>
      <c r="F123" s="172"/>
      <c r="G123" s="170" t="str">
        <f>TEXT($G$1, "[$-ko-KR]yyyy-mm-dd(ddd) ") &amp; "오후 19:00"</f>
        <v>2023-03-11(토) 오후 19:00</v>
      </c>
      <c r="H123" s="171"/>
      <c r="I123" s="172"/>
      <c r="J123" s="170" t="str">
        <f>TEXT($G$1, "[$-ko-KR]yyyy-mm-dd(ddd) ") &amp; "오후 21:00"</f>
        <v>2023-03-11(토) 오후 21:00</v>
      </c>
      <c r="K123" s="171"/>
      <c r="L123" s="172"/>
      <c r="M123" s="170" t="str">
        <f>TEXT($G$1+1, "[$-ko-KR]yyyy-mm-dd(ddd) ") &amp; "오전 00:00"</f>
        <v>2023-03-12(일)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253</v>
      </c>
      <c r="B125" s="108">
        <v>87.7</v>
      </c>
      <c r="C125" s="69">
        <v>-1.901566E-2</v>
      </c>
      <c r="D125" s="13">
        <v>89.6</v>
      </c>
      <c r="E125" s="14">
        <f>IF(ISNUMBER(D125), (D125 - $B125) / $B125, "")</f>
        <v>2.166476624857459E-2</v>
      </c>
      <c r="F125" s="16">
        <f>IF(ISNUMBER(D125), $B145 * E125, "")</f>
        <v>3249.7149372861886</v>
      </c>
      <c r="G125" s="29">
        <v>88.2</v>
      </c>
      <c r="H125" s="14">
        <f>IF(ISNUMBER(G125), (G125 - $B125) / $B125, "")</f>
        <v>5.7012542759407071E-3</v>
      </c>
      <c r="I125" s="90">
        <f>IF(ISNUMBER(G125), $B145 * H125, "")</f>
        <v>855.18814139110611</v>
      </c>
      <c r="J125" s="13">
        <v>87.9</v>
      </c>
      <c r="K125" s="14">
        <f>IF(ISNUMBER(J125), (J125 - $B125) / $B125, "")</f>
        <v>2.2805017103763149E-3</v>
      </c>
      <c r="L125" s="16">
        <f>IF(ISNUMBER(J125), $B145 * K125, "")</f>
        <v>342.07525655644724</v>
      </c>
      <c r="M125" s="29">
        <v>87.9</v>
      </c>
      <c r="N125" s="14">
        <f>IF(ISNUMBER(M125), (M125 - $B125) / $B125, "")</f>
        <v>2.2805017103763149E-3</v>
      </c>
      <c r="O125" s="16">
        <f>IF(ISNUMBER(M125), $B145 * N125, "")</f>
        <v>342.07525655644724</v>
      </c>
      <c r="Q125" s="156"/>
      <c r="R125" s="156"/>
      <c r="S125" s="156"/>
    </row>
    <row r="126" spans="1:19" ht="17.25" thickBot="1">
      <c r="A126" s="109" t="s">
        <v>197</v>
      </c>
      <c r="B126" s="110">
        <v>10.3</v>
      </c>
      <c r="C126" s="70">
        <v>-1.9047618999999998E-2</v>
      </c>
      <c r="D126" s="15">
        <v>10.9</v>
      </c>
      <c r="E126" s="32">
        <f t="shared" ref="E126:E129" si="62">IF(ISNUMBER(D126), (D126 - $B126) / $B126, "")</f>
        <v>5.825242718446598E-2</v>
      </c>
      <c r="F126" s="18">
        <f>IF(ISNUMBER(D126), $B145 * E126, "")</f>
        <v>8737.8640776698976</v>
      </c>
      <c r="G126" s="31">
        <v>10.4</v>
      </c>
      <c r="H126" s="32">
        <f t="shared" ref="H126:H129" si="63">IF(ISNUMBER(G126), (G126 - $B126) / $B126, "")</f>
        <v>9.7087378640776344E-3</v>
      </c>
      <c r="I126" s="91">
        <f>IF(ISNUMBER(G126), $B145 * H126, "")</f>
        <v>1456.3106796116451</v>
      </c>
      <c r="J126" s="15">
        <v>10.4</v>
      </c>
      <c r="K126" s="32">
        <f t="shared" ref="K126:K129" si="64">IF(ISNUMBER(J126), (J126 - $B126) / $B126, "")</f>
        <v>9.7087378640776344E-3</v>
      </c>
      <c r="L126" s="18">
        <f>IF(ISNUMBER(J126), $B145 * K126, "")</f>
        <v>1456.3106796116451</v>
      </c>
      <c r="M126" s="31">
        <v>10.4</v>
      </c>
      <c r="N126" s="32">
        <f t="shared" ref="N126:N129" si="65">IF(ISNUMBER(M126), (M126 - $B126) / $B126, "")</f>
        <v>9.7087378640776344E-3</v>
      </c>
      <c r="O126" s="18">
        <f>IF(ISNUMBER(M126), $B145 * N126, "")</f>
        <v>1456.3106796116451</v>
      </c>
      <c r="Q126" s="156"/>
      <c r="R126" s="156"/>
      <c r="S126" s="156"/>
    </row>
    <row r="127" spans="1:19" ht="17.25" thickBot="1">
      <c r="A127" s="109" t="s">
        <v>221</v>
      </c>
      <c r="B127" s="110">
        <v>21.9</v>
      </c>
      <c r="C127" s="70">
        <v>-2.2321428599999998E-2</v>
      </c>
      <c r="D127" s="15">
        <v>22.7</v>
      </c>
      <c r="E127" s="32">
        <f t="shared" si="62"/>
        <v>3.6529680365296836E-2</v>
      </c>
      <c r="F127" s="18">
        <f>IF(ISNUMBER(D127), $B145 * E127, "")</f>
        <v>5479.4520547945258</v>
      </c>
      <c r="G127" s="31">
        <v>22</v>
      </c>
      <c r="H127" s="32">
        <f t="shared" si="63"/>
        <v>4.5662100456621653E-3</v>
      </c>
      <c r="I127" s="91">
        <f>IF(ISNUMBER(G127), $B145 * H127, "")</f>
        <v>684.93150684932482</v>
      </c>
      <c r="J127" s="15">
        <v>21.8</v>
      </c>
      <c r="K127" s="32">
        <f t="shared" si="64"/>
        <v>-4.5662100456620031E-3</v>
      </c>
      <c r="L127" s="18">
        <f>IF(ISNUMBER(J127), $B145 * K127, "")</f>
        <v>-684.93150684930049</v>
      </c>
      <c r="M127" s="31">
        <v>22</v>
      </c>
      <c r="N127" s="32">
        <f t="shared" si="65"/>
        <v>4.5662100456621653E-3</v>
      </c>
      <c r="O127" s="18">
        <f>IF(ISNUMBER(M127), $B145 * N127, "")</f>
        <v>684.93150684932482</v>
      </c>
      <c r="Q127" s="146"/>
      <c r="R127" s="146"/>
      <c r="S127" s="146"/>
    </row>
    <row r="128" spans="1:19" ht="17.25" thickBot="1">
      <c r="A128" s="109" t="s">
        <v>323</v>
      </c>
      <c r="B128" s="110">
        <v>83</v>
      </c>
      <c r="C128" s="70">
        <v>-2.35294118E-2</v>
      </c>
      <c r="D128" s="15">
        <v>86.8</v>
      </c>
      <c r="E128" s="32">
        <f t="shared" si="62"/>
        <v>4.5783132530120445E-2</v>
      </c>
      <c r="F128" s="18">
        <f>IF(ISNUMBER(D128), $B145 * E128, "")</f>
        <v>6867.4698795180666</v>
      </c>
      <c r="G128" s="31">
        <v>85.2</v>
      </c>
      <c r="H128" s="32">
        <f t="shared" si="63"/>
        <v>2.6506024096385576E-2</v>
      </c>
      <c r="I128" s="91">
        <f>IF(ISNUMBER(G128), $B145 * H128, "")</f>
        <v>3975.9036144578363</v>
      </c>
      <c r="J128" s="15">
        <v>84.9</v>
      </c>
      <c r="K128" s="32">
        <f t="shared" si="64"/>
        <v>2.2891566265060309E-2</v>
      </c>
      <c r="L128" s="18">
        <f>IF(ISNUMBER(J128), $B145 * K128, "")</f>
        <v>3433.7349397590465</v>
      </c>
      <c r="M128" s="31">
        <v>86</v>
      </c>
      <c r="N128" s="32">
        <f t="shared" si="65"/>
        <v>3.614457831325301E-2</v>
      </c>
      <c r="O128" s="18">
        <f>IF(ISNUMBER(M128), $B145 * N128, "")</f>
        <v>5421.6867469879517</v>
      </c>
      <c r="Q128" s="146"/>
      <c r="R128" s="146"/>
      <c r="S128" s="146"/>
    </row>
    <row r="129" spans="1:19" ht="17.25" thickBot="1">
      <c r="A129" s="111" t="s">
        <v>332</v>
      </c>
      <c r="B129" s="112">
        <v>7.14</v>
      </c>
      <c r="C129" s="71">
        <v>-2.7247956399999999E-2</v>
      </c>
      <c r="D129" s="20">
        <v>8.2100000000000009</v>
      </c>
      <c r="E129" s="21">
        <f t="shared" si="62"/>
        <v>0.1498599439775912</v>
      </c>
      <c r="F129" s="22">
        <f>IF(ISNUMBER(D129), $B145 * E129, "")</f>
        <v>22478.99159663868</v>
      </c>
      <c r="G129" s="30">
        <v>7.84</v>
      </c>
      <c r="H129" s="21">
        <f t="shared" si="63"/>
        <v>9.8039215686274536E-2</v>
      </c>
      <c r="I129" s="95">
        <f>IF(ISNUMBER(G129), $B145 * H129, "")</f>
        <v>14705.88235294118</v>
      </c>
      <c r="J129" s="20">
        <v>7.7</v>
      </c>
      <c r="K129" s="21">
        <f t="shared" si="64"/>
        <v>7.8431372549019676E-2</v>
      </c>
      <c r="L129" s="22">
        <f>IF(ISNUMBER(J129), $B145 * K129, "")</f>
        <v>11764.705882352951</v>
      </c>
      <c r="M129" s="30">
        <v>7.51</v>
      </c>
      <c r="N129" s="21">
        <f t="shared" si="65"/>
        <v>5.1820728291316544E-2</v>
      </c>
      <c r="O129" s="22">
        <f>IF(ISNUMBER(M129), $B145 * N129, "")</f>
        <v>7773.1092436974814</v>
      </c>
      <c r="Q129" s="146"/>
      <c r="R129" s="146"/>
      <c r="S129" s="146"/>
    </row>
    <row r="130" spans="1:19" ht="17.25" thickBot="1">
      <c r="A130" s="109" t="s">
        <v>193</v>
      </c>
      <c r="B130" s="113">
        <v>20.7</v>
      </c>
      <c r="C130" s="73">
        <v>-2.8169014100000001E-2</v>
      </c>
      <c r="D130" s="96">
        <v>21.3</v>
      </c>
      <c r="E130" s="97">
        <f>IF(ISNUMBER(D130), (D130 - $B130) / $B130, "")</f>
        <v>2.8985507246376881E-2</v>
      </c>
      <c r="F130" s="98">
        <f>IF(ISNUMBER(D130), $B145 * E130, "")</f>
        <v>4347.826086956532</v>
      </c>
      <c r="G130" s="99">
        <v>20.7</v>
      </c>
      <c r="H130" s="97">
        <f>IF(ISNUMBER(G130), (G130 - $B130) / $B130, "")</f>
        <v>0</v>
      </c>
      <c r="I130" s="100">
        <f>IF(ISNUMBER(G130), $B145 * H130, "")</f>
        <v>0</v>
      </c>
      <c r="J130" s="96">
        <v>20.5</v>
      </c>
      <c r="K130" s="97">
        <f>IF(ISNUMBER(J130), (J130 - $B130) / $B130, "")</f>
        <v>-9.6618357487922371E-3</v>
      </c>
      <c r="L130" s="98">
        <f>IF(ISNUMBER(J130), $B145 * K130, "")</f>
        <v>-1449.2753623188355</v>
      </c>
      <c r="M130" s="99">
        <v>20.6</v>
      </c>
      <c r="N130" s="97">
        <f>IF(ISNUMBER(M130), (M130 - $B130) / $B130, "")</f>
        <v>-4.8309178743960327E-3</v>
      </c>
      <c r="O130" s="98">
        <f>IF(ISNUMBER(M130), $B145 * N130, "")</f>
        <v>-724.63768115940491</v>
      </c>
      <c r="Q130" s="146"/>
      <c r="R130" s="146"/>
      <c r="S130" s="146"/>
    </row>
    <row r="131" spans="1:19" ht="17.25" thickBot="1">
      <c r="A131" s="109" t="s">
        <v>143</v>
      </c>
      <c r="B131" s="110">
        <v>5.03</v>
      </c>
      <c r="C131" s="70">
        <v>-2.8957528999999999E-2</v>
      </c>
      <c r="D131" s="15">
        <v>5.21</v>
      </c>
      <c r="E131" s="32">
        <f t="shared" ref="E131:E134" si="66">IF(ISNUMBER(D131), (D131 - $B131) / $B131, "")</f>
        <v>3.5785288270377677E-2</v>
      </c>
      <c r="F131" s="18">
        <f>IF(ISNUMBER(D131), $B145 * E131, "")</f>
        <v>5367.7932405566517</v>
      </c>
      <c r="G131" s="31">
        <v>5.0199999999999996</v>
      </c>
      <c r="H131" s="32">
        <f t="shared" ref="H131:H134" si="67">IF(ISNUMBER(G131), (G131 - $B131) / $B131, "")</f>
        <v>-1.988071570576675E-3</v>
      </c>
      <c r="I131" s="91">
        <f>IF(ISNUMBER(G131), $B145 * H131, "")</f>
        <v>-298.21073558650124</v>
      </c>
      <c r="J131" s="15">
        <v>5</v>
      </c>
      <c r="K131" s="32">
        <f t="shared" ref="K131:K134" si="68">IF(ISNUMBER(J131), (J131 - $B131) / $B131, "")</f>
        <v>-5.9642147117296715E-3</v>
      </c>
      <c r="L131" s="18">
        <f>IF(ISNUMBER(J131), $B145 * K131, "")</f>
        <v>-894.6322067594507</v>
      </c>
      <c r="M131" s="31">
        <v>5.01</v>
      </c>
      <c r="N131" s="32">
        <f t="shared" ref="N131:N134" si="69">IF(ISNUMBER(M131), (M131 - $B131) / $B131, "")</f>
        <v>-3.976143141153173E-3</v>
      </c>
      <c r="O131" s="18">
        <f>IF(ISNUMBER(M131), $B145 * N131, "")</f>
        <v>-596.421471172976</v>
      </c>
      <c r="Q131" s="146"/>
      <c r="R131" s="146"/>
      <c r="S131" s="146"/>
    </row>
    <row r="132" spans="1:19" ht="17.25" thickBot="1">
      <c r="A132" s="109" t="s">
        <v>320</v>
      </c>
      <c r="B132" s="110">
        <v>5.17</v>
      </c>
      <c r="C132" s="70">
        <v>-3.1835205999999998E-2</v>
      </c>
      <c r="D132" s="15">
        <v>5.48</v>
      </c>
      <c r="E132" s="32">
        <f t="shared" si="66"/>
        <v>5.9961315280464313E-2</v>
      </c>
      <c r="F132" s="18">
        <f>IF(ISNUMBER(D132), $B145 * E132, "")</f>
        <v>8994.1972920696462</v>
      </c>
      <c r="G132" s="31">
        <v>5.26</v>
      </c>
      <c r="H132" s="32">
        <f t="shared" si="67"/>
        <v>1.7408123791102487E-2</v>
      </c>
      <c r="I132" s="91">
        <f>IF(ISNUMBER(G132), $B145 * H132, "")</f>
        <v>2611.2185686653729</v>
      </c>
      <c r="J132" s="15">
        <v>5.23</v>
      </c>
      <c r="K132" s="32">
        <f t="shared" si="68"/>
        <v>1.1605415860735106E-2</v>
      </c>
      <c r="L132" s="18">
        <f>IF(ISNUMBER(J132), $B145 * K132, "")</f>
        <v>1740.8123791102657</v>
      </c>
      <c r="M132" s="31">
        <v>5.27</v>
      </c>
      <c r="N132" s="32">
        <f t="shared" si="69"/>
        <v>1.9342359767891615E-2</v>
      </c>
      <c r="O132" s="18">
        <f>IF(ISNUMBER(M132), $B145 * N132, "")</f>
        <v>2901.3539651837423</v>
      </c>
      <c r="Q132" s="146"/>
      <c r="R132" s="146"/>
      <c r="S132" s="146"/>
    </row>
    <row r="133" spans="1:19" ht="17.25" thickBot="1">
      <c r="A133" s="109" t="s">
        <v>155</v>
      </c>
      <c r="B133" s="110">
        <v>30.1</v>
      </c>
      <c r="C133" s="70">
        <v>-3.21543408E-2</v>
      </c>
      <c r="D133" s="15">
        <v>31.4</v>
      </c>
      <c r="E133" s="32">
        <f t="shared" si="66"/>
        <v>4.3189368770764021E-2</v>
      </c>
      <c r="F133" s="18">
        <f>IF(ISNUMBER(D133), $B145 * E133, "")</f>
        <v>6478.4053156146028</v>
      </c>
      <c r="G133" s="31">
        <v>30.7</v>
      </c>
      <c r="H133" s="32">
        <f t="shared" si="67"/>
        <v>1.9933554817275677E-2</v>
      </c>
      <c r="I133" s="91">
        <f>IF(ISNUMBER(G133), $B145 * H133, "")</f>
        <v>2990.0332225913517</v>
      </c>
      <c r="J133" s="15">
        <v>30.4</v>
      </c>
      <c r="K133" s="32">
        <f t="shared" si="68"/>
        <v>9.9667774086377794E-3</v>
      </c>
      <c r="L133" s="18">
        <f>IF(ISNUMBER(J133), $B145 * K133, "")</f>
        <v>1495.016611295667</v>
      </c>
      <c r="M133" s="31">
        <v>30.8</v>
      </c>
      <c r="N133" s="32">
        <f t="shared" si="69"/>
        <v>2.3255813953488347E-2</v>
      </c>
      <c r="O133" s="18">
        <f>IF(ISNUMBER(M133), $B145 * N133, "")</f>
        <v>3488.3720930232521</v>
      </c>
      <c r="Q133" s="33"/>
      <c r="R133" s="33"/>
    </row>
    <row r="134" spans="1:19" ht="17.25" thickBot="1">
      <c r="A134" s="114" t="s">
        <v>145</v>
      </c>
      <c r="B134" s="115">
        <v>76.900000000000006</v>
      </c>
      <c r="C134" s="72">
        <v>-3.3919598000000002E-2</v>
      </c>
      <c r="D134" s="24">
        <v>76.7</v>
      </c>
      <c r="E134" s="25">
        <f t="shared" si="66"/>
        <v>-2.600780234070258E-3</v>
      </c>
      <c r="F134" s="94">
        <f>IF(ISNUMBER(D134), $B145 * E134, "")</f>
        <v>-390.11703511053872</v>
      </c>
      <c r="G134" s="92">
        <v>76.099999999999994</v>
      </c>
      <c r="H134" s="25">
        <f t="shared" si="67"/>
        <v>-1.0403120936281032E-2</v>
      </c>
      <c r="I134" s="93">
        <f>IF(ISNUMBER(G134), $B145 * H134, "")</f>
        <v>-1560.4681404421549</v>
      </c>
      <c r="J134" s="24">
        <v>76</v>
      </c>
      <c r="K134" s="25">
        <f t="shared" si="68"/>
        <v>-1.1703511053316068E-2</v>
      </c>
      <c r="L134" s="94">
        <f>IF(ISNUMBER(J134), $B145 * K134, "")</f>
        <v>-1755.5266579974102</v>
      </c>
      <c r="M134" s="92">
        <v>76.099999999999994</v>
      </c>
      <c r="N134" s="25">
        <f t="shared" si="69"/>
        <v>-1.0403120936281032E-2</v>
      </c>
      <c r="O134" s="94">
        <f>IF(ISNUMBER(M134), $B145 * N134, "")</f>
        <v>-1560.4681404421549</v>
      </c>
      <c r="Q134" s="147"/>
      <c r="R134" s="148"/>
      <c r="S134" s="149"/>
    </row>
    <row r="135" spans="1:19">
      <c r="A135" s="107" t="s">
        <v>338</v>
      </c>
      <c r="B135" s="108">
        <v>3.5900000000000001E-2</v>
      </c>
      <c r="C135" s="69">
        <v>-3.49462366E-2</v>
      </c>
      <c r="D135" s="13">
        <v>3.6799999999999999E-2</v>
      </c>
      <c r="E135" s="14">
        <f>IF(ISNUMBER(D135), (D135 - $B135) / $B135, "")</f>
        <v>2.5069637883008301E-2</v>
      </c>
      <c r="F135" s="16">
        <f>IF(ISNUMBER(D135), $B145 * E135, "")</f>
        <v>3760.4456824512449</v>
      </c>
      <c r="G135" s="29">
        <v>3.6299999999999999E-2</v>
      </c>
      <c r="H135" s="14">
        <f>IF(ISNUMBER(G135), (G135 - $B135) / $B135, "")</f>
        <v>1.114206128133698E-2</v>
      </c>
      <c r="I135" s="90">
        <f>IF(ISNUMBER(G135), $B145 * H135, "")</f>
        <v>1671.3091922005469</v>
      </c>
      <c r="J135" s="13">
        <v>3.5999999999999997E-2</v>
      </c>
      <c r="K135" s="14">
        <f>IF(ISNUMBER(J135), (J135 - $B135) / $B135, "")</f>
        <v>2.7855153203341482E-3</v>
      </c>
      <c r="L135" s="16">
        <f>IF(ISNUMBER(J135), $B145 * K135, "")</f>
        <v>417.82729805012224</v>
      </c>
      <c r="M135" s="29">
        <v>3.5900000000000001E-2</v>
      </c>
      <c r="N135" s="14">
        <f>IF(ISNUMBER(M135), (M135 - $B135) / $B135, "")</f>
        <v>0</v>
      </c>
      <c r="O135" s="16">
        <f>IF(ISNUMBER(M135), $B145 * N135, "")</f>
        <v>0</v>
      </c>
      <c r="Q135" s="150"/>
      <c r="R135" s="151"/>
      <c r="S135" s="152"/>
    </row>
    <row r="136" spans="1:19" ht="17.25" thickBot="1">
      <c r="A136" s="109" t="s">
        <v>118</v>
      </c>
      <c r="B136" s="110">
        <v>6.91</v>
      </c>
      <c r="C136" s="70">
        <v>-3.7604456799999998E-2</v>
      </c>
      <c r="D136" s="15">
        <v>7.22</v>
      </c>
      <c r="E136" s="32">
        <f t="shared" ref="E136:E139" si="70">IF(ISNUMBER(D136), (D136 - $B136) / $B136, "")</f>
        <v>4.4862518089724981E-2</v>
      </c>
      <c r="F136" s="18">
        <f>IF(ISNUMBER(D136), $B145 * E136, "")</f>
        <v>6729.3777134587472</v>
      </c>
      <c r="G136" s="31">
        <v>6.98</v>
      </c>
      <c r="H136" s="32">
        <f t="shared" ref="H136:H139" si="71">IF(ISNUMBER(G136), (G136 - $B136) / $B136, "")</f>
        <v>1.0130246020260534E-2</v>
      </c>
      <c r="I136" s="91">
        <f>IF(ISNUMBER(G136), $B145 * H136, "")</f>
        <v>1519.53690303908</v>
      </c>
      <c r="J136" s="15">
        <v>6.89</v>
      </c>
      <c r="K136" s="32">
        <f t="shared" ref="K136:K139" si="72">IF(ISNUMBER(J136), (J136 - $B136) / $B136, "")</f>
        <v>-2.8943560057887786E-3</v>
      </c>
      <c r="L136" s="18">
        <f>IF(ISNUMBER(J136), $B145 * K136, "")</f>
        <v>-434.15340086831679</v>
      </c>
      <c r="M136" s="31">
        <v>6.93</v>
      </c>
      <c r="N136" s="32">
        <f t="shared" ref="N136:N139" si="73">IF(ISNUMBER(M136), (M136 - $B136) / $B136, "")</f>
        <v>2.8943560057886502E-3</v>
      </c>
      <c r="O136" s="18">
        <f>IF(ISNUMBER(M136), $B145 * N136, "")</f>
        <v>434.15340086829752</v>
      </c>
      <c r="Q136" s="153"/>
      <c r="R136" s="154"/>
      <c r="S136" s="155"/>
    </row>
    <row r="137" spans="1:19" ht="17.25" thickBot="1">
      <c r="A137" s="109" t="s">
        <v>107</v>
      </c>
      <c r="B137" s="110">
        <v>41.2</v>
      </c>
      <c r="C137" s="70">
        <v>-3.9627039599999997E-2</v>
      </c>
      <c r="D137" s="15">
        <v>43.2</v>
      </c>
      <c r="E137" s="32">
        <f t="shared" si="70"/>
        <v>4.8543689320388349E-2</v>
      </c>
      <c r="F137" s="18">
        <f>IF(ISNUMBER(D137), $B145 * E137, "")</f>
        <v>7281.5533980582522</v>
      </c>
      <c r="G137" s="31">
        <v>41.8</v>
      </c>
      <c r="H137" s="32">
        <f t="shared" si="71"/>
        <v>1.4563106796116367E-2</v>
      </c>
      <c r="I137" s="91">
        <f>IF(ISNUMBER(G137), $B145 * H137, "")</f>
        <v>2184.4660194174548</v>
      </c>
      <c r="J137" s="15">
        <v>41.5</v>
      </c>
      <c r="K137" s="32">
        <f t="shared" si="72"/>
        <v>7.2815533980581833E-3</v>
      </c>
      <c r="L137" s="18">
        <f>IF(ISNUMBER(J137), $B145 * K137, "")</f>
        <v>1092.2330097087274</v>
      </c>
      <c r="M137" s="31">
        <v>41.8</v>
      </c>
      <c r="N137" s="32">
        <f t="shared" si="73"/>
        <v>1.4563106796116367E-2</v>
      </c>
      <c r="O137" s="18">
        <f>IF(ISNUMBER(M137), $B145 * N137, "")</f>
        <v>2184.4660194174548</v>
      </c>
      <c r="Q137" s="146"/>
      <c r="R137" s="146"/>
      <c r="S137" s="146"/>
    </row>
    <row r="138" spans="1:19" ht="17.25" thickBot="1">
      <c r="A138" s="109" t="s">
        <v>56</v>
      </c>
      <c r="B138" s="110">
        <v>44.9</v>
      </c>
      <c r="C138" s="70">
        <v>-4.0598290600000003E-2</v>
      </c>
      <c r="D138" s="15">
        <v>46</v>
      </c>
      <c r="E138" s="32">
        <f t="shared" si="70"/>
        <v>2.4498886414253931E-2</v>
      </c>
      <c r="F138" s="18">
        <f>IF(ISNUMBER(D138), $B145 * E138, "")</f>
        <v>3674.8329621380894</v>
      </c>
      <c r="G138" s="31">
        <v>44.7</v>
      </c>
      <c r="H138" s="32">
        <f t="shared" si="71"/>
        <v>-4.4543429844097048E-3</v>
      </c>
      <c r="I138" s="91">
        <f>IF(ISNUMBER(G138), $B145 * H138, "")</f>
        <v>-668.15144766145568</v>
      </c>
      <c r="J138" s="15">
        <v>44.2</v>
      </c>
      <c r="K138" s="32">
        <f t="shared" si="72"/>
        <v>-1.5590200445434204E-2</v>
      </c>
      <c r="L138" s="18">
        <f>IF(ISNUMBER(J138), $B145 * K138, "")</f>
        <v>-2338.5300668151303</v>
      </c>
      <c r="M138" s="31">
        <v>44.7</v>
      </c>
      <c r="N138" s="32">
        <f t="shared" si="73"/>
        <v>-4.4543429844097048E-3</v>
      </c>
      <c r="O138" s="18">
        <f>IF(ISNUMBER(M138), $B145 * N138, "")</f>
        <v>-668.15144766145568</v>
      </c>
      <c r="Q138" s="156"/>
      <c r="R138" s="156"/>
      <c r="S138" s="156"/>
    </row>
    <row r="139" spans="1:19" ht="17.25" thickBot="1">
      <c r="A139" s="111" t="s">
        <v>217</v>
      </c>
      <c r="B139" s="112">
        <v>77.599999999999994</v>
      </c>
      <c r="C139" s="71">
        <v>-4.0791100099999998E-2</v>
      </c>
      <c r="D139" s="20">
        <v>85.3</v>
      </c>
      <c r="E139" s="21">
        <f t="shared" si="70"/>
        <v>9.922680412371139E-2</v>
      </c>
      <c r="F139" s="22">
        <f>IF(ISNUMBER(D139), $B145 * E139, "")</f>
        <v>14884.020618556708</v>
      </c>
      <c r="G139" s="30">
        <v>82.1</v>
      </c>
      <c r="H139" s="21">
        <f t="shared" si="71"/>
        <v>5.7989690721649487E-2</v>
      </c>
      <c r="I139" s="95">
        <f>IF(ISNUMBER(G139), $B145 * H139, "")</f>
        <v>8698.4536082474224</v>
      </c>
      <c r="J139" s="20">
        <v>81.3</v>
      </c>
      <c r="K139" s="21">
        <f t="shared" si="72"/>
        <v>4.7680412371134059E-2</v>
      </c>
      <c r="L139" s="22">
        <f>IF(ISNUMBER(J139), $B145 * K139, "")</f>
        <v>7152.0618556701093</v>
      </c>
      <c r="M139" s="30">
        <v>81</v>
      </c>
      <c r="N139" s="21">
        <f t="shared" si="73"/>
        <v>4.3814432989690795E-2</v>
      </c>
      <c r="O139" s="22">
        <f>IF(ISNUMBER(M139), $B145 * N139, "")</f>
        <v>6572.1649484536192</v>
      </c>
      <c r="Q139" s="156"/>
      <c r="R139" s="156"/>
      <c r="S139" s="156"/>
    </row>
    <row r="140" spans="1:19" ht="17.25" thickBot="1">
      <c r="A140" s="109" t="s">
        <v>185</v>
      </c>
      <c r="B140" s="113">
        <v>35.200000000000003</v>
      </c>
      <c r="C140" s="73">
        <v>-4.08719346E-2</v>
      </c>
      <c r="D140" s="96">
        <v>37.700000000000003</v>
      </c>
      <c r="E140" s="97">
        <f>IF(ISNUMBER(D140), (D140 - $B140) / $B140, "")</f>
        <v>7.1022727272727265E-2</v>
      </c>
      <c r="F140" s="98">
        <f>IF(ISNUMBER(D140), $B145 * E140, "")</f>
        <v>10653.40909090909</v>
      </c>
      <c r="G140" s="99">
        <v>36.4</v>
      </c>
      <c r="H140" s="97">
        <f>IF(ISNUMBER(G140), (G140 - $B140) / $B140, "")</f>
        <v>3.409090909090897E-2</v>
      </c>
      <c r="I140" s="100">
        <f>IF(ISNUMBER(G140), $B145 * H140, "")</f>
        <v>5113.6363636363458</v>
      </c>
      <c r="J140" s="96">
        <v>35.799999999999997</v>
      </c>
      <c r="K140" s="97">
        <f>IF(ISNUMBER(J140), (J140 - $B140) / $B140, "")</f>
        <v>1.7045454545454381E-2</v>
      </c>
      <c r="L140" s="98">
        <f>IF(ISNUMBER(J140), $B145 * K140, "")</f>
        <v>2556.818181818157</v>
      </c>
      <c r="M140" s="99">
        <v>36.200000000000003</v>
      </c>
      <c r="N140" s="97">
        <f>IF(ISNUMBER(M140), (M140 - $B140) / $B140, "")</f>
        <v>2.8409090909090908E-2</v>
      </c>
      <c r="O140" s="98">
        <f>IF(ISNUMBER(M140), $B145 * N140, "")</f>
        <v>4261.363636363636</v>
      </c>
      <c r="Q140" s="146"/>
      <c r="R140" s="146"/>
      <c r="S140" s="146"/>
    </row>
    <row r="141" spans="1:19" ht="17.25" thickBot="1">
      <c r="A141" s="109" t="s">
        <v>237</v>
      </c>
      <c r="B141" s="110">
        <v>30.1</v>
      </c>
      <c r="C141" s="70">
        <v>-4.14012739E-2</v>
      </c>
      <c r="D141" s="15">
        <v>30.9</v>
      </c>
      <c r="E141" s="32">
        <f t="shared" ref="E141:E144" si="74">IF(ISNUMBER(D141), (D141 - $B141) / $B141, "")</f>
        <v>2.65780730897009E-2</v>
      </c>
      <c r="F141" s="18">
        <f>IF(ISNUMBER(D141), $B145 * E141, "")</f>
        <v>3986.7109634551352</v>
      </c>
      <c r="G141" s="31">
        <v>30.3</v>
      </c>
      <c r="H141" s="32">
        <f t="shared" ref="H141:H144" si="75">IF(ISNUMBER(G141), (G141 - $B141) / $B141, "")</f>
        <v>6.644518272425225E-3</v>
      </c>
      <c r="I141" s="91">
        <f>IF(ISNUMBER(G141), $B145 * H141, "")</f>
        <v>996.67774086378381</v>
      </c>
      <c r="J141" s="15">
        <v>30.3</v>
      </c>
      <c r="K141" s="32">
        <f t="shared" ref="K141:K144" si="76">IF(ISNUMBER(J141), (J141 - $B141) / $B141, "")</f>
        <v>6.644518272425225E-3</v>
      </c>
      <c r="L141" s="18">
        <f>IF(ISNUMBER(J141), $B145 * K141, "")</f>
        <v>996.67774086378381</v>
      </c>
      <c r="M141" s="31">
        <v>30.5</v>
      </c>
      <c r="N141" s="32">
        <f t="shared" ref="N141:N144" si="77">IF(ISNUMBER(M141), (M141 - $B141) / $B141, "")</f>
        <v>1.328903654485045E-2</v>
      </c>
      <c r="O141" s="18">
        <f>IF(ISNUMBER(M141), $B145 * N141, "")</f>
        <v>1993.3554817275676</v>
      </c>
      <c r="Q141" s="146"/>
      <c r="R141" s="146"/>
      <c r="S141" s="146"/>
    </row>
    <row r="142" spans="1:19" ht="17.25" thickBot="1">
      <c r="A142" s="109" t="s">
        <v>138</v>
      </c>
      <c r="B142" s="110">
        <v>36</v>
      </c>
      <c r="C142" s="70">
        <v>-4.5092838199999999E-2</v>
      </c>
      <c r="D142" s="15">
        <v>37.9</v>
      </c>
      <c r="E142" s="32">
        <f t="shared" si="74"/>
        <v>5.2777777777777736E-2</v>
      </c>
      <c r="F142" s="18">
        <f>IF(ISNUMBER(D142), $B145 * E142, "")</f>
        <v>7916.6666666666606</v>
      </c>
      <c r="G142" s="31">
        <v>37</v>
      </c>
      <c r="H142" s="32">
        <f t="shared" si="75"/>
        <v>2.7777777777777776E-2</v>
      </c>
      <c r="I142" s="91">
        <f>IF(ISNUMBER(G142), $B145 * H142, "")</f>
        <v>4166.6666666666661</v>
      </c>
      <c r="J142" s="15">
        <v>36.5</v>
      </c>
      <c r="K142" s="32">
        <f t="shared" si="76"/>
        <v>1.3888888888888888E-2</v>
      </c>
      <c r="L142" s="18">
        <f>IF(ISNUMBER(J142), $B145 * K142, "")</f>
        <v>2083.333333333333</v>
      </c>
      <c r="M142" s="31">
        <v>36.4</v>
      </c>
      <c r="N142" s="32">
        <f t="shared" si="77"/>
        <v>1.1111111111111072E-2</v>
      </c>
      <c r="O142" s="18">
        <f>IF(ISNUMBER(M142), $B145 * N142, "")</f>
        <v>1666.6666666666608</v>
      </c>
      <c r="Q142" s="146"/>
      <c r="R142" s="146"/>
      <c r="S142" s="146"/>
    </row>
    <row r="143" spans="1:19">
      <c r="A143" s="109" t="s">
        <v>132</v>
      </c>
      <c r="B143" s="110">
        <v>61</v>
      </c>
      <c r="C143" s="70">
        <v>-4.53834116E-2</v>
      </c>
      <c r="D143" s="15">
        <v>63.7</v>
      </c>
      <c r="E143" s="32">
        <f t="shared" si="74"/>
        <v>4.4262295081967259E-2</v>
      </c>
      <c r="F143" s="18">
        <f>IF(ISNUMBER(D143), $B145 * E143, "")</f>
        <v>6639.3442622950888</v>
      </c>
      <c r="G143" s="31">
        <v>62</v>
      </c>
      <c r="H143" s="32">
        <f t="shared" si="75"/>
        <v>1.6393442622950821E-2</v>
      </c>
      <c r="I143" s="91">
        <f>IF(ISNUMBER(G143), $B145 * H143, "")</f>
        <v>2459.0163934426232</v>
      </c>
      <c r="J143" s="15">
        <v>61.4</v>
      </c>
      <c r="K143" s="32">
        <f t="shared" si="76"/>
        <v>6.5573770491803044E-3</v>
      </c>
      <c r="L143" s="18">
        <f>IF(ISNUMBER(J143), $B145 * K143, "")</f>
        <v>983.60655737704565</v>
      </c>
      <c r="M143" s="31">
        <v>61.3</v>
      </c>
      <c r="N143" s="32">
        <f t="shared" si="77"/>
        <v>4.9180327868851995E-3</v>
      </c>
      <c r="O143" s="18">
        <f>IF(ISNUMBER(M143), $B145 * N143, "")</f>
        <v>737.70491803277991</v>
      </c>
      <c r="Q143" s="135"/>
      <c r="R143" s="136"/>
      <c r="S143" s="137"/>
    </row>
    <row r="144" spans="1:19" ht="17.25" thickBot="1">
      <c r="A144" s="114" t="s">
        <v>225</v>
      </c>
      <c r="B144" s="115">
        <v>76.3</v>
      </c>
      <c r="C144" s="72">
        <v>-6.9512195099999993E-2</v>
      </c>
      <c r="D144" s="24">
        <v>78.5</v>
      </c>
      <c r="E144" s="25">
        <f t="shared" si="74"/>
        <v>2.8833551769331625E-2</v>
      </c>
      <c r="F144" s="94">
        <f>IF(ISNUMBER(D144), $B145 * E144, "")</f>
        <v>4325.0327653997438</v>
      </c>
      <c r="G144" s="92">
        <v>76.599999999999994</v>
      </c>
      <c r="H144" s="25">
        <f t="shared" si="75"/>
        <v>3.9318479685451794E-3</v>
      </c>
      <c r="I144" s="93">
        <f>IF(ISNUMBER(G144), $B145 * H144, "")</f>
        <v>589.77719528177693</v>
      </c>
      <c r="J144" s="24">
        <v>76.5</v>
      </c>
      <c r="K144" s="25">
        <f t="shared" si="76"/>
        <v>2.6212319790301815E-3</v>
      </c>
      <c r="L144" s="94">
        <f>IF(ISNUMBER(J144), $B145 * K144, "")</f>
        <v>393.18479685452724</v>
      </c>
      <c r="M144" s="92">
        <v>77.099999999999994</v>
      </c>
      <c r="N144" s="25">
        <f t="shared" si="77"/>
        <v>1.048492791612054E-2</v>
      </c>
      <c r="O144" s="94">
        <f>IF(ISNUMBER(M144), $B145 * N144, "")</f>
        <v>1572.739187418081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4.7154330523127674E-2</v>
      </c>
      <c r="F145" s="28">
        <f>SUM(F125:F144)</f>
        <v>141462.99156938301</v>
      </c>
      <c r="G145" s="26" t="s">
        <v>258</v>
      </c>
      <c r="H145" s="27">
        <f>IF(COUNT(H125:H144), SUM(H125:H144) / COUNT(H125:H144), 0)</f>
        <v>1.7384059281871138E-2</v>
      </c>
      <c r="I145" s="28">
        <f>SUM(I125:I144)</f>
        <v>52152.177845613405</v>
      </c>
      <c r="J145" s="26" t="s">
        <v>258</v>
      </c>
      <c r="K145" s="27">
        <f>IF(COUNT(K125:K144), SUM(K125:K144) / COUNT(K125:K144), 0)</f>
        <v>9.4504497735844635E-3</v>
      </c>
      <c r="L145" s="28">
        <f>SUM(L125:L144)</f>
        <v>28351.349320753383</v>
      </c>
      <c r="M145" s="26" t="s">
        <v>258</v>
      </c>
      <c r="N145" s="27">
        <f>IF(COUNT(N125:N144), SUM(N125:N144) / COUNT(N125:N144), 0)</f>
        <v>1.2646925003473985E-2</v>
      </c>
      <c r="O145" s="28">
        <f>SUM(O125:O144)</f>
        <v>37940.775010421959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2023-03-11(토) 오전 00:00</v>
      </c>
      <c r="C150" s="198"/>
      <c r="D150" s="170" t="str">
        <f>TEXT($G$1, "[$-ko-KR]yyyy-mm-dd(ddd) ") &amp; "오후 14:00"</f>
        <v>2023-03-11(토) 오후 14:00</v>
      </c>
      <c r="E150" s="171"/>
      <c r="F150" s="172"/>
      <c r="G150" s="170" t="str">
        <f>TEXT($G$1, "[$-ko-KR]yyyy-mm-dd(ddd) ") &amp; "오후 19:00"</f>
        <v>2023-03-11(토) 오후 19:00</v>
      </c>
      <c r="H150" s="171"/>
      <c r="I150" s="172"/>
      <c r="J150" s="170" t="str">
        <f>TEXT($G$1, "[$-ko-KR]yyyy-mm-dd(ddd) ") &amp; "오후 21:00"</f>
        <v>2023-03-11(토) 오후 21:00</v>
      </c>
      <c r="K150" s="171"/>
      <c r="L150" s="172"/>
      <c r="M150" s="170" t="str">
        <f>TEXT($G$1+1, "[$-ko-KR]yyyy-mm-dd(ddd) ") &amp; "오전 00:00"</f>
        <v>2023-03-12(일)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169</v>
      </c>
      <c r="B152" s="108">
        <v>250</v>
      </c>
      <c r="C152" s="69">
        <v>-3.1007751900000002E-2</v>
      </c>
      <c r="D152" s="13">
        <v>256</v>
      </c>
      <c r="E152" s="14">
        <f>IF(ISNUMBER(D152), (D152 - $B152) / $B152, "")</f>
        <v>2.4E-2</v>
      </c>
      <c r="F152" s="16">
        <f>IF(ISNUMBER(D152), $B172 * E152, "")</f>
        <v>3600</v>
      </c>
      <c r="G152" s="29">
        <v>250</v>
      </c>
      <c r="H152" s="14">
        <f>IF(ISNUMBER(G152), (G152 - $B152) / $B152, "")</f>
        <v>0</v>
      </c>
      <c r="I152" s="90">
        <f>IF(ISNUMBER(G152), $B172 * H152, "")</f>
        <v>0</v>
      </c>
      <c r="J152" s="13">
        <v>249</v>
      </c>
      <c r="K152" s="14">
        <f>IF(ISNUMBER(J152), (J152 - $B152) / $B152, "")</f>
        <v>-4.0000000000000001E-3</v>
      </c>
      <c r="L152" s="16">
        <f>IF(ISNUMBER(J152), $B172 * K152, "")</f>
        <v>-600</v>
      </c>
      <c r="M152" s="29">
        <v>250</v>
      </c>
      <c r="N152" s="14">
        <f>IF(ISNUMBER(M152), (M152 - $B152) / $B152, "")</f>
        <v>0</v>
      </c>
      <c r="O152" s="16">
        <f>IF(ISNUMBER(M152), $B172 * N152, "")</f>
        <v>0</v>
      </c>
      <c r="Q152" s="156"/>
      <c r="R152" s="156"/>
      <c r="S152" s="156"/>
    </row>
    <row r="153" spans="1:19" ht="17.25" thickBot="1">
      <c r="A153" s="109" t="s">
        <v>325</v>
      </c>
      <c r="B153" s="110">
        <v>575</v>
      </c>
      <c r="C153" s="70">
        <v>-3.1986531999999998E-2</v>
      </c>
      <c r="D153" s="15">
        <v>603</v>
      </c>
      <c r="E153" s="32">
        <f t="shared" ref="E153:E156" si="78">IF(ISNUMBER(D153), (D153 - $B153) / $B153, "")</f>
        <v>4.8695652173913043E-2</v>
      </c>
      <c r="F153" s="18">
        <f>IF(ISNUMBER(D153), $B172 * E153, "")</f>
        <v>7304.347826086956</v>
      </c>
      <c r="G153" s="31">
        <v>599</v>
      </c>
      <c r="H153" s="32">
        <f t="shared" ref="H153:H156" si="79">IF(ISNUMBER(G153), (G153 - $B153) / $B153, "")</f>
        <v>4.1739130434782612E-2</v>
      </c>
      <c r="I153" s="91">
        <f>IF(ISNUMBER(G153), $B172 * H153, "")</f>
        <v>6260.8695652173919</v>
      </c>
      <c r="J153" s="15">
        <v>590</v>
      </c>
      <c r="K153" s="32">
        <f t="shared" ref="K153:K156" si="80">IF(ISNUMBER(J153), (J153 - $B153) / $B153, "")</f>
        <v>2.6086956521739129E-2</v>
      </c>
      <c r="L153" s="18">
        <f>IF(ISNUMBER(J153), $B172 * K153, "")</f>
        <v>3913.0434782608695</v>
      </c>
      <c r="M153" s="31">
        <v>589</v>
      </c>
      <c r="N153" s="32">
        <f t="shared" ref="N153:N156" si="81">IF(ISNUMBER(M153), (M153 - $B153) / $B153, "")</f>
        <v>2.4347826086956521E-2</v>
      </c>
      <c r="O153" s="18">
        <f>IF(ISNUMBER(M153), $B172 * N153, "")</f>
        <v>3652.173913043478</v>
      </c>
      <c r="Q153" s="156"/>
      <c r="R153" s="156"/>
      <c r="S153" s="156"/>
    </row>
    <row r="154" spans="1:19" ht="17.25" thickBot="1">
      <c r="A154" s="109" t="s">
        <v>159</v>
      </c>
      <c r="B154" s="110">
        <v>207</v>
      </c>
      <c r="C154" s="70">
        <v>-3.27102804E-2</v>
      </c>
      <c r="D154" s="15">
        <v>215</v>
      </c>
      <c r="E154" s="32">
        <f t="shared" si="78"/>
        <v>3.864734299516908E-2</v>
      </c>
      <c r="F154" s="18">
        <f>IF(ISNUMBER(D154), $B172 * E154, "")</f>
        <v>5797.101449275362</v>
      </c>
      <c r="G154" s="31">
        <v>209</v>
      </c>
      <c r="H154" s="32">
        <f t="shared" si="79"/>
        <v>9.6618357487922701E-3</v>
      </c>
      <c r="I154" s="91">
        <f>IF(ISNUMBER(G154), $B172 * H154, "")</f>
        <v>1449.2753623188405</v>
      </c>
      <c r="J154" s="15">
        <v>207</v>
      </c>
      <c r="K154" s="32">
        <f t="shared" si="80"/>
        <v>0</v>
      </c>
      <c r="L154" s="18">
        <f>IF(ISNUMBER(J154), $B172 * K154, "")</f>
        <v>0</v>
      </c>
      <c r="M154" s="31">
        <v>208</v>
      </c>
      <c r="N154" s="32">
        <f t="shared" si="81"/>
        <v>4.830917874396135E-3</v>
      </c>
      <c r="O154" s="18">
        <f>IF(ISNUMBER(M154), $B172 * N154, "")</f>
        <v>724.63768115942025</v>
      </c>
      <c r="Q154" s="146"/>
      <c r="R154" s="146"/>
      <c r="S154" s="146"/>
    </row>
    <row r="155" spans="1:19" ht="17.25" thickBot="1">
      <c r="A155" s="109" t="s">
        <v>120</v>
      </c>
      <c r="B155" s="110">
        <v>118</v>
      </c>
      <c r="C155" s="70">
        <v>-3.2786885199999997E-2</v>
      </c>
      <c r="D155" s="15">
        <v>124</v>
      </c>
      <c r="E155" s="32">
        <f t="shared" si="78"/>
        <v>5.0847457627118647E-2</v>
      </c>
      <c r="F155" s="18">
        <f>IF(ISNUMBER(D155), $B172 * E155, "")</f>
        <v>7627.1186440677975</v>
      </c>
      <c r="G155" s="31">
        <v>120</v>
      </c>
      <c r="H155" s="32">
        <f t="shared" si="79"/>
        <v>1.6949152542372881E-2</v>
      </c>
      <c r="I155" s="91">
        <f>IF(ISNUMBER(G155), $B172 * H155, "")</f>
        <v>2542.3728813559323</v>
      </c>
      <c r="J155" s="15">
        <v>120</v>
      </c>
      <c r="K155" s="32">
        <f t="shared" si="80"/>
        <v>1.6949152542372881E-2</v>
      </c>
      <c r="L155" s="18">
        <f>IF(ISNUMBER(J155), $B172 * K155, "")</f>
        <v>2542.3728813559323</v>
      </c>
      <c r="M155" s="31">
        <v>120</v>
      </c>
      <c r="N155" s="32">
        <f t="shared" si="81"/>
        <v>1.6949152542372881E-2</v>
      </c>
      <c r="O155" s="18">
        <f>IF(ISNUMBER(M155), $B172 * N155, "")</f>
        <v>2542.3728813559323</v>
      </c>
      <c r="Q155" s="146"/>
      <c r="R155" s="146"/>
      <c r="S155" s="146"/>
    </row>
    <row r="156" spans="1:19" ht="17.25" thickBot="1">
      <c r="A156" s="111" t="s">
        <v>209</v>
      </c>
      <c r="B156" s="112">
        <v>117</v>
      </c>
      <c r="C156" s="71">
        <v>-3.3057851200000002E-2</v>
      </c>
      <c r="D156" s="20">
        <v>122</v>
      </c>
      <c r="E156" s="21">
        <f t="shared" si="78"/>
        <v>4.2735042735042736E-2</v>
      </c>
      <c r="F156" s="22">
        <f>IF(ISNUMBER(D156), $B172 * E156, "")</f>
        <v>6410.2564102564102</v>
      </c>
      <c r="G156" s="30">
        <v>119</v>
      </c>
      <c r="H156" s="21">
        <f t="shared" si="79"/>
        <v>1.7094017094017096E-2</v>
      </c>
      <c r="I156" s="95">
        <f>IF(ISNUMBER(G156), $B172 * H156, "")</f>
        <v>2564.1025641025644</v>
      </c>
      <c r="J156" s="20">
        <v>118</v>
      </c>
      <c r="K156" s="21">
        <f t="shared" si="80"/>
        <v>8.5470085470085479E-3</v>
      </c>
      <c r="L156" s="22">
        <f>IF(ISNUMBER(J156), $B172 * K156, "")</f>
        <v>1282.0512820512822</v>
      </c>
      <c r="M156" s="30">
        <v>119</v>
      </c>
      <c r="N156" s="21">
        <f t="shared" si="81"/>
        <v>1.7094017094017096E-2</v>
      </c>
      <c r="O156" s="22">
        <f>IF(ISNUMBER(M156), $B172 * N156, "")</f>
        <v>2564.1025641025644</v>
      </c>
      <c r="Q156" s="146"/>
      <c r="R156" s="146"/>
      <c r="S156" s="146"/>
    </row>
    <row r="157" spans="1:19" ht="17.25" thickBot="1">
      <c r="A157" s="109" t="s">
        <v>327</v>
      </c>
      <c r="B157" s="113">
        <v>403</v>
      </c>
      <c r="C157" s="73">
        <v>-3.3573141500000001E-2</v>
      </c>
      <c r="D157" s="96">
        <v>415</v>
      </c>
      <c r="E157" s="97">
        <f>IF(ISNUMBER(D157), (D157 - $B157) / $B157, "")</f>
        <v>2.9776674937965261E-2</v>
      </c>
      <c r="F157" s="98">
        <f>IF(ISNUMBER(D157), $B172 * E157, "")</f>
        <v>4466.501240694789</v>
      </c>
      <c r="G157" s="99">
        <v>410</v>
      </c>
      <c r="H157" s="97">
        <f>IF(ISNUMBER(G157), (G157 - $B157) / $B157, "")</f>
        <v>1.7369727047146403E-2</v>
      </c>
      <c r="I157" s="100">
        <f>IF(ISNUMBER(G157), $B172 * H157, "")</f>
        <v>2605.4590570719606</v>
      </c>
      <c r="J157" s="96">
        <v>406</v>
      </c>
      <c r="K157" s="97">
        <f>IF(ISNUMBER(J157), (J157 - $B157) / $B157, "")</f>
        <v>7.4441687344913151E-3</v>
      </c>
      <c r="L157" s="98">
        <f>IF(ISNUMBER(J157), $B172 * K157, "")</f>
        <v>1116.6253101736972</v>
      </c>
      <c r="M157" s="99">
        <v>402</v>
      </c>
      <c r="N157" s="97">
        <f>IF(ISNUMBER(M157), (M157 - $B157) / $B157, "")</f>
        <v>-2.4813895781637717E-3</v>
      </c>
      <c r="O157" s="98">
        <f>IF(ISNUMBER(M157), $B172 * N157, "")</f>
        <v>-372.20843672456573</v>
      </c>
      <c r="Q157" s="146"/>
      <c r="R157" s="146"/>
      <c r="S157" s="146"/>
    </row>
    <row r="158" spans="1:19" ht="17.25" thickBot="1">
      <c r="A158" s="109" t="s">
        <v>183</v>
      </c>
      <c r="B158" s="110">
        <v>136</v>
      </c>
      <c r="C158" s="70">
        <v>-3.5460992900000002E-2</v>
      </c>
      <c r="D158" s="15">
        <v>141</v>
      </c>
      <c r="E158" s="32">
        <f t="shared" ref="E158:E161" si="82">IF(ISNUMBER(D158), (D158 - $B158) / $B158, "")</f>
        <v>3.6764705882352942E-2</v>
      </c>
      <c r="F158" s="18">
        <f>IF(ISNUMBER(D158), $B172 * E158, "")</f>
        <v>5514.7058823529414</v>
      </c>
      <c r="G158" s="31">
        <v>140</v>
      </c>
      <c r="H158" s="32">
        <f t="shared" ref="H158:H161" si="83">IF(ISNUMBER(G158), (G158 - $B158) / $B158, "")</f>
        <v>2.9411764705882353E-2</v>
      </c>
      <c r="I158" s="91">
        <f>IF(ISNUMBER(G158), $B172 * H158, "")</f>
        <v>4411.7647058823532</v>
      </c>
      <c r="J158" s="15">
        <v>138</v>
      </c>
      <c r="K158" s="32">
        <f t="shared" ref="K158:K161" si="84">IF(ISNUMBER(J158), (J158 - $B158) / $B158, "")</f>
        <v>1.4705882352941176E-2</v>
      </c>
      <c r="L158" s="18">
        <f>IF(ISNUMBER(J158), $B172 * K158, "")</f>
        <v>2205.8823529411766</v>
      </c>
      <c r="M158" s="31">
        <v>139</v>
      </c>
      <c r="N158" s="32">
        <f t="shared" ref="N158:N161" si="85">IF(ISNUMBER(M158), (M158 - $B158) / $B158, "")</f>
        <v>2.2058823529411766E-2</v>
      </c>
      <c r="O158" s="18">
        <f>IF(ISNUMBER(M158), $B172 * N158, "")</f>
        <v>3308.8235294117649</v>
      </c>
      <c r="Q158" s="146"/>
      <c r="R158" s="146"/>
      <c r="S158" s="146"/>
    </row>
    <row r="159" spans="1:19" ht="17.25" thickBot="1">
      <c r="A159" s="109" t="s">
        <v>66</v>
      </c>
      <c r="B159" s="110">
        <v>804</v>
      </c>
      <c r="C159" s="70">
        <v>-3.5971222999999997E-2</v>
      </c>
      <c r="D159" s="15">
        <v>839</v>
      </c>
      <c r="E159" s="32">
        <f t="shared" si="82"/>
        <v>4.3532338308457715E-2</v>
      </c>
      <c r="F159" s="18">
        <f>IF(ISNUMBER(D159), $B172 * E159, "")</f>
        <v>6529.8507462686575</v>
      </c>
      <c r="G159" s="31">
        <v>818</v>
      </c>
      <c r="H159" s="32">
        <f t="shared" si="83"/>
        <v>1.7412935323383085E-2</v>
      </c>
      <c r="I159" s="91">
        <f>IF(ISNUMBER(G159), $B172 * H159, "")</f>
        <v>2611.9402985074626</v>
      </c>
      <c r="J159" s="15">
        <v>809</v>
      </c>
      <c r="K159" s="32">
        <f t="shared" si="84"/>
        <v>6.2189054726368162E-3</v>
      </c>
      <c r="L159" s="18">
        <f>IF(ISNUMBER(J159), $B172 * K159, "")</f>
        <v>932.83582089552249</v>
      </c>
      <c r="M159" s="31">
        <v>816</v>
      </c>
      <c r="N159" s="32">
        <f t="shared" si="85"/>
        <v>1.4925373134328358E-2</v>
      </c>
      <c r="O159" s="18">
        <f>IF(ISNUMBER(M159), $B172 * N159, "")</f>
        <v>2238.8059701492539</v>
      </c>
      <c r="Q159" s="146"/>
      <c r="R159" s="146"/>
      <c r="S159" s="146"/>
    </row>
    <row r="160" spans="1:19" ht="17.25" thickBot="1">
      <c r="A160" s="109" t="s">
        <v>219</v>
      </c>
      <c r="B160" s="110">
        <v>450</v>
      </c>
      <c r="C160" s="70">
        <v>-3.6402569599999997E-2</v>
      </c>
      <c r="D160" s="15">
        <v>468</v>
      </c>
      <c r="E160" s="32">
        <f t="shared" si="82"/>
        <v>0.04</v>
      </c>
      <c r="F160" s="18">
        <f>IF(ISNUMBER(D160), $B172 * E160, "")</f>
        <v>6000</v>
      </c>
      <c r="G160" s="31">
        <v>457</v>
      </c>
      <c r="H160" s="32">
        <f t="shared" si="83"/>
        <v>1.5555555555555555E-2</v>
      </c>
      <c r="I160" s="91">
        <f>IF(ISNUMBER(G160), $B172 * H160, "")</f>
        <v>2333.3333333333335</v>
      </c>
      <c r="J160" s="15">
        <v>456</v>
      </c>
      <c r="K160" s="32">
        <f t="shared" si="84"/>
        <v>1.3333333333333334E-2</v>
      </c>
      <c r="L160" s="18">
        <f>IF(ISNUMBER(J160), $B172 * K160, "")</f>
        <v>2000.0000000000002</v>
      </c>
      <c r="M160" s="31">
        <v>459</v>
      </c>
      <c r="N160" s="32">
        <f t="shared" si="85"/>
        <v>0.02</v>
      </c>
      <c r="O160" s="18">
        <f>IF(ISNUMBER(M160), $B172 * N160, "")</f>
        <v>3000</v>
      </c>
      <c r="Q160" s="33"/>
      <c r="R160" s="33"/>
    </row>
    <row r="161" spans="1:19" ht="17.25" thickBot="1">
      <c r="A161" s="114" t="s">
        <v>319</v>
      </c>
      <c r="B161" s="115">
        <v>185</v>
      </c>
      <c r="C161" s="72">
        <v>-3.64583333E-2</v>
      </c>
      <c r="D161" s="24">
        <v>193</v>
      </c>
      <c r="E161" s="25">
        <f t="shared" si="82"/>
        <v>4.3243243243243246E-2</v>
      </c>
      <c r="F161" s="94">
        <f>IF(ISNUMBER(D161), $B172 * E161, "")</f>
        <v>6486.4864864864867</v>
      </c>
      <c r="G161" s="92">
        <v>185</v>
      </c>
      <c r="H161" s="25">
        <f t="shared" si="83"/>
        <v>0</v>
      </c>
      <c r="I161" s="93">
        <f>IF(ISNUMBER(G161), $B172 * H161, "")</f>
        <v>0</v>
      </c>
      <c r="J161" s="24">
        <v>184</v>
      </c>
      <c r="K161" s="25">
        <f t="shared" si="84"/>
        <v>-5.4054054054054057E-3</v>
      </c>
      <c r="L161" s="94">
        <f>IF(ISNUMBER(J161), $B172 * K161, "")</f>
        <v>-810.81081081081084</v>
      </c>
      <c r="M161" s="92">
        <v>186</v>
      </c>
      <c r="N161" s="25">
        <f t="shared" si="85"/>
        <v>5.4054054054054057E-3</v>
      </c>
      <c r="O161" s="94">
        <f>IF(ISNUMBER(M161), $B172 * N161, "")</f>
        <v>810.81081081081084</v>
      </c>
      <c r="Q161" s="147"/>
      <c r="R161" s="148"/>
      <c r="S161" s="149"/>
    </row>
    <row r="162" spans="1:19">
      <c r="A162" s="107" t="s">
        <v>352</v>
      </c>
      <c r="B162" s="108">
        <v>230</v>
      </c>
      <c r="C162" s="69">
        <v>-3.7656903800000002E-2</v>
      </c>
      <c r="D162" s="13">
        <v>238</v>
      </c>
      <c r="E162" s="14">
        <f>IF(ISNUMBER(D162), (D162 - $B162) / $B162, "")</f>
        <v>3.4782608695652174E-2</v>
      </c>
      <c r="F162" s="16">
        <f>IF(ISNUMBER(D162), $B172 * E162, "")</f>
        <v>5217.391304347826</v>
      </c>
      <c r="G162" s="29">
        <v>232</v>
      </c>
      <c r="H162" s="14">
        <f>IF(ISNUMBER(G162), (G162 - $B162) / $B162, "")</f>
        <v>8.6956521739130436E-3</v>
      </c>
      <c r="I162" s="90">
        <f>IF(ISNUMBER(G162), $B172 * H162, "")</f>
        <v>1304.3478260869565</v>
      </c>
      <c r="J162" s="13">
        <v>229</v>
      </c>
      <c r="K162" s="14">
        <f>IF(ISNUMBER(J162), (J162 - $B162) / $B162, "")</f>
        <v>-4.3478260869565218E-3</v>
      </c>
      <c r="L162" s="16">
        <f>IF(ISNUMBER(J162), $B172 * K162, "")</f>
        <v>-652.17391304347825</v>
      </c>
      <c r="M162" s="29">
        <v>232</v>
      </c>
      <c r="N162" s="14">
        <f>IF(ISNUMBER(M162), (M162 - $B162) / $B162, "")</f>
        <v>8.6956521739130436E-3</v>
      </c>
      <c r="O162" s="16">
        <f>IF(ISNUMBER(M162), $B172 * N162, "")</f>
        <v>1304.3478260869565</v>
      </c>
      <c r="Q162" s="150"/>
      <c r="R162" s="151"/>
      <c r="S162" s="152"/>
    </row>
    <row r="163" spans="1:19" ht="17.25" thickBot="1">
      <c r="A163" s="109" t="s">
        <v>239</v>
      </c>
      <c r="B163" s="110">
        <v>474</v>
      </c>
      <c r="C163" s="70">
        <v>-3.8539553800000001E-2</v>
      </c>
      <c r="D163" s="15">
        <v>492</v>
      </c>
      <c r="E163" s="32">
        <f t="shared" ref="E163:E166" si="86">IF(ISNUMBER(D163), (D163 - $B163) / $B163, "")</f>
        <v>3.7974683544303799E-2</v>
      </c>
      <c r="F163" s="18">
        <f>IF(ISNUMBER(D163), $B172 * E163, "")</f>
        <v>5696.2025316455702</v>
      </c>
      <c r="G163" s="31">
        <v>484</v>
      </c>
      <c r="H163" s="32">
        <f t="shared" ref="H163:H166" si="87">IF(ISNUMBER(G163), (G163 - $B163) / $B163, "")</f>
        <v>2.1097046413502109E-2</v>
      </c>
      <c r="I163" s="91">
        <f>IF(ISNUMBER(G163), $B172 * H163, "")</f>
        <v>3164.5569620253164</v>
      </c>
      <c r="J163" s="15">
        <v>481</v>
      </c>
      <c r="K163" s="32">
        <f t="shared" ref="K163:K166" si="88">IF(ISNUMBER(J163), (J163 - $B163) / $B163, "")</f>
        <v>1.4767932489451477E-2</v>
      </c>
      <c r="L163" s="18">
        <f>IF(ISNUMBER(J163), $B172 * K163, "")</f>
        <v>2215.1898734177216</v>
      </c>
      <c r="M163" s="31">
        <v>486</v>
      </c>
      <c r="N163" s="32">
        <f t="shared" ref="N163:N166" si="89">IF(ISNUMBER(M163), (M163 - $B163) / $B163, "")</f>
        <v>2.5316455696202531E-2</v>
      </c>
      <c r="O163" s="18">
        <f>IF(ISNUMBER(M163), $B172 * N163, "")</f>
        <v>3797.4683544303798</v>
      </c>
      <c r="Q163" s="153"/>
      <c r="R163" s="154"/>
      <c r="S163" s="155"/>
    </row>
    <row r="164" spans="1:19" ht="17.25" thickBot="1">
      <c r="A164" s="109" t="s">
        <v>329</v>
      </c>
      <c r="B164" s="110">
        <v>505</v>
      </c>
      <c r="C164" s="70">
        <v>-4.1745730600000003E-2</v>
      </c>
      <c r="D164" s="15">
        <v>519</v>
      </c>
      <c r="E164" s="32">
        <f t="shared" si="86"/>
        <v>2.7722772277227723E-2</v>
      </c>
      <c r="F164" s="18">
        <f>IF(ISNUMBER(D164), $B172 * E164, "")</f>
        <v>4158.4158415841584</v>
      </c>
      <c r="G164" s="31">
        <v>502</v>
      </c>
      <c r="H164" s="32">
        <f t="shared" si="87"/>
        <v>-5.9405940594059407E-3</v>
      </c>
      <c r="I164" s="91">
        <f>IF(ISNUMBER(G164), $B172 * H164, "")</f>
        <v>-891.08910891089113</v>
      </c>
      <c r="J164" s="15">
        <v>501</v>
      </c>
      <c r="K164" s="32">
        <f t="shared" si="88"/>
        <v>-7.9207920792079209E-3</v>
      </c>
      <c r="L164" s="18">
        <f>IF(ISNUMBER(J164), $B172 * K164, "")</f>
        <v>-1188.1188118811881</v>
      </c>
      <c r="M164" s="31">
        <v>503</v>
      </c>
      <c r="N164" s="32">
        <f t="shared" si="89"/>
        <v>-3.9603960396039604E-3</v>
      </c>
      <c r="O164" s="18">
        <f>IF(ISNUMBER(M164), $B172 * N164, "")</f>
        <v>-594.05940594059405</v>
      </c>
      <c r="Q164" s="146"/>
      <c r="R164" s="146"/>
      <c r="S164" s="146"/>
    </row>
    <row r="165" spans="1:19" ht="17.25" thickBot="1">
      <c r="A165" s="109" t="s">
        <v>161</v>
      </c>
      <c r="B165" s="110">
        <v>748</v>
      </c>
      <c r="C165" s="70">
        <v>-4.2253521099999997E-2</v>
      </c>
      <c r="D165" s="15">
        <v>799</v>
      </c>
      <c r="E165" s="32">
        <f t="shared" si="86"/>
        <v>6.8181818181818177E-2</v>
      </c>
      <c r="F165" s="18">
        <f>IF(ISNUMBER(D165), $B172 * E165, "")</f>
        <v>10227.272727272726</v>
      </c>
      <c r="G165" s="31">
        <v>786</v>
      </c>
      <c r="H165" s="32">
        <f t="shared" si="87"/>
        <v>5.0802139037433157E-2</v>
      </c>
      <c r="I165" s="91">
        <f>IF(ISNUMBER(G165), $B172 * H165, "")</f>
        <v>7620.3208556149739</v>
      </c>
      <c r="J165" s="15">
        <v>791</v>
      </c>
      <c r="K165" s="32">
        <f t="shared" si="88"/>
        <v>5.7486631016042782E-2</v>
      </c>
      <c r="L165" s="18">
        <f>IF(ISNUMBER(J165), $B172 * K165, "")</f>
        <v>8622.994652406418</v>
      </c>
      <c r="M165" s="31">
        <v>800</v>
      </c>
      <c r="N165" s="32">
        <f t="shared" si="89"/>
        <v>6.9518716577540107E-2</v>
      </c>
      <c r="O165" s="18">
        <f>IF(ISNUMBER(M165), $B172 * N165, "")</f>
        <v>10427.807486631016</v>
      </c>
      <c r="Q165" s="156"/>
      <c r="R165" s="156"/>
      <c r="S165" s="156"/>
    </row>
    <row r="166" spans="1:19" ht="17.25" thickBot="1">
      <c r="A166" s="111" t="s">
        <v>201</v>
      </c>
      <c r="B166" s="112">
        <v>245</v>
      </c>
      <c r="C166" s="71">
        <v>-4.296875E-2</v>
      </c>
      <c r="D166" s="20">
        <v>256</v>
      </c>
      <c r="E166" s="21">
        <f t="shared" si="86"/>
        <v>4.4897959183673466E-2</v>
      </c>
      <c r="F166" s="22">
        <f>IF(ISNUMBER(D166), $B172 * E166, "")</f>
        <v>6734.6938775510198</v>
      </c>
      <c r="G166" s="30">
        <v>248</v>
      </c>
      <c r="H166" s="21">
        <f t="shared" si="87"/>
        <v>1.2244897959183673E-2</v>
      </c>
      <c r="I166" s="95">
        <f>IF(ISNUMBER(G166), $B172 * H166, "")</f>
        <v>1836.7346938775509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247</v>
      </c>
      <c r="N166" s="21">
        <f t="shared" si="89"/>
        <v>8.1632653061224497E-3</v>
      </c>
      <c r="O166" s="22">
        <f>IF(ISNUMBER(M166), $B172 * N166, "")</f>
        <v>1224.4897959183675</v>
      </c>
      <c r="Q166" s="156"/>
      <c r="R166" s="156"/>
      <c r="S166" s="156"/>
    </row>
    <row r="167" spans="1:19" ht="17.25" thickBot="1">
      <c r="A167" s="109" t="s">
        <v>153</v>
      </c>
      <c r="B167" s="113">
        <v>403</v>
      </c>
      <c r="C167" s="73">
        <v>-4.7281323899999998E-2</v>
      </c>
      <c r="D167" s="96">
        <v>415</v>
      </c>
      <c r="E167" s="97">
        <f>IF(ISNUMBER(D167), (D167 - $B167) / $B167, "")</f>
        <v>2.9776674937965261E-2</v>
      </c>
      <c r="F167" s="98">
        <f>IF(ISNUMBER(D167), $B172 * E167, "")</f>
        <v>4466.501240694789</v>
      </c>
      <c r="G167" s="99">
        <v>405</v>
      </c>
      <c r="H167" s="97">
        <f>IF(ISNUMBER(G167), (G167 - $B167) / $B167, "")</f>
        <v>4.9627791563275434E-3</v>
      </c>
      <c r="I167" s="100">
        <f>IF(ISNUMBER(G167), $B172 * H167, "")</f>
        <v>744.41687344913146</v>
      </c>
      <c r="J167" s="96">
        <v>405</v>
      </c>
      <c r="K167" s="97">
        <f>IF(ISNUMBER(J167), (J167 - $B167) / $B167, "")</f>
        <v>4.9627791563275434E-3</v>
      </c>
      <c r="L167" s="98">
        <f>IF(ISNUMBER(J167), $B172 * K167, "")</f>
        <v>744.41687344913146</v>
      </c>
      <c r="M167" s="99">
        <v>402</v>
      </c>
      <c r="N167" s="97">
        <f>IF(ISNUMBER(M167), (M167 - $B167) / $B167, "")</f>
        <v>-2.4813895781637717E-3</v>
      </c>
      <c r="O167" s="98">
        <f>IF(ISNUMBER(M167), $B172 * N167, "")</f>
        <v>-372.20843672456573</v>
      </c>
      <c r="Q167" s="146"/>
      <c r="R167" s="146"/>
      <c r="S167" s="146"/>
    </row>
    <row r="168" spans="1:19" ht="17.25" thickBot="1">
      <c r="A168" s="109" t="s">
        <v>130</v>
      </c>
      <c r="B168" s="110">
        <v>800</v>
      </c>
      <c r="C168" s="70">
        <v>-5.2132701400000002E-2</v>
      </c>
      <c r="D168" s="15">
        <v>818</v>
      </c>
      <c r="E168" s="32">
        <f t="shared" ref="E168:E171" si="90">IF(ISNUMBER(D168), (D168 - $B168) / $B168, "")</f>
        <v>2.2499999999999999E-2</v>
      </c>
      <c r="F168" s="18">
        <f>IF(ISNUMBER(D168), $B172 * E168, "")</f>
        <v>3375</v>
      </c>
      <c r="G168" s="31">
        <v>798</v>
      </c>
      <c r="H168" s="32">
        <f t="shared" ref="H168:H171" si="91">IF(ISNUMBER(G168), (G168 - $B168) / $B168, "")</f>
        <v>-2.5000000000000001E-3</v>
      </c>
      <c r="I168" s="91">
        <f>IF(ISNUMBER(G168), $B172 * H168, "")</f>
        <v>-375</v>
      </c>
      <c r="J168" s="15">
        <v>789</v>
      </c>
      <c r="K168" s="32">
        <f t="shared" ref="K168:K171" si="92">IF(ISNUMBER(J168), (J168 - $B168) / $B168, "")</f>
        <v>-1.375E-2</v>
      </c>
      <c r="L168" s="18">
        <f>IF(ISNUMBER(J168), $B172 * K168, "")</f>
        <v>-2062.5</v>
      </c>
      <c r="M168" s="31">
        <v>785</v>
      </c>
      <c r="N168" s="32">
        <f t="shared" ref="N168:N171" si="93">IF(ISNUMBER(M168), (M168 - $B168) / $B168, "")</f>
        <v>-1.8749999999999999E-2</v>
      </c>
      <c r="O168" s="18">
        <f>IF(ISNUMBER(M168), $B172 * N168, "")</f>
        <v>-2812.5</v>
      </c>
      <c r="Q168" s="146"/>
      <c r="R168" s="146"/>
      <c r="S168" s="146"/>
    </row>
    <row r="169" spans="1:19" ht="17.25" thickBot="1">
      <c r="A169" s="109" t="s">
        <v>68</v>
      </c>
      <c r="B169" s="110">
        <v>445</v>
      </c>
      <c r="C169" s="70">
        <v>-5.31914894E-2</v>
      </c>
      <c r="D169" s="15">
        <v>470</v>
      </c>
      <c r="E169" s="32">
        <f t="shared" si="90"/>
        <v>5.6179775280898875E-2</v>
      </c>
      <c r="F169" s="18">
        <f>IF(ISNUMBER(D169), $B172 * E169, "")</f>
        <v>8426.9662921348317</v>
      </c>
      <c r="G169" s="31">
        <v>459</v>
      </c>
      <c r="H169" s="32">
        <f t="shared" si="91"/>
        <v>3.1460674157303373E-2</v>
      </c>
      <c r="I169" s="91">
        <f>IF(ISNUMBER(G169), $B172 * H169, "")</f>
        <v>4719.1011235955057</v>
      </c>
      <c r="J169" s="15">
        <v>453</v>
      </c>
      <c r="K169" s="32">
        <f t="shared" si="92"/>
        <v>1.7977528089887642E-2</v>
      </c>
      <c r="L169" s="18">
        <f>IF(ISNUMBER(J169), $B172 * K169, "")</f>
        <v>2696.6292134831465</v>
      </c>
      <c r="M169" s="31">
        <v>457</v>
      </c>
      <c r="N169" s="32">
        <f t="shared" si="93"/>
        <v>2.6966292134831461E-2</v>
      </c>
      <c r="O169" s="18">
        <f>IF(ISNUMBER(M169), $B172 * N169, "")</f>
        <v>4044.9438202247193</v>
      </c>
      <c r="Q169" s="146"/>
      <c r="R169" s="146"/>
      <c r="S169" s="146"/>
    </row>
    <row r="170" spans="1:19">
      <c r="A170" s="109" t="s">
        <v>101</v>
      </c>
      <c r="B170" s="110">
        <v>249</v>
      </c>
      <c r="C170" s="70">
        <v>-5.3231939200000002E-2</v>
      </c>
      <c r="D170" s="15">
        <v>255</v>
      </c>
      <c r="E170" s="32">
        <f t="shared" si="90"/>
        <v>2.4096385542168676E-2</v>
      </c>
      <c r="F170" s="18">
        <f>IF(ISNUMBER(D170), $B172 * E170, "")</f>
        <v>3614.4578313253014</v>
      </c>
      <c r="G170" s="31">
        <v>252</v>
      </c>
      <c r="H170" s="32">
        <f t="shared" si="91"/>
        <v>1.2048192771084338E-2</v>
      </c>
      <c r="I170" s="91">
        <f>IF(ISNUMBER(G170), $B172 * H170, "")</f>
        <v>1807.2289156626507</v>
      </c>
      <c r="J170" s="15">
        <v>248</v>
      </c>
      <c r="K170" s="32">
        <f t="shared" si="92"/>
        <v>-4.0160642570281121E-3</v>
      </c>
      <c r="L170" s="18">
        <f>IF(ISNUMBER(J170), $B172 * K170, "")</f>
        <v>-602.40963855421683</v>
      </c>
      <c r="M170" s="31">
        <v>247</v>
      </c>
      <c r="N170" s="32">
        <f t="shared" si="93"/>
        <v>-8.0321285140562242E-3</v>
      </c>
      <c r="O170" s="18">
        <f>IF(ISNUMBER(M170), $B172 * N170, "")</f>
        <v>-1204.8192771084337</v>
      </c>
      <c r="Q170" s="135"/>
      <c r="R170" s="136"/>
      <c r="S170" s="137"/>
    </row>
    <row r="171" spans="1:19" ht="17.25" thickBot="1">
      <c r="A171" s="114" t="s">
        <v>79</v>
      </c>
      <c r="B171" s="115">
        <v>281</v>
      </c>
      <c r="C171" s="72">
        <v>-5.3872053900000001E-2</v>
      </c>
      <c r="D171" s="24">
        <v>286</v>
      </c>
      <c r="E171" s="25">
        <f t="shared" si="90"/>
        <v>1.7793594306049824E-2</v>
      </c>
      <c r="F171" s="94">
        <f>IF(ISNUMBER(D171), $B172 * E171, "")</f>
        <v>2669.0391459074735</v>
      </c>
      <c r="G171" s="92">
        <v>279</v>
      </c>
      <c r="H171" s="25">
        <f t="shared" si="91"/>
        <v>-7.1174377224199285E-3</v>
      </c>
      <c r="I171" s="93">
        <f>IF(ISNUMBER(G171), $B172 * H171, "")</f>
        <v>-1067.6156583629893</v>
      </c>
      <c r="J171" s="24">
        <v>277</v>
      </c>
      <c r="K171" s="25">
        <f t="shared" si="92"/>
        <v>-1.4234875444839857E-2</v>
      </c>
      <c r="L171" s="94">
        <f>IF(ISNUMBER(J171), $B172 * K171, "")</f>
        <v>-2135.2313167259786</v>
      </c>
      <c r="M171" s="92">
        <v>277</v>
      </c>
      <c r="N171" s="25">
        <f t="shared" si="93"/>
        <v>-1.4234875444839857E-2</v>
      </c>
      <c r="O171" s="94">
        <f>IF(ISNUMBER(M171), $B172 * N171, "")</f>
        <v>-2135.2313167259786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3.8107436492651026E-2</v>
      </c>
      <c r="F172" s="28">
        <f>SUM(F152:F171)</f>
        <v>114322.30947795311</v>
      </c>
      <c r="G172" s="26" t="s">
        <v>258</v>
      </c>
      <c r="H172" s="27">
        <f>IF(COUNT(H152:H171), SUM(H152:H171) / COUNT(H152:H171), 0)</f>
        <v>1.4547373416942681E-2</v>
      </c>
      <c r="I172" s="28">
        <f>SUM(I152:I171)</f>
        <v>43642.12025082804</v>
      </c>
      <c r="J172" s="26" t="s">
        <v>258</v>
      </c>
      <c r="K172" s="27">
        <f>IF(COUNT(K152:K171), SUM(K152:K171) / COUNT(K152:K171), 0)</f>
        <v>6.9443473817928005E-3</v>
      </c>
      <c r="L172" s="28">
        <f>SUM(L152:L171)</f>
        <v>20833.042145378407</v>
      </c>
      <c r="M172" s="26" t="s">
        <v>258</v>
      </c>
      <c r="N172" s="27">
        <f>IF(COUNT(N152:N171), SUM(N152:N171) / COUNT(N152:N171), 0)</f>
        <v>1.0716585920033508E-2</v>
      </c>
      <c r="O172" s="28">
        <f>SUM(O152:O171)</f>
        <v>32149.757760100525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2023-03-11(토) 오전 00:00</v>
      </c>
      <c r="C177" s="198"/>
      <c r="D177" s="170" t="str">
        <f>TEXT($G$1, "[$-ko-KR]yyyy-mm-dd(ddd) ") &amp; "오후 14:00"</f>
        <v>2023-03-11(토) 오후 14:00</v>
      </c>
      <c r="E177" s="171"/>
      <c r="F177" s="172"/>
      <c r="G177" s="170" t="str">
        <f>TEXT($G$1, "[$-ko-KR]yyyy-mm-dd(ddd) ") &amp; "오후 19:00"</f>
        <v>2023-03-11(토) 오후 19:00</v>
      </c>
      <c r="H177" s="171"/>
      <c r="I177" s="172"/>
      <c r="J177" s="170" t="str">
        <f>TEXT($G$1, "[$-ko-KR]yyyy-mm-dd(ddd) ") &amp; "오후 21:00"</f>
        <v>2023-03-11(토) 오후 21:00</v>
      </c>
      <c r="K177" s="171"/>
      <c r="L177" s="172"/>
      <c r="M177" s="170" t="str">
        <f>TEXT($G$1+1, "[$-ko-KR]yyyy-mm-dd(ddd) ") &amp; "오전 00:00"</f>
        <v>2023-03-12(일)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237</v>
      </c>
      <c r="B179" s="108">
        <v>30.1</v>
      </c>
      <c r="C179" s="69">
        <v>-4.14012739E-2</v>
      </c>
      <c r="D179" s="13">
        <v>30.9</v>
      </c>
      <c r="E179" s="14">
        <f>IF(ISNUMBER(D179), (D179 - $B179) / $B179, "")</f>
        <v>2.65780730897009E-2</v>
      </c>
      <c r="F179" s="16">
        <f>IF(ISNUMBER(D179), $B199 * E179, "")</f>
        <v>3986.7109634551352</v>
      </c>
      <c r="G179" s="29">
        <v>30.3</v>
      </c>
      <c r="H179" s="14">
        <f>IF(ISNUMBER(G179), (G179 - $B179) / $B179, "")</f>
        <v>6.644518272425225E-3</v>
      </c>
      <c r="I179" s="90">
        <f>IF(ISNUMBER(G179), $B199 * H179, "")</f>
        <v>996.67774086378381</v>
      </c>
      <c r="J179" s="13">
        <v>30.3</v>
      </c>
      <c r="K179" s="14">
        <f>IF(ISNUMBER(J179), (J179 - $B179) / $B179, "")</f>
        <v>6.644518272425225E-3</v>
      </c>
      <c r="L179" s="16">
        <f>IF(ISNUMBER(J179), $B199 * K179, "")</f>
        <v>996.67774086378381</v>
      </c>
      <c r="M179" s="29">
        <v>30.5</v>
      </c>
      <c r="N179" s="14">
        <f>IF(ISNUMBER(M179), (M179 - $B179) / $B179, "")</f>
        <v>1.328903654485045E-2</v>
      </c>
      <c r="O179" s="16">
        <f>IF(ISNUMBER(M179), $B199 * N179, "")</f>
        <v>1993.3554817275676</v>
      </c>
      <c r="Q179" s="156"/>
      <c r="R179" s="156"/>
      <c r="S179" s="156"/>
    </row>
    <row r="180" spans="1:19" ht="17.25" thickBot="1">
      <c r="A180" s="109" t="s">
        <v>329</v>
      </c>
      <c r="B180" s="110">
        <v>505</v>
      </c>
      <c r="C180" s="70">
        <v>-4.1745730600000003E-2</v>
      </c>
      <c r="D180" s="15">
        <v>519</v>
      </c>
      <c r="E180" s="32">
        <f t="shared" ref="E180:E183" si="94">IF(ISNUMBER(D180), (D180 - $B180) / $B180, "")</f>
        <v>2.7722772277227723E-2</v>
      </c>
      <c r="F180" s="18">
        <f>IF(ISNUMBER(D180), $B199 * E180, "")</f>
        <v>4158.4158415841584</v>
      </c>
      <c r="G180" s="31">
        <v>502</v>
      </c>
      <c r="H180" s="32">
        <f t="shared" ref="H180:H183" si="95">IF(ISNUMBER(G180), (G180 - $B180) / $B180, "")</f>
        <v>-5.9405940594059407E-3</v>
      </c>
      <c r="I180" s="91">
        <f>IF(ISNUMBER(G180), $B199 * H180, "")</f>
        <v>-891.08910891089113</v>
      </c>
      <c r="J180" s="15">
        <v>501</v>
      </c>
      <c r="K180" s="32">
        <f t="shared" ref="K180:K183" si="96">IF(ISNUMBER(J180), (J180 - $B180) / $B180, "")</f>
        <v>-7.9207920792079209E-3</v>
      </c>
      <c r="L180" s="18">
        <f>IF(ISNUMBER(J180), $B199 * K180, "")</f>
        <v>-1188.1188118811881</v>
      </c>
      <c r="M180" s="31">
        <v>503</v>
      </c>
      <c r="N180" s="32">
        <f t="shared" ref="N180:N183" si="97">IF(ISNUMBER(M180), (M180 - $B180) / $B180, "")</f>
        <v>-3.9603960396039604E-3</v>
      </c>
      <c r="O180" s="18">
        <f>IF(ISNUMBER(M180), $B199 * N180, "")</f>
        <v>-594.05940594059405</v>
      </c>
      <c r="Q180" s="156"/>
      <c r="R180" s="156"/>
      <c r="S180" s="156"/>
    </row>
    <row r="181" spans="1:19" ht="17.25" thickBot="1">
      <c r="A181" s="109" t="s">
        <v>161</v>
      </c>
      <c r="B181" s="110">
        <v>748</v>
      </c>
      <c r="C181" s="70">
        <v>-4.2253521099999997E-2</v>
      </c>
      <c r="D181" s="15">
        <v>799</v>
      </c>
      <c r="E181" s="32">
        <f t="shared" si="94"/>
        <v>6.8181818181818177E-2</v>
      </c>
      <c r="F181" s="18">
        <f>IF(ISNUMBER(D181), $B199 * E181, "")</f>
        <v>10227.272727272726</v>
      </c>
      <c r="G181" s="31">
        <v>786</v>
      </c>
      <c r="H181" s="32">
        <f t="shared" si="95"/>
        <v>5.0802139037433157E-2</v>
      </c>
      <c r="I181" s="91">
        <f>IF(ISNUMBER(G181), $B199 * H181, "")</f>
        <v>7620.3208556149739</v>
      </c>
      <c r="J181" s="15">
        <v>791</v>
      </c>
      <c r="K181" s="32">
        <f t="shared" si="96"/>
        <v>5.7486631016042782E-2</v>
      </c>
      <c r="L181" s="18">
        <f>IF(ISNUMBER(J181), $B199 * K181, "")</f>
        <v>8622.994652406418</v>
      </c>
      <c r="M181" s="31">
        <v>800</v>
      </c>
      <c r="N181" s="32">
        <f t="shared" si="97"/>
        <v>6.9518716577540107E-2</v>
      </c>
      <c r="O181" s="18">
        <f>IF(ISNUMBER(M181), $B199 * N181, "")</f>
        <v>10427.807486631016</v>
      </c>
      <c r="Q181" s="146"/>
      <c r="R181" s="146"/>
      <c r="S181" s="146"/>
    </row>
    <row r="182" spans="1:19" ht="17.25" thickBot="1">
      <c r="A182" s="109" t="s">
        <v>201</v>
      </c>
      <c r="B182" s="110">
        <v>245</v>
      </c>
      <c r="C182" s="70">
        <v>-4.296875E-2</v>
      </c>
      <c r="D182" s="15">
        <v>256</v>
      </c>
      <c r="E182" s="32">
        <f t="shared" si="94"/>
        <v>4.4897959183673466E-2</v>
      </c>
      <c r="F182" s="18">
        <f>IF(ISNUMBER(D182), $B199 * E182, "")</f>
        <v>6734.6938775510198</v>
      </c>
      <c r="G182" s="31">
        <v>248</v>
      </c>
      <c r="H182" s="32">
        <f t="shared" si="95"/>
        <v>1.2244897959183673E-2</v>
      </c>
      <c r="I182" s="91">
        <f>IF(ISNUMBER(G182), $B199 * H182, "")</f>
        <v>1836.7346938775509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247</v>
      </c>
      <c r="N182" s="32">
        <f t="shared" si="97"/>
        <v>8.1632653061224497E-3</v>
      </c>
      <c r="O182" s="18">
        <f>IF(ISNUMBER(M182), $B199 * N182, "")</f>
        <v>1224.4897959183675</v>
      </c>
      <c r="Q182" s="146"/>
      <c r="R182" s="146"/>
      <c r="S182" s="146"/>
    </row>
    <row r="183" spans="1:19" ht="17.25" thickBot="1">
      <c r="A183" s="111" t="s">
        <v>172</v>
      </c>
      <c r="B183" s="112">
        <v>3325</v>
      </c>
      <c r="C183" s="71">
        <v>-4.31654676E-2</v>
      </c>
      <c r="D183" s="20">
        <v>3405</v>
      </c>
      <c r="E183" s="21">
        <f t="shared" si="94"/>
        <v>2.4060150375939851E-2</v>
      </c>
      <c r="F183" s="22">
        <f>IF(ISNUMBER(D183), $B199 * E183, "")</f>
        <v>3609.0225563909776</v>
      </c>
      <c r="G183" s="30">
        <v>3345</v>
      </c>
      <c r="H183" s="21">
        <f t="shared" si="95"/>
        <v>6.0150375939849628E-3</v>
      </c>
      <c r="I183" s="95">
        <f>IF(ISNUMBER(G183), $B199 * H183, "")</f>
        <v>902.25563909774439</v>
      </c>
      <c r="J183" s="20">
        <v>3305</v>
      </c>
      <c r="K183" s="21">
        <f t="shared" si="96"/>
        <v>-6.0150375939849628E-3</v>
      </c>
      <c r="L183" s="22">
        <f>IF(ISNUMBER(J183), $B199 * K183, "")</f>
        <v>-902.25563909774439</v>
      </c>
      <c r="M183" s="30">
        <v>3255</v>
      </c>
      <c r="N183" s="21">
        <f t="shared" si="97"/>
        <v>-2.1052631578947368E-2</v>
      </c>
      <c r="O183" s="22">
        <f>IF(ISNUMBER(M183), $B199 * N183, "")</f>
        <v>-3157.894736842105</v>
      </c>
      <c r="Q183" s="146"/>
      <c r="R183" s="146"/>
      <c r="S183" s="146"/>
    </row>
    <row r="184" spans="1:19" ht="17.25" thickBot="1">
      <c r="A184" s="109" t="s">
        <v>116</v>
      </c>
      <c r="B184" s="113">
        <v>1385</v>
      </c>
      <c r="C184" s="73">
        <v>-4.4827586199999998E-2</v>
      </c>
      <c r="D184" s="96">
        <v>1425</v>
      </c>
      <c r="E184" s="97">
        <f>IF(ISNUMBER(D184), (D184 - $B184) / $B184, "")</f>
        <v>2.8880866425992781E-2</v>
      </c>
      <c r="F184" s="98">
        <f>IF(ISNUMBER(D184), $B199 * E184, "")</f>
        <v>4332.1299638989167</v>
      </c>
      <c r="G184" s="99">
        <v>1390</v>
      </c>
      <c r="H184" s="97">
        <f>IF(ISNUMBER(G184), (G184 - $B184) / $B184, "")</f>
        <v>3.6101083032490976E-3</v>
      </c>
      <c r="I184" s="100">
        <f>IF(ISNUMBER(G184), $B199 * H184, "")</f>
        <v>541.51624548736459</v>
      </c>
      <c r="J184" s="96">
        <v>1390</v>
      </c>
      <c r="K184" s="97">
        <f>IF(ISNUMBER(J184), (J184 - $B184) / $B184, "")</f>
        <v>3.6101083032490976E-3</v>
      </c>
      <c r="L184" s="98">
        <f>IF(ISNUMBER(J184), $B199 * K184, "")</f>
        <v>541.51624548736459</v>
      </c>
      <c r="M184" s="99">
        <v>1400</v>
      </c>
      <c r="N184" s="97">
        <f>IF(ISNUMBER(M184), (M184 - $B184) / $B184, "")</f>
        <v>1.0830324909747292E-2</v>
      </c>
      <c r="O184" s="98">
        <f>IF(ISNUMBER(M184), $B199 * N184, "")</f>
        <v>1624.5487364620938</v>
      </c>
      <c r="Q184" s="146"/>
      <c r="R184" s="146"/>
      <c r="S184" s="146"/>
    </row>
    <row r="185" spans="1:19" ht="17.25" thickBot="1">
      <c r="A185" s="109" t="s">
        <v>138</v>
      </c>
      <c r="B185" s="110">
        <v>36</v>
      </c>
      <c r="C185" s="70">
        <v>-4.5092838199999999E-2</v>
      </c>
      <c r="D185" s="15">
        <v>37.9</v>
      </c>
      <c r="E185" s="32">
        <f t="shared" ref="E185:E188" si="98">IF(ISNUMBER(D185), (D185 - $B185) / $B185, "")</f>
        <v>5.2777777777777736E-2</v>
      </c>
      <c r="F185" s="18">
        <f>IF(ISNUMBER(D185), $B199 * E185, "")</f>
        <v>7916.6666666666606</v>
      </c>
      <c r="G185" s="31">
        <v>37</v>
      </c>
      <c r="H185" s="32">
        <f t="shared" ref="H185:H188" si="99">IF(ISNUMBER(G185), (G185 - $B185) / $B185, "")</f>
        <v>2.7777777777777776E-2</v>
      </c>
      <c r="I185" s="91">
        <f>IF(ISNUMBER(G185), $B199 * H185, "")</f>
        <v>4166.6666666666661</v>
      </c>
      <c r="J185" s="15">
        <v>36.5</v>
      </c>
      <c r="K185" s="32">
        <f t="shared" ref="K185:K188" si="100">IF(ISNUMBER(J185), (J185 - $B185) / $B185, "")</f>
        <v>1.3888888888888888E-2</v>
      </c>
      <c r="L185" s="18">
        <f>IF(ISNUMBER(J185), $B199 * K185, "")</f>
        <v>2083.333333333333</v>
      </c>
      <c r="M185" s="31">
        <v>36.4</v>
      </c>
      <c r="N185" s="32">
        <f t="shared" ref="N185:N188" si="101">IF(ISNUMBER(M185), (M185 - $B185) / $B185, "")</f>
        <v>1.1111111111111072E-2</v>
      </c>
      <c r="O185" s="18">
        <f>IF(ISNUMBER(M185), $B199 * N185, "")</f>
        <v>1666.6666666666608</v>
      </c>
      <c r="Q185" s="146"/>
      <c r="R185" s="146"/>
      <c r="S185" s="146"/>
    </row>
    <row r="186" spans="1:19" ht="17.25" thickBot="1">
      <c r="A186" s="109" t="s">
        <v>132</v>
      </c>
      <c r="B186" s="110">
        <v>61</v>
      </c>
      <c r="C186" s="70">
        <v>-4.53834116E-2</v>
      </c>
      <c r="D186" s="15">
        <v>63.7</v>
      </c>
      <c r="E186" s="32">
        <f t="shared" si="98"/>
        <v>4.4262295081967259E-2</v>
      </c>
      <c r="F186" s="18">
        <f>IF(ISNUMBER(D186), $B199 * E186, "")</f>
        <v>6639.3442622950888</v>
      </c>
      <c r="G186" s="31">
        <v>62</v>
      </c>
      <c r="H186" s="32">
        <f t="shared" si="99"/>
        <v>1.6393442622950821E-2</v>
      </c>
      <c r="I186" s="91">
        <f>IF(ISNUMBER(G186), $B199 * H186, "")</f>
        <v>2459.0163934426232</v>
      </c>
      <c r="J186" s="15">
        <v>61.4</v>
      </c>
      <c r="K186" s="32">
        <f t="shared" si="100"/>
        <v>6.5573770491803044E-3</v>
      </c>
      <c r="L186" s="18">
        <f>IF(ISNUMBER(J186), $B199 * K186, "")</f>
        <v>983.60655737704565</v>
      </c>
      <c r="M186" s="31">
        <v>61.3</v>
      </c>
      <c r="N186" s="32">
        <f t="shared" si="101"/>
        <v>4.9180327868851995E-3</v>
      </c>
      <c r="O186" s="18">
        <f>IF(ISNUMBER(M186), $B199 * N186, "")</f>
        <v>737.70491803277991</v>
      </c>
      <c r="Q186" s="146"/>
      <c r="R186" s="146"/>
      <c r="S186" s="146"/>
    </row>
    <row r="187" spans="1:19" ht="17.25" thickBot="1">
      <c r="A187" s="109" t="s">
        <v>153</v>
      </c>
      <c r="B187" s="110">
        <v>403</v>
      </c>
      <c r="C187" s="70">
        <v>-4.7281323899999998E-2</v>
      </c>
      <c r="D187" s="15">
        <v>415</v>
      </c>
      <c r="E187" s="32">
        <f t="shared" si="98"/>
        <v>2.9776674937965261E-2</v>
      </c>
      <c r="F187" s="18">
        <f>IF(ISNUMBER(D187), $B199 * E187, "")</f>
        <v>4466.501240694789</v>
      </c>
      <c r="G187" s="31">
        <v>405</v>
      </c>
      <c r="H187" s="32">
        <f t="shared" si="99"/>
        <v>4.9627791563275434E-3</v>
      </c>
      <c r="I187" s="91">
        <f>IF(ISNUMBER(G187), $B199 * H187, "")</f>
        <v>744.41687344913146</v>
      </c>
      <c r="J187" s="15">
        <v>405</v>
      </c>
      <c r="K187" s="32">
        <f t="shared" si="100"/>
        <v>4.9627791563275434E-3</v>
      </c>
      <c r="L187" s="18">
        <f>IF(ISNUMBER(J187), $B199 * K187, "")</f>
        <v>744.41687344913146</v>
      </c>
      <c r="M187" s="31">
        <v>402</v>
      </c>
      <c r="N187" s="32">
        <f t="shared" si="101"/>
        <v>-2.4813895781637717E-3</v>
      </c>
      <c r="O187" s="18">
        <f>IF(ISNUMBER(M187), $B199 * N187, "")</f>
        <v>-372.20843672456573</v>
      </c>
      <c r="Q187" s="33"/>
      <c r="R187" s="33"/>
    </row>
    <row r="188" spans="1:19" ht="17.25" thickBot="1">
      <c r="A188" s="114" t="s">
        <v>62</v>
      </c>
      <c r="B188" s="115">
        <v>12760</v>
      </c>
      <c r="C188" s="72">
        <v>-4.7761194E-2</v>
      </c>
      <c r="D188" s="24">
        <v>13130</v>
      </c>
      <c r="E188" s="25">
        <f t="shared" si="98"/>
        <v>2.8996865203761754E-2</v>
      </c>
      <c r="F188" s="94">
        <f>IF(ISNUMBER(D188), $B199 * E188, "")</f>
        <v>4349.5297805642631</v>
      </c>
      <c r="G188" s="92">
        <v>12790</v>
      </c>
      <c r="H188" s="25">
        <f t="shared" si="99"/>
        <v>2.3510971786833857E-3</v>
      </c>
      <c r="I188" s="93">
        <f>IF(ISNUMBER(G188), $B199 * H188, "")</f>
        <v>352.66457680250784</v>
      </c>
      <c r="J188" s="24">
        <v>12700</v>
      </c>
      <c r="K188" s="25">
        <f t="shared" si="100"/>
        <v>-4.7021943573667714E-3</v>
      </c>
      <c r="L188" s="94">
        <f>IF(ISNUMBER(J188), $B199 * K188, "")</f>
        <v>-705.32915360501568</v>
      </c>
      <c r="M188" s="92">
        <v>12580</v>
      </c>
      <c r="N188" s="25">
        <f t="shared" si="101"/>
        <v>-1.4106583072100314E-2</v>
      </c>
      <c r="O188" s="94">
        <f>IF(ISNUMBER(M188), $B199 * N188, "")</f>
        <v>-2115.9874608150471</v>
      </c>
      <c r="Q188" s="147"/>
      <c r="R188" s="148"/>
      <c r="S188" s="149"/>
    </row>
    <row r="189" spans="1:19">
      <c r="A189" s="107" t="s">
        <v>178</v>
      </c>
      <c r="B189" s="108">
        <v>2110</v>
      </c>
      <c r="C189" s="69">
        <v>-4.9549549499999998E-2</v>
      </c>
      <c r="D189" s="13">
        <v>2160</v>
      </c>
      <c r="E189" s="14">
        <f>IF(ISNUMBER(D189), (D189 - $B189) / $B189, "")</f>
        <v>2.3696682464454975E-2</v>
      </c>
      <c r="F189" s="16">
        <f>IF(ISNUMBER(D189), $B199 * E189, "")</f>
        <v>3554.502369668246</v>
      </c>
      <c r="G189" s="29">
        <v>2095</v>
      </c>
      <c r="H189" s="14">
        <f>IF(ISNUMBER(G189), (G189 - $B189) / $B189, "")</f>
        <v>-7.1090047393364926E-3</v>
      </c>
      <c r="I189" s="90">
        <f>IF(ISNUMBER(G189), $B199 * H189, "")</f>
        <v>-1066.3507109004738</v>
      </c>
      <c r="J189" s="13">
        <v>2090</v>
      </c>
      <c r="K189" s="14">
        <f>IF(ISNUMBER(J189), (J189 - $B189) / $B189, "")</f>
        <v>-9.4786729857819912E-3</v>
      </c>
      <c r="L189" s="16">
        <f>IF(ISNUMBER(J189), $B199 * K189, "")</f>
        <v>-1421.8009478672986</v>
      </c>
      <c r="M189" s="29">
        <v>2100</v>
      </c>
      <c r="N189" s="14">
        <f>IF(ISNUMBER(M189), (M189 - $B189) / $B189, "")</f>
        <v>-4.7393364928909956E-3</v>
      </c>
      <c r="O189" s="16">
        <f>IF(ISNUMBER(M189), $B199 * N189, "")</f>
        <v>-710.90047393364932</v>
      </c>
      <c r="Q189" s="150"/>
      <c r="R189" s="151"/>
      <c r="S189" s="152"/>
    </row>
    <row r="190" spans="1:19" ht="17.25" thickBot="1">
      <c r="A190" s="109" t="s">
        <v>189</v>
      </c>
      <c r="B190" s="110">
        <v>1150</v>
      </c>
      <c r="C190" s="70">
        <v>-4.9586776899999997E-2</v>
      </c>
      <c r="D190" s="15">
        <v>1190</v>
      </c>
      <c r="E190" s="32">
        <f t="shared" ref="E190:E193" si="102">IF(ISNUMBER(D190), (D190 - $B190) / $B190, "")</f>
        <v>3.4782608695652174E-2</v>
      </c>
      <c r="F190" s="18">
        <f>IF(ISNUMBER(D190), $B199 * E190, "")</f>
        <v>5217.391304347826</v>
      </c>
      <c r="G190" s="31">
        <v>1160</v>
      </c>
      <c r="H190" s="32">
        <f t="shared" ref="H190:H193" si="103">IF(ISNUMBER(G190), (G190 - $B190) / $B190, "")</f>
        <v>8.6956521739130436E-3</v>
      </c>
      <c r="I190" s="91">
        <f>IF(ISNUMBER(G190), $B199 * H190, "")</f>
        <v>1304.3478260869565</v>
      </c>
      <c r="J190" s="15">
        <v>1150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1145</v>
      </c>
      <c r="N190" s="32">
        <f t="shared" ref="N190:N193" si="105">IF(ISNUMBER(M190), (M190 - $B190) / $B190, "")</f>
        <v>-4.3478260869565218E-3</v>
      </c>
      <c r="O190" s="18">
        <f>IF(ISNUMBER(M190), $B199 * N190, "")</f>
        <v>-652.17391304347825</v>
      </c>
      <c r="Q190" s="153"/>
      <c r="R190" s="154"/>
      <c r="S190" s="155"/>
    </row>
    <row r="191" spans="1:19" ht="17.25" thickBot="1">
      <c r="A191" s="109" t="s">
        <v>130</v>
      </c>
      <c r="B191" s="110">
        <v>800</v>
      </c>
      <c r="C191" s="70">
        <v>-5.2132701400000002E-2</v>
      </c>
      <c r="D191" s="15">
        <v>818</v>
      </c>
      <c r="E191" s="32">
        <f t="shared" si="102"/>
        <v>2.2499999999999999E-2</v>
      </c>
      <c r="F191" s="18">
        <f>IF(ISNUMBER(D191), $B199 * E191, "")</f>
        <v>3375</v>
      </c>
      <c r="G191" s="31">
        <v>798</v>
      </c>
      <c r="H191" s="32">
        <f t="shared" si="103"/>
        <v>-2.5000000000000001E-3</v>
      </c>
      <c r="I191" s="91">
        <f>IF(ISNUMBER(G191), $B199 * H191, "")</f>
        <v>-375</v>
      </c>
      <c r="J191" s="15">
        <v>789</v>
      </c>
      <c r="K191" s="32">
        <f t="shared" si="104"/>
        <v>-1.375E-2</v>
      </c>
      <c r="L191" s="18">
        <f>IF(ISNUMBER(J191), $B199 * K191, "")</f>
        <v>-2062.5</v>
      </c>
      <c r="M191" s="31">
        <v>785</v>
      </c>
      <c r="N191" s="32">
        <f t="shared" si="105"/>
        <v>-1.8749999999999999E-2</v>
      </c>
      <c r="O191" s="18">
        <f>IF(ISNUMBER(M191), $B199 * N191, "")</f>
        <v>-2812.5</v>
      </c>
      <c r="Q191" s="146"/>
      <c r="R191" s="146"/>
      <c r="S191" s="146"/>
    </row>
    <row r="192" spans="1:19" ht="17.25" thickBot="1">
      <c r="A192" s="109" t="s">
        <v>163</v>
      </c>
      <c r="B192" s="110">
        <v>9505</v>
      </c>
      <c r="C192" s="70">
        <v>-5.2342971100000003E-2</v>
      </c>
      <c r="D192" s="15">
        <v>9905</v>
      </c>
      <c r="E192" s="32">
        <f t="shared" si="102"/>
        <v>4.2083114150447132E-2</v>
      </c>
      <c r="F192" s="18">
        <f>IF(ISNUMBER(D192), $B199 * E192, "")</f>
        <v>6312.46712256707</v>
      </c>
      <c r="G192" s="31">
        <v>9645</v>
      </c>
      <c r="H192" s="32">
        <f t="shared" si="103"/>
        <v>1.4729089952656496E-2</v>
      </c>
      <c r="I192" s="91">
        <f>IF(ISNUMBER(G192), $B199 * H192, "")</f>
        <v>2209.3634928984743</v>
      </c>
      <c r="J192" s="15">
        <v>9615</v>
      </c>
      <c r="K192" s="32">
        <f t="shared" si="104"/>
        <v>1.1572856391372961E-2</v>
      </c>
      <c r="L192" s="18">
        <f>IF(ISNUMBER(J192), $B199 * K192, "")</f>
        <v>1735.9284587059442</v>
      </c>
      <c r="M192" s="31">
        <v>9495</v>
      </c>
      <c r="N192" s="32">
        <f t="shared" si="105"/>
        <v>-1.0520778537611783E-3</v>
      </c>
      <c r="O192" s="18">
        <f>IF(ISNUMBER(M192), $B199 * N192, "")</f>
        <v>-157.81167806417673</v>
      </c>
      <c r="Q192" s="156"/>
      <c r="R192" s="156"/>
      <c r="S192" s="156"/>
    </row>
    <row r="193" spans="1:19" ht="17.25" thickBot="1">
      <c r="A193" s="111" t="s">
        <v>68</v>
      </c>
      <c r="B193" s="112">
        <v>445</v>
      </c>
      <c r="C193" s="71">
        <v>-5.31914894E-2</v>
      </c>
      <c r="D193" s="20">
        <v>470</v>
      </c>
      <c r="E193" s="21">
        <f t="shared" si="102"/>
        <v>5.6179775280898875E-2</v>
      </c>
      <c r="F193" s="22">
        <f>IF(ISNUMBER(D193), $B199 * E193, "")</f>
        <v>8426.9662921348317</v>
      </c>
      <c r="G193" s="30">
        <v>459</v>
      </c>
      <c r="H193" s="21">
        <f t="shared" si="103"/>
        <v>3.1460674157303373E-2</v>
      </c>
      <c r="I193" s="95">
        <f>IF(ISNUMBER(G193), $B199 * H193, "")</f>
        <v>4719.1011235955057</v>
      </c>
      <c r="J193" s="20">
        <v>453</v>
      </c>
      <c r="K193" s="21">
        <f t="shared" si="104"/>
        <v>1.7977528089887642E-2</v>
      </c>
      <c r="L193" s="22">
        <f>IF(ISNUMBER(J193), $B199 * K193, "")</f>
        <v>2696.6292134831465</v>
      </c>
      <c r="M193" s="30">
        <v>457</v>
      </c>
      <c r="N193" s="21">
        <f t="shared" si="105"/>
        <v>2.6966292134831461E-2</v>
      </c>
      <c r="O193" s="22">
        <f>IF(ISNUMBER(M193), $B199 * N193, "")</f>
        <v>4044.9438202247193</v>
      </c>
      <c r="Q193" s="156"/>
      <c r="R193" s="156"/>
      <c r="S193" s="156"/>
    </row>
    <row r="194" spans="1:19" ht="17.25" thickBot="1">
      <c r="A194" s="109" t="s">
        <v>101</v>
      </c>
      <c r="B194" s="113">
        <v>249</v>
      </c>
      <c r="C194" s="73">
        <v>-5.3231939200000002E-2</v>
      </c>
      <c r="D194" s="96">
        <v>255</v>
      </c>
      <c r="E194" s="97">
        <f>IF(ISNUMBER(D194), (D194 - $B194) / $B194, "")</f>
        <v>2.4096385542168676E-2</v>
      </c>
      <c r="F194" s="98">
        <f>IF(ISNUMBER(D194), $B199 * E194, "")</f>
        <v>3614.4578313253014</v>
      </c>
      <c r="G194" s="99">
        <v>252</v>
      </c>
      <c r="H194" s="97">
        <f>IF(ISNUMBER(G194), (G194 - $B194) / $B194, "")</f>
        <v>1.2048192771084338E-2</v>
      </c>
      <c r="I194" s="100">
        <f>IF(ISNUMBER(G194), $B199 * H194, "")</f>
        <v>1807.2289156626507</v>
      </c>
      <c r="J194" s="96">
        <v>248</v>
      </c>
      <c r="K194" s="97">
        <f>IF(ISNUMBER(J194), (J194 - $B194) / $B194, "")</f>
        <v>-4.0160642570281121E-3</v>
      </c>
      <c r="L194" s="98">
        <f>IF(ISNUMBER(J194), $B199 * K194, "")</f>
        <v>-602.40963855421683</v>
      </c>
      <c r="M194" s="99">
        <v>247</v>
      </c>
      <c r="N194" s="97">
        <f>IF(ISNUMBER(M194), (M194 - $B194) / $B194, "")</f>
        <v>-8.0321285140562242E-3</v>
      </c>
      <c r="O194" s="98">
        <f>IF(ISNUMBER(M194), $B199 * N194, "")</f>
        <v>-1204.8192771084337</v>
      </c>
      <c r="Q194" s="146"/>
      <c r="R194" s="146"/>
      <c r="S194" s="146"/>
    </row>
    <row r="195" spans="1:19" ht="17.25" thickBot="1">
      <c r="A195" s="109" t="s">
        <v>79</v>
      </c>
      <c r="B195" s="110">
        <v>281</v>
      </c>
      <c r="C195" s="70">
        <v>-5.3872053900000001E-2</v>
      </c>
      <c r="D195" s="15">
        <v>286</v>
      </c>
      <c r="E195" s="32">
        <f t="shared" ref="E195:E198" si="106">IF(ISNUMBER(D195), (D195 - $B195) / $B195, "")</f>
        <v>1.7793594306049824E-2</v>
      </c>
      <c r="F195" s="18">
        <f>IF(ISNUMBER(D195), $B199 * E195, "")</f>
        <v>2669.0391459074735</v>
      </c>
      <c r="G195" s="31">
        <v>279</v>
      </c>
      <c r="H195" s="32">
        <f t="shared" ref="H195:H198" si="107">IF(ISNUMBER(G195), (G195 - $B195) / $B195, "")</f>
        <v>-7.1174377224199285E-3</v>
      </c>
      <c r="I195" s="91">
        <f>IF(ISNUMBER(G195), $B199 * H195, "")</f>
        <v>-1067.6156583629893</v>
      </c>
      <c r="J195" s="15">
        <v>277</v>
      </c>
      <c r="K195" s="32">
        <f t="shared" ref="K195:K198" si="108">IF(ISNUMBER(J195), (J195 - $B195) / $B195, "")</f>
        <v>-1.4234875444839857E-2</v>
      </c>
      <c r="L195" s="18">
        <f>IF(ISNUMBER(J195), $B199 * K195, "")</f>
        <v>-2135.2313167259786</v>
      </c>
      <c r="M195" s="31">
        <v>277</v>
      </c>
      <c r="N195" s="32">
        <f t="shared" ref="N195:N198" si="109">IF(ISNUMBER(M195), (M195 - $B195) / $B195, "")</f>
        <v>-1.4234875444839857E-2</v>
      </c>
      <c r="O195" s="18">
        <f>IF(ISNUMBER(M195), $B199 * N195, "")</f>
        <v>-2135.2313167259786</v>
      </c>
      <c r="Q195" s="146"/>
      <c r="R195" s="146"/>
      <c r="S195" s="146"/>
    </row>
    <row r="196" spans="1:19" ht="17.25" thickBot="1">
      <c r="A196" s="109" t="s">
        <v>354</v>
      </c>
      <c r="B196" s="110">
        <v>3730</v>
      </c>
      <c r="C196" s="70">
        <v>-6.7500000000000004E-2</v>
      </c>
      <c r="D196" s="15">
        <v>3865</v>
      </c>
      <c r="E196" s="32">
        <f t="shared" si="106"/>
        <v>3.6193029490616625E-2</v>
      </c>
      <c r="F196" s="18">
        <f>IF(ISNUMBER(D196), $B199 * E196, "")</f>
        <v>5428.9544235924941</v>
      </c>
      <c r="G196" s="31">
        <v>3795</v>
      </c>
      <c r="H196" s="32">
        <f t="shared" si="107"/>
        <v>1.7426273458445041E-2</v>
      </c>
      <c r="I196" s="91">
        <f>IF(ISNUMBER(G196), $B199 * H196, "")</f>
        <v>2613.9410187667563</v>
      </c>
      <c r="J196" s="15">
        <v>3760</v>
      </c>
      <c r="K196" s="32">
        <f t="shared" si="108"/>
        <v>8.0428954423592495E-3</v>
      </c>
      <c r="L196" s="18">
        <f>IF(ISNUMBER(J196), $B199 * K196, "")</f>
        <v>1206.4343163538874</v>
      </c>
      <c r="M196" s="31">
        <v>3720</v>
      </c>
      <c r="N196" s="32">
        <f t="shared" si="109"/>
        <v>-2.6809651474530832E-3</v>
      </c>
      <c r="O196" s="18">
        <f>IF(ISNUMBER(M196), $B199 * N196, "")</f>
        <v>-402.14477211796248</v>
      </c>
      <c r="Q196" s="146"/>
      <c r="R196" s="146"/>
      <c r="S196" s="146"/>
    </row>
    <row r="197" spans="1:19">
      <c r="A197" s="109" t="s">
        <v>225</v>
      </c>
      <c r="B197" s="110">
        <v>76.3</v>
      </c>
      <c r="C197" s="70">
        <v>-6.9512195099999993E-2</v>
      </c>
      <c r="D197" s="15">
        <v>78.5</v>
      </c>
      <c r="E197" s="32">
        <f t="shared" si="106"/>
        <v>2.8833551769331625E-2</v>
      </c>
      <c r="F197" s="18">
        <f>IF(ISNUMBER(D197), $B199 * E197, "")</f>
        <v>4325.0327653997438</v>
      </c>
      <c r="G197" s="31">
        <v>76.599999999999994</v>
      </c>
      <c r="H197" s="32">
        <f t="shared" si="107"/>
        <v>3.9318479685451794E-3</v>
      </c>
      <c r="I197" s="91">
        <f>IF(ISNUMBER(G197), $B199 * H197, "")</f>
        <v>589.77719528177693</v>
      </c>
      <c r="J197" s="15">
        <v>76.5</v>
      </c>
      <c r="K197" s="32">
        <f t="shared" si="108"/>
        <v>2.6212319790301815E-3</v>
      </c>
      <c r="L197" s="18">
        <f>IF(ISNUMBER(J197), $B199 * K197, "")</f>
        <v>393.18479685452724</v>
      </c>
      <c r="M197" s="31">
        <v>77.099999999999994</v>
      </c>
      <c r="N197" s="32">
        <f t="shared" si="109"/>
        <v>1.048492791612054E-2</v>
      </c>
      <c r="O197" s="18">
        <f>IF(ISNUMBER(M197), $B199 * N197, "")</f>
        <v>1572.739187418081</v>
      </c>
      <c r="Q197" s="135"/>
      <c r="R197" s="136"/>
      <c r="S197" s="137"/>
    </row>
    <row r="198" spans="1:19" ht="17.25" thickBot="1">
      <c r="A198" s="114" t="s">
        <v>344</v>
      </c>
      <c r="B198" s="115">
        <v>13910</v>
      </c>
      <c r="C198" s="72">
        <v>-7.4517631400000006E-2</v>
      </c>
      <c r="D198" s="24">
        <v>14300</v>
      </c>
      <c r="E198" s="25">
        <f t="shared" si="106"/>
        <v>2.8037383177570093E-2</v>
      </c>
      <c r="F198" s="94">
        <f>IF(ISNUMBER(D198), $B199 * E198, "")</f>
        <v>4205.6074766355141</v>
      </c>
      <c r="G198" s="92">
        <v>13780</v>
      </c>
      <c r="H198" s="25">
        <f t="shared" si="107"/>
        <v>-9.3457943925233638E-3</v>
      </c>
      <c r="I198" s="93">
        <f>IF(ISNUMBER(G198), $B199 * H198, "")</f>
        <v>-1401.8691588785045</v>
      </c>
      <c r="J198" s="24">
        <v>13720</v>
      </c>
      <c r="K198" s="25">
        <f t="shared" si="108"/>
        <v>-1.3659237958303379E-2</v>
      </c>
      <c r="L198" s="94">
        <f>IF(ISNUMBER(J198), $B199 * K198, "")</f>
        <v>-2048.8856937455066</v>
      </c>
      <c r="M198" s="92">
        <v>13710</v>
      </c>
      <c r="N198" s="25">
        <f t="shared" si="109"/>
        <v>-1.4378145219266714E-2</v>
      </c>
      <c r="O198" s="94">
        <f>IF(ISNUMBER(M198), $B199 * N198, "")</f>
        <v>-2156.721782890007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3.4516568870650757E-2</v>
      </c>
      <c r="F199" s="28">
        <f>SUM(F179:F198)</f>
        <v>103549.70661195224</v>
      </c>
      <c r="G199" s="26" t="s">
        <v>258</v>
      </c>
      <c r="H199" s="27">
        <f>IF(COUNT(H179:H198), SUM(H179:H198) / COUNT(H179:H198), 0)</f>
        <v>9.3540348735138695E-3</v>
      </c>
      <c r="I199" s="28">
        <f>SUM(I179:I198)</f>
        <v>28062.10462054161</v>
      </c>
      <c r="J199" s="26" t="s">
        <v>258</v>
      </c>
      <c r="K199" s="27">
        <f>IF(COUNT(K179:K198), SUM(K179:K198) / COUNT(K179:K198), 0)</f>
        <v>3.1834786282656071E-3</v>
      </c>
      <c r="L199" s="28">
        <f>SUM(L179:L198)</f>
        <v>9550.4358847968215</v>
      </c>
      <c r="M199" s="26" t="s">
        <v>258</v>
      </c>
      <c r="N199" s="27">
        <f>IF(COUNT(N179:N198), SUM(N179:N198) / COUNT(N179:N198), 0)</f>
        <v>2.2732676129584282E-3</v>
      </c>
      <c r="O199" s="28">
        <f>SUM(O179:O198)</f>
        <v>6819.8028388752864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FBF1-DB32-442C-A884-802BBF2A90A4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44997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-63,397 KRW (-2.11%)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-64,999 KRW (-2.17%)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-58,918 KRW (-1.96%)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-40,950 KRW (-1.37%)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2023-03-12(일) 오전 00:00</v>
      </c>
      <c r="C15" s="196"/>
      <c r="D15" s="170" t="str">
        <f>TEXT($G$1, "[$-ko-KR]yyyy-mm-dd(ddd) ") &amp; "오후 14:00"</f>
        <v>2023-03-12(일) 오후 14:00</v>
      </c>
      <c r="E15" s="171"/>
      <c r="F15" s="172"/>
      <c r="G15" s="170" t="str">
        <f>TEXT($G$1, "[$-ko-KR]yyyy-mm-dd(ddd) ") &amp; "오후 19:00"</f>
        <v>2023-03-12(일) 오후 19:00</v>
      </c>
      <c r="H15" s="171"/>
      <c r="I15" s="172"/>
      <c r="J15" s="170" t="str">
        <f>TEXT($G$1, "[$-ko-KR]yyyy-mm-dd(ddd) ") &amp; "오후 21:00"</f>
        <v>2023-03-12(일) 오후 21:00</v>
      </c>
      <c r="K15" s="171"/>
      <c r="L15" s="172"/>
      <c r="M15" s="170" t="str">
        <f>TEXT($G$1+1, "[$-ko-KR]yyyy-mm-dd(ddd) ") &amp; "오전 00:00"</f>
        <v>2023-03-13(월)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2023-03-12(일) 오전 00:00</v>
      </c>
      <c r="C42" s="198"/>
      <c r="D42" s="170" t="str">
        <f>TEXT($G$1, "[$-ko-KR]yyyy-mm-dd(ddd) ") &amp; "오후 14:00"</f>
        <v>2023-03-12(일) 오후 14:00</v>
      </c>
      <c r="E42" s="171"/>
      <c r="F42" s="172"/>
      <c r="G42" s="170" t="str">
        <f>TEXT($G$1, "[$-ko-KR]yyyy-mm-dd(ddd) ") &amp; "오후 19:00"</f>
        <v>2023-03-12(일) 오후 19:00</v>
      </c>
      <c r="H42" s="171"/>
      <c r="I42" s="172"/>
      <c r="J42" s="170" t="str">
        <f>TEXT($G$1, "[$-ko-KR]yyyy-mm-dd(ddd) ") &amp; "오후 21:00"</f>
        <v>2023-03-12(일) 오후 21:00</v>
      </c>
      <c r="K42" s="171"/>
      <c r="L42" s="172"/>
      <c r="M42" s="170" t="str">
        <f>TEXT($G$1+1, "[$-ko-KR]yyyy-mm-dd(ddd) ") &amp; "오전 00:00"</f>
        <v>2023-03-13(월)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97</v>
      </c>
      <c r="B44" s="108">
        <v>8.9999999999999998E-4</v>
      </c>
      <c r="C44" s="69">
        <v>0.125</v>
      </c>
      <c r="D44" s="13">
        <v>8.9999999999999998E-4</v>
      </c>
      <c r="E44" s="14">
        <f>IF(ISNUMBER(D44), (D44 - $B44) / $B44, "")</f>
        <v>0</v>
      </c>
      <c r="F44" s="16">
        <f>IF(ISNUMBER(D44), $B64 * E44, "")</f>
        <v>0</v>
      </c>
      <c r="G44" s="29">
        <v>8.9999999999999998E-4</v>
      </c>
      <c r="H44" s="14">
        <f>IF(ISNUMBER(G44), (G44 - $B44) / $B44, "")</f>
        <v>0</v>
      </c>
      <c r="I44" s="90">
        <f>IF(ISNUMBER(G44), $B64 * H44, "")</f>
        <v>0</v>
      </c>
      <c r="J44" s="13">
        <v>8.9999999999999998E-4</v>
      </c>
      <c r="K44" s="14">
        <f>IF(ISNUMBER(J44), (J44 - $B44) / $B44, "")</f>
        <v>0</v>
      </c>
      <c r="L44" s="16">
        <f>IF(ISNUMBER(J44), $B64 * K44, "")</f>
        <v>0</v>
      </c>
      <c r="M44" s="29">
        <v>8.0000000000000004E-4</v>
      </c>
      <c r="N44" s="14">
        <f>IF(ISNUMBER(M44), (M44 - $B44) / $B44, "")</f>
        <v>-0.11111111111111105</v>
      </c>
      <c r="O44" s="16">
        <f>IF(ISNUMBER(M44), $B64 * N44, "")</f>
        <v>-16666.666666666657</v>
      </c>
      <c r="Q44" s="156"/>
      <c r="R44" s="156"/>
      <c r="S44" s="156"/>
    </row>
    <row r="45" spans="1:19" ht="17.25" customHeight="1" thickBot="1">
      <c r="A45" s="109" t="s">
        <v>332</v>
      </c>
      <c r="B45" s="110">
        <v>7.51</v>
      </c>
      <c r="C45" s="70">
        <v>2.31607629E-2</v>
      </c>
      <c r="D45" s="15">
        <v>7.25</v>
      </c>
      <c r="E45" s="32">
        <f t="shared" ref="E45:E48" si="14">IF(ISNUMBER(D45), (D45 - $B45) / $B45, "")</f>
        <v>-3.4620505992010622E-2</v>
      </c>
      <c r="F45" s="18">
        <f>IF(ISNUMBER(D45), $B64 * E45, "")</f>
        <v>-5193.0758988015932</v>
      </c>
      <c r="G45" s="31">
        <v>7.3</v>
      </c>
      <c r="H45" s="32">
        <f t="shared" ref="H45:H48" si="15">IF(ISNUMBER(G45), (G45 - $B45) / $B45, "")</f>
        <v>-2.7962716378162448E-2</v>
      </c>
      <c r="I45" s="91">
        <f>IF(ISNUMBER(G45), $B64 * H45, "")</f>
        <v>-4194.407456724367</v>
      </c>
      <c r="J45" s="15">
        <v>7.28</v>
      </c>
      <c r="K45" s="32">
        <f t="shared" ref="K45:K48" si="16">IF(ISNUMBER(J45), (J45 - $B45) / $B45, "")</f>
        <v>-3.062583222370167E-2</v>
      </c>
      <c r="L45" s="18">
        <f>IF(ISNUMBER(J45), $B64 * K45, "")</f>
        <v>-4593.8748335552509</v>
      </c>
      <c r="M45" s="31">
        <v>7.14</v>
      </c>
      <c r="N45" s="32">
        <f t="shared" ref="N45:N48" si="17">IF(ISNUMBER(M45), (M45 - $B45) / $B45, "")</f>
        <v>-4.9267643142476711E-2</v>
      </c>
      <c r="O45" s="18">
        <f>IF(ISNUMBER(M45), $B64 * N45, "")</f>
        <v>-7390.1464713715068</v>
      </c>
      <c r="Q45" s="156"/>
      <c r="R45" s="156"/>
      <c r="S45" s="156"/>
    </row>
    <row r="46" spans="1:19" ht="17.25" customHeight="1" thickBot="1">
      <c r="A46" s="109" t="s">
        <v>323</v>
      </c>
      <c r="B46" s="110">
        <v>86</v>
      </c>
      <c r="C46" s="70">
        <v>7.0257610999999998E-3</v>
      </c>
      <c r="D46" s="15">
        <v>86.8</v>
      </c>
      <c r="E46" s="32">
        <f t="shared" si="14"/>
        <v>9.3023255813953157E-3</v>
      </c>
      <c r="F46" s="18">
        <f>IF(ISNUMBER(D46), $B64 * E46, "")</f>
        <v>1395.3488372092975</v>
      </c>
      <c r="G46" s="31">
        <v>86.5</v>
      </c>
      <c r="H46" s="32">
        <f t="shared" si="15"/>
        <v>5.8139534883720929E-3</v>
      </c>
      <c r="I46" s="91">
        <f>IF(ISNUMBER(G46), $B64 * H46, "")</f>
        <v>872.09302325581393</v>
      </c>
      <c r="J46" s="15">
        <v>86.4</v>
      </c>
      <c r="K46" s="32">
        <f t="shared" si="16"/>
        <v>4.6511627906977403E-3</v>
      </c>
      <c r="L46" s="18">
        <f>IF(ISNUMBER(J46), $B64 * K46, "")</f>
        <v>697.67441860466101</v>
      </c>
      <c r="M46" s="31">
        <v>85.7</v>
      </c>
      <c r="N46" s="32">
        <f t="shared" si="17"/>
        <v>-3.4883720930232228E-3</v>
      </c>
      <c r="O46" s="18">
        <f>IF(ISNUMBER(M46), $B64 * N46, "")</f>
        <v>-523.25581395348343</v>
      </c>
      <c r="Q46" s="146"/>
      <c r="R46" s="146"/>
      <c r="S46" s="146"/>
    </row>
    <row r="47" spans="1:19" ht="17.25" customHeight="1" thickBot="1">
      <c r="A47" s="109" t="s">
        <v>124</v>
      </c>
      <c r="B47" s="110">
        <v>38</v>
      </c>
      <c r="C47" s="70">
        <v>5.2910053000000002E-3</v>
      </c>
      <c r="D47" s="15">
        <v>37.5</v>
      </c>
      <c r="E47" s="32">
        <f t="shared" si="14"/>
        <v>-1.3157894736842105E-2</v>
      </c>
      <c r="F47" s="18">
        <f>IF(ISNUMBER(D47), $B64 * E47, "")</f>
        <v>-1973.6842105263156</v>
      </c>
      <c r="G47" s="31">
        <v>37.1</v>
      </c>
      <c r="H47" s="32">
        <f t="shared" si="15"/>
        <v>-2.3684210526315752E-2</v>
      </c>
      <c r="I47" s="91">
        <f>IF(ISNUMBER(G47), $B64 * H47, "")</f>
        <v>-3552.6315789473629</v>
      </c>
      <c r="J47" s="15">
        <v>37.299999999999997</v>
      </c>
      <c r="K47" s="32">
        <f t="shared" si="16"/>
        <v>-1.8421052631579022E-2</v>
      </c>
      <c r="L47" s="18">
        <f>IF(ISNUMBER(J47), $B64 * K47, "")</f>
        <v>-2763.1578947368535</v>
      </c>
      <c r="M47" s="31">
        <v>37</v>
      </c>
      <c r="N47" s="32">
        <f t="shared" si="17"/>
        <v>-2.6315789473684209E-2</v>
      </c>
      <c r="O47" s="18">
        <f>IF(ISNUMBER(M47), $B64 * N47, "")</f>
        <v>-3947.3684210526312</v>
      </c>
      <c r="Q47" s="146"/>
      <c r="R47" s="146"/>
      <c r="S47" s="146"/>
    </row>
    <row r="48" spans="1:19" ht="17.25" customHeight="1" thickBot="1">
      <c r="A48" s="111" t="s">
        <v>141</v>
      </c>
      <c r="B48" s="112">
        <v>4.5999999999999996</v>
      </c>
      <c r="C48" s="71">
        <v>0</v>
      </c>
      <c r="D48" s="20">
        <v>4.57</v>
      </c>
      <c r="E48" s="21">
        <f t="shared" si="14"/>
        <v>-6.5217391304346443E-3</v>
      </c>
      <c r="F48" s="22">
        <f>IF(ISNUMBER(D48), $B64 * E48, "")</f>
        <v>-978.26086956519669</v>
      </c>
      <c r="G48" s="30">
        <v>4.5599999999999996</v>
      </c>
      <c r="H48" s="21">
        <f t="shared" si="15"/>
        <v>-8.6956521739130523E-3</v>
      </c>
      <c r="I48" s="95">
        <f>IF(ISNUMBER(G48), $B64 * H48, "")</f>
        <v>-1304.3478260869579</v>
      </c>
      <c r="J48" s="20">
        <v>4.54</v>
      </c>
      <c r="K48" s="21">
        <f t="shared" si="16"/>
        <v>-1.3043478260869481E-2</v>
      </c>
      <c r="L48" s="22">
        <f>IF(ISNUMBER(J48), $B64 * K48, "")</f>
        <v>-1956.5217391304222</v>
      </c>
      <c r="M48" s="30">
        <v>4.4800000000000004</v>
      </c>
      <c r="N48" s="21">
        <f t="shared" si="17"/>
        <v>-2.6086956521738962E-2</v>
      </c>
      <c r="O48" s="22">
        <f>IF(ISNUMBER(M48), $B64 * N48, "")</f>
        <v>-3913.0434782608445</v>
      </c>
      <c r="Q48" s="146"/>
      <c r="R48" s="146"/>
      <c r="S48" s="146"/>
    </row>
    <row r="49" spans="1:19" ht="17.25" customHeight="1" thickBot="1">
      <c r="A49" s="109" t="s">
        <v>155</v>
      </c>
      <c r="B49" s="113">
        <v>30.8</v>
      </c>
      <c r="C49" s="73">
        <v>-6.4516128999999997E-3</v>
      </c>
      <c r="D49" s="96">
        <v>30.9</v>
      </c>
      <c r="E49" s="97">
        <f>IF(ISNUMBER(D49), (D49 - $B49) / $B49, "")</f>
        <v>3.2467532467531776E-3</v>
      </c>
      <c r="F49" s="98">
        <f>IF(ISNUMBER(D49), $B64 * E49, "")</f>
        <v>487.01298701297662</v>
      </c>
      <c r="G49" s="99">
        <v>30.9</v>
      </c>
      <c r="H49" s="97">
        <f>IF(ISNUMBER(G49), (G49 - $B49) / $B49, "")</f>
        <v>3.2467532467531776E-3</v>
      </c>
      <c r="I49" s="100">
        <f>IF(ISNUMBER(G49), $B64 * H49, "")</f>
        <v>487.01298701297662</v>
      </c>
      <c r="J49" s="96">
        <v>30.8</v>
      </c>
      <c r="K49" s="97">
        <f>IF(ISNUMBER(J49), (J49 - $B49) / $B49, "")</f>
        <v>0</v>
      </c>
      <c r="L49" s="98">
        <f>IF(ISNUMBER(J49), $B64 * K49, "")</f>
        <v>0</v>
      </c>
      <c r="M49" s="99">
        <v>30.4</v>
      </c>
      <c r="N49" s="97">
        <f>IF(ISNUMBER(M49), (M49 - $B49) / $B49, "")</f>
        <v>-1.2987012987013056E-2</v>
      </c>
      <c r="O49" s="98">
        <f>IF(ISNUMBER(M49), $B64 * N49, "")</f>
        <v>-1948.0519480519583</v>
      </c>
      <c r="Q49" s="146"/>
      <c r="R49" s="146"/>
      <c r="S49" s="146"/>
    </row>
    <row r="50" spans="1:19" ht="17.25" customHeight="1" thickBot="1">
      <c r="A50" s="109" t="s">
        <v>207</v>
      </c>
      <c r="B50" s="110">
        <v>80.900000000000006</v>
      </c>
      <c r="C50" s="70">
        <v>-7.3619632000000001E-3</v>
      </c>
      <c r="D50" s="15">
        <v>80.2</v>
      </c>
      <c r="E50" s="32">
        <f t="shared" ref="E50:E53" si="18">IF(ISNUMBER(D50), (D50 - $B50) / $B50, "")</f>
        <v>-8.6526576019777847E-3</v>
      </c>
      <c r="F50" s="18">
        <f>IF(ISNUMBER(D50), $B64 * E50, "")</f>
        <v>-1297.8986402966677</v>
      </c>
      <c r="G50" s="31">
        <v>78.400000000000006</v>
      </c>
      <c r="H50" s="32">
        <f t="shared" ref="H50:H53" si="19">IF(ISNUMBER(G50), (G50 - $B50) / $B50, "")</f>
        <v>-3.0902348578491962E-2</v>
      </c>
      <c r="I50" s="91">
        <f>IF(ISNUMBER(G50), $B64 * H50, "")</f>
        <v>-4635.3522867737947</v>
      </c>
      <c r="J50" s="15">
        <v>79.2</v>
      </c>
      <c r="K50" s="32">
        <f t="shared" ref="K50:K53" si="20">IF(ISNUMBER(J50), (J50 - $B50) / $B50, "")</f>
        <v>-2.1013597033374569E-2</v>
      </c>
      <c r="L50" s="18">
        <f>IF(ISNUMBER(J50), $B64 * K50, "")</f>
        <v>-3152.0395550061853</v>
      </c>
      <c r="M50" s="31">
        <v>77.8</v>
      </c>
      <c r="N50" s="32">
        <f t="shared" ref="N50:N53" si="21">IF(ISNUMBER(M50), (M50 - $B50) / $B50, "")</f>
        <v>-3.8318912237330138E-2</v>
      </c>
      <c r="O50" s="18">
        <f>IF(ISNUMBER(M50), $B64 * N50, "")</f>
        <v>-5747.8368355995208</v>
      </c>
      <c r="Q50" s="146"/>
      <c r="R50" s="146"/>
      <c r="S50" s="146"/>
    </row>
    <row r="51" spans="1:19" ht="17.25" customHeight="1" thickBot="1">
      <c r="A51" s="109" t="s">
        <v>203</v>
      </c>
      <c r="B51" s="110">
        <v>3.84</v>
      </c>
      <c r="C51" s="70">
        <v>-7.7519379999999999E-3</v>
      </c>
      <c r="D51" s="15">
        <v>3.91</v>
      </c>
      <c r="E51" s="32">
        <f t="shared" si="18"/>
        <v>1.8229166666666741E-2</v>
      </c>
      <c r="F51" s="18">
        <f>IF(ISNUMBER(D51), $B64 * E51, "")</f>
        <v>2734.3750000000109</v>
      </c>
      <c r="G51" s="31">
        <v>3.85</v>
      </c>
      <c r="H51" s="32">
        <f t="shared" si="19"/>
        <v>2.6041666666667268E-3</v>
      </c>
      <c r="I51" s="91">
        <f>IF(ISNUMBER(G51), $B64 * H51, "")</f>
        <v>390.62500000000904</v>
      </c>
      <c r="J51" s="15">
        <v>3.88</v>
      </c>
      <c r="K51" s="32">
        <f t="shared" si="20"/>
        <v>1.0416666666666676E-2</v>
      </c>
      <c r="L51" s="18">
        <f>IF(ISNUMBER(J51), $B64 * K51, "")</f>
        <v>1562.5000000000014</v>
      </c>
      <c r="M51" s="31">
        <v>3.77</v>
      </c>
      <c r="N51" s="32">
        <f t="shared" si="21"/>
        <v>-1.8229166666666626E-2</v>
      </c>
      <c r="O51" s="18">
        <f>IF(ISNUMBER(M51), $B64 * N51, "")</f>
        <v>-2734.3749999999941</v>
      </c>
      <c r="Q51" s="146"/>
      <c r="R51" s="146"/>
      <c r="S51" s="146"/>
    </row>
    <row r="52" spans="1:19" ht="17.25" customHeight="1" thickBot="1">
      <c r="A52" s="109" t="s">
        <v>237</v>
      </c>
      <c r="B52" s="110">
        <v>30.5</v>
      </c>
      <c r="C52" s="70">
        <v>-1.29449838E-2</v>
      </c>
      <c r="D52" s="15">
        <v>30.9</v>
      </c>
      <c r="E52" s="32">
        <f t="shared" si="18"/>
        <v>1.3114754098360609E-2</v>
      </c>
      <c r="F52" s="18">
        <f>IF(ISNUMBER(D52), $B64 * E52, "")</f>
        <v>1967.2131147540913</v>
      </c>
      <c r="G52" s="31">
        <v>30.7</v>
      </c>
      <c r="H52" s="32">
        <f t="shared" si="19"/>
        <v>6.5573770491803044E-3</v>
      </c>
      <c r="I52" s="91">
        <f>IF(ISNUMBER(G52), $B64 * H52, "")</f>
        <v>983.60655737704565</v>
      </c>
      <c r="J52" s="15">
        <v>31</v>
      </c>
      <c r="K52" s="32">
        <f t="shared" si="20"/>
        <v>1.6393442622950821E-2</v>
      </c>
      <c r="L52" s="18">
        <f>IF(ISNUMBER(J52), $B64 * K52, "")</f>
        <v>2459.0163934426232</v>
      </c>
      <c r="M52" s="31">
        <v>30.9</v>
      </c>
      <c r="N52" s="32">
        <f t="shared" si="21"/>
        <v>1.3114754098360609E-2</v>
      </c>
      <c r="O52" s="18">
        <f>IF(ISNUMBER(M52), $B64 * N52, "")</f>
        <v>1967.2131147540913</v>
      </c>
      <c r="Q52" s="33"/>
      <c r="R52" s="33"/>
    </row>
    <row r="53" spans="1:19" ht="17.25" customHeight="1" thickBot="1">
      <c r="A53" s="114" t="s">
        <v>185</v>
      </c>
      <c r="B53" s="115">
        <v>36.200000000000003</v>
      </c>
      <c r="C53" s="72">
        <v>-1.6304347800000001E-2</v>
      </c>
      <c r="D53" s="24">
        <v>36.299999999999997</v>
      </c>
      <c r="E53" s="25">
        <f t="shared" si="18"/>
        <v>2.7624309392263622E-3</v>
      </c>
      <c r="F53" s="94">
        <f>IF(ISNUMBER(D53), $B64 * E53, "")</f>
        <v>414.36464088395434</v>
      </c>
      <c r="G53" s="92">
        <v>36.1</v>
      </c>
      <c r="H53" s="25">
        <f t="shared" si="19"/>
        <v>-2.7624309392265583E-3</v>
      </c>
      <c r="I53" s="93">
        <f>IF(ISNUMBER(G53), $B64 * H53, "")</f>
        <v>-414.36464088398372</v>
      </c>
      <c r="J53" s="24">
        <v>36.1</v>
      </c>
      <c r="K53" s="25">
        <f t="shared" si="20"/>
        <v>-2.7624309392265583E-3</v>
      </c>
      <c r="L53" s="94">
        <f>IF(ISNUMBER(J53), $B64 * K53, "")</f>
        <v>-414.36464088398372</v>
      </c>
      <c r="M53" s="92">
        <v>35.299999999999997</v>
      </c>
      <c r="N53" s="25">
        <f t="shared" si="21"/>
        <v>-2.4861878453038829E-2</v>
      </c>
      <c r="O53" s="94">
        <f>IF(ISNUMBER(M53), $B64 * N53, "")</f>
        <v>-3729.2817679558243</v>
      </c>
      <c r="Q53" s="147"/>
      <c r="R53" s="148"/>
      <c r="S53" s="149"/>
    </row>
    <row r="54" spans="1:19" ht="17.25" customHeight="1">
      <c r="A54" s="107" t="s">
        <v>253</v>
      </c>
      <c r="B54" s="108">
        <v>87.9</v>
      </c>
      <c r="C54" s="69">
        <v>-1.67785235E-2</v>
      </c>
      <c r="D54" s="13">
        <v>89.1</v>
      </c>
      <c r="E54" s="14">
        <f>IF(ISNUMBER(D54), (D54 - $B54) / $B54, "")</f>
        <v>1.3651877133105672E-2</v>
      </c>
      <c r="F54" s="16">
        <f>IF(ISNUMBER(D54), $B64 * E54, "")</f>
        <v>2047.7815699658508</v>
      </c>
      <c r="G54" s="29">
        <v>88.7</v>
      </c>
      <c r="H54" s="14">
        <f>IF(ISNUMBER(G54), (G54 - $B54) / $B54, "")</f>
        <v>9.1012514220705013E-3</v>
      </c>
      <c r="I54" s="90">
        <f>IF(ISNUMBER(G54), $B64 * H54, "")</f>
        <v>1365.1877133105752</v>
      </c>
      <c r="J54" s="13">
        <v>88.9</v>
      </c>
      <c r="K54" s="14">
        <f>IF(ISNUMBER(J54), (J54 - $B54) / $B54, "")</f>
        <v>1.1376564277588168E-2</v>
      </c>
      <c r="L54" s="16">
        <f>IF(ISNUMBER(J54), $B64 * K54, "")</f>
        <v>1706.4846416382252</v>
      </c>
      <c r="M54" s="29">
        <v>87.9</v>
      </c>
      <c r="N54" s="14">
        <f>IF(ISNUMBER(M54), (M54 - $B54) / $B54, "")</f>
        <v>0</v>
      </c>
      <c r="O54" s="16">
        <f>IF(ISNUMBER(M54), $B64 * N54, "")</f>
        <v>0</v>
      </c>
      <c r="Q54" s="150"/>
      <c r="R54" s="151"/>
      <c r="S54" s="152"/>
    </row>
    <row r="55" spans="1:19" ht="17.25" customHeight="1" thickBot="1">
      <c r="A55" s="109" t="s">
        <v>181</v>
      </c>
      <c r="B55" s="110">
        <v>4.8600000000000003</v>
      </c>
      <c r="C55" s="70">
        <v>-2.0161290299999999E-2</v>
      </c>
      <c r="D55" s="15">
        <v>4.8899999999999997</v>
      </c>
      <c r="E55" s="32">
        <f t="shared" ref="E55:E58" si="22">IF(ISNUMBER(D55), (D55 - $B55) / $B55, "")</f>
        <v>6.1728395061727073E-3</v>
      </c>
      <c r="F55" s="18">
        <f>IF(ISNUMBER(D55), $B64 * E55, "")</f>
        <v>925.92592592590609</v>
      </c>
      <c r="G55" s="31">
        <v>4.88</v>
      </c>
      <c r="H55" s="32">
        <f t="shared" ref="H55:H58" si="23">IF(ISNUMBER(G55), (G55 - $B55) / $B55, "")</f>
        <v>4.1152263374484715E-3</v>
      </c>
      <c r="I55" s="91">
        <f>IF(ISNUMBER(G55), $B64 * H55, "")</f>
        <v>617.28395061727076</v>
      </c>
      <c r="J55" s="15">
        <v>4.88</v>
      </c>
      <c r="K55" s="32">
        <f t="shared" ref="K55:K58" si="24">IF(ISNUMBER(J55), (J55 - $B55) / $B55, "")</f>
        <v>4.1152263374484715E-3</v>
      </c>
      <c r="L55" s="18">
        <f>IF(ISNUMBER(J55), $B64 * K55, "")</f>
        <v>617.28395061727076</v>
      </c>
      <c r="M55" s="31">
        <v>4.8</v>
      </c>
      <c r="N55" s="32">
        <f t="shared" ref="N55:N58" si="25">IF(ISNUMBER(M55), (M55 - $B55) / $B55, "")</f>
        <v>-1.2345679012345781E-2</v>
      </c>
      <c r="O55" s="18">
        <f>IF(ISNUMBER(M55), $B64 * N55, "")</f>
        <v>-1851.8518518518672</v>
      </c>
      <c r="Q55" s="153"/>
      <c r="R55" s="154"/>
      <c r="S55" s="155"/>
    </row>
    <row r="56" spans="1:19" ht="17.25" customHeight="1" thickBot="1">
      <c r="A56" s="109" t="s">
        <v>317</v>
      </c>
      <c r="B56" s="110">
        <v>1.3599999999999999E-2</v>
      </c>
      <c r="C56" s="70">
        <v>-2.15827338E-2</v>
      </c>
      <c r="D56" s="15">
        <v>1.37E-2</v>
      </c>
      <c r="E56" s="32">
        <f t="shared" si="22"/>
        <v>7.3529411764706714E-3</v>
      </c>
      <c r="F56" s="18">
        <f>IF(ISNUMBER(D56), $B64 * E56, "")</f>
        <v>1102.9411764706008</v>
      </c>
      <c r="G56" s="31">
        <v>1.37E-2</v>
      </c>
      <c r="H56" s="32">
        <f t="shared" si="23"/>
        <v>7.3529411764706714E-3</v>
      </c>
      <c r="I56" s="91">
        <f>IF(ISNUMBER(G56), $B64 * H56, "")</f>
        <v>1102.9411764706008</v>
      </c>
      <c r="J56" s="15">
        <v>1.37E-2</v>
      </c>
      <c r="K56" s="32">
        <f t="shared" si="24"/>
        <v>7.3529411764706714E-3</v>
      </c>
      <c r="L56" s="18">
        <f>IF(ISNUMBER(J56), $B64 * K56, "")</f>
        <v>1102.9411764706008</v>
      </c>
      <c r="M56" s="31">
        <v>1.35E-2</v>
      </c>
      <c r="N56" s="32">
        <f t="shared" si="25"/>
        <v>-7.3529411764705439E-3</v>
      </c>
      <c r="O56" s="18">
        <f>IF(ISNUMBER(M56), $B64 * N56, "")</f>
        <v>-1102.9411764705817</v>
      </c>
      <c r="Q56" s="146"/>
      <c r="R56" s="146"/>
      <c r="S56" s="146"/>
    </row>
    <row r="57" spans="1:19" ht="17.25" customHeight="1" thickBot="1">
      <c r="A57" s="109" t="s">
        <v>217</v>
      </c>
      <c r="B57" s="110">
        <v>81</v>
      </c>
      <c r="C57" s="70">
        <v>-2.1739130400000001E-2</v>
      </c>
      <c r="D57" s="15">
        <v>80.400000000000006</v>
      </c>
      <c r="E57" s="32">
        <f t="shared" si="22"/>
        <v>-7.4074074074073374E-3</v>
      </c>
      <c r="F57" s="18">
        <f>IF(ISNUMBER(D57), $B64 * E57, "")</f>
        <v>-1111.1111111111006</v>
      </c>
      <c r="G57" s="31">
        <v>80</v>
      </c>
      <c r="H57" s="32">
        <f t="shared" si="23"/>
        <v>-1.2345679012345678E-2</v>
      </c>
      <c r="I57" s="91">
        <f>IF(ISNUMBER(G57), $B64 * H57, "")</f>
        <v>-1851.8518518518517</v>
      </c>
      <c r="J57" s="15">
        <v>80.2</v>
      </c>
      <c r="K57" s="32">
        <f t="shared" si="24"/>
        <v>-9.8765432098765083E-3</v>
      </c>
      <c r="L57" s="18">
        <f>IF(ISNUMBER(J57), $B64 * K57, "")</f>
        <v>-1481.4814814814763</v>
      </c>
      <c r="M57" s="31">
        <v>78.900000000000006</v>
      </c>
      <c r="N57" s="32">
        <f t="shared" si="25"/>
        <v>-2.5925925925925856E-2</v>
      </c>
      <c r="O57" s="18">
        <f>IF(ISNUMBER(M57), $B64 * N57, "")</f>
        <v>-3888.8888888888782</v>
      </c>
      <c r="Q57" s="156"/>
      <c r="R57" s="156"/>
      <c r="S57" s="156"/>
    </row>
    <row r="58" spans="1:19" ht="17.25" customHeight="1" thickBot="1">
      <c r="A58" s="111" t="s">
        <v>145</v>
      </c>
      <c r="B58" s="112">
        <v>76.099999999999994</v>
      </c>
      <c r="C58" s="71">
        <v>-2.1850899699999999E-2</v>
      </c>
      <c r="D58" s="20">
        <v>79.099999999999994</v>
      </c>
      <c r="E58" s="21">
        <f t="shared" si="22"/>
        <v>3.9421813403416557E-2</v>
      </c>
      <c r="F58" s="22">
        <f>IF(ISNUMBER(D58), $B64 * E58, "")</f>
        <v>5913.2720105124836</v>
      </c>
      <c r="G58" s="30">
        <v>79.2</v>
      </c>
      <c r="H58" s="21">
        <f t="shared" si="23"/>
        <v>4.0735873850197224E-2</v>
      </c>
      <c r="I58" s="95">
        <f>IF(ISNUMBER(G58), $B64 * H58, "")</f>
        <v>6110.3810775295833</v>
      </c>
      <c r="J58" s="20">
        <v>79.599999999999994</v>
      </c>
      <c r="K58" s="21">
        <f t="shared" si="24"/>
        <v>4.5992115637319322E-2</v>
      </c>
      <c r="L58" s="22">
        <f>IF(ISNUMBER(J58), $B64 * K58, "")</f>
        <v>6898.8173455978986</v>
      </c>
      <c r="M58" s="30">
        <v>79.099999999999994</v>
      </c>
      <c r="N58" s="21">
        <f t="shared" si="25"/>
        <v>3.9421813403416557E-2</v>
      </c>
      <c r="O58" s="22">
        <f>IF(ISNUMBER(M58), $B64 * N58, "")</f>
        <v>5913.2720105124836</v>
      </c>
      <c r="Q58" s="156"/>
      <c r="R58" s="156"/>
      <c r="S58" s="156"/>
    </row>
    <row r="59" spans="1:19" ht="17.25" customHeight="1" thickBot="1">
      <c r="A59" s="109" t="s">
        <v>107</v>
      </c>
      <c r="B59" s="113">
        <v>41.8</v>
      </c>
      <c r="C59" s="73">
        <v>-2.3364486E-2</v>
      </c>
      <c r="D59" s="96">
        <v>41.7</v>
      </c>
      <c r="E59" s="97">
        <f>IF(ISNUMBER(D59), (D59 - $B59) / $B59, "")</f>
        <v>-2.3923444976075197E-3</v>
      </c>
      <c r="F59" s="98">
        <f>IF(ISNUMBER(D59), $B64 * E59, "")</f>
        <v>-358.85167464112794</v>
      </c>
      <c r="G59" s="99">
        <v>41.7</v>
      </c>
      <c r="H59" s="97">
        <f>IF(ISNUMBER(G59), (G59 - $B59) / $B59, "")</f>
        <v>-2.3923444976075197E-3</v>
      </c>
      <c r="I59" s="100">
        <f>IF(ISNUMBER(G59), $B64 * H59, "")</f>
        <v>-358.85167464112794</v>
      </c>
      <c r="J59" s="96">
        <v>41.9</v>
      </c>
      <c r="K59" s="97">
        <f>IF(ISNUMBER(J59), (J59 - $B59) / $B59, "")</f>
        <v>2.3923444976076897E-3</v>
      </c>
      <c r="L59" s="98">
        <f>IF(ISNUMBER(J59), $B64 * K59, "")</f>
        <v>358.85167464115347</v>
      </c>
      <c r="M59" s="99">
        <v>40.799999999999997</v>
      </c>
      <c r="N59" s="97">
        <f>IF(ISNUMBER(M59), (M59 - $B59) / $B59, "")</f>
        <v>-2.3923444976076555E-2</v>
      </c>
      <c r="O59" s="98">
        <f>IF(ISNUMBER(M59), $B64 * N59, "")</f>
        <v>-3588.5167464114834</v>
      </c>
      <c r="Q59" s="146"/>
      <c r="R59" s="146"/>
      <c r="S59" s="146"/>
    </row>
    <row r="60" spans="1:19" ht="17.25" customHeight="1" thickBot="1">
      <c r="A60" s="109" t="s">
        <v>335</v>
      </c>
      <c r="B60" s="110">
        <v>78</v>
      </c>
      <c r="C60" s="70">
        <v>-2.3779724700000001E-2</v>
      </c>
      <c r="D60" s="15">
        <v>77.3</v>
      </c>
      <c r="E60" s="32">
        <f t="shared" ref="E60:E63" si="26">IF(ISNUMBER(D60), (D60 - $B60) / $B60, "")</f>
        <v>-8.9743589743590101E-3</v>
      </c>
      <c r="F60" s="18">
        <f>IF(ISNUMBER(D60), $B64 * E60, "")</f>
        <v>-1346.1538461538514</v>
      </c>
      <c r="G60" s="31">
        <v>76.5</v>
      </c>
      <c r="H60" s="32">
        <f t="shared" ref="H60:H63" si="27">IF(ISNUMBER(G60), (G60 - $B60) / $B60, "")</f>
        <v>-1.9230769230769232E-2</v>
      </c>
      <c r="I60" s="91">
        <f>IF(ISNUMBER(G60), $B64 * H60, "")</f>
        <v>-2884.6153846153848</v>
      </c>
      <c r="J60" s="15">
        <v>77.099999999999994</v>
      </c>
      <c r="K60" s="32">
        <f t="shared" ref="K60:K63" si="28">IF(ISNUMBER(J60), (J60 - $B60) / $B60, "")</f>
        <v>-1.1538461538461612E-2</v>
      </c>
      <c r="L60" s="18">
        <f>IF(ISNUMBER(J60), $B64 * K60, "")</f>
        <v>-1730.7692307692419</v>
      </c>
      <c r="M60" s="31">
        <v>75.900000000000006</v>
      </c>
      <c r="N60" s="32">
        <f t="shared" ref="N60:N63" si="29">IF(ISNUMBER(M60), (M60 - $B60) / $B60, "")</f>
        <v>-2.6923076923076852E-2</v>
      </c>
      <c r="O60" s="18">
        <f>IF(ISNUMBER(M60), $B64 * N60, "")</f>
        <v>-4038.4615384615277</v>
      </c>
      <c r="Q60" s="146"/>
      <c r="R60" s="146"/>
      <c r="S60" s="146"/>
    </row>
    <row r="61" spans="1:19" ht="17.25" customHeight="1" thickBot="1">
      <c r="A61" s="109" t="s">
        <v>320</v>
      </c>
      <c r="B61" s="110">
        <v>5.27</v>
      </c>
      <c r="C61" s="70">
        <v>-2.4074074099999999E-2</v>
      </c>
      <c r="D61" s="15">
        <v>5.26</v>
      </c>
      <c r="E61" s="32">
        <f t="shared" si="26"/>
        <v>-1.8975332068310792E-3</v>
      </c>
      <c r="F61" s="18">
        <f>IF(ISNUMBER(D61), $B64 * E61, "")</f>
        <v>-284.6299810246619</v>
      </c>
      <c r="G61" s="31">
        <v>5.24</v>
      </c>
      <c r="H61" s="32">
        <f t="shared" si="27"/>
        <v>-5.692599620493238E-3</v>
      </c>
      <c r="I61" s="91">
        <f>IF(ISNUMBER(G61), $B64 * H61, "")</f>
        <v>-853.88994307398571</v>
      </c>
      <c r="J61" s="15">
        <v>5.27</v>
      </c>
      <c r="K61" s="32">
        <f t="shared" si="28"/>
        <v>0</v>
      </c>
      <c r="L61" s="18">
        <f>IF(ISNUMBER(J61), $B64 * K61, "")</f>
        <v>0</v>
      </c>
      <c r="M61" s="31">
        <v>5.15</v>
      </c>
      <c r="N61" s="32">
        <f t="shared" si="29"/>
        <v>-2.2770398481973288E-2</v>
      </c>
      <c r="O61" s="18">
        <f>IF(ISNUMBER(M61), $B64 * N61, "")</f>
        <v>-3415.5597722959933</v>
      </c>
      <c r="Q61" s="146"/>
      <c r="R61" s="146"/>
      <c r="S61" s="146"/>
    </row>
    <row r="62" spans="1:19" ht="17.25" customHeight="1">
      <c r="A62" s="109" t="s">
        <v>71</v>
      </c>
      <c r="B62" s="110">
        <v>12.1</v>
      </c>
      <c r="C62" s="70">
        <v>-2.4193548400000001E-2</v>
      </c>
      <c r="D62" s="15">
        <v>12.1</v>
      </c>
      <c r="E62" s="32">
        <f t="shared" si="26"/>
        <v>0</v>
      </c>
      <c r="F62" s="18">
        <f>IF(ISNUMBER(D62), $B64 * E62, "")</f>
        <v>0</v>
      </c>
      <c r="G62" s="31">
        <v>12.1</v>
      </c>
      <c r="H62" s="32">
        <f t="shared" si="27"/>
        <v>0</v>
      </c>
      <c r="I62" s="91">
        <f>IF(ISNUMBER(G62), $B64 * H62, "")</f>
        <v>0</v>
      </c>
      <c r="J62" s="15">
        <v>12.1</v>
      </c>
      <c r="K62" s="32">
        <f t="shared" si="28"/>
        <v>0</v>
      </c>
      <c r="L62" s="18">
        <f>IF(ISNUMBER(J62), $B64 * K62, "")</f>
        <v>0</v>
      </c>
      <c r="M62" s="31">
        <v>11.9</v>
      </c>
      <c r="N62" s="32">
        <f t="shared" si="29"/>
        <v>-1.6528925619834652E-2</v>
      </c>
      <c r="O62" s="18">
        <f>IF(ISNUMBER(M62), $B64 * N62, "")</f>
        <v>-2479.3388429751976</v>
      </c>
      <c r="Q62" s="135"/>
      <c r="R62" s="136"/>
      <c r="S62" s="137"/>
    </row>
    <row r="63" spans="1:19" ht="17.25" customHeight="1" thickBot="1">
      <c r="A63" s="114" t="s">
        <v>197</v>
      </c>
      <c r="B63" s="115">
        <v>10.4</v>
      </c>
      <c r="C63" s="72">
        <v>-2.8037383200000002E-2</v>
      </c>
      <c r="D63" s="24">
        <v>10.5</v>
      </c>
      <c r="E63" s="25">
        <f t="shared" si="26"/>
        <v>9.6153846153845812E-3</v>
      </c>
      <c r="F63" s="94">
        <f>IF(ISNUMBER(D63), $B64 * E63, "")</f>
        <v>1442.3076923076871</v>
      </c>
      <c r="G63" s="92">
        <v>10.3</v>
      </c>
      <c r="H63" s="25">
        <f t="shared" si="27"/>
        <v>-9.6153846153845812E-3</v>
      </c>
      <c r="I63" s="93">
        <f>IF(ISNUMBER(G63), $B64 * H63, "")</f>
        <v>-1442.3076923076871</v>
      </c>
      <c r="J63" s="24">
        <v>10.199999999999999</v>
      </c>
      <c r="K63" s="25">
        <f t="shared" si="28"/>
        <v>-1.9230769230769332E-2</v>
      </c>
      <c r="L63" s="94">
        <f>IF(ISNUMBER(J63), $B64 * K63, "")</f>
        <v>-2884.6153846153998</v>
      </c>
      <c r="M63" s="92">
        <v>9.99</v>
      </c>
      <c r="N63" s="25">
        <f t="shared" si="29"/>
        <v>-3.9423076923076936E-2</v>
      </c>
      <c r="O63" s="94">
        <f>IF(ISNUMBER(M63), $B64 * N63, "")</f>
        <v>-5913.4615384615399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1.9622922409741148E-3</v>
      </c>
      <c r="F64" s="28">
        <f>SUM(F44:F63)</f>
        <v>5886.876722922344</v>
      </c>
      <c r="G64" s="26" t="s">
        <v>258</v>
      </c>
      <c r="H64" s="27">
        <f>IF(COUNT(H44:H63), SUM(H44:H63) / COUNT(H44:H63), 0)</f>
        <v>-3.1878296167775419E-3</v>
      </c>
      <c r="I64" s="28">
        <f>SUM(I44:I63)</f>
        <v>-9563.4888503326292</v>
      </c>
      <c r="J64" s="26" t="s">
        <v>258</v>
      </c>
      <c r="K64" s="27">
        <f>IF(COUNT(K44:K63), SUM(K44:K63) / COUNT(K44:K63), 0)</f>
        <v>-1.1910850530554597E-3</v>
      </c>
      <c r="L64" s="28">
        <f>SUM(L44:L63)</f>
        <v>-3573.2551591663796</v>
      </c>
      <c r="M64" s="26" t="s">
        <v>258</v>
      </c>
      <c r="N64" s="27">
        <f>IF(COUNT(N44:N63), SUM(N44:N63) / COUNT(N44:N63), 0)</f>
        <v>-2.1666187211154306E-2</v>
      </c>
      <c r="O64" s="28">
        <f>SUM(O44:O63)</f>
        <v>-64998.561633462909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2023-03-12(일) 오전 00:00</v>
      </c>
      <c r="C69" s="198"/>
      <c r="D69" s="170" t="str">
        <f>TEXT($G$1, "[$-ko-KR]yyyy-mm-dd(ddd) ") &amp; "오후 14:00"</f>
        <v>2023-03-12(일) 오후 14:00</v>
      </c>
      <c r="E69" s="171"/>
      <c r="F69" s="172"/>
      <c r="G69" s="170" t="str">
        <f>TEXT($G$1, "[$-ko-KR]yyyy-mm-dd(ddd) ") &amp; "오후 19:00"</f>
        <v>2023-03-12(일) 오후 19:00</v>
      </c>
      <c r="H69" s="171"/>
      <c r="I69" s="172"/>
      <c r="J69" s="170" t="str">
        <f>TEXT($G$1, "[$-ko-KR]yyyy-mm-dd(ddd) ") &amp; "오후 21:00"</f>
        <v>2023-03-12(일) 오후 21:00</v>
      </c>
      <c r="K69" s="171"/>
      <c r="L69" s="172"/>
      <c r="M69" s="170" t="str">
        <f>TEXT($G$1+1, "[$-ko-KR]yyyy-mm-dd(ddd) ") &amp; "오전 00:00"</f>
        <v>2023-03-13(월)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157</v>
      </c>
      <c r="B71" s="108">
        <v>412</v>
      </c>
      <c r="C71" s="69">
        <v>6.7357512999999994E-2</v>
      </c>
      <c r="D71" s="13">
        <v>405</v>
      </c>
      <c r="E71" s="14">
        <f>IF(ISNUMBER(D71), (D71 - $B71) / $B71, "")</f>
        <v>-1.6990291262135922E-2</v>
      </c>
      <c r="F71" s="16">
        <f>IF(ISNUMBER(D71), $B91 * E71, "")</f>
        <v>-2548.5436893203882</v>
      </c>
      <c r="G71" s="29">
        <v>425</v>
      </c>
      <c r="H71" s="14">
        <f>IF(ISNUMBER(G71), (G71 - $B71) / $B71, "")</f>
        <v>3.1553398058252427E-2</v>
      </c>
      <c r="I71" s="90">
        <f>IF(ISNUMBER(G71), $B91 * H71, "")</f>
        <v>4733.0097087378645</v>
      </c>
      <c r="J71" s="13">
        <v>414</v>
      </c>
      <c r="K71" s="14">
        <f>IF(ISNUMBER(J71), (J71 - $B71) / $B71, "")</f>
        <v>4.8543689320388345E-3</v>
      </c>
      <c r="L71" s="16">
        <f>IF(ISNUMBER(J71), $B91 * K71, "")</f>
        <v>728.15533980582518</v>
      </c>
      <c r="M71" s="29">
        <v>402</v>
      </c>
      <c r="N71" s="14">
        <f>IF(ISNUMBER(M71), (M71 - $B71) / $B71, "")</f>
        <v>-2.4271844660194174E-2</v>
      </c>
      <c r="O71" s="16">
        <f>IF(ISNUMBER(M71), $B91 * N71, "")</f>
        <v>-3640.7766990291261</v>
      </c>
      <c r="Q71" s="156"/>
      <c r="R71" s="156"/>
      <c r="S71" s="156"/>
    </row>
    <row r="72" spans="1:19" ht="17.25" thickBot="1">
      <c r="A72" s="109" t="s">
        <v>229</v>
      </c>
      <c r="B72" s="110">
        <v>281</v>
      </c>
      <c r="C72" s="70">
        <v>3.5714286E-3</v>
      </c>
      <c r="D72" s="15">
        <v>278</v>
      </c>
      <c r="E72" s="32">
        <f t="shared" ref="E72:E75" si="30">IF(ISNUMBER(D72), (D72 - $B72) / $B72, "")</f>
        <v>-1.0676156583629894E-2</v>
      </c>
      <c r="F72" s="18">
        <f>IF(ISNUMBER(D72), $B91 * E72, "")</f>
        <v>-1601.423487544484</v>
      </c>
      <c r="G72" s="31">
        <v>284</v>
      </c>
      <c r="H72" s="32">
        <f t="shared" ref="H72:H75" si="31">IF(ISNUMBER(G72), (G72 - $B72) / $B72, "")</f>
        <v>1.0676156583629894E-2</v>
      </c>
      <c r="I72" s="91">
        <f>IF(ISNUMBER(G72), $B91 * H72, "")</f>
        <v>1601.423487544484</v>
      </c>
      <c r="J72" s="15">
        <v>283</v>
      </c>
      <c r="K72" s="32">
        <f t="shared" ref="K72:K75" si="32">IF(ISNUMBER(J72), (J72 - $B72) / $B72, "")</f>
        <v>7.1174377224199285E-3</v>
      </c>
      <c r="L72" s="18">
        <f>IF(ISNUMBER(J72), $B91 * K72, "")</f>
        <v>1067.6156583629893</v>
      </c>
      <c r="M72" s="31">
        <v>275</v>
      </c>
      <c r="N72" s="32">
        <f t="shared" ref="N72:N75" si="33">IF(ISNUMBER(M72), (M72 - $B72) / $B72, "")</f>
        <v>-2.1352313167259787E-2</v>
      </c>
      <c r="O72" s="18">
        <f>IF(ISNUMBER(M72), $B91 * N72, "")</f>
        <v>-3202.8469750889681</v>
      </c>
      <c r="Q72" s="156"/>
      <c r="R72" s="156"/>
      <c r="S72" s="156"/>
    </row>
    <row r="73" spans="1:19" ht="17.25" thickBot="1">
      <c r="A73" s="109" t="s">
        <v>205</v>
      </c>
      <c r="B73" s="110">
        <v>123</v>
      </c>
      <c r="C73" s="70">
        <v>0</v>
      </c>
      <c r="D73" s="15">
        <v>126</v>
      </c>
      <c r="E73" s="32">
        <f t="shared" si="30"/>
        <v>2.4390243902439025E-2</v>
      </c>
      <c r="F73" s="18">
        <f>IF(ISNUMBER(D73), $B91 * E73, "")</f>
        <v>3658.5365853658536</v>
      </c>
      <c r="G73" s="31">
        <v>124</v>
      </c>
      <c r="H73" s="32">
        <f t="shared" si="31"/>
        <v>8.130081300813009E-3</v>
      </c>
      <c r="I73" s="91">
        <f>IF(ISNUMBER(G73), $B91 * H73, "")</f>
        <v>1219.5121951219514</v>
      </c>
      <c r="J73" s="15">
        <v>125</v>
      </c>
      <c r="K73" s="32">
        <f t="shared" si="32"/>
        <v>1.6260162601626018E-2</v>
      </c>
      <c r="L73" s="18">
        <f>IF(ISNUMBER(J73), $B91 * K73, "")</f>
        <v>2439.0243902439029</v>
      </c>
      <c r="M73" s="31">
        <v>123</v>
      </c>
      <c r="N73" s="32">
        <f t="shared" si="33"/>
        <v>0</v>
      </c>
      <c r="O73" s="18">
        <f>IF(ISNUMBER(M73), $B91 * N73, "")</f>
        <v>0</v>
      </c>
      <c r="Q73" s="146"/>
      <c r="R73" s="146"/>
      <c r="S73" s="146"/>
    </row>
    <row r="74" spans="1:19" ht="17.25" thickBot="1">
      <c r="A74" s="109" t="s">
        <v>183</v>
      </c>
      <c r="B74" s="110">
        <v>139</v>
      </c>
      <c r="C74" s="70">
        <v>-1.4184397200000001E-2</v>
      </c>
      <c r="D74" s="15">
        <v>140</v>
      </c>
      <c r="E74" s="32">
        <f t="shared" si="30"/>
        <v>7.1942446043165471E-3</v>
      </c>
      <c r="F74" s="18">
        <f>IF(ISNUMBER(D74), $B91 * E74, "")</f>
        <v>1079.1366906474821</v>
      </c>
      <c r="G74" s="31">
        <v>138</v>
      </c>
      <c r="H74" s="32">
        <f t="shared" si="31"/>
        <v>-7.1942446043165471E-3</v>
      </c>
      <c r="I74" s="91">
        <f>IF(ISNUMBER(G74), $B91 * H74, "")</f>
        <v>-1079.1366906474821</v>
      </c>
      <c r="J74" s="15">
        <v>140</v>
      </c>
      <c r="K74" s="32">
        <f t="shared" si="32"/>
        <v>7.1942446043165471E-3</v>
      </c>
      <c r="L74" s="18">
        <f>IF(ISNUMBER(J74), $B91 * K74, "")</f>
        <v>1079.1366906474821</v>
      </c>
      <c r="M74" s="31">
        <v>135</v>
      </c>
      <c r="N74" s="32">
        <f t="shared" si="33"/>
        <v>-2.8776978417266189E-2</v>
      </c>
      <c r="O74" s="18">
        <f>IF(ISNUMBER(M74), $B91 * N74, "")</f>
        <v>-4316.5467625899282</v>
      </c>
      <c r="Q74" s="146"/>
      <c r="R74" s="146"/>
      <c r="S74" s="146"/>
    </row>
    <row r="75" spans="1:19" ht="17.25" thickBot="1">
      <c r="A75" s="111" t="s">
        <v>199</v>
      </c>
      <c r="B75" s="112">
        <v>314</v>
      </c>
      <c r="C75" s="71">
        <v>-1.5673981199999999E-2</v>
      </c>
      <c r="D75" s="20">
        <v>316</v>
      </c>
      <c r="E75" s="21">
        <f t="shared" si="30"/>
        <v>6.369426751592357E-3</v>
      </c>
      <c r="F75" s="22">
        <f>IF(ISNUMBER(D75), $B91 * E75, "")</f>
        <v>955.41401273885356</v>
      </c>
      <c r="G75" s="30">
        <v>312</v>
      </c>
      <c r="H75" s="21">
        <f t="shared" si="31"/>
        <v>-6.369426751592357E-3</v>
      </c>
      <c r="I75" s="95">
        <f>IF(ISNUMBER(G75), $B91 * H75, "")</f>
        <v>-955.41401273885356</v>
      </c>
      <c r="J75" s="20">
        <v>312</v>
      </c>
      <c r="K75" s="21">
        <f t="shared" si="32"/>
        <v>-6.369426751592357E-3</v>
      </c>
      <c r="L75" s="22">
        <f>IF(ISNUMBER(J75), $B91 * K75, "")</f>
        <v>-955.41401273885356</v>
      </c>
      <c r="M75" s="30">
        <v>303</v>
      </c>
      <c r="N75" s="21">
        <f t="shared" si="33"/>
        <v>-3.5031847133757961E-2</v>
      </c>
      <c r="O75" s="22">
        <f>IF(ISNUMBER(M75), $B91 * N75, "")</f>
        <v>-5254.7770700636938</v>
      </c>
      <c r="Q75" s="146"/>
      <c r="R75" s="146"/>
      <c r="S75" s="146"/>
    </row>
    <row r="76" spans="1:19" ht="17.25" thickBot="1">
      <c r="A76" s="109" t="s">
        <v>89</v>
      </c>
      <c r="B76" s="113">
        <v>492</v>
      </c>
      <c r="C76" s="73">
        <v>-1.79640719E-2</v>
      </c>
      <c r="D76" s="96">
        <v>489</v>
      </c>
      <c r="E76" s="97">
        <f>IF(ISNUMBER(D76), (D76 - $B76) / $B76, "")</f>
        <v>-6.0975609756097563E-3</v>
      </c>
      <c r="F76" s="98">
        <f>IF(ISNUMBER(D76), $B91 * E76, "")</f>
        <v>-914.63414634146341</v>
      </c>
      <c r="G76" s="99">
        <v>484</v>
      </c>
      <c r="H76" s="97">
        <f>IF(ISNUMBER(G76), (G76 - $B76) / $B76, "")</f>
        <v>-1.6260162601626018E-2</v>
      </c>
      <c r="I76" s="100">
        <f>IF(ISNUMBER(G76), $B91 * H76, "")</f>
        <v>-2439.0243902439029</v>
      </c>
      <c r="J76" s="96">
        <v>485</v>
      </c>
      <c r="K76" s="97">
        <f>IF(ISNUMBER(J76), (J76 - $B76) / $B76, "")</f>
        <v>-1.4227642276422764E-2</v>
      </c>
      <c r="L76" s="98">
        <f>IF(ISNUMBER(J76), $B91 * K76, "")</f>
        <v>-2134.1463414634145</v>
      </c>
      <c r="M76" s="99">
        <v>473</v>
      </c>
      <c r="N76" s="97">
        <f>IF(ISNUMBER(M76), (M76 - $B76) / $B76, "")</f>
        <v>-3.8617886178861791E-2</v>
      </c>
      <c r="O76" s="98">
        <f>IF(ISNUMBER(M76), $B91 * N76, "")</f>
        <v>-5792.6829268292686</v>
      </c>
      <c r="Q76" s="146"/>
      <c r="R76" s="146"/>
      <c r="S76" s="146"/>
    </row>
    <row r="77" spans="1:19" ht="17.25" thickBot="1">
      <c r="A77" s="109" t="s">
        <v>241</v>
      </c>
      <c r="B77" s="110">
        <v>107</v>
      </c>
      <c r="C77" s="70">
        <v>-1.83486239E-2</v>
      </c>
      <c r="D77" s="15">
        <v>107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107</v>
      </c>
      <c r="H77" s="32">
        <f t="shared" ref="H77:H80" si="35">IF(ISNUMBER(G77), (G77 - $B77) / $B77, "")</f>
        <v>0</v>
      </c>
      <c r="I77" s="91">
        <f>IF(ISNUMBER(G77), $B91 * H77, "")</f>
        <v>0</v>
      </c>
      <c r="J77" s="15">
        <v>106</v>
      </c>
      <c r="K77" s="32">
        <f t="shared" ref="K77:K80" si="36">IF(ISNUMBER(J77), (J77 - $B77) / $B77, "")</f>
        <v>-9.3457943925233638E-3</v>
      </c>
      <c r="L77" s="18">
        <f>IF(ISNUMBER(J77), $B91 * K77, "")</f>
        <v>-1401.8691588785045</v>
      </c>
      <c r="M77" s="31">
        <v>103</v>
      </c>
      <c r="N77" s="32">
        <f t="shared" ref="N77:N80" si="37">IF(ISNUMBER(M77), (M77 - $B77) / $B77, "")</f>
        <v>-3.7383177570093455E-2</v>
      </c>
      <c r="O77" s="18">
        <f>IF(ISNUMBER(M77), $B91 * N77, "")</f>
        <v>-5607.4766355140182</v>
      </c>
      <c r="Q77" s="146"/>
      <c r="R77" s="146"/>
      <c r="S77" s="146"/>
    </row>
    <row r="78" spans="1:19" ht="17.25" thickBot="1">
      <c r="A78" s="109" t="s">
        <v>169</v>
      </c>
      <c r="B78" s="110">
        <v>250</v>
      </c>
      <c r="C78" s="70">
        <v>-1.9607843100000001E-2</v>
      </c>
      <c r="D78" s="15">
        <v>260</v>
      </c>
      <c r="E78" s="32">
        <f t="shared" si="34"/>
        <v>0.04</v>
      </c>
      <c r="F78" s="18">
        <f>IF(ISNUMBER(D78), $B91 * E78, "")</f>
        <v>6000</v>
      </c>
      <c r="G78" s="31">
        <v>259</v>
      </c>
      <c r="H78" s="32">
        <f t="shared" si="35"/>
        <v>3.5999999999999997E-2</v>
      </c>
      <c r="I78" s="91">
        <f>IF(ISNUMBER(G78), $B91 * H78, "")</f>
        <v>5400</v>
      </c>
      <c r="J78" s="15">
        <v>259</v>
      </c>
      <c r="K78" s="32">
        <f t="shared" si="36"/>
        <v>3.5999999999999997E-2</v>
      </c>
      <c r="L78" s="18">
        <f>IF(ISNUMBER(J78), $B91 * K78, "")</f>
        <v>5400</v>
      </c>
      <c r="M78" s="31">
        <v>254</v>
      </c>
      <c r="N78" s="32">
        <f t="shared" si="37"/>
        <v>1.6E-2</v>
      </c>
      <c r="O78" s="18">
        <f>IF(ISNUMBER(M78), $B91 * N78, "")</f>
        <v>2400</v>
      </c>
      <c r="Q78" s="146"/>
      <c r="R78" s="146"/>
      <c r="S78" s="146"/>
    </row>
    <row r="79" spans="1:19" ht="17.25" thickBot="1">
      <c r="A79" s="109" t="s">
        <v>85</v>
      </c>
      <c r="B79" s="110">
        <v>146</v>
      </c>
      <c r="C79" s="70">
        <v>-2.01342282E-2</v>
      </c>
      <c r="D79" s="15">
        <v>146</v>
      </c>
      <c r="E79" s="32">
        <f t="shared" si="34"/>
        <v>0</v>
      </c>
      <c r="F79" s="18">
        <f>IF(ISNUMBER(D79), $B91 * E79, "")</f>
        <v>0</v>
      </c>
      <c r="G79" s="31">
        <v>147</v>
      </c>
      <c r="H79" s="32">
        <f t="shared" si="35"/>
        <v>6.8493150684931503E-3</v>
      </c>
      <c r="I79" s="91">
        <f>IF(ISNUMBER(G79), $B91 * H79, "")</f>
        <v>1027.3972602739725</v>
      </c>
      <c r="J79" s="15">
        <v>147</v>
      </c>
      <c r="K79" s="32">
        <f t="shared" si="36"/>
        <v>6.8493150684931503E-3</v>
      </c>
      <c r="L79" s="18">
        <f>IF(ISNUMBER(J79), $B91 * K79, "")</f>
        <v>1027.3972602739725</v>
      </c>
      <c r="M79" s="31">
        <v>144</v>
      </c>
      <c r="N79" s="32">
        <f t="shared" si="37"/>
        <v>-1.3698630136986301E-2</v>
      </c>
      <c r="O79" s="18">
        <f>IF(ISNUMBER(M79), $B91 * N79, "")</f>
        <v>-2054.794520547945</v>
      </c>
      <c r="Q79" s="33"/>
      <c r="R79" s="33"/>
    </row>
    <row r="80" spans="1:19" ht="17.25" thickBot="1">
      <c r="A80" s="114" t="s">
        <v>223</v>
      </c>
      <c r="B80" s="115">
        <v>235</v>
      </c>
      <c r="C80" s="72">
        <v>-2.08333333E-2</v>
      </c>
      <c r="D80" s="24">
        <v>238</v>
      </c>
      <c r="E80" s="25">
        <f t="shared" si="34"/>
        <v>1.276595744680851E-2</v>
      </c>
      <c r="F80" s="94">
        <f>IF(ISNUMBER(D80), $B91 * E80, "")</f>
        <v>1914.8936170212764</v>
      </c>
      <c r="G80" s="92">
        <v>238</v>
      </c>
      <c r="H80" s="25">
        <f t="shared" si="35"/>
        <v>1.276595744680851E-2</v>
      </c>
      <c r="I80" s="93">
        <f>IF(ISNUMBER(G80), $B91 * H80, "")</f>
        <v>1914.8936170212764</v>
      </c>
      <c r="J80" s="24">
        <v>238</v>
      </c>
      <c r="K80" s="25">
        <f t="shared" si="36"/>
        <v>1.276595744680851E-2</v>
      </c>
      <c r="L80" s="94">
        <f>IF(ISNUMBER(J80), $B91 * K80, "")</f>
        <v>1914.8936170212764</v>
      </c>
      <c r="M80" s="92">
        <v>233</v>
      </c>
      <c r="N80" s="25">
        <f t="shared" si="37"/>
        <v>-8.5106382978723406E-3</v>
      </c>
      <c r="O80" s="94">
        <f>IF(ISNUMBER(M80), $B91 * N80, "")</f>
        <v>-1276.5957446808511</v>
      </c>
      <c r="Q80" s="147"/>
      <c r="R80" s="148"/>
      <c r="S80" s="149"/>
    </row>
    <row r="81" spans="1:19">
      <c r="A81" s="107" t="s">
        <v>219</v>
      </c>
      <c r="B81" s="108">
        <v>459</v>
      </c>
      <c r="C81" s="69">
        <v>-2.1321961600000001E-2</v>
      </c>
      <c r="D81" s="13">
        <v>458</v>
      </c>
      <c r="E81" s="14">
        <f>IF(ISNUMBER(D81), (D81 - $B81) / $B81, "")</f>
        <v>-2.1786492374727671E-3</v>
      </c>
      <c r="F81" s="16">
        <f>IF(ISNUMBER(D81), $B91 * E81, "")</f>
        <v>-326.79738562091507</v>
      </c>
      <c r="G81" s="29">
        <v>457</v>
      </c>
      <c r="H81" s="14">
        <f>IF(ISNUMBER(G81), (G81 - $B81) / $B81, "")</f>
        <v>-4.3572984749455342E-3</v>
      </c>
      <c r="I81" s="90">
        <f>IF(ISNUMBER(G81), $B91 * H81, "")</f>
        <v>-653.59477124183013</v>
      </c>
      <c r="J81" s="13">
        <v>457</v>
      </c>
      <c r="K81" s="14">
        <f>IF(ISNUMBER(J81), (J81 - $B81) / $B81, "")</f>
        <v>-4.3572984749455342E-3</v>
      </c>
      <c r="L81" s="16">
        <f>IF(ISNUMBER(J81), $B91 * K81, "")</f>
        <v>-653.59477124183013</v>
      </c>
      <c r="M81" s="29">
        <v>449</v>
      </c>
      <c r="N81" s="14">
        <f>IF(ISNUMBER(M81), (M81 - $B81) / $B81, "")</f>
        <v>-2.178649237472767E-2</v>
      </c>
      <c r="O81" s="16">
        <f>IF(ISNUMBER(M81), $B91 * N81, "")</f>
        <v>-3267.9738562091507</v>
      </c>
      <c r="Q81" s="150"/>
      <c r="R81" s="151"/>
      <c r="S81" s="152"/>
    </row>
    <row r="82" spans="1:19" ht="17.25" thickBot="1">
      <c r="A82" s="109" t="s">
        <v>239</v>
      </c>
      <c r="B82" s="110">
        <v>486</v>
      </c>
      <c r="C82" s="70">
        <v>-2.21327968E-2</v>
      </c>
      <c r="D82" s="15">
        <v>499</v>
      </c>
      <c r="E82" s="32">
        <f t="shared" ref="E82:E85" si="38">IF(ISNUMBER(D82), (D82 - $B82) / $B82, "")</f>
        <v>2.6748971193415638E-2</v>
      </c>
      <c r="F82" s="18">
        <f>IF(ISNUMBER(D82), $B91 * E82, "")</f>
        <v>4012.3456790123455</v>
      </c>
      <c r="G82" s="31">
        <v>492</v>
      </c>
      <c r="H82" s="32">
        <f t="shared" ref="H82:H85" si="39">IF(ISNUMBER(G82), (G82 - $B82) / $B82, "")</f>
        <v>1.2345679012345678E-2</v>
      </c>
      <c r="I82" s="91">
        <f>IF(ISNUMBER(G82), $B91 * H82, "")</f>
        <v>1851.8518518518517</v>
      </c>
      <c r="J82" s="15">
        <v>494</v>
      </c>
      <c r="K82" s="32">
        <f t="shared" ref="K82:K85" si="40">IF(ISNUMBER(J82), (J82 - $B82) / $B82, "")</f>
        <v>1.646090534979424E-2</v>
      </c>
      <c r="L82" s="18">
        <f>IF(ISNUMBER(J82), $B91 * K82, "")</f>
        <v>2469.1358024691358</v>
      </c>
      <c r="M82" s="31">
        <v>479</v>
      </c>
      <c r="N82" s="32">
        <f t="shared" ref="N82:N85" si="41">IF(ISNUMBER(M82), (M82 - $B82) / $B82, "")</f>
        <v>-1.4403292181069959E-2</v>
      </c>
      <c r="O82" s="18">
        <f>IF(ISNUMBER(M82), $B91 * N82, "")</f>
        <v>-2160.4938271604938</v>
      </c>
      <c r="Q82" s="153"/>
      <c r="R82" s="154"/>
      <c r="S82" s="155"/>
    </row>
    <row r="83" spans="1:19" ht="17.25" thickBot="1">
      <c r="A83" s="109" t="s">
        <v>81</v>
      </c>
      <c r="B83" s="110">
        <v>417</v>
      </c>
      <c r="C83" s="70">
        <v>-2.3419203699999998E-2</v>
      </c>
      <c r="D83" s="15">
        <v>411</v>
      </c>
      <c r="E83" s="32">
        <f t="shared" si="38"/>
        <v>-1.4388489208633094E-2</v>
      </c>
      <c r="F83" s="18">
        <f>IF(ISNUMBER(D83), $B91 * E83, "")</f>
        <v>-2158.2733812949641</v>
      </c>
      <c r="G83" s="31">
        <v>410</v>
      </c>
      <c r="H83" s="32">
        <f t="shared" si="39"/>
        <v>-1.6786570743405275E-2</v>
      </c>
      <c r="I83" s="91">
        <f>IF(ISNUMBER(G83), $B91 * H83, "")</f>
        <v>-2517.9856115107914</v>
      </c>
      <c r="J83" s="15">
        <v>413</v>
      </c>
      <c r="K83" s="32">
        <f t="shared" si="40"/>
        <v>-9.5923261390887284E-3</v>
      </c>
      <c r="L83" s="18">
        <f>IF(ISNUMBER(J83), $B91 * K83, "")</f>
        <v>-1438.8489208633093</v>
      </c>
      <c r="M83" s="31">
        <v>407</v>
      </c>
      <c r="N83" s="32">
        <f t="shared" si="41"/>
        <v>-2.3980815347721823E-2</v>
      </c>
      <c r="O83" s="18">
        <f>IF(ISNUMBER(M83), $B91 * N83, "")</f>
        <v>-3597.1223021582732</v>
      </c>
      <c r="Q83" s="146"/>
      <c r="R83" s="146"/>
      <c r="S83" s="146"/>
    </row>
    <row r="84" spans="1:19" ht="17.25" thickBot="1">
      <c r="A84" s="109" t="s">
        <v>120</v>
      </c>
      <c r="B84" s="110">
        <v>120</v>
      </c>
      <c r="C84" s="70">
        <v>-2.4390243900000001E-2</v>
      </c>
      <c r="D84" s="15">
        <v>120</v>
      </c>
      <c r="E84" s="32">
        <f t="shared" si="38"/>
        <v>0</v>
      </c>
      <c r="F84" s="18">
        <f>IF(ISNUMBER(D84), $B91 * E84, "")</f>
        <v>0</v>
      </c>
      <c r="G84" s="31">
        <v>119</v>
      </c>
      <c r="H84" s="32">
        <f t="shared" si="39"/>
        <v>-8.3333333333333332E-3</v>
      </c>
      <c r="I84" s="91">
        <f>IF(ISNUMBER(G84), $B91 * H84, "")</f>
        <v>-1250</v>
      </c>
      <c r="J84" s="15">
        <v>119</v>
      </c>
      <c r="K84" s="32">
        <f t="shared" si="40"/>
        <v>-8.3333333333333332E-3</v>
      </c>
      <c r="L84" s="18">
        <f>IF(ISNUMBER(J84), $B91 * K84, "")</f>
        <v>-1250</v>
      </c>
      <c r="M84" s="31">
        <v>117</v>
      </c>
      <c r="N84" s="32">
        <f t="shared" si="41"/>
        <v>-2.5000000000000001E-2</v>
      </c>
      <c r="O84" s="18">
        <f>IF(ISNUMBER(M84), $B91 * N84, "")</f>
        <v>-3750</v>
      </c>
      <c r="Q84" s="156"/>
      <c r="R84" s="156"/>
      <c r="S84" s="156"/>
    </row>
    <row r="85" spans="1:19" ht="17.25" thickBot="1">
      <c r="A85" s="111" t="s">
        <v>161</v>
      </c>
      <c r="B85" s="112">
        <v>800</v>
      </c>
      <c r="C85" s="71">
        <v>-2.4390243900000001E-2</v>
      </c>
      <c r="D85" s="20">
        <v>799</v>
      </c>
      <c r="E85" s="21">
        <f t="shared" si="38"/>
        <v>-1.25E-3</v>
      </c>
      <c r="F85" s="22">
        <f>IF(ISNUMBER(D85), $B91 * E85, "")</f>
        <v>-187.5</v>
      </c>
      <c r="G85" s="30">
        <v>789</v>
      </c>
      <c r="H85" s="21">
        <f t="shared" si="39"/>
        <v>-1.375E-2</v>
      </c>
      <c r="I85" s="95">
        <f>IF(ISNUMBER(G85), $B91 * H85, "")</f>
        <v>-2062.5</v>
      </c>
      <c r="J85" s="20">
        <v>792</v>
      </c>
      <c r="K85" s="21">
        <f t="shared" si="40"/>
        <v>-0.01</v>
      </c>
      <c r="L85" s="22">
        <f>IF(ISNUMBER(J85), $B91 * K85, "")</f>
        <v>-1500</v>
      </c>
      <c r="M85" s="30">
        <v>772</v>
      </c>
      <c r="N85" s="21">
        <f t="shared" si="41"/>
        <v>-3.5000000000000003E-2</v>
      </c>
      <c r="O85" s="22">
        <f>IF(ISNUMBER(M85), $B91 * N85, "")</f>
        <v>-5250.0000000000009</v>
      </c>
      <c r="Q85" s="156"/>
      <c r="R85" s="156"/>
      <c r="S85" s="156"/>
    </row>
    <row r="86" spans="1:19" ht="17.25" thickBot="1">
      <c r="A86" s="109" t="s">
        <v>209</v>
      </c>
      <c r="B86" s="113">
        <v>119</v>
      </c>
      <c r="C86" s="73">
        <v>-2.45901639E-2</v>
      </c>
      <c r="D86" s="96">
        <v>119</v>
      </c>
      <c r="E86" s="97">
        <f>IF(ISNUMBER(D86), (D86 - $B86) / $B86, "")</f>
        <v>0</v>
      </c>
      <c r="F86" s="98">
        <f>IF(ISNUMBER(D86), $B91 * E86, "")</f>
        <v>0</v>
      </c>
      <c r="G86" s="99">
        <v>118</v>
      </c>
      <c r="H86" s="97">
        <f>IF(ISNUMBER(G86), (G86 - $B86) / $B86, "")</f>
        <v>-8.4033613445378148E-3</v>
      </c>
      <c r="I86" s="100">
        <f>IF(ISNUMBER(G86), $B91 * H86, "")</f>
        <v>-1260.5042016806722</v>
      </c>
      <c r="J86" s="96">
        <v>118</v>
      </c>
      <c r="K86" s="97">
        <f>IF(ISNUMBER(J86), (J86 - $B86) / $B86, "")</f>
        <v>-8.4033613445378148E-3</v>
      </c>
      <c r="L86" s="98">
        <f>IF(ISNUMBER(J86), $B91 * K86, "")</f>
        <v>-1260.5042016806722</v>
      </c>
      <c r="M86" s="99">
        <v>116</v>
      </c>
      <c r="N86" s="97">
        <f>IF(ISNUMBER(M86), (M86 - $B86) / $B86, "")</f>
        <v>-2.5210084033613446E-2</v>
      </c>
      <c r="O86" s="98">
        <f>IF(ISNUMBER(M86), $B91 * N86, "")</f>
        <v>-3781.5126050420167</v>
      </c>
      <c r="Q86" s="146"/>
      <c r="R86" s="146"/>
      <c r="S86" s="146"/>
    </row>
    <row r="87" spans="1:19" ht="17.25" thickBot="1">
      <c r="A87" s="109" t="s">
        <v>235</v>
      </c>
      <c r="B87" s="110">
        <v>610</v>
      </c>
      <c r="C87" s="70">
        <v>-2.5559105400000001E-2</v>
      </c>
      <c r="D87" s="15">
        <v>619</v>
      </c>
      <c r="E87" s="32">
        <f t="shared" ref="E87:E90" si="42">IF(ISNUMBER(D87), (D87 - $B87) / $B87, "")</f>
        <v>1.4754098360655738E-2</v>
      </c>
      <c r="F87" s="18">
        <f>IF(ISNUMBER(D87), $B91 * E87, "")</f>
        <v>2213.1147540983607</v>
      </c>
      <c r="G87" s="31">
        <v>618</v>
      </c>
      <c r="H87" s="32">
        <f t="shared" ref="H87:H90" si="43">IF(ISNUMBER(G87), (G87 - $B87) / $B87, "")</f>
        <v>1.3114754098360656E-2</v>
      </c>
      <c r="I87" s="91">
        <f>IF(ISNUMBER(G87), $B91 * H87, "")</f>
        <v>1967.2131147540983</v>
      </c>
      <c r="J87" s="15">
        <v>618</v>
      </c>
      <c r="K87" s="32">
        <f t="shared" ref="K87:K90" si="44">IF(ISNUMBER(J87), (J87 - $B87) / $B87, "")</f>
        <v>1.3114754098360656E-2</v>
      </c>
      <c r="L87" s="18">
        <f>IF(ISNUMBER(J87), $B91 * K87, "")</f>
        <v>1967.2131147540983</v>
      </c>
      <c r="M87" s="31">
        <v>606</v>
      </c>
      <c r="N87" s="32">
        <f t="shared" ref="N87:N90" si="45">IF(ISNUMBER(M87), (M87 - $B87) / $B87, "")</f>
        <v>-6.5573770491803279E-3</v>
      </c>
      <c r="O87" s="18">
        <f>IF(ISNUMBER(M87), $B91 * N87, "")</f>
        <v>-983.60655737704917</v>
      </c>
      <c r="Q87" s="146"/>
      <c r="R87" s="146"/>
      <c r="S87" s="146"/>
    </row>
    <row r="88" spans="1:19" ht="17.25" thickBot="1">
      <c r="A88" s="109" t="s">
        <v>231</v>
      </c>
      <c r="B88" s="110">
        <v>381</v>
      </c>
      <c r="C88" s="70">
        <v>-2.5575447599999999E-2</v>
      </c>
      <c r="D88" s="15">
        <v>386</v>
      </c>
      <c r="E88" s="32">
        <f t="shared" si="42"/>
        <v>1.3123359580052493E-2</v>
      </c>
      <c r="F88" s="18">
        <f>IF(ISNUMBER(D88), $B91 * E88, "")</f>
        <v>1968.5039370078739</v>
      </c>
      <c r="G88" s="31">
        <v>382</v>
      </c>
      <c r="H88" s="32">
        <f t="shared" si="43"/>
        <v>2.6246719160104987E-3</v>
      </c>
      <c r="I88" s="91">
        <f>IF(ISNUMBER(G88), $B91 * H88, "")</f>
        <v>393.70078740157481</v>
      </c>
      <c r="J88" s="15">
        <v>384</v>
      </c>
      <c r="K88" s="32">
        <f t="shared" si="44"/>
        <v>7.874015748031496E-3</v>
      </c>
      <c r="L88" s="18">
        <f>IF(ISNUMBER(J88), $B91 * K88, "")</f>
        <v>1181.1023622047244</v>
      </c>
      <c r="M88" s="31">
        <v>374</v>
      </c>
      <c r="N88" s="32">
        <f t="shared" si="45"/>
        <v>-1.8372703412073491E-2</v>
      </c>
      <c r="O88" s="18">
        <f>IF(ISNUMBER(M88), $B91 * N88, "")</f>
        <v>-2755.9055118110236</v>
      </c>
      <c r="Q88" s="146"/>
      <c r="R88" s="146"/>
      <c r="S88" s="146"/>
    </row>
    <row r="89" spans="1:19">
      <c r="A89" s="109" t="s">
        <v>319</v>
      </c>
      <c r="B89" s="110">
        <v>186</v>
      </c>
      <c r="C89" s="70">
        <v>-2.6178010500000001E-2</v>
      </c>
      <c r="D89" s="15">
        <v>186</v>
      </c>
      <c r="E89" s="32">
        <f t="shared" si="42"/>
        <v>0</v>
      </c>
      <c r="F89" s="18">
        <f>IF(ISNUMBER(D89), $B91 * E89, "")</f>
        <v>0</v>
      </c>
      <c r="G89" s="31">
        <v>185</v>
      </c>
      <c r="H89" s="32">
        <f t="shared" si="43"/>
        <v>-5.3763440860215058E-3</v>
      </c>
      <c r="I89" s="91">
        <f>IF(ISNUMBER(G89), $B91 * H89, "")</f>
        <v>-806.45161290322585</v>
      </c>
      <c r="J89" s="15">
        <v>186</v>
      </c>
      <c r="K89" s="32">
        <f t="shared" si="44"/>
        <v>0</v>
      </c>
      <c r="L89" s="18">
        <f>IF(ISNUMBER(J89), $B91 * K89, "")</f>
        <v>0</v>
      </c>
      <c r="M89" s="31">
        <v>184</v>
      </c>
      <c r="N89" s="32">
        <f t="shared" si="45"/>
        <v>-1.0752688172043012E-2</v>
      </c>
      <c r="O89" s="18">
        <f>IF(ISNUMBER(M89), $B91 * N89, "")</f>
        <v>-1612.9032258064517</v>
      </c>
      <c r="Q89" s="135"/>
      <c r="R89" s="136"/>
      <c r="S89" s="137"/>
    </row>
    <row r="90" spans="1:19" ht="17.25" thickBot="1">
      <c r="A90" s="114" t="s">
        <v>346</v>
      </c>
      <c r="B90" s="115">
        <v>249</v>
      </c>
      <c r="C90" s="72">
        <v>-2.734375E-2</v>
      </c>
      <c r="D90" s="24">
        <v>251</v>
      </c>
      <c r="E90" s="25">
        <f t="shared" si="42"/>
        <v>8.0321285140562242E-3</v>
      </c>
      <c r="F90" s="94">
        <f>IF(ISNUMBER(D90), $B91 * E90, "")</f>
        <v>1204.8192771084337</v>
      </c>
      <c r="G90" s="92">
        <v>250</v>
      </c>
      <c r="H90" s="25">
        <f t="shared" si="43"/>
        <v>4.0160642570281121E-3</v>
      </c>
      <c r="I90" s="93">
        <f>IF(ISNUMBER(G90), $B91 * H90, "")</f>
        <v>602.40963855421683</v>
      </c>
      <c r="J90" s="24">
        <v>252</v>
      </c>
      <c r="K90" s="25">
        <f t="shared" si="44"/>
        <v>1.2048192771084338E-2</v>
      </c>
      <c r="L90" s="94">
        <f>IF(ISNUMBER(J90), $B91 * K90, "")</f>
        <v>1807.2289156626507</v>
      </c>
      <c r="M90" s="92">
        <v>244</v>
      </c>
      <c r="N90" s="25">
        <f t="shared" si="45"/>
        <v>-2.0080321285140562E-2</v>
      </c>
      <c r="O90" s="94">
        <f>IF(ISNUMBER(M90), $B91 * N90, "")</f>
        <v>-3012.0481927710844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5.0898641542927552E-3</v>
      </c>
      <c r="F91" s="28">
        <f>SUM(F71:F90)</f>
        <v>15269.592462878263</v>
      </c>
      <c r="G91" s="26" t="s">
        <v>258</v>
      </c>
      <c r="H91" s="27">
        <f>IF(COUNT(H71:H90), SUM(H71:H90) / COUNT(H71:H90), 0)</f>
        <v>2.5622667900981775E-3</v>
      </c>
      <c r="I91" s="28">
        <f>SUM(I71:I90)</f>
        <v>7686.8003702945325</v>
      </c>
      <c r="J91" s="26" t="s">
        <v>258</v>
      </c>
      <c r="K91" s="27">
        <f>IF(COUNT(K71:K90), SUM(K71:K90) / COUNT(K71:K90), 0)</f>
        <v>3.4955085815264906E-3</v>
      </c>
      <c r="L91" s="28">
        <f>SUM(L71:L90)</f>
        <v>10486.525744579474</v>
      </c>
      <c r="M91" s="26" t="s">
        <v>258</v>
      </c>
      <c r="N91" s="27">
        <f>IF(COUNT(N71:N90), SUM(N71:N90) / COUNT(N71:N90), 0)</f>
        <v>-1.9639354470893117E-2</v>
      </c>
      <c r="O91" s="28">
        <f>SUM(O71:O90)</f>
        <v>-58918.063412679337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2023-03-12(일) 오전 00:00</v>
      </c>
      <c r="C96" s="198"/>
      <c r="D96" s="170" t="str">
        <f>TEXT($G$1, "[$-ko-KR]yyyy-mm-dd(ddd) ") &amp; "오후 14:00"</f>
        <v>2023-03-12(일) 오후 14:00</v>
      </c>
      <c r="E96" s="171"/>
      <c r="F96" s="172"/>
      <c r="G96" s="170" t="str">
        <f>TEXT($G$1, "[$-ko-KR]yyyy-mm-dd(ddd) ") &amp; "오후 19:00"</f>
        <v>2023-03-12(일) 오후 19:00</v>
      </c>
      <c r="H96" s="171"/>
      <c r="I96" s="172"/>
      <c r="J96" s="170" t="str">
        <f>TEXT($G$1, "[$-ko-KR]yyyy-mm-dd(ddd) ") &amp; "오후 21:00"</f>
        <v>2023-03-12(일) 오후 21:00</v>
      </c>
      <c r="K96" s="171"/>
      <c r="L96" s="172"/>
      <c r="M96" s="170" t="str">
        <f>TEXT($G$1+1, "[$-ko-KR]yyyy-mm-dd(ddd) ") &amp; "오전 00:00"</f>
        <v>2023-03-13(월)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97</v>
      </c>
      <c r="B98" s="108">
        <v>8.9999999999999998E-4</v>
      </c>
      <c r="C98" s="69">
        <v>0.125</v>
      </c>
      <c r="D98" s="13">
        <v>8.9999999999999998E-4</v>
      </c>
      <c r="E98" s="14">
        <f>IF(ISNUMBER(D98), (D98 - $B98) / $B98, "")</f>
        <v>0</v>
      </c>
      <c r="F98" s="16">
        <f>IF(ISNUMBER(D98), $B118 * E98, "")</f>
        <v>0</v>
      </c>
      <c r="G98" s="29">
        <v>8.9999999999999998E-4</v>
      </c>
      <c r="H98" s="14">
        <f>IF(ISNUMBER(G98), (G98 - $B98) / $B98, "")</f>
        <v>0</v>
      </c>
      <c r="I98" s="90">
        <f>IF(ISNUMBER(G98), $B118 * H98, "")</f>
        <v>0</v>
      </c>
      <c r="J98" s="13">
        <v>8.9999999999999998E-4</v>
      </c>
      <c r="K98" s="14">
        <f>IF(ISNUMBER(J98), (J98 - $B98) / $B98, "")</f>
        <v>0</v>
      </c>
      <c r="L98" s="16">
        <f>IF(ISNUMBER(J98), $B118 * K98, "")</f>
        <v>0</v>
      </c>
      <c r="M98" s="29">
        <v>8.0000000000000004E-4</v>
      </c>
      <c r="N98" s="14">
        <f>IF(ISNUMBER(M98), (M98 - $B98) / $B98, "")</f>
        <v>-0.11111111111111105</v>
      </c>
      <c r="O98" s="16">
        <f>IF(ISNUMBER(M98), $B118 * N98, "")</f>
        <v>-16666.666666666657</v>
      </c>
      <c r="Q98" s="156"/>
      <c r="R98" s="156"/>
      <c r="S98" s="156"/>
    </row>
    <row r="99" spans="1:19" ht="17.25" thickBot="1">
      <c r="A99" s="109" t="s">
        <v>157</v>
      </c>
      <c r="B99" s="110">
        <v>412</v>
      </c>
      <c r="C99" s="70">
        <v>6.7357512999999994E-2</v>
      </c>
      <c r="D99" s="15">
        <v>405</v>
      </c>
      <c r="E99" s="32">
        <f t="shared" ref="E99:E102" si="46">IF(ISNUMBER(D99), (D99 - $B99) / $B99, "")</f>
        <v>-1.6990291262135922E-2</v>
      </c>
      <c r="F99" s="18">
        <f>IF(ISNUMBER(D99), $B118 * E99, "")</f>
        <v>-2548.5436893203882</v>
      </c>
      <c r="G99" s="31">
        <v>425</v>
      </c>
      <c r="H99" s="32">
        <f t="shared" ref="H99:H102" si="47">IF(ISNUMBER(G99), (G99 - $B99) / $B99, "")</f>
        <v>3.1553398058252427E-2</v>
      </c>
      <c r="I99" s="91">
        <f>IF(ISNUMBER(G99), $B118 * H99, "")</f>
        <v>4733.0097087378645</v>
      </c>
      <c r="J99" s="15">
        <v>414</v>
      </c>
      <c r="K99" s="32">
        <f t="shared" ref="K99:K102" si="48">IF(ISNUMBER(J99), (J99 - $B99) / $B99, "")</f>
        <v>4.8543689320388345E-3</v>
      </c>
      <c r="L99" s="18">
        <f>IF(ISNUMBER(J99), $B118 * K99, "")</f>
        <v>728.15533980582518</v>
      </c>
      <c r="M99" s="31">
        <v>402</v>
      </c>
      <c r="N99" s="32">
        <f t="shared" ref="N99:N102" si="49">IF(ISNUMBER(M99), (M99 - $B99) / $B99, "")</f>
        <v>-2.4271844660194174E-2</v>
      </c>
      <c r="O99" s="18">
        <f>IF(ISNUMBER(M99), $B118 * N99, "")</f>
        <v>-3640.7766990291261</v>
      </c>
      <c r="Q99" s="156"/>
      <c r="R99" s="156"/>
      <c r="S99" s="156"/>
    </row>
    <row r="100" spans="1:19" ht="17.25" thickBot="1">
      <c r="A100" s="109" t="s">
        <v>332</v>
      </c>
      <c r="B100" s="110">
        <v>7.51</v>
      </c>
      <c r="C100" s="70">
        <v>2.31607629E-2</v>
      </c>
      <c r="D100" s="15">
        <v>7.25</v>
      </c>
      <c r="E100" s="32">
        <f t="shared" si="46"/>
        <v>-3.4620505992010622E-2</v>
      </c>
      <c r="F100" s="18">
        <f>IF(ISNUMBER(D100), $B118 * E100, "")</f>
        <v>-5193.0758988015932</v>
      </c>
      <c r="G100" s="31">
        <v>7.3</v>
      </c>
      <c r="H100" s="32">
        <f t="shared" si="47"/>
        <v>-2.7962716378162448E-2</v>
      </c>
      <c r="I100" s="91">
        <f>IF(ISNUMBER(G100), $B118 * H100, "")</f>
        <v>-4194.407456724367</v>
      </c>
      <c r="J100" s="15">
        <v>7.28</v>
      </c>
      <c r="K100" s="32">
        <f t="shared" si="48"/>
        <v>-3.062583222370167E-2</v>
      </c>
      <c r="L100" s="18">
        <f>IF(ISNUMBER(J100), $B118 * K100, "")</f>
        <v>-4593.8748335552509</v>
      </c>
      <c r="M100" s="31">
        <v>7.14</v>
      </c>
      <c r="N100" s="32">
        <f t="shared" si="49"/>
        <v>-4.9267643142476711E-2</v>
      </c>
      <c r="O100" s="18">
        <f>IF(ISNUMBER(M100), $B118 * N100, "")</f>
        <v>-7390.1464713715068</v>
      </c>
      <c r="Q100" s="146"/>
      <c r="R100" s="146"/>
      <c r="S100" s="146"/>
    </row>
    <row r="101" spans="1:19" ht="17.25" thickBot="1">
      <c r="A101" s="109" t="s">
        <v>93</v>
      </c>
      <c r="B101" s="110">
        <v>1950000</v>
      </c>
      <c r="C101" s="70">
        <v>7.2314049999999998E-3</v>
      </c>
      <c r="D101" s="15">
        <v>1976000</v>
      </c>
      <c r="E101" s="32">
        <f t="shared" si="46"/>
        <v>1.3333333333333334E-2</v>
      </c>
      <c r="F101" s="18">
        <f>IF(ISNUMBER(D101), $B118 * E101, "")</f>
        <v>2000.0000000000002</v>
      </c>
      <c r="G101" s="31">
        <v>1966500</v>
      </c>
      <c r="H101" s="32">
        <f t="shared" si="47"/>
        <v>8.4615384615384613E-3</v>
      </c>
      <c r="I101" s="91">
        <f>IF(ISNUMBER(G101), $B118 * H101, "")</f>
        <v>1269.2307692307693</v>
      </c>
      <c r="J101" s="15">
        <v>1972000</v>
      </c>
      <c r="K101" s="32">
        <f t="shared" si="48"/>
        <v>1.1282051282051283E-2</v>
      </c>
      <c r="L101" s="18">
        <f>IF(ISNUMBER(J101), $B118 * K101, "")</f>
        <v>1692.3076923076924</v>
      </c>
      <c r="M101" s="31">
        <v>1953000</v>
      </c>
      <c r="N101" s="32">
        <f t="shared" si="49"/>
        <v>1.5384615384615385E-3</v>
      </c>
      <c r="O101" s="18">
        <f>IF(ISNUMBER(M101), $B118 * N101, "")</f>
        <v>230.76923076923077</v>
      </c>
      <c r="Q101" s="146"/>
      <c r="R101" s="146"/>
      <c r="S101" s="146"/>
    </row>
    <row r="102" spans="1:19" ht="17.25" thickBot="1">
      <c r="A102" s="111" t="s">
        <v>323</v>
      </c>
      <c r="B102" s="112">
        <v>86</v>
      </c>
      <c r="C102" s="71">
        <v>7.0257610999999998E-3</v>
      </c>
      <c r="D102" s="20">
        <v>86.8</v>
      </c>
      <c r="E102" s="21">
        <f t="shared" si="46"/>
        <v>9.3023255813953157E-3</v>
      </c>
      <c r="F102" s="22">
        <f>IF(ISNUMBER(D102), $B118 * E102, "")</f>
        <v>1395.3488372092975</v>
      </c>
      <c r="G102" s="30">
        <v>86.5</v>
      </c>
      <c r="H102" s="21">
        <f t="shared" si="47"/>
        <v>5.8139534883720929E-3</v>
      </c>
      <c r="I102" s="95">
        <f>IF(ISNUMBER(G102), $B118 * H102, "")</f>
        <v>872.09302325581393</v>
      </c>
      <c r="J102" s="20">
        <v>86.4</v>
      </c>
      <c r="K102" s="21">
        <f t="shared" si="48"/>
        <v>4.6511627906977403E-3</v>
      </c>
      <c r="L102" s="22">
        <f>IF(ISNUMBER(J102), $B118 * K102, "")</f>
        <v>697.67441860466101</v>
      </c>
      <c r="M102" s="30">
        <v>85.7</v>
      </c>
      <c r="N102" s="21">
        <f t="shared" si="49"/>
        <v>-3.4883720930232228E-3</v>
      </c>
      <c r="O102" s="22">
        <f>IF(ISNUMBER(M102), $B118 * N102, "")</f>
        <v>-523.25581395348343</v>
      </c>
      <c r="Q102" s="146"/>
      <c r="R102" s="146"/>
      <c r="S102" s="146"/>
    </row>
    <row r="103" spans="1:19" ht="17.25" thickBot="1">
      <c r="A103" s="109" t="s">
        <v>124</v>
      </c>
      <c r="B103" s="113">
        <v>38</v>
      </c>
      <c r="C103" s="73">
        <v>5.2910053000000002E-3</v>
      </c>
      <c r="D103" s="96">
        <v>37.5</v>
      </c>
      <c r="E103" s="97">
        <f>IF(ISNUMBER(D103), (D103 - $B103) / $B103, "")</f>
        <v>-1.3157894736842105E-2</v>
      </c>
      <c r="F103" s="98">
        <f>IF(ISNUMBER(D103), $B118 * E103, "")</f>
        <v>-1973.6842105263156</v>
      </c>
      <c r="G103" s="99">
        <v>37.1</v>
      </c>
      <c r="H103" s="97">
        <f>IF(ISNUMBER(G103), (G103 - $B103) / $B103, "")</f>
        <v>-2.3684210526315752E-2</v>
      </c>
      <c r="I103" s="100">
        <f>IF(ISNUMBER(G103), $B118 * H103, "")</f>
        <v>-3552.6315789473629</v>
      </c>
      <c r="J103" s="96">
        <v>37.299999999999997</v>
      </c>
      <c r="K103" s="97">
        <f>IF(ISNUMBER(J103), (J103 - $B103) / $B103, "")</f>
        <v>-1.8421052631579022E-2</v>
      </c>
      <c r="L103" s="98">
        <f>IF(ISNUMBER(J103), $B118 * K103, "")</f>
        <v>-2763.1578947368535</v>
      </c>
      <c r="M103" s="99">
        <v>37</v>
      </c>
      <c r="N103" s="97">
        <f>IF(ISNUMBER(M103), (M103 - $B103) / $B103, "")</f>
        <v>-2.6315789473684209E-2</v>
      </c>
      <c r="O103" s="98">
        <f>IF(ISNUMBER(M103), $B118 * N103, "")</f>
        <v>-3947.3684210526312</v>
      </c>
      <c r="Q103" s="146"/>
      <c r="R103" s="146"/>
      <c r="S103" s="146"/>
    </row>
    <row r="104" spans="1:19" ht="17.25" thickBot="1">
      <c r="A104" s="109" t="s">
        <v>229</v>
      </c>
      <c r="B104" s="110">
        <v>281</v>
      </c>
      <c r="C104" s="70">
        <v>3.5714286E-3</v>
      </c>
      <c r="D104" s="15">
        <v>278</v>
      </c>
      <c r="E104" s="32">
        <f t="shared" ref="E104:E107" si="50">IF(ISNUMBER(D104), (D104 - $B104) / $B104, "")</f>
        <v>-1.0676156583629894E-2</v>
      </c>
      <c r="F104" s="18">
        <f>IF(ISNUMBER(D104), $B118 * E104, "")</f>
        <v>-1601.423487544484</v>
      </c>
      <c r="G104" s="31">
        <v>284</v>
      </c>
      <c r="H104" s="32">
        <f t="shared" ref="H104:H107" si="51">IF(ISNUMBER(G104), (G104 - $B104) / $B104, "")</f>
        <v>1.0676156583629894E-2</v>
      </c>
      <c r="I104" s="91">
        <f>IF(ISNUMBER(G104), $B118 * H104, "")</f>
        <v>1601.423487544484</v>
      </c>
      <c r="J104" s="15">
        <v>283</v>
      </c>
      <c r="K104" s="32">
        <f t="shared" ref="K104:K107" si="52">IF(ISNUMBER(J104), (J104 - $B104) / $B104, "")</f>
        <v>7.1174377224199285E-3</v>
      </c>
      <c r="L104" s="18">
        <f>IF(ISNUMBER(J104), $B118 * K104, "")</f>
        <v>1067.6156583629893</v>
      </c>
      <c r="M104" s="31">
        <v>275</v>
      </c>
      <c r="N104" s="32">
        <f t="shared" ref="N104:N107" si="53">IF(ISNUMBER(M104), (M104 - $B104) / $B104, "")</f>
        <v>-2.1352313167259787E-2</v>
      </c>
      <c r="O104" s="18">
        <f>IF(ISNUMBER(M104), $B118 * N104, "")</f>
        <v>-3202.8469750889681</v>
      </c>
      <c r="Q104" s="146"/>
      <c r="R104" s="146"/>
      <c r="S104" s="146"/>
    </row>
    <row r="105" spans="1:19" ht="17.25" thickBot="1">
      <c r="A105" s="109" t="s">
        <v>49</v>
      </c>
      <c r="B105" s="110">
        <v>27398000</v>
      </c>
      <c r="C105" s="70">
        <v>2.0114836999999999E-3</v>
      </c>
      <c r="D105" s="15">
        <v>27492000</v>
      </c>
      <c r="E105" s="32">
        <f t="shared" si="50"/>
        <v>3.4309073655011315E-3</v>
      </c>
      <c r="F105" s="18">
        <f>IF(ISNUMBER(D105), $B118 * E105, "")</f>
        <v>514.6361048251697</v>
      </c>
      <c r="G105" s="31">
        <v>27480000</v>
      </c>
      <c r="H105" s="32">
        <f t="shared" si="51"/>
        <v>2.9929191911818383E-3</v>
      </c>
      <c r="I105" s="91">
        <f>IF(ISNUMBER(G105), $B118 * H105, "")</f>
        <v>448.93787867727576</v>
      </c>
      <c r="J105" s="15">
        <v>27500000</v>
      </c>
      <c r="K105" s="32">
        <f t="shared" si="52"/>
        <v>3.7228994817139938E-3</v>
      </c>
      <c r="L105" s="18">
        <f>IF(ISNUMBER(J105), $B118 * K105, "")</f>
        <v>558.43492225709906</v>
      </c>
      <c r="M105" s="31">
        <v>27315000</v>
      </c>
      <c r="N105" s="32">
        <f t="shared" si="53"/>
        <v>-3.0294182057084458E-3</v>
      </c>
      <c r="O105" s="18">
        <f>IF(ISNUMBER(M105), $B118 * N105, "")</f>
        <v>-454.41273085626688</v>
      </c>
      <c r="Q105" s="146"/>
      <c r="R105" s="146"/>
      <c r="S105" s="146"/>
    </row>
    <row r="106" spans="1:19" ht="17.25" thickBot="1">
      <c r="A106" s="109" t="s">
        <v>205</v>
      </c>
      <c r="B106" s="110">
        <v>123</v>
      </c>
      <c r="C106" s="70">
        <v>0</v>
      </c>
      <c r="D106" s="15">
        <v>126</v>
      </c>
      <c r="E106" s="32">
        <f t="shared" si="50"/>
        <v>2.4390243902439025E-2</v>
      </c>
      <c r="F106" s="18">
        <f>IF(ISNUMBER(D106), $B118 * E106, "")</f>
        <v>3658.5365853658536</v>
      </c>
      <c r="G106" s="31">
        <v>124</v>
      </c>
      <c r="H106" s="32">
        <f t="shared" si="51"/>
        <v>8.130081300813009E-3</v>
      </c>
      <c r="I106" s="91">
        <f>IF(ISNUMBER(G106), $B118 * H106, "")</f>
        <v>1219.5121951219514</v>
      </c>
      <c r="J106" s="15">
        <v>125</v>
      </c>
      <c r="K106" s="32">
        <f t="shared" si="52"/>
        <v>1.6260162601626018E-2</v>
      </c>
      <c r="L106" s="18">
        <f>IF(ISNUMBER(J106), $B118 * K106, "")</f>
        <v>2439.0243902439029</v>
      </c>
      <c r="M106" s="31">
        <v>123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14" t="s">
        <v>141</v>
      </c>
      <c r="B107" s="115">
        <v>4.5999999999999996</v>
      </c>
      <c r="C107" s="72">
        <v>0</v>
      </c>
      <c r="D107" s="24">
        <v>4.57</v>
      </c>
      <c r="E107" s="25">
        <f t="shared" si="50"/>
        <v>-6.5217391304346443E-3</v>
      </c>
      <c r="F107" s="94">
        <f>IF(ISNUMBER(D107), $B118 * E107, "")</f>
        <v>-978.26086956519669</v>
      </c>
      <c r="G107" s="92">
        <v>4.5599999999999996</v>
      </c>
      <c r="H107" s="25">
        <f t="shared" si="51"/>
        <v>-8.6956521739130523E-3</v>
      </c>
      <c r="I107" s="93">
        <f>IF(ISNUMBER(G107), $B118 * H107, "")</f>
        <v>-1304.3478260869579</v>
      </c>
      <c r="J107" s="24">
        <v>4.54</v>
      </c>
      <c r="K107" s="25">
        <f t="shared" si="52"/>
        <v>-1.3043478260869481E-2</v>
      </c>
      <c r="L107" s="94">
        <f>IF(ISNUMBER(J107), $B118 * K107, "")</f>
        <v>-1956.5217391304222</v>
      </c>
      <c r="M107" s="92">
        <v>4.4800000000000004</v>
      </c>
      <c r="N107" s="25">
        <f t="shared" si="53"/>
        <v>-2.6086956521738962E-2</v>
      </c>
      <c r="O107" s="94">
        <f>IF(ISNUMBER(M107), $B118 * N107, "")</f>
        <v>-3913.0434782608445</v>
      </c>
      <c r="Q107" s="147"/>
      <c r="R107" s="148"/>
      <c r="S107" s="149"/>
    </row>
    <row r="108" spans="1:19">
      <c r="A108" s="107" t="s">
        <v>155</v>
      </c>
      <c r="B108" s="108">
        <v>30.8</v>
      </c>
      <c r="C108" s="69">
        <v>-6.4516128999999997E-3</v>
      </c>
      <c r="D108" s="13">
        <v>30.9</v>
      </c>
      <c r="E108" s="14">
        <f>IF(ISNUMBER(D108), (D108 - $B108) / $B108, "")</f>
        <v>3.2467532467531776E-3</v>
      </c>
      <c r="F108" s="16">
        <f>IF(ISNUMBER(D108), $B118 * E108, "")</f>
        <v>487.01298701297662</v>
      </c>
      <c r="G108" s="29">
        <v>30.9</v>
      </c>
      <c r="H108" s="14">
        <f>IF(ISNUMBER(G108), (G108 - $B108) / $B108, "")</f>
        <v>3.2467532467531776E-3</v>
      </c>
      <c r="I108" s="90">
        <f>IF(ISNUMBER(G108), $B118 * H108, "")</f>
        <v>487.01298701297662</v>
      </c>
      <c r="J108" s="13">
        <v>30.8</v>
      </c>
      <c r="K108" s="14">
        <f>IF(ISNUMBER(J108), (J108 - $B108) / $B108, "")</f>
        <v>0</v>
      </c>
      <c r="L108" s="16">
        <f>IF(ISNUMBER(J108), $B118 * K108, "")</f>
        <v>0</v>
      </c>
      <c r="M108" s="29">
        <v>30.4</v>
      </c>
      <c r="N108" s="14">
        <f>IF(ISNUMBER(M108), (M108 - $B108) / $B108, "")</f>
        <v>-1.2987012987013056E-2</v>
      </c>
      <c r="O108" s="16">
        <f>IF(ISNUMBER(M108), $B118 * N108, "")</f>
        <v>-1948.0519480519583</v>
      </c>
      <c r="Q108" s="150"/>
      <c r="R108" s="151"/>
      <c r="S108" s="152"/>
    </row>
    <row r="109" spans="1:19" ht="17.25" thickBot="1">
      <c r="A109" s="109" t="s">
        <v>207</v>
      </c>
      <c r="B109" s="110">
        <v>80.900000000000006</v>
      </c>
      <c r="C109" s="70">
        <v>-7.3619632000000001E-3</v>
      </c>
      <c r="D109" s="15">
        <v>80.2</v>
      </c>
      <c r="E109" s="32">
        <f t="shared" ref="E109:E112" si="54">IF(ISNUMBER(D109), (D109 - $B109) / $B109, "")</f>
        <v>-8.6526576019777847E-3</v>
      </c>
      <c r="F109" s="18">
        <f>IF(ISNUMBER(D109), $B118 * E109, "")</f>
        <v>-1297.8986402966677</v>
      </c>
      <c r="G109" s="31">
        <v>78.400000000000006</v>
      </c>
      <c r="H109" s="32">
        <f t="shared" ref="H109:H112" si="55">IF(ISNUMBER(G109), (G109 - $B109) / $B109, "")</f>
        <v>-3.0902348578491962E-2</v>
      </c>
      <c r="I109" s="91">
        <f>IF(ISNUMBER(G109), $B118 * H109, "")</f>
        <v>-4635.3522867737947</v>
      </c>
      <c r="J109" s="15">
        <v>79.2</v>
      </c>
      <c r="K109" s="32">
        <f t="shared" ref="K109:K112" si="56">IF(ISNUMBER(J109), (J109 - $B109) / $B109, "")</f>
        <v>-2.1013597033374569E-2</v>
      </c>
      <c r="L109" s="18">
        <f>IF(ISNUMBER(J109), $B118 * K109, "")</f>
        <v>-3152.0395550061853</v>
      </c>
      <c r="M109" s="31">
        <v>77.8</v>
      </c>
      <c r="N109" s="32">
        <f t="shared" ref="N109:N112" si="57">IF(ISNUMBER(M109), (M109 - $B109) / $B109, "")</f>
        <v>-3.8318912237330138E-2</v>
      </c>
      <c r="O109" s="18">
        <f>IF(ISNUMBER(M109), $B118 * N109, "")</f>
        <v>-5747.8368355995208</v>
      </c>
      <c r="Q109" s="153"/>
      <c r="R109" s="154"/>
      <c r="S109" s="155"/>
    </row>
    <row r="110" spans="1:19" ht="17.25" thickBot="1">
      <c r="A110" s="109" t="s">
        <v>203</v>
      </c>
      <c r="B110" s="110">
        <v>3.84</v>
      </c>
      <c r="C110" s="70">
        <v>-7.7519379999999999E-3</v>
      </c>
      <c r="D110" s="15">
        <v>3.91</v>
      </c>
      <c r="E110" s="32">
        <f t="shared" si="54"/>
        <v>1.8229166666666741E-2</v>
      </c>
      <c r="F110" s="18">
        <f>IF(ISNUMBER(D110), $B118 * E110, "")</f>
        <v>2734.3750000000109</v>
      </c>
      <c r="G110" s="31">
        <v>3.85</v>
      </c>
      <c r="H110" s="32">
        <f t="shared" si="55"/>
        <v>2.6041666666667268E-3</v>
      </c>
      <c r="I110" s="91">
        <f>IF(ISNUMBER(G110), $B118 * H110, "")</f>
        <v>390.62500000000904</v>
      </c>
      <c r="J110" s="15">
        <v>3.88</v>
      </c>
      <c r="K110" s="32">
        <f t="shared" si="56"/>
        <v>1.0416666666666676E-2</v>
      </c>
      <c r="L110" s="18">
        <f>IF(ISNUMBER(J110), $B118 * K110, "")</f>
        <v>1562.5000000000014</v>
      </c>
      <c r="M110" s="31">
        <v>3.77</v>
      </c>
      <c r="N110" s="32">
        <f t="shared" si="57"/>
        <v>-1.8229166666666626E-2</v>
      </c>
      <c r="O110" s="18">
        <f>IF(ISNUMBER(M110), $B118 * N110, "")</f>
        <v>-2734.3749999999941</v>
      </c>
      <c r="Q110" s="146"/>
      <c r="R110" s="146"/>
      <c r="S110" s="146"/>
    </row>
    <row r="111" spans="1:19" ht="17.25" thickBot="1">
      <c r="A111" s="109" t="s">
        <v>237</v>
      </c>
      <c r="B111" s="110">
        <v>30.5</v>
      </c>
      <c r="C111" s="70">
        <v>-1.29449838E-2</v>
      </c>
      <c r="D111" s="15">
        <v>30.9</v>
      </c>
      <c r="E111" s="32">
        <f t="shared" si="54"/>
        <v>1.3114754098360609E-2</v>
      </c>
      <c r="F111" s="18">
        <f>IF(ISNUMBER(D111), $B118 * E111, "")</f>
        <v>1967.2131147540913</v>
      </c>
      <c r="G111" s="31">
        <v>30.7</v>
      </c>
      <c r="H111" s="32">
        <f t="shared" si="55"/>
        <v>6.5573770491803044E-3</v>
      </c>
      <c r="I111" s="91">
        <f>IF(ISNUMBER(G111), $B118 * H111, "")</f>
        <v>983.60655737704565</v>
      </c>
      <c r="J111" s="15">
        <v>31</v>
      </c>
      <c r="K111" s="32">
        <f t="shared" si="56"/>
        <v>1.6393442622950821E-2</v>
      </c>
      <c r="L111" s="18">
        <f>IF(ISNUMBER(J111), $B118 * K111, "")</f>
        <v>2459.0163934426232</v>
      </c>
      <c r="M111" s="31">
        <v>30.9</v>
      </c>
      <c r="N111" s="32">
        <f t="shared" si="57"/>
        <v>1.3114754098360609E-2</v>
      </c>
      <c r="O111" s="18">
        <f>IF(ISNUMBER(M111), $B118 * N111, "")</f>
        <v>1967.2131147540913</v>
      </c>
      <c r="Q111" s="156"/>
      <c r="R111" s="156"/>
      <c r="S111" s="156"/>
    </row>
    <row r="112" spans="1:19" ht="17.25" thickBot="1">
      <c r="A112" s="111" t="s">
        <v>77</v>
      </c>
      <c r="B112" s="112">
        <v>149100</v>
      </c>
      <c r="C112" s="71">
        <v>-1.38888889E-2</v>
      </c>
      <c r="D112" s="20">
        <v>152450</v>
      </c>
      <c r="E112" s="21">
        <f t="shared" si="54"/>
        <v>2.2468142186452045E-2</v>
      </c>
      <c r="F112" s="22">
        <f>IF(ISNUMBER(D112), $B118 * E112, "")</f>
        <v>3370.2213279678067</v>
      </c>
      <c r="G112" s="30">
        <v>151750</v>
      </c>
      <c r="H112" s="21">
        <f t="shared" si="55"/>
        <v>1.7773306505700873E-2</v>
      </c>
      <c r="I112" s="95">
        <f>IF(ISNUMBER(G112), $B118 * H112, "")</f>
        <v>2665.9959758551308</v>
      </c>
      <c r="J112" s="20">
        <v>152250</v>
      </c>
      <c r="K112" s="21">
        <f t="shared" si="56"/>
        <v>2.1126760563380281E-2</v>
      </c>
      <c r="L112" s="22">
        <f>IF(ISNUMBER(J112), $B118 * K112, "")</f>
        <v>3169.0140845070423</v>
      </c>
      <c r="M112" s="30">
        <v>151300</v>
      </c>
      <c r="N112" s="21">
        <f t="shared" si="57"/>
        <v>1.4755197853789403E-2</v>
      </c>
      <c r="O112" s="22">
        <f>IF(ISNUMBER(M112), $B118 * N112, "")</f>
        <v>2213.2796780684102</v>
      </c>
      <c r="Q112" s="156"/>
      <c r="R112" s="156"/>
      <c r="S112" s="156"/>
    </row>
    <row r="113" spans="1:19" ht="17.25" thickBot="1">
      <c r="A113" s="109" t="s">
        <v>183</v>
      </c>
      <c r="B113" s="113">
        <v>139</v>
      </c>
      <c r="C113" s="73">
        <v>-1.4184397200000001E-2</v>
      </c>
      <c r="D113" s="96">
        <v>140</v>
      </c>
      <c r="E113" s="97">
        <f>IF(ISNUMBER(D113), (D113 - $B113) / $B113, "")</f>
        <v>7.1942446043165471E-3</v>
      </c>
      <c r="F113" s="98">
        <f>IF(ISNUMBER(D113), $B118 * E113, "")</f>
        <v>1079.1366906474821</v>
      </c>
      <c r="G113" s="99">
        <v>138</v>
      </c>
      <c r="H113" s="97">
        <f>IF(ISNUMBER(G113), (G113 - $B113) / $B113, "")</f>
        <v>-7.1942446043165471E-3</v>
      </c>
      <c r="I113" s="100">
        <f>IF(ISNUMBER(G113), $B118 * H113, "")</f>
        <v>-1079.1366906474821</v>
      </c>
      <c r="J113" s="96">
        <v>140</v>
      </c>
      <c r="K113" s="97">
        <f>IF(ISNUMBER(J113), (J113 - $B113) / $B113, "")</f>
        <v>7.1942446043165471E-3</v>
      </c>
      <c r="L113" s="98">
        <f>IF(ISNUMBER(J113), $B118 * K113, "")</f>
        <v>1079.1366906474821</v>
      </c>
      <c r="M113" s="99">
        <v>135</v>
      </c>
      <c r="N113" s="97">
        <f>IF(ISNUMBER(M113), (M113 - $B113) / $B113, "")</f>
        <v>-2.8776978417266189E-2</v>
      </c>
      <c r="O113" s="98">
        <f>IF(ISNUMBER(M113), $B118 * N113, "")</f>
        <v>-4316.5467625899282</v>
      </c>
      <c r="Q113" s="146"/>
      <c r="R113" s="146"/>
      <c r="S113" s="146"/>
    </row>
    <row r="114" spans="1:19" ht="17.25" thickBot="1">
      <c r="A114" s="109" t="s">
        <v>199</v>
      </c>
      <c r="B114" s="110">
        <v>314</v>
      </c>
      <c r="C114" s="70">
        <v>-1.5673981199999999E-2</v>
      </c>
      <c r="D114" s="15">
        <v>316</v>
      </c>
      <c r="E114" s="32">
        <f t="shared" ref="E114:E117" si="58">IF(ISNUMBER(D114), (D114 - $B114) / $B114, "")</f>
        <v>6.369426751592357E-3</v>
      </c>
      <c r="F114" s="18">
        <f>IF(ISNUMBER(D114), $B118 * E114, "")</f>
        <v>955.41401273885356</v>
      </c>
      <c r="G114" s="31">
        <v>312</v>
      </c>
      <c r="H114" s="32">
        <f t="shared" ref="H114:H117" si="59">IF(ISNUMBER(G114), (G114 - $B114) / $B114, "")</f>
        <v>-6.369426751592357E-3</v>
      </c>
      <c r="I114" s="91">
        <f>IF(ISNUMBER(G114), $B118 * H114, "")</f>
        <v>-955.41401273885356</v>
      </c>
      <c r="J114" s="15">
        <v>312</v>
      </c>
      <c r="K114" s="32">
        <f t="shared" ref="K114:K117" si="60">IF(ISNUMBER(J114), (J114 - $B114) / $B114, "")</f>
        <v>-6.369426751592357E-3</v>
      </c>
      <c r="L114" s="18">
        <f>IF(ISNUMBER(J114), $B118 * K114, "")</f>
        <v>-955.41401273885356</v>
      </c>
      <c r="M114" s="31">
        <v>303</v>
      </c>
      <c r="N114" s="32">
        <f t="shared" ref="N114:N117" si="61">IF(ISNUMBER(M114), (M114 - $B114) / $B114, "")</f>
        <v>-3.5031847133757961E-2</v>
      </c>
      <c r="O114" s="18">
        <f>IF(ISNUMBER(M114), $B118 * N114, "")</f>
        <v>-5254.7770700636938</v>
      </c>
      <c r="Q114" s="146"/>
      <c r="R114" s="146"/>
      <c r="S114" s="146"/>
    </row>
    <row r="115" spans="1:19" ht="17.25" thickBot="1">
      <c r="A115" s="109" t="s">
        <v>211</v>
      </c>
      <c r="B115" s="110">
        <v>1210</v>
      </c>
      <c r="C115" s="70">
        <v>-1.6260162599999999E-2</v>
      </c>
      <c r="D115" s="15">
        <v>1210</v>
      </c>
      <c r="E115" s="32">
        <f t="shared" si="58"/>
        <v>0</v>
      </c>
      <c r="F115" s="18">
        <f>IF(ISNUMBER(D115), $B118 * E115, "")</f>
        <v>0</v>
      </c>
      <c r="G115" s="31">
        <v>1210</v>
      </c>
      <c r="H115" s="32">
        <f t="shared" si="59"/>
        <v>0</v>
      </c>
      <c r="I115" s="91">
        <f>IF(ISNUMBER(G115), $B118 * H115, "")</f>
        <v>0</v>
      </c>
      <c r="J115" s="15">
        <v>1205</v>
      </c>
      <c r="K115" s="32">
        <f t="shared" si="60"/>
        <v>-4.1322314049586778E-3</v>
      </c>
      <c r="L115" s="18">
        <f>IF(ISNUMBER(J115), $B118 * K115, "")</f>
        <v>-619.83471074380168</v>
      </c>
      <c r="M115" s="31">
        <v>1175</v>
      </c>
      <c r="N115" s="32">
        <f t="shared" si="61"/>
        <v>-2.8925619834710745E-2</v>
      </c>
      <c r="O115" s="18">
        <f>IF(ISNUMBER(M115), $B118 * N115, "")</f>
        <v>-4338.8429752066113</v>
      </c>
      <c r="Q115" s="146"/>
      <c r="R115" s="146"/>
      <c r="S115" s="146"/>
    </row>
    <row r="116" spans="1:19">
      <c r="A116" s="109" t="s">
        <v>185</v>
      </c>
      <c r="B116" s="110">
        <v>36.200000000000003</v>
      </c>
      <c r="C116" s="70">
        <v>-1.6304347800000001E-2</v>
      </c>
      <c r="D116" s="15">
        <v>36.299999999999997</v>
      </c>
      <c r="E116" s="32">
        <f t="shared" si="58"/>
        <v>2.7624309392263622E-3</v>
      </c>
      <c r="F116" s="18">
        <f>IF(ISNUMBER(D116), $B118 * E116, "")</f>
        <v>414.36464088395434</v>
      </c>
      <c r="G116" s="31">
        <v>36.1</v>
      </c>
      <c r="H116" s="32">
        <f t="shared" si="59"/>
        <v>-2.7624309392265583E-3</v>
      </c>
      <c r="I116" s="91">
        <f>IF(ISNUMBER(G116), $B118 * H116, "")</f>
        <v>-414.36464088398372</v>
      </c>
      <c r="J116" s="15">
        <v>36.1</v>
      </c>
      <c r="K116" s="32">
        <f t="shared" si="60"/>
        <v>-2.7624309392265583E-3</v>
      </c>
      <c r="L116" s="18">
        <f>IF(ISNUMBER(J116), $B118 * K116, "")</f>
        <v>-414.36464088398372</v>
      </c>
      <c r="M116" s="31">
        <v>35.299999999999997</v>
      </c>
      <c r="N116" s="32">
        <f t="shared" si="61"/>
        <v>-2.4861878453038829E-2</v>
      </c>
      <c r="O116" s="18">
        <f>IF(ISNUMBER(M116), $B118 * N116, "")</f>
        <v>-3729.2817679558243</v>
      </c>
      <c r="Q116" s="135"/>
      <c r="R116" s="136"/>
      <c r="S116" s="137"/>
    </row>
    <row r="117" spans="1:19" ht="17.25" thickBot="1">
      <c r="A117" s="114" t="s">
        <v>253</v>
      </c>
      <c r="B117" s="115">
        <v>87.9</v>
      </c>
      <c r="C117" s="72">
        <v>-1.67785235E-2</v>
      </c>
      <c r="D117" s="24">
        <v>89.1</v>
      </c>
      <c r="E117" s="25">
        <f t="shared" si="58"/>
        <v>1.3651877133105672E-2</v>
      </c>
      <c r="F117" s="94">
        <f>IF(ISNUMBER(D117), $B118 * E117, "")</f>
        <v>2047.7815699658508</v>
      </c>
      <c r="G117" s="92">
        <v>88.7</v>
      </c>
      <c r="H117" s="25">
        <f t="shared" si="59"/>
        <v>9.1012514220705013E-3</v>
      </c>
      <c r="I117" s="93">
        <f>IF(ISNUMBER(G117), $B118 * H117, "")</f>
        <v>1365.1877133105752</v>
      </c>
      <c r="J117" s="24">
        <v>88.9</v>
      </c>
      <c r="K117" s="25">
        <f t="shared" si="60"/>
        <v>1.1376564277588168E-2</v>
      </c>
      <c r="L117" s="94">
        <f>IF(ISNUMBER(J117), $B118 * K117, "")</f>
        <v>1706.4846416382252</v>
      </c>
      <c r="M117" s="92">
        <v>87.9</v>
      </c>
      <c r="N117" s="25">
        <f t="shared" si="61"/>
        <v>0</v>
      </c>
      <c r="O117" s="94">
        <f>IF(ISNUMBER(M117), $B118 * N117, "")</f>
        <v>0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2.3437180251055676E-3</v>
      </c>
      <c r="F118" s="28">
        <f>SUM(F98:F117)</f>
        <v>7031.154075316701</v>
      </c>
      <c r="G118" s="26" t="s">
        <v>258</v>
      </c>
      <c r="H118" s="27">
        <f>IF(COUNT(H98:H117), SUM(H98:H117) / COUNT(H98:H117), 0)</f>
        <v>-3.3006398892968666E-5</v>
      </c>
      <c r="I118" s="28">
        <f>SUM(I98:I117)</f>
        <v>-99.019196678905018</v>
      </c>
      <c r="J118" s="26" t="s">
        <v>258</v>
      </c>
      <c r="K118" s="27">
        <f>IF(COUNT(K98:K117), SUM(K98:K117) / COUNT(K98:K117), 0)</f>
        <v>9.0138561500739797E-4</v>
      </c>
      <c r="L118" s="28">
        <f>SUM(L98:L117)</f>
        <v>2704.1568450221921</v>
      </c>
      <c r="M118" s="26" t="s">
        <v>258</v>
      </c>
      <c r="N118" s="27">
        <f>IF(COUNT(N98:N117), SUM(N98:N117) / COUNT(N98:N117), 0)</f>
        <v>-2.113232253071843E-2</v>
      </c>
      <c r="O118" s="28">
        <f>SUM(O98:O117)</f>
        <v>-63396.967592155284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2023-03-12(일) 오전 00:00</v>
      </c>
      <c r="C123" s="198"/>
      <c r="D123" s="170" t="str">
        <f>TEXT($G$1, "[$-ko-KR]yyyy-mm-dd(ddd) ") &amp; "오후 14:00"</f>
        <v>2023-03-12(일) 오후 14:00</v>
      </c>
      <c r="E123" s="171"/>
      <c r="F123" s="172"/>
      <c r="G123" s="170" t="str">
        <f>TEXT($G$1, "[$-ko-KR]yyyy-mm-dd(ddd) ") &amp; "오후 19:00"</f>
        <v>2023-03-12(일) 오후 19:00</v>
      </c>
      <c r="H123" s="171"/>
      <c r="I123" s="172"/>
      <c r="J123" s="170" t="str">
        <f>TEXT($G$1, "[$-ko-KR]yyyy-mm-dd(ddd) ") &amp; "오후 21:00"</f>
        <v>2023-03-12(일) 오후 21:00</v>
      </c>
      <c r="K123" s="171"/>
      <c r="L123" s="172"/>
      <c r="M123" s="170" t="str">
        <f>TEXT($G$1+1, "[$-ko-KR]yyyy-mm-dd(ddd) ") &amp; "오전 00:00"</f>
        <v>2023-03-13(월)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335</v>
      </c>
      <c r="B125" s="108">
        <v>78</v>
      </c>
      <c r="C125" s="69">
        <v>-2.3779724700000001E-2</v>
      </c>
      <c r="D125" s="13">
        <v>77.3</v>
      </c>
      <c r="E125" s="14">
        <f>IF(ISNUMBER(D125), (D125 - $B125) / $B125, "")</f>
        <v>-8.9743589743590101E-3</v>
      </c>
      <c r="F125" s="16">
        <f>IF(ISNUMBER(D125), $B145 * E125, "")</f>
        <v>-1346.1538461538514</v>
      </c>
      <c r="G125" s="29">
        <v>76.5</v>
      </c>
      <c r="H125" s="14">
        <f>IF(ISNUMBER(G125), (G125 - $B125) / $B125, "")</f>
        <v>-1.9230769230769232E-2</v>
      </c>
      <c r="I125" s="90">
        <f>IF(ISNUMBER(G125), $B145 * H125, "")</f>
        <v>-2884.6153846153848</v>
      </c>
      <c r="J125" s="13">
        <v>77.099999999999994</v>
      </c>
      <c r="K125" s="14">
        <f>IF(ISNUMBER(J125), (J125 - $B125) / $B125, "")</f>
        <v>-1.1538461538461612E-2</v>
      </c>
      <c r="L125" s="16">
        <f>IF(ISNUMBER(J125), $B145 * K125, "")</f>
        <v>-1730.7692307692419</v>
      </c>
      <c r="M125" s="29">
        <v>75.900000000000006</v>
      </c>
      <c r="N125" s="14">
        <f>IF(ISNUMBER(M125), (M125 - $B125) / $B125, "")</f>
        <v>-2.6923076923076852E-2</v>
      </c>
      <c r="O125" s="16">
        <f>IF(ISNUMBER(M125), $B145 * N125, "")</f>
        <v>-4038.4615384615277</v>
      </c>
      <c r="Q125" s="156"/>
      <c r="R125" s="156"/>
      <c r="S125" s="156"/>
    </row>
    <row r="126" spans="1:19" ht="17.25" thickBot="1">
      <c r="A126" s="109" t="s">
        <v>320</v>
      </c>
      <c r="B126" s="110">
        <v>5.27</v>
      </c>
      <c r="C126" s="70">
        <v>-2.4074074099999999E-2</v>
      </c>
      <c r="D126" s="15">
        <v>5.26</v>
      </c>
      <c r="E126" s="32">
        <f t="shared" ref="E126:E129" si="62">IF(ISNUMBER(D126), (D126 - $B126) / $B126, "")</f>
        <v>-1.8975332068310792E-3</v>
      </c>
      <c r="F126" s="18">
        <f>IF(ISNUMBER(D126), $B145 * E126, "")</f>
        <v>-284.6299810246619</v>
      </c>
      <c r="G126" s="31">
        <v>5.24</v>
      </c>
      <c r="H126" s="32">
        <f t="shared" ref="H126:H129" si="63">IF(ISNUMBER(G126), (G126 - $B126) / $B126, "")</f>
        <v>-5.692599620493238E-3</v>
      </c>
      <c r="I126" s="91">
        <f>IF(ISNUMBER(G126), $B145 * H126, "")</f>
        <v>-853.88994307398571</v>
      </c>
      <c r="J126" s="15">
        <v>5.27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5.15</v>
      </c>
      <c r="N126" s="32">
        <f t="shared" ref="N126:N129" si="65">IF(ISNUMBER(M126), (M126 - $B126) / $B126, "")</f>
        <v>-2.2770398481973288E-2</v>
      </c>
      <c r="O126" s="18">
        <f>IF(ISNUMBER(M126), $B145 * N126, "")</f>
        <v>-3415.5597722959933</v>
      </c>
      <c r="Q126" s="156"/>
      <c r="R126" s="156"/>
      <c r="S126" s="156"/>
    </row>
    <row r="127" spans="1:19" ht="17.25" thickBot="1">
      <c r="A127" s="109" t="s">
        <v>71</v>
      </c>
      <c r="B127" s="110">
        <v>12.1</v>
      </c>
      <c r="C127" s="70">
        <v>-2.4193548400000001E-2</v>
      </c>
      <c r="D127" s="15">
        <v>12.1</v>
      </c>
      <c r="E127" s="32">
        <f t="shared" si="62"/>
        <v>0</v>
      </c>
      <c r="F127" s="18">
        <f>IF(ISNUMBER(D127), $B145 * E127, "")</f>
        <v>0</v>
      </c>
      <c r="G127" s="31">
        <v>12.1</v>
      </c>
      <c r="H127" s="32">
        <f t="shared" si="63"/>
        <v>0</v>
      </c>
      <c r="I127" s="91">
        <f>IF(ISNUMBER(G127), $B145 * H127, "")</f>
        <v>0</v>
      </c>
      <c r="J127" s="15">
        <v>12.1</v>
      </c>
      <c r="K127" s="32">
        <f t="shared" si="64"/>
        <v>0</v>
      </c>
      <c r="L127" s="18">
        <f>IF(ISNUMBER(J127), $B145 * K127, "")</f>
        <v>0</v>
      </c>
      <c r="M127" s="31">
        <v>11.9</v>
      </c>
      <c r="N127" s="32">
        <f t="shared" si="65"/>
        <v>-1.6528925619834652E-2</v>
      </c>
      <c r="O127" s="18">
        <f>IF(ISNUMBER(M127), $B145 * N127, "")</f>
        <v>-2479.3388429751976</v>
      </c>
      <c r="Q127" s="146"/>
      <c r="R127" s="146"/>
      <c r="S127" s="146"/>
    </row>
    <row r="128" spans="1:19" ht="17.25" thickBot="1">
      <c r="A128" s="109" t="s">
        <v>197</v>
      </c>
      <c r="B128" s="110">
        <v>10.4</v>
      </c>
      <c r="C128" s="70">
        <v>-2.8037383200000002E-2</v>
      </c>
      <c r="D128" s="15">
        <v>10.5</v>
      </c>
      <c r="E128" s="32">
        <f t="shared" si="62"/>
        <v>9.6153846153845812E-3</v>
      </c>
      <c r="F128" s="18">
        <f>IF(ISNUMBER(D128), $B145 * E128, "")</f>
        <v>1442.3076923076871</v>
      </c>
      <c r="G128" s="31">
        <v>10.3</v>
      </c>
      <c r="H128" s="32">
        <f t="shared" si="63"/>
        <v>-9.6153846153845812E-3</v>
      </c>
      <c r="I128" s="91">
        <f>IF(ISNUMBER(G128), $B145 * H128, "")</f>
        <v>-1442.3076923076871</v>
      </c>
      <c r="J128" s="15">
        <v>10.199999999999999</v>
      </c>
      <c r="K128" s="32">
        <f t="shared" si="64"/>
        <v>-1.9230769230769332E-2</v>
      </c>
      <c r="L128" s="18">
        <f>IF(ISNUMBER(J128), $B145 * K128, "")</f>
        <v>-2884.6153846153998</v>
      </c>
      <c r="M128" s="31">
        <v>9.99</v>
      </c>
      <c r="N128" s="32">
        <f t="shared" si="65"/>
        <v>-3.9423076923076936E-2</v>
      </c>
      <c r="O128" s="18">
        <f>IF(ISNUMBER(M128), $B145 * N128, "")</f>
        <v>-5913.4615384615399</v>
      </c>
      <c r="Q128" s="146"/>
      <c r="R128" s="146"/>
      <c r="S128" s="146"/>
    </row>
    <row r="129" spans="1:19" ht="17.25" thickBot="1">
      <c r="A129" s="111" t="s">
        <v>118</v>
      </c>
      <c r="B129" s="112">
        <v>6.93</v>
      </c>
      <c r="C129" s="71">
        <v>-2.8050490899999999E-2</v>
      </c>
      <c r="D129" s="20">
        <v>6.97</v>
      </c>
      <c r="E129" s="21">
        <f t="shared" si="62"/>
        <v>5.7720057720057772E-3</v>
      </c>
      <c r="F129" s="22">
        <f>IF(ISNUMBER(D129), $B145 * E129, "")</f>
        <v>865.80086580086663</v>
      </c>
      <c r="G129" s="30">
        <v>6.93</v>
      </c>
      <c r="H129" s="21">
        <f t="shared" si="63"/>
        <v>0</v>
      </c>
      <c r="I129" s="95">
        <f>IF(ISNUMBER(G129), $B145 * H129, "")</f>
        <v>0</v>
      </c>
      <c r="J129" s="20">
        <v>6.95</v>
      </c>
      <c r="K129" s="21">
        <f t="shared" si="64"/>
        <v>2.8860028860029528E-3</v>
      </c>
      <c r="L129" s="22">
        <f>IF(ISNUMBER(J129), $B145 * K129, "")</f>
        <v>432.90043290044292</v>
      </c>
      <c r="M129" s="30">
        <v>6.82</v>
      </c>
      <c r="N129" s="21">
        <f t="shared" si="65"/>
        <v>-1.5873015873015792E-2</v>
      </c>
      <c r="O129" s="22">
        <f>IF(ISNUMBER(M129), $B145 * N129, "")</f>
        <v>-2380.9523809523689</v>
      </c>
      <c r="Q129" s="146"/>
      <c r="R129" s="146"/>
      <c r="S129" s="146"/>
    </row>
    <row r="130" spans="1:19" ht="17.25" thickBot="1">
      <c r="A130" s="109" t="s">
        <v>193</v>
      </c>
      <c r="B130" s="113">
        <v>20.6</v>
      </c>
      <c r="C130" s="73">
        <v>-2.8301886799999999E-2</v>
      </c>
      <c r="D130" s="96">
        <v>20.5</v>
      </c>
      <c r="E130" s="97">
        <f>IF(ISNUMBER(D130), (D130 - $B130) / $B130, "")</f>
        <v>-4.8543689320389039E-3</v>
      </c>
      <c r="F130" s="98">
        <f>IF(ISNUMBER(D130), $B145 * E130, "")</f>
        <v>-728.15533980583564</v>
      </c>
      <c r="G130" s="99">
        <v>20.5</v>
      </c>
      <c r="H130" s="97">
        <f>IF(ISNUMBER(G130), (G130 - $B130) / $B130, "")</f>
        <v>-4.8543689320389039E-3</v>
      </c>
      <c r="I130" s="100">
        <f>IF(ISNUMBER(G130), $B145 * H130, "")</f>
        <v>-728.15533980583564</v>
      </c>
      <c r="J130" s="96">
        <v>20.5</v>
      </c>
      <c r="K130" s="97">
        <f>IF(ISNUMBER(J130), (J130 - $B130) / $B130, "")</f>
        <v>-4.8543689320389039E-3</v>
      </c>
      <c r="L130" s="98">
        <f>IF(ISNUMBER(J130), $B145 * K130, "")</f>
        <v>-728.15533980583564</v>
      </c>
      <c r="M130" s="99">
        <v>20.2</v>
      </c>
      <c r="N130" s="97">
        <f>IF(ISNUMBER(M130), (M130 - $B130) / $B130, "")</f>
        <v>-1.9417475728155442E-2</v>
      </c>
      <c r="O130" s="98">
        <f>IF(ISNUMBER(M130), $B145 * N130, "")</f>
        <v>-2912.6213592233162</v>
      </c>
      <c r="Q130" s="146"/>
      <c r="R130" s="146"/>
      <c r="S130" s="146"/>
    </row>
    <row r="131" spans="1:19" ht="17.25" thickBot="1">
      <c r="A131" s="109" t="s">
        <v>221</v>
      </c>
      <c r="B131" s="110">
        <v>22</v>
      </c>
      <c r="C131" s="70">
        <v>-3.08370044E-2</v>
      </c>
      <c r="D131" s="15">
        <v>22.2</v>
      </c>
      <c r="E131" s="32">
        <f t="shared" ref="E131:E134" si="66">IF(ISNUMBER(D131), (D131 - $B131) / $B131, "")</f>
        <v>9.0909090909090592E-3</v>
      </c>
      <c r="F131" s="18">
        <f>IF(ISNUMBER(D131), $B145 * E131, "")</f>
        <v>1363.636363636359</v>
      </c>
      <c r="G131" s="31">
        <v>22</v>
      </c>
      <c r="H131" s="32">
        <f t="shared" ref="H131:H134" si="67">IF(ISNUMBER(G131), (G131 - $B131) / $B131, "")</f>
        <v>0</v>
      </c>
      <c r="I131" s="91">
        <f>IF(ISNUMBER(G131), $B145 * H131, "")</f>
        <v>0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>
        <v>21.6</v>
      </c>
      <c r="N131" s="32">
        <f t="shared" ref="N131:N134" si="69">IF(ISNUMBER(M131), (M131 - $B131) / $B131, "")</f>
        <v>-1.8181818181818118E-2</v>
      </c>
      <c r="O131" s="18">
        <f>IF(ISNUMBER(M131), $B145 * N131, "")</f>
        <v>-2727.2727272727179</v>
      </c>
      <c r="Q131" s="146"/>
      <c r="R131" s="146"/>
      <c r="S131" s="146"/>
    </row>
    <row r="132" spans="1:19" ht="17.25" thickBot="1">
      <c r="A132" s="109" t="s">
        <v>225</v>
      </c>
      <c r="B132" s="110">
        <v>77.099999999999994</v>
      </c>
      <c r="C132" s="70">
        <v>-3.1407035200000002E-2</v>
      </c>
      <c r="D132" s="15">
        <v>78.599999999999994</v>
      </c>
      <c r="E132" s="32">
        <f t="shared" si="66"/>
        <v>1.9455252918287938E-2</v>
      </c>
      <c r="F132" s="18">
        <f>IF(ISNUMBER(D132), $B145 * E132, "")</f>
        <v>2918.2879377431909</v>
      </c>
      <c r="G132" s="31">
        <v>77.5</v>
      </c>
      <c r="H132" s="32">
        <f t="shared" si="67"/>
        <v>5.1880674448768578E-3</v>
      </c>
      <c r="I132" s="91">
        <f>IF(ISNUMBER(G132), $B145 * H132, "")</f>
        <v>778.21011673152861</v>
      </c>
      <c r="J132" s="15">
        <v>78.099999999999994</v>
      </c>
      <c r="K132" s="32">
        <f t="shared" si="68"/>
        <v>1.2970168612191959E-2</v>
      </c>
      <c r="L132" s="18">
        <f>IF(ISNUMBER(J132), $B145 * K132, "")</f>
        <v>1945.5252918287938</v>
      </c>
      <c r="M132" s="31">
        <v>76.099999999999994</v>
      </c>
      <c r="N132" s="32">
        <f t="shared" si="69"/>
        <v>-1.2970168612191959E-2</v>
      </c>
      <c r="O132" s="18">
        <f>IF(ISNUMBER(M132), $B145 * N132, "")</f>
        <v>-1945.5252918287938</v>
      </c>
      <c r="Q132" s="146"/>
      <c r="R132" s="146"/>
      <c r="S132" s="146"/>
    </row>
    <row r="133" spans="1:19" ht="17.25" thickBot="1">
      <c r="A133" s="109" t="s">
        <v>338</v>
      </c>
      <c r="B133" s="110">
        <v>3.5900000000000001E-2</v>
      </c>
      <c r="C133" s="70">
        <v>-3.2345013499999999E-2</v>
      </c>
      <c r="D133" s="15">
        <v>3.61E-2</v>
      </c>
      <c r="E133" s="32">
        <f t="shared" si="66"/>
        <v>5.5710306406684899E-3</v>
      </c>
      <c r="F133" s="18">
        <f>IF(ISNUMBER(D133), $B145 * E133, "")</f>
        <v>835.65459610027347</v>
      </c>
      <c r="G133" s="31">
        <v>3.5900000000000001E-2</v>
      </c>
      <c r="H133" s="32">
        <f t="shared" si="67"/>
        <v>0</v>
      </c>
      <c r="I133" s="91">
        <f>IF(ISNUMBER(G133), $B145 * H133, "")</f>
        <v>0</v>
      </c>
      <c r="J133" s="15">
        <v>3.5900000000000001E-2</v>
      </c>
      <c r="K133" s="32">
        <f t="shared" si="68"/>
        <v>0</v>
      </c>
      <c r="L133" s="18">
        <f>IF(ISNUMBER(J133), $B145 * K133, "")</f>
        <v>0</v>
      </c>
      <c r="M133" s="31">
        <v>3.5400000000000001E-2</v>
      </c>
      <c r="N133" s="32">
        <f t="shared" si="69"/>
        <v>-1.3927576601671321E-2</v>
      </c>
      <c r="O133" s="18">
        <f>IF(ISNUMBER(M133), $B145 * N133, "")</f>
        <v>-2089.136490250698</v>
      </c>
      <c r="Q133" s="33"/>
      <c r="R133" s="33"/>
    </row>
    <row r="134" spans="1:19" ht="17.25" thickBot="1">
      <c r="A134" s="114" t="s">
        <v>138</v>
      </c>
      <c r="B134" s="115">
        <v>36.4</v>
      </c>
      <c r="C134" s="72">
        <v>-3.4482758600000003E-2</v>
      </c>
      <c r="D134" s="24">
        <v>36.799999999999997</v>
      </c>
      <c r="E134" s="25">
        <f t="shared" si="66"/>
        <v>1.098901098901095E-2</v>
      </c>
      <c r="F134" s="94">
        <f>IF(ISNUMBER(D134), $B145 * E134, "")</f>
        <v>1648.3516483516426</v>
      </c>
      <c r="G134" s="92">
        <v>36.799999999999997</v>
      </c>
      <c r="H134" s="25">
        <f t="shared" si="67"/>
        <v>1.098901098901095E-2</v>
      </c>
      <c r="I134" s="93">
        <f>IF(ISNUMBER(G134), $B145 * H134, "")</f>
        <v>1648.3516483516426</v>
      </c>
      <c r="J134" s="24">
        <v>36.700000000000003</v>
      </c>
      <c r="K134" s="25">
        <f t="shared" si="68"/>
        <v>8.2417582417583599E-3</v>
      </c>
      <c r="L134" s="94">
        <f>IF(ISNUMBER(J134), $B145 * K134, "")</f>
        <v>1236.263736263754</v>
      </c>
      <c r="M134" s="92">
        <v>35.799999999999997</v>
      </c>
      <c r="N134" s="25">
        <f t="shared" si="69"/>
        <v>-1.6483516483516522E-2</v>
      </c>
      <c r="O134" s="94">
        <f>IF(ISNUMBER(M134), $B145 * N134, "")</f>
        <v>-2472.5274725274785</v>
      </c>
      <c r="Q134" s="147"/>
      <c r="R134" s="148"/>
      <c r="S134" s="149"/>
    </row>
    <row r="135" spans="1:19">
      <c r="A135" s="107" t="s">
        <v>56</v>
      </c>
      <c r="B135" s="108">
        <v>44.7</v>
      </c>
      <c r="C135" s="69">
        <v>-3.6637930999999999E-2</v>
      </c>
      <c r="D135" s="13">
        <v>45.3</v>
      </c>
      <c r="E135" s="14">
        <f>IF(ISNUMBER(D135), (D135 - $B135) / $B135, "")</f>
        <v>1.342281879194618E-2</v>
      </c>
      <c r="F135" s="16">
        <f>IF(ISNUMBER(D135), $B145 * E135, "")</f>
        <v>2013.4228187919271</v>
      </c>
      <c r="G135" s="29">
        <v>45.2</v>
      </c>
      <c r="H135" s="14">
        <f>IF(ISNUMBER(G135), (G135 - $B135) / $B135, "")</f>
        <v>1.1185682326621923E-2</v>
      </c>
      <c r="I135" s="90">
        <f>IF(ISNUMBER(G135), $B145 * H135, "")</f>
        <v>1677.8523489932884</v>
      </c>
      <c r="J135" s="13">
        <v>45.3</v>
      </c>
      <c r="K135" s="14">
        <f>IF(ISNUMBER(J135), (J135 - $B135) / $B135, "")</f>
        <v>1.342281879194618E-2</v>
      </c>
      <c r="L135" s="16">
        <f>IF(ISNUMBER(J135), $B145 * K135, "")</f>
        <v>2013.4228187919271</v>
      </c>
      <c r="M135" s="29">
        <v>44.5</v>
      </c>
      <c r="N135" s="14">
        <f>IF(ISNUMBER(M135), (M135 - $B135) / $B135, "")</f>
        <v>-4.4742729306488328E-3</v>
      </c>
      <c r="O135" s="16">
        <f>IF(ISNUMBER(M135), $B145 * N135, "")</f>
        <v>-671.14093959732497</v>
      </c>
      <c r="Q135" s="150"/>
      <c r="R135" s="151"/>
      <c r="S135" s="152"/>
    </row>
    <row r="136" spans="1:19" ht="17.25" thickBot="1">
      <c r="A136" s="109" t="s">
        <v>132</v>
      </c>
      <c r="B136" s="110">
        <v>61.3</v>
      </c>
      <c r="C136" s="70">
        <v>-3.9184953000000002E-2</v>
      </c>
      <c r="D136" s="15">
        <v>61.8</v>
      </c>
      <c r="E136" s="32">
        <f t="shared" ref="E136:E139" si="70">IF(ISNUMBER(D136), (D136 - $B136) / $B136, "")</f>
        <v>8.1566068515497563E-3</v>
      </c>
      <c r="F136" s="18">
        <f>IF(ISNUMBER(D136), $B145 * E136, "")</f>
        <v>1223.4910277324634</v>
      </c>
      <c r="G136" s="31">
        <v>61.7</v>
      </c>
      <c r="H136" s="32">
        <f t="shared" ref="H136:H139" si="71">IF(ISNUMBER(G136), (G136 - $B136) / $B136, "")</f>
        <v>6.5252854812398974E-3</v>
      </c>
      <c r="I136" s="91">
        <f>IF(ISNUMBER(G136), $B145 * H136, "")</f>
        <v>978.79282218598462</v>
      </c>
      <c r="J136" s="15">
        <v>62</v>
      </c>
      <c r="K136" s="32">
        <f t="shared" ref="K136:K139" si="72">IF(ISNUMBER(J136), (J136 - $B136) / $B136, "")</f>
        <v>1.1419249592169705E-2</v>
      </c>
      <c r="L136" s="18">
        <f>IF(ISNUMBER(J136), $B145 * K136, "")</f>
        <v>1712.8874388254558</v>
      </c>
      <c r="M136" s="31">
        <v>60.5</v>
      </c>
      <c r="N136" s="32">
        <f t="shared" ref="N136:N139" si="73">IF(ISNUMBER(M136), (M136 - $B136) / $B136, "")</f>
        <v>-1.3050570962479562E-2</v>
      </c>
      <c r="O136" s="18">
        <f>IF(ISNUMBER(M136), $B145 * N136, "")</f>
        <v>-1957.5856443719344</v>
      </c>
      <c r="Q136" s="153"/>
      <c r="R136" s="154"/>
      <c r="S136" s="155"/>
    </row>
    <row r="137" spans="1:19" ht="17.25" thickBot="1">
      <c r="A137" s="109" t="s">
        <v>126</v>
      </c>
      <c r="B137" s="110">
        <v>29.8</v>
      </c>
      <c r="C137" s="70">
        <v>-4.18006431E-2</v>
      </c>
      <c r="D137" s="15">
        <v>30.3</v>
      </c>
      <c r="E137" s="32">
        <f t="shared" si="70"/>
        <v>1.6778523489932886E-2</v>
      </c>
      <c r="F137" s="18">
        <f>IF(ISNUMBER(D137), $B145 * E137, "")</f>
        <v>2516.7785234899329</v>
      </c>
      <c r="G137" s="31">
        <v>30.1</v>
      </c>
      <c r="H137" s="32">
        <f t="shared" si="71"/>
        <v>1.0067114093959755E-2</v>
      </c>
      <c r="I137" s="91">
        <f>IF(ISNUMBER(G137), $B145 * H137, "")</f>
        <v>1510.0671140939633</v>
      </c>
      <c r="J137" s="15">
        <v>30.3</v>
      </c>
      <c r="K137" s="32">
        <f t="shared" si="72"/>
        <v>1.6778523489932886E-2</v>
      </c>
      <c r="L137" s="18">
        <f>IF(ISNUMBER(J137), $B145 * K137, "")</f>
        <v>2516.7785234899329</v>
      </c>
      <c r="M137" s="31">
        <v>29.6</v>
      </c>
      <c r="N137" s="32">
        <f t="shared" si="73"/>
        <v>-6.7114093959731299E-3</v>
      </c>
      <c r="O137" s="18">
        <f>IF(ISNUMBER(M137), $B145 * N137, "")</f>
        <v>-1006.7114093959694</v>
      </c>
      <c r="Q137" s="146"/>
      <c r="R137" s="146"/>
      <c r="S137" s="146"/>
    </row>
    <row r="138" spans="1:19" ht="17.25" thickBot="1">
      <c r="A138" s="109" t="s">
        <v>143</v>
      </c>
      <c r="B138" s="110">
        <v>5.01</v>
      </c>
      <c r="C138" s="70">
        <v>-4.2065009600000001E-2</v>
      </c>
      <c r="D138" s="15">
        <v>5.04</v>
      </c>
      <c r="E138" s="32">
        <f t="shared" si="70"/>
        <v>5.9880239520958582E-3</v>
      </c>
      <c r="F138" s="18">
        <f>IF(ISNUMBER(D138), $B145 * E138, "")</f>
        <v>898.20359281437868</v>
      </c>
      <c r="G138" s="31">
        <v>5.03</v>
      </c>
      <c r="H138" s="32">
        <f t="shared" si="71"/>
        <v>3.9920159680639647E-3</v>
      </c>
      <c r="I138" s="91">
        <f>IF(ISNUMBER(G138), $B145 * H138, "")</f>
        <v>598.80239520959469</v>
      </c>
      <c r="J138" s="15">
        <v>5.03</v>
      </c>
      <c r="K138" s="32">
        <f t="shared" si="72"/>
        <v>3.9920159680639647E-3</v>
      </c>
      <c r="L138" s="18">
        <f>IF(ISNUMBER(J138), $B145 * K138, "")</f>
        <v>598.80239520959469</v>
      </c>
      <c r="M138" s="31">
        <v>4.8600000000000003</v>
      </c>
      <c r="N138" s="32">
        <f t="shared" si="73"/>
        <v>-2.9940119760478938E-2</v>
      </c>
      <c r="O138" s="18">
        <f>IF(ISNUMBER(M138), $B145 * N138, "")</f>
        <v>-4491.0179640718407</v>
      </c>
      <c r="Q138" s="156"/>
      <c r="R138" s="156"/>
      <c r="S138" s="156"/>
    </row>
    <row r="139" spans="1:19" ht="17.25" thickBot="1">
      <c r="A139" s="111" t="s">
        <v>122</v>
      </c>
      <c r="B139" s="112">
        <v>26.8</v>
      </c>
      <c r="C139" s="71">
        <v>-4.2857142899999999E-2</v>
      </c>
      <c r="D139" s="20">
        <v>27.4</v>
      </c>
      <c r="E139" s="21">
        <f t="shared" si="70"/>
        <v>2.2388059701492456E-2</v>
      </c>
      <c r="F139" s="22">
        <f>IF(ISNUMBER(D139), $B145 * E139, "")</f>
        <v>3358.2089552238685</v>
      </c>
      <c r="G139" s="30">
        <v>27.5</v>
      </c>
      <c r="H139" s="21">
        <f t="shared" si="71"/>
        <v>2.6119402985074598E-2</v>
      </c>
      <c r="I139" s="95">
        <f>IF(ISNUMBER(G139), $B145 * H139, "")</f>
        <v>3917.9104477611895</v>
      </c>
      <c r="J139" s="20">
        <v>27.4</v>
      </c>
      <c r="K139" s="21">
        <f t="shared" si="72"/>
        <v>2.2388059701492456E-2</v>
      </c>
      <c r="L139" s="22">
        <f>IF(ISNUMBER(J139), $B145 * K139, "")</f>
        <v>3358.2089552238685</v>
      </c>
      <c r="M139" s="30">
        <v>26.9</v>
      </c>
      <c r="N139" s="21">
        <f t="shared" si="73"/>
        <v>3.7313432835820101E-3</v>
      </c>
      <c r="O139" s="22">
        <f>IF(ISNUMBER(M139), $B145 * N139, "")</f>
        <v>559.70149253730153</v>
      </c>
      <c r="Q139" s="156"/>
      <c r="R139" s="156"/>
      <c r="S139" s="156"/>
    </row>
    <row r="140" spans="1:19" ht="17.25" thickBot="1">
      <c r="A140" s="109" t="s">
        <v>64</v>
      </c>
      <c r="B140" s="113">
        <v>11.9</v>
      </c>
      <c r="C140" s="73">
        <v>-4.8000000000000001E-2</v>
      </c>
      <c r="D140" s="96">
        <v>12.2</v>
      </c>
      <c r="E140" s="97">
        <f>IF(ISNUMBER(D140), (D140 - $B140) / $B140, "")</f>
        <v>2.5210084033613356E-2</v>
      </c>
      <c r="F140" s="98">
        <f>IF(ISNUMBER(D140), $B145 * E140, "")</f>
        <v>3781.5126050420035</v>
      </c>
      <c r="G140" s="99">
        <v>12.3</v>
      </c>
      <c r="H140" s="97">
        <f>IF(ISNUMBER(G140), (G140 - $B140) / $B140, "")</f>
        <v>3.3613445378151287E-2</v>
      </c>
      <c r="I140" s="100">
        <f>IF(ISNUMBER(G140), $B145 * H140, "")</f>
        <v>5042.0168067226932</v>
      </c>
      <c r="J140" s="96">
        <v>12.3</v>
      </c>
      <c r="K140" s="97">
        <f>IF(ISNUMBER(J140), (J140 - $B140) / $B140, "")</f>
        <v>3.3613445378151287E-2</v>
      </c>
      <c r="L140" s="98">
        <f>IF(ISNUMBER(J140), $B145 * K140, "")</f>
        <v>5042.0168067226932</v>
      </c>
      <c r="M140" s="99">
        <v>12.1</v>
      </c>
      <c r="N140" s="97">
        <f>IF(ISNUMBER(M140), (M140 - $B140) / $B140, "")</f>
        <v>1.6806722689075571E-2</v>
      </c>
      <c r="O140" s="98">
        <f>IF(ISNUMBER(M140), $B145 * N140, "")</f>
        <v>2521.0084033613357</v>
      </c>
      <c r="Q140" s="146"/>
      <c r="R140" s="146"/>
      <c r="S140" s="146"/>
    </row>
    <row r="141" spans="1:19" ht="17.25" thickBot="1">
      <c r="A141" s="109" t="s">
        <v>191</v>
      </c>
      <c r="B141" s="110">
        <v>74.7</v>
      </c>
      <c r="C141" s="70">
        <v>-4.8407643299999997E-2</v>
      </c>
      <c r="D141" s="15">
        <v>75.3</v>
      </c>
      <c r="E141" s="32">
        <f t="shared" ref="E141:E144" si="74">IF(ISNUMBER(D141), (D141 - $B141) / $B141, "")</f>
        <v>8.0321285140561478E-3</v>
      </c>
      <c r="F141" s="18">
        <f>IF(ISNUMBER(D141), $B145 * E141, "")</f>
        <v>1204.8192771084223</v>
      </c>
      <c r="G141" s="31">
        <v>74.7</v>
      </c>
      <c r="H141" s="32">
        <f t="shared" ref="H141:H144" si="75">IF(ISNUMBER(G141), (G141 - $B141) / $B141, "")</f>
        <v>0</v>
      </c>
      <c r="I141" s="91">
        <f>IF(ISNUMBER(G141), $B145 * H141, "")</f>
        <v>0</v>
      </c>
      <c r="J141" s="15">
        <v>75.400000000000006</v>
      </c>
      <c r="K141" s="32">
        <f t="shared" ref="K141:K144" si="76">IF(ISNUMBER(J141), (J141 - $B141) / $B141, "")</f>
        <v>9.3708165997323008E-3</v>
      </c>
      <c r="L141" s="18">
        <f>IF(ISNUMBER(J141), $B145 * K141, "")</f>
        <v>1405.6224899598451</v>
      </c>
      <c r="M141" s="31">
        <v>72.599999999999994</v>
      </c>
      <c r="N141" s="32">
        <f t="shared" ref="N141:N144" si="77">IF(ISNUMBER(M141), (M141 - $B141) / $B141, "")</f>
        <v>-2.8112449799196901E-2</v>
      </c>
      <c r="O141" s="18">
        <f>IF(ISNUMBER(M141), $B145 * N141, "")</f>
        <v>-4216.8674698795348</v>
      </c>
      <c r="Q141" s="146"/>
      <c r="R141" s="146"/>
      <c r="S141" s="146"/>
    </row>
    <row r="142" spans="1:19" ht="17.25" thickBot="1">
      <c r="A142" s="109" t="s">
        <v>227</v>
      </c>
      <c r="B142" s="110">
        <v>52.6</v>
      </c>
      <c r="C142" s="70">
        <v>-4.8824593100000001E-2</v>
      </c>
      <c r="D142" s="15">
        <v>53</v>
      </c>
      <c r="E142" s="32">
        <f t="shared" si="74"/>
        <v>7.6045627376425586E-3</v>
      </c>
      <c r="F142" s="18">
        <f>IF(ISNUMBER(D142), $B145 * E142, "")</f>
        <v>1140.6844106463839</v>
      </c>
      <c r="G142" s="31">
        <v>52.7</v>
      </c>
      <c r="H142" s="32">
        <f t="shared" si="75"/>
        <v>1.9011406844106733E-3</v>
      </c>
      <c r="I142" s="91">
        <f>IF(ISNUMBER(G142), $B145 * H142, "")</f>
        <v>285.17110266160097</v>
      </c>
      <c r="J142" s="15">
        <v>52.8</v>
      </c>
      <c r="K142" s="32">
        <f t="shared" si="76"/>
        <v>3.8022813688212117E-3</v>
      </c>
      <c r="L142" s="18">
        <f>IF(ISNUMBER(J142), $B145 * K142, "")</f>
        <v>570.3422053231817</v>
      </c>
      <c r="M142" s="31">
        <v>51.5</v>
      </c>
      <c r="N142" s="32">
        <f t="shared" si="77"/>
        <v>-2.0912547528517136E-2</v>
      </c>
      <c r="O142" s="18">
        <f>IF(ISNUMBER(M142), $B145 * N142, "")</f>
        <v>-3136.8821292775706</v>
      </c>
      <c r="Q142" s="146"/>
      <c r="R142" s="146"/>
      <c r="S142" s="146"/>
    </row>
    <row r="143" spans="1:19">
      <c r="A143" s="109" t="s">
        <v>334</v>
      </c>
      <c r="B143" s="110">
        <v>42.6</v>
      </c>
      <c r="C143" s="70">
        <v>-6.3736263700000004E-2</v>
      </c>
      <c r="D143" s="15">
        <v>42.9</v>
      </c>
      <c r="E143" s="32">
        <f t="shared" si="74"/>
        <v>7.0422535211266939E-3</v>
      </c>
      <c r="F143" s="18">
        <f>IF(ISNUMBER(D143), $B145 * E143, "")</f>
        <v>1056.338028169004</v>
      </c>
      <c r="G143" s="31">
        <v>42.8</v>
      </c>
      <c r="H143" s="32">
        <f t="shared" si="75"/>
        <v>4.6948356807510732E-3</v>
      </c>
      <c r="I143" s="91">
        <f>IF(ISNUMBER(G143), $B145 * H143, "")</f>
        <v>704.22535211266097</v>
      </c>
      <c r="J143" s="15">
        <v>42.9</v>
      </c>
      <c r="K143" s="32">
        <f t="shared" si="76"/>
        <v>7.0422535211266939E-3</v>
      </c>
      <c r="L143" s="18">
        <f>IF(ISNUMBER(J143), $B145 * K143, "")</f>
        <v>1056.338028169004</v>
      </c>
      <c r="M143" s="31">
        <v>41.7</v>
      </c>
      <c r="N143" s="32">
        <f t="shared" si="77"/>
        <v>-2.1126760563380247E-2</v>
      </c>
      <c r="O143" s="18">
        <f>IF(ISNUMBER(M143), $B145 * N143, "")</f>
        <v>-3169.0140845070368</v>
      </c>
      <c r="Q143" s="135"/>
      <c r="R143" s="136"/>
      <c r="S143" s="137"/>
    </row>
    <row r="144" spans="1:19" ht="17.25" thickBot="1">
      <c r="A144" s="114" t="s">
        <v>195</v>
      </c>
      <c r="B144" s="115">
        <v>7.83</v>
      </c>
      <c r="C144" s="72">
        <v>-6.67461263E-2</v>
      </c>
      <c r="D144" s="24">
        <v>7.7</v>
      </c>
      <c r="E144" s="25">
        <f t="shared" si="74"/>
        <v>-1.6602809706257968E-2</v>
      </c>
      <c r="F144" s="94">
        <f>IF(ISNUMBER(D144), $B145 * E144, "")</f>
        <v>-2490.4214559386951</v>
      </c>
      <c r="G144" s="92">
        <v>7.57</v>
      </c>
      <c r="H144" s="25">
        <f t="shared" si="75"/>
        <v>-3.3205619412515937E-2</v>
      </c>
      <c r="I144" s="93">
        <f>IF(ISNUMBER(G144), $B145 * H144, "")</f>
        <v>-4980.8429118773902</v>
      </c>
      <c r="J144" s="24">
        <v>7.57</v>
      </c>
      <c r="K144" s="25">
        <f t="shared" si="76"/>
        <v>-3.3205619412515937E-2</v>
      </c>
      <c r="L144" s="94">
        <f>IF(ISNUMBER(J144), $B145 * K144, "")</f>
        <v>-4980.8429118773902</v>
      </c>
      <c r="M144" s="92">
        <v>7.37</v>
      </c>
      <c r="N144" s="25">
        <f t="shared" si="77"/>
        <v>-5.8748403575989774E-2</v>
      </c>
      <c r="O144" s="94">
        <f>IF(ISNUMBER(M144), $B145 * N144, "")</f>
        <v>-8812.2605363984658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7.1393792400117869E-3</v>
      </c>
      <c r="F145" s="28">
        <f>SUM(F125:F144)</f>
        <v>21418.13772003536</v>
      </c>
      <c r="G145" s="26" t="s">
        <v>258</v>
      </c>
      <c r="H145" s="27">
        <f>IF(COUNT(H125:H144), SUM(H125:H144) / COUNT(H125:H144), 0)</f>
        <v>2.0838629610479545E-3</v>
      </c>
      <c r="I145" s="28">
        <f>SUM(I125:I144)</f>
        <v>6251.5888831438633</v>
      </c>
      <c r="J145" s="26" t="s">
        <v>258</v>
      </c>
      <c r="K145" s="27">
        <f>IF(COUNT(K125:K144), SUM(K125:K144) / COUNT(K125:K144), 0)</f>
        <v>4.3094542064256612E-3</v>
      </c>
      <c r="L145" s="28">
        <f>SUM(L125:L144)</f>
        <v>12928.362619276988</v>
      </c>
      <c r="M145" s="26" t="s">
        <v>258</v>
      </c>
      <c r="N145" s="27">
        <f>IF(COUNT(N125:N144), SUM(N125:N144) / COUNT(N125:N144), 0)</f>
        <v>-1.8251875898616893E-2</v>
      </c>
      <c r="O145" s="28">
        <f>SUM(O125:O144)</f>
        <v>-54755.627695850664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2023-03-12(일) 오전 00:00</v>
      </c>
      <c r="C150" s="198"/>
      <c r="D150" s="170" t="str">
        <f>TEXT($G$1, "[$-ko-KR]yyyy-mm-dd(ddd) ") &amp; "오후 14:00"</f>
        <v>2023-03-12(일) 오후 14:00</v>
      </c>
      <c r="E150" s="171"/>
      <c r="F150" s="172"/>
      <c r="G150" s="170" t="str">
        <f>TEXT($G$1, "[$-ko-KR]yyyy-mm-dd(ddd) ") &amp; "오후 19:00"</f>
        <v>2023-03-12(일) 오후 19:00</v>
      </c>
      <c r="H150" s="171"/>
      <c r="I150" s="172"/>
      <c r="J150" s="170" t="str">
        <f>TEXT($G$1, "[$-ko-KR]yyyy-mm-dd(ddd) ") &amp; "오후 21:00"</f>
        <v>2023-03-12(일) 오후 21:00</v>
      </c>
      <c r="K150" s="171"/>
      <c r="L150" s="172"/>
      <c r="M150" s="170" t="str">
        <f>TEXT($G$1+1, "[$-ko-KR]yyyy-mm-dd(ddd) ") &amp; "오전 00:00"</f>
        <v>2023-03-13(월)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213</v>
      </c>
      <c r="B152" s="108">
        <v>521</v>
      </c>
      <c r="C152" s="69">
        <v>-3.1598513000000002E-2</v>
      </c>
      <c r="D152" s="13">
        <v>532</v>
      </c>
      <c r="E152" s="14">
        <f>IF(ISNUMBER(D152), (D152 - $B152) / $B152, "")</f>
        <v>2.1113243761996161E-2</v>
      </c>
      <c r="F152" s="16">
        <f>IF(ISNUMBER(D152), $B172 * E152, "")</f>
        <v>3166.9865642994241</v>
      </c>
      <c r="G152" s="29">
        <v>526</v>
      </c>
      <c r="H152" s="14">
        <f>IF(ISNUMBER(G152), (G152 - $B152) / $B152, "")</f>
        <v>9.5969289827255271E-3</v>
      </c>
      <c r="I152" s="90">
        <f>IF(ISNUMBER(G152), $B172 * H152, "")</f>
        <v>1439.5393474088291</v>
      </c>
      <c r="J152" s="13">
        <v>528</v>
      </c>
      <c r="K152" s="14">
        <f>IF(ISNUMBER(J152), (J152 - $B152) / $B152, "")</f>
        <v>1.3435700575815739E-2</v>
      </c>
      <c r="L152" s="16">
        <f>IF(ISNUMBER(J152), $B172 * K152, "")</f>
        <v>2015.3550863723608</v>
      </c>
      <c r="M152" s="29">
        <v>514</v>
      </c>
      <c r="N152" s="14">
        <f>IF(ISNUMBER(M152), (M152 - $B152) / $B152, "")</f>
        <v>-1.3435700575815739E-2</v>
      </c>
      <c r="O152" s="16">
        <f>IF(ISNUMBER(M152), $B172 * N152, "")</f>
        <v>-2015.3550863723608</v>
      </c>
      <c r="Q152" s="156"/>
      <c r="R152" s="156"/>
      <c r="S152" s="156"/>
    </row>
    <row r="153" spans="1:19" ht="17.25" thickBot="1">
      <c r="A153" s="109" t="s">
        <v>68</v>
      </c>
      <c r="B153" s="110">
        <v>457</v>
      </c>
      <c r="C153" s="70">
        <v>-3.1779661000000001E-2</v>
      </c>
      <c r="D153" s="15">
        <v>449</v>
      </c>
      <c r="E153" s="32">
        <f t="shared" ref="E153:E156" si="78">IF(ISNUMBER(D153), (D153 - $B153) / $B153, "")</f>
        <v>-1.7505470459518599E-2</v>
      </c>
      <c r="F153" s="18">
        <f>IF(ISNUMBER(D153), $B172 * E153, "")</f>
        <v>-2625.8205689277897</v>
      </c>
      <c r="G153" s="31">
        <v>450</v>
      </c>
      <c r="H153" s="32">
        <f t="shared" ref="H153:H156" si="79">IF(ISNUMBER(G153), (G153 - $B153) / $B153, "")</f>
        <v>-1.5317286652078774E-2</v>
      </c>
      <c r="I153" s="91">
        <f>IF(ISNUMBER(G153), $B172 * H153, "")</f>
        <v>-2297.5929978118161</v>
      </c>
      <c r="J153" s="15">
        <v>451</v>
      </c>
      <c r="K153" s="32">
        <f t="shared" ref="K153:K156" si="80">IF(ISNUMBER(J153), (J153 - $B153) / $B153, "")</f>
        <v>-1.3129102844638949E-2</v>
      </c>
      <c r="L153" s="18">
        <f>IF(ISNUMBER(J153), $B172 * K153, "")</f>
        <v>-1969.3654266958424</v>
      </c>
      <c r="M153" s="31">
        <v>438</v>
      </c>
      <c r="N153" s="32">
        <f t="shared" ref="N153:N156" si="81">IF(ISNUMBER(M153), (M153 - $B153) / $B153, "")</f>
        <v>-4.1575492341356671E-2</v>
      </c>
      <c r="O153" s="18">
        <f>IF(ISNUMBER(M153), $B172 * N153, "")</f>
        <v>-6236.3238512035005</v>
      </c>
      <c r="Q153" s="156"/>
      <c r="R153" s="156"/>
      <c r="S153" s="156"/>
    </row>
    <row r="154" spans="1:19" ht="17.25" thickBot="1">
      <c r="A154" s="109" t="s">
        <v>167</v>
      </c>
      <c r="B154" s="110">
        <v>207</v>
      </c>
      <c r="C154" s="70">
        <v>-3.27102804E-2</v>
      </c>
      <c r="D154" s="15">
        <v>208</v>
      </c>
      <c r="E154" s="32">
        <f t="shared" si="78"/>
        <v>4.830917874396135E-3</v>
      </c>
      <c r="F154" s="18">
        <f>IF(ISNUMBER(D154), $B172 * E154, "")</f>
        <v>724.63768115942025</v>
      </c>
      <c r="G154" s="31">
        <v>207</v>
      </c>
      <c r="H154" s="32">
        <f t="shared" si="79"/>
        <v>0</v>
      </c>
      <c r="I154" s="91">
        <f>IF(ISNUMBER(G154), $B172 * H154, "")</f>
        <v>0</v>
      </c>
      <c r="J154" s="15">
        <v>208</v>
      </c>
      <c r="K154" s="32">
        <f t="shared" si="80"/>
        <v>4.830917874396135E-3</v>
      </c>
      <c r="L154" s="18">
        <f>IF(ISNUMBER(J154), $B172 * K154, "")</f>
        <v>724.63768115942025</v>
      </c>
      <c r="M154" s="31">
        <v>201</v>
      </c>
      <c r="N154" s="32">
        <f t="shared" si="81"/>
        <v>-2.8985507246376812E-2</v>
      </c>
      <c r="O154" s="18">
        <f>IF(ISNUMBER(M154), $B172 * N154, "")</f>
        <v>-4347.826086956522</v>
      </c>
      <c r="Q154" s="146"/>
      <c r="R154" s="146"/>
      <c r="S154" s="146"/>
    </row>
    <row r="155" spans="1:19" ht="17.25" thickBot="1">
      <c r="A155" s="109" t="s">
        <v>153</v>
      </c>
      <c r="B155" s="110">
        <v>402</v>
      </c>
      <c r="C155" s="70">
        <v>-3.3653846199999997E-2</v>
      </c>
      <c r="D155" s="15">
        <v>408</v>
      </c>
      <c r="E155" s="32">
        <f t="shared" si="78"/>
        <v>1.4925373134328358E-2</v>
      </c>
      <c r="F155" s="18">
        <f>IF(ISNUMBER(D155), $B172 * E155, "")</f>
        <v>2238.8059701492539</v>
      </c>
      <c r="G155" s="31">
        <v>410</v>
      </c>
      <c r="H155" s="32">
        <f t="shared" si="79"/>
        <v>1.9900497512437811E-2</v>
      </c>
      <c r="I155" s="91">
        <f>IF(ISNUMBER(G155), $B172 * H155, "")</f>
        <v>2985.0746268656717</v>
      </c>
      <c r="J155" s="15">
        <v>411</v>
      </c>
      <c r="K155" s="32">
        <f t="shared" si="80"/>
        <v>2.2388059701492536E-2</v>
      </c>
      <c r="L155" s="18">
        <f>IF(ISNUMBER(J155), $B172 * K155, "")</f>
        <v>3358.2089552238804</v>
      </c>
      <c r="M155" s="31">
        <v>397</v>
      </c>
      <c r="N155" s="32">
        <f t="shared" si="81"/>
        <v>-1.2437810945273632E-2</v>
      </c>
      <c r="O155" s="18">
        <f>IF(ISNUMBER(M155), $B172 * N155, "")</f>
        <v>-1865.671641791045</v>
      </c>
      <c r="Q155" s="146"/>
      <c r="R155" s="146"/>
      <c r="S155" s="146"/>
    </row>
    <row r="156" spans="1:19" ht="17.25" thickBot="1">
      <c r="A156" s="111" t="s">
        <v>66</v>
      </c>
      <c r="B156" s="112">
        <v>816</v>
      </c>
      <c r="C156" s="71">
        <v>-3.5460992900000002E-2</v>
      </c>
      <c r="D156" s="20">
        <v>815</v>
      </c>
      <c r="E156" s="21">
        <f t="shared" si="78"/>
        <v>-1.2254901960784314E-3</v>
      </c>
      <c r="F156" s="22">
        <f>IF(ISNUMBER(D156), $B172 * E156, "")</f>
        <v>-183.8235294117647</v>
      </c>
      <c r="G156" s="30">
        <v>808</v>
      </c>
      <c r="H156" s="21">
        <f t="shared" si="79"/>
        <v>-9.8039215686274508E-3</v>
      </c>
      <c r="I156" s="95">
        <f>IF(ISNUMBER(G156), $B172 * H156, "")</f>
        <v>-1470.5882352941176</v>
      </c>
      <c r="J156" s="20">
        <v>809</v>
      </c>
      <c r="K156" s="21">
        <f t="shared" si="80"/>
        <v>-8.5784313725490204E-3</v>
      </c>
      <c r="L156" s="22">
        <f>IF(ISNUMBER(J156), $B172 * K156, "")</f>
        <v>-1286.7647058823532</v>
      </c>
      <c r="M156" s="30">
        <v>790</v>
      </c>
      <c r="N156" s="21">
        <f t="shared" si="81"/>
        <v>-3.1862745098039214E-2</v>
      </c>
      <c r="O156" s="22">
        <f>IF(ISNUMBER(M156), $B172 * N156, "")</f>
        <v>-4779.411764705882</v>
      </c>
      <c r="Q156" s="146"/>
      <c r="R156" s="146"/>
      <c r="S156" s="146"/>
    </row>
    <row r="157" spans="1:19" ht="17.25" thickBot="1">
      <c r="A157" s="109" t="s">
        <v>103</v>
      </c>
      <c r="B157" s="113">
        <v>263</v>
      </c>
      <c r="C157" s="73">
        <v>-3.6630036599999999E-2</v>
      </c>
      <c r="D157" s="96">
        <v>264</v>
      </c>
      <c r="E157" s="97">
        <f>IF(ISNUMBER(D157), (D157 - $B157) / $B157, "")</f>
        <v>3.8022813688212928E-3</v>
      </c>
      <c r="F157" s="98">
        <f>IF(ISNUMBER(D157), $B172 * E157, "")</f>
        <v>570.34220532319387</v>
      </c>
      <c r="G157" s="99">
        <v>263</v>
      </c>
      <c r="H157" s="97">
        <f>IF(ISNUMBER(G157), (G157 - $B157) / $B157, "")</f>
        <v>0</v>
      </c>
      <c r="I157" s="100">
        <f>IF(ISNUMBER(G157), $B172 * H157, "")</f>
        <v>0</v>
      </c>
      <c r="J157" s="96">
        <v>263</v>
      </c>
      <c r="K157" s="97">
        <f>IF(ISNUMBER(J157), (J157 - $B157) / $B157, "")</f>
        <v>0</v>
      </c>
      <c r="L157" s="98">
        <f>IF(ISNUMBER(J157), $B172 * K157, "")</f>
        <v>0</v>
      </c>
      <c r="M157" s="99">
        <v>256</v>
      </c>
      <c r="N157" s="97">
        <f>IF(ISNUMBER(M157), (M157 - $B157) / $B157, "")</f>
        <v>-2.6615969581749048E-2</v>
      </c>
      <c r="O157" s="98">
        <f>IF(ISNUMBER(M157), $B172 * N157, "")</f>
        <v>-3992.3954372623571</v>
      </c>
      <c r="Q157" s="146"/>
      <c r="R157" s="146"/>
      <c r="S157" s="146"/>
    </row>
    <row r="158" spans="1:19" ht="17.25" thickBot="1">
      <c r="A158" s="109" t="s">
        <v>159</v>
      </c>
      <c r="B158" s="110">
        <v>208</v>
      </c>
      <c r="C158" s="70">
        <v>-3.7037037000000002E-2</v>
      </c>
      <c r="D158" s="15">
        <v>209</v>
      </c>
      <c r="E158" s="32">
        <f t="shared" ref="E158:E161" si="82">IF(ISNUMBER(D158), (D158 - $B158) / $B158, "")</f>
        <v>4.807692307692308E-3</v>
      </c>
      <c r="F158" s="18">
        <f>IF(ISNUMBER(D158), $B172 * E158, "")</f>
        <v>721.15384615384619</v>
      </c>
      <c r="G158" s="31">
        <v>209</v>
      </c>
      <c r="H158" s="32">
        <f t="shared" ref="H158:H161" si="83">IF(ISNUMBER(G158), (G158 - $B158) / $B158, "")</f>
        <v>4.807692307692308E-3</v>
      </c>
      <c r="I158" s="91">
        <f>IF(ISNUMBER(G158), $B172 * H158, "")</f>
        <v>721.15384615384619</v>
      </c>
      <c r="J158" s="15">
        <v>209</v>
      </c>
      <c r="K158" s="32">
        <f t="shared" ref="K158:K161" si="84">IF(ISNUMBER(J158), (J158 - $B158) / $B158, "")</f>
        <v>4.807692307692308E-3</v>
      </c>
      <c r="L158" s="18">
        <f>IF(ISNUMBER(J158), $B172 * K158, "")</f>
        <v>721.15384615384619</v>
      </c>
      <c r="M158" s="31">
        <v>204</v>
      </c>
      <c r="N158" s="32">
        <f t="shared" ref="N158:N161" si="85">IF(ISNUMBER(M158), (M158 - $B158) / $B158, "")</f>
        <v>-1.9230769230769232E-2</v>
      </c>
      <c r="O158" s="18">
        <f>IF(ISNUMBER(M158), $B172 * N158, "")</f>
        <v>-2884.6153846153848</v>
      </c>
      <c r="Q158" s="146"/>
      <c r="R158" s="146"/>
      <c r="S158" s="146"/>
    </row>
    <row r="159" spans="1:19" ht="17.25" thickBot="1">
      <c r="A159" s="109" t="s">
        <v>111</v>
      </c>
      <c r="B159" s="110">
        <v>702</v>
      </c>
      <c r="C159" s="70">
        <v>-3.7037037000000002E-2</v>
      </c>
      <c r="D159" s="15">
        <v>708</v>
      </c>
      <c r="E159" s="32">
        <f t="shared" si="82"/>
        <v>8.5470085470085479E-3</v>
      </c>
      <c r="F159" s="18">
        <f>IF(ISNUMBER(D159), $B172 * E159, "")</f>
        <v>1282.0512820512822</v>
      </c>
      <c r="G159" s="31">
        <v>704</v>
      </c>
      <c r="H159" s="32">
        <f t="shared" si="83"/>
        <v>2.8490028490028491E-3</v>
      </c>
      <c r="I159" s="91">
        <f>IF(ISNUMBER(G159), $B172 * H159, "")</f>
        <v>427.35042735042737</v>
      </c>
      <c r="J159" s="15">
        <v>707</v>
      </c>
      <c r="K159" s="32">
        <f t="shared" si="84"/>
        <v>7.1225071225071226E-3</v>
      </c>
      <c r="L159" s="18">
        <f>IF(ISNUMBER(J159), $B172 * K159, "")</f>
        <v>1068.3760683760684</v>
      </c>
      <c r="M159" s="31">
        <v>692</v>
      </c>
      <c r="N159" s="32">
        <f t="shared" si="85"/>
        <v>-1.4245014245014245E-2</v>
      </c>
      <c r="O159" s="18">
        <f>IF(ISNUMBER(M159), $B172 * N159, "")</f>
        <v>-2136.7521367521367</v>
      </c>
      <c r="Q159" s="146"/>
      <c r="R159" s="146"/>
      <c r="S159" s="146"/>
    </row>
    <row r="160" spans="1:19" ht="17.25" thickBot="1">
      <c r="A160" s="109" t="s">
        <v>60</v>
      </c>
      <c r="B160" s="110">
        <v>689</v>
      </c>
      <c r="C160" s="70">
        <v>-3.7709497199999997E-2</v>
      </c>
      <c r="D160" s="15">
        <v>695</v>
      </c>
      <c r="E160" s="32">
        <f t="shared" si="82"/>
        <v>8.708272859216255E-3</v>
      </c>
      <c r="F160" s="18">
        <f>IF(ISNUMBER(D160), $B172 * E160, "")</f>
        <v>1306.2409288824383</v>
      </c>
      <c r="G160" s="31">
        <v>693</v>
      </c>
      <c r="H160" s="32">
        <f t="shared" si="83"/>
        <v>5.8055152394775036E-3</v>
      </c>
      <c r="I160" s="91">
        <f>IF(ISNUMBER(G160), $B172 * H160, "")</f>
        <v>870.8272859216255</v>
      </c>
      <c r="J160" s="15">
        <v>696</v>
      </c>
      <c r="K160" s="32">
        <f t="shared" si="84"/>
        <v>1.0159651669085631E-2</v>
      </c>
      <c r="L160" s="18">
        <f>IF(ISNUMBER(J160), $B172 * K160, "")</f>
        <v>1523.9477503628448</v>
      </c>
      <c r="M160" s="31">
        <v>683</v>
      </c>
      <c r="N160" s="32">
        <f t="shared" si="85"/>
        <v>-8.708272859216255E-3</v>
      </c>
      <c r="O160" s="18">
        <f>IF(ISNUMBER(M160), $B172 * N160, "")</f>
        <v>-1306.2409288824383</v>
      </c>
      <c r="Q160" s="33"/>
      <c r="R160" s="33"/>
    </row>
    <row r="161" spans="1:19" ht="17.25" thickBot="1">
      <c r="A161" s="114" t="s">
        <v>187</v>
      </c>
      <c r="B161" s="115">
        <v>860</v>
      </c>
      <c r="C161" s="72">
        <v>-4.0178571400000002E-2</v>
      </c>
      <c r="D161" s="24">
        <v>898</v>
      </c>
      <c r="E161" s="25">
        <f t="shared" si="82"/>
        <v>4.4186046511627906E-2</v>
      </c>
      <c r="F161" s="94">
        <f>IF(ISNUMBER(D161), $B172 * E161, "")</f>
        <v>6627.9069767441861</v>
      </c>
      <c r="G161" s="92">
        <v>894</v>
      </c>
      <c r="H161" s="25">
        <f t="shared" si="83"/>
        <v>3.9534883720930232E-2</v>
      </c>
      <c r="I161" s="93">
        <f>IF(ISNUMBER(G161), $B172 * H161, "")</f>
        <v>5930.2325581395344</v>
      </c>
      <c r="J161" s="24">
        <v>900</v>
      </c>
      <c r="K161" s="25">
        <f t="shared" si="84"/>
        <v>4.6511627906976744E-2</v>
      </c>
      <c r="L161" s="94">
        <f>IF(ISNUMBER(J161), $B172 * K161, "")</f>
        <v>6976.7441860465115</v>
      </c>
      <c r="M161" s="92">
        <v>874</v>
      </c>
      <c r="N161" s="25">
        <f t="shared" si="85"/>
        <v>1.627906976744186E-2</v>
      </c>
      <c r="O161" s="94">
        <f>IF(ISNUMBER(M161), $B172 * N161, "")</f>
        <v>2441.8604651162791</v>
      </c>
      <c r="Q161" s="147"/>
      <c r="R161" s="148"/>
      <c r="S161" s="149"/>
    </row>
    <row r="162" spans="1:19">
      <c r="A162" s="107" t="s">
        <v>101</v>
      </c>
      <c r="B162" s="108">
        <v>247</v>
      </c>
      <c r="C162" s="69">
        <v>-4.2635658899999998E-2</v>
      </c>
      <c r="D162" s="13">
        <v>257</v>
      </c>
      <c r="E162" s="14">
        <f>IF(ISNUMBER(D162), (D162 - $B162) / $B162, "")</f>
        <v>4.048582995951417E-2</v>
      </c>
      <c r="F162" s="16">
        <f>IF(ISNUMBER(D162), $B172 * E162, "")</f>
        <v>6072.8744939271255</v>
      </c>
      <c r="G162" s="29">
        <v>260</v>
      </c>
      <c r="H162" s="14">
        <f>IF(ISNUMBER(G162), (G162 - $B162) / $B162, "")</f>
        <v>5.2631578947368418E-2</v>
      </c>
      <c r="I162" s="90">
        <f>IF(ISNUMBER(G162), $B172 * H162, "")</f>
        <v>7894.7368421052624</v>
      </c>
      <c r="J162" s="13">
        <v>261</v>
      </c>
      <c r="K162" s="14">
        <f>IF(ISNUMBER(J162), (J162 - $B162) / $B162, "")</f>
        <v>5.6680161943319839E-2</v>
      </c>
      <c r="L162" s="16">
        <f>IF(ISNUMBER(J162), $B172 * K162, "")</f>
        <v>8502.0242914979754</v>
      </c>
      <c r="M162" s="29">
        <v>253</v>
      </c>
      <c r="N162" s="14">
        <f>IF(ISNUMBER(M162), (M162 - $B162) / $B162, "")</f>
        <v>2.4291497975708502E-2</v>
      </c>
      <c r="O162" s="16">
        <f>IF(ISNUMBER(M162), $B172 * N162, "")</f>
        <v>3643.7246963562752</v>
      </c>
      <c r="Q162" s="150"/>
      <c r="R162" s="151"/>
      <c r="S162" s="152"/>
    </row>
    <row r="163" spans="1:19" ht="17.25" thickBot="1">
      <c r="A163" s="109" t="s">
        <v>327</v>
      </c>
      <c r="B163" s="110">
        <v>402</v>
      </c>
      <c r="C163" s="70">
        <v>-4.2857142899999999E-2</v>
      </c>
      <c r="D163" s="15">
        <v>406</v>
      </c>
      <c r="E163" s="32">
        <f t="shared" ref="E163:E166" si="86">IF(ISNUMBER(D163), (D163 - $B163) / $B163, "")</f>
        <v>9.9502487562189053E-3</v>
      </c>
      <c r="F163" s="18">
        <f>IF(ISNUMBER(D163), $B172 * E163, "")</f>
        <v>1492.5373134328358</v>
      </c>
      <c r="G163" s="31">
        <v>405</v>
      </c>
      <c r="H163" s="32">
        <f t="shared" ref="H163:H166" si="87">IF(ISNUMBER(G163), (G163 - $B163) / $B163, "")</f>
        <v>7.462686567164179E-3</v>
      </c>
      <c r="I163" s="91">
        <f>IF(ISNUMBER(G163), $B172 * H163, "")</f>
        <v>1119.4029850746269</v>
      </c>
      <c r="J163" s="15">
        <v>406</v>
      </c>
      <c r="K163" s="32">
        <f t="shared" ref="K163:K166" si="88">IF(ISNUMBER(J163), (J163 - $B163) / $B163, "")</f>
        <v>9.9502487562189053E-3</v>
      </c>
      <c r="L163" s="18">
        <f>IF(ISNUMBER(J163), $B172 * K163, "")</f>
        <v>1492.5373134328358</v>
      </c>
      <c r="M163" s="31">
        <v>396</v>
      </c>
      <c r="N163" s="32">
        <f t="shared" ref="N163:N166" si="89">IF(ISNUMBER(M163), (M163 - $B163) / $B163, "")</f>
        <v>-1.4925373134328358E-2</v>
      </c>
      <c r="O163" s="18">
        <f>IF(ISNUMBER(M163), $B172 * N163, "")</f>
        <v>-2238.8059701492539</v>
      </c>
      <c r="Q163" s="153"/>
      <c r="R163" s="154"/>
      <c r="S163" s="155"/>
    </row>
    <row r="164" spans="1:19" ht="17.25" thickBot="1">
      <c r="A164" s="109" t="s">
        <v>149</v>
      </c>
      <c r="B164" s="110">
        <v>463</v>
      </c>
      <c r="C164" s="70">
        <v>-4.3388429800000003E-2</v>
      </c>
      <c r="D164" s="15">
        <v>474</v>
      </c>
      <c r="E164" s="32">
        <f t="shared" si="86"/>
        <v>2.3758099352051837E-2</v>
      </c>
      <c r="F164" s="18">
        <f>IF(ISNUMBER(D164), $B172 * E164, "")</f>
        <v>3563.7149028077756</v>
      </c>
      <c r="G164" s="31">
        <v>474</v>
      </c>
      <c r="H164" s="32">
        <f t="shared" si="87"/>
        <v>2.3758099352051837E-2</v>
      </c>
      <c r="I164" s="91">
        <f>IF(ISNUMBER(G164), $B172 * H164, "")</f>
        <v>3563.7149028077756</v>
      </c>
      <c r="J164" s="15">
        <v>477</v>
      </c>
      <c r="K164" s="32">
        <f t="shared" si="88"/>
        <v>3.0237580993520519E-2</v>
      </c>
      <c r="L164" s="18">
        <f>IF(ISNUMBER(J164), $B172 * K164, "")</f>
        <v>4535.6371490280781</v>
      </c>
      <c r="M164" s="31">
        <v>469</v>
      </c>
      <c r="N164" s="32">
        <f t="shared" si="89"/>
        <v>1.2958963282937365E-2</v>
      </c>
      <c r="O164" s="18">
        <f>IF(ISNUMBER(M164), $B172 * N164, "")</f>
        <v>1943.8444924406047</v>
      </c>
      <c r="Q164" s="146"/>
      <c r="R164" s="146"/>
      <c r="S164" s="146"/>
    </row>
    <row r="165" spans="1:19" ht="17.25" thickBot="1">
      <c r="A165" s="109" t="s">
        <v>79</v>
      </c>
      <c r="B165" s="110">
        <v>277</v>
      </c>
      <c r="C165" s="70">
        <v>-4.4827586199999998E-2</v>
      </c>
      <c r="D165" s="15">
        <v>278</v>
      </c>
      <c r="E165" s="32">
        <f t="shared" si="86"/>
        <v>3.6101083032490976E-3</v>
      </c>
      <c r="F165" s="18">
        <f>IF(ISNUMBER(D165), $B172 * E165, "")</f>
        <v>541.51624548736459</v>
      </c>
      <c r="G165" s="31">
        <v>279</v>
      </c>
      <c r="H165" s="32">
        <f t="shared" si="87"/>
        <v>7.2202166064981952E-3</v>
      </c>
      <c r="I165" s="91">
        <f>IF(ISNUMBER(G165), $B172 * H165, "")</f>
        <v>1083.0324909747292</v>
      </c>
      <c r="J165" s="15">
        <v>278</v>
      </c>
      <c r="K165" s="32">
        <f t="shared" si="88"/>
        <v>3.6101083032490976E-3</v>
      </c>
      <c r="L165" s="18">
        <f>IF(ISNUMBER(J165), $B172 * K165, "")</f>
        <v>541.51624548736459</v>
      </c>
      <c r="M165" s="31">
        <v>272</v>
      </c>
      <c r="N165" s="32">
        <f t="shared" si="89"/>
        <v>-1.8050541516245487E-2</v>
      </c>
      <c r="O165" s="18">
        <f>IF(ISNUMBER(M165), $B172 * N165, "")</f>
        <v>-2707.5812274368232</v>
      </c>
      <c r="Q165" s="156"/>
      <c r="R165" s="156"/>
      <c r="S165" s="156"/>
    </row>
    <row r="166" spans="1:19" ht="17.25" thickBot="1">
      <c r="A166" s="111" t="s">
        <v>329</v>
      </c>
      <c r="B166" s="112">
        <v>503</v>
      </c>
      <c r="C166" s="71">
        <v>-4.5540797000000001E-2</v>
      </c>
      <c r="D166" s="20">
        <v>502</v>
      </c>
      <c r="E166" s="21">
        <f t="shared" si="86"/>
        <v>-1.9880715705765406E-3</v>
      </c>
      <c r="F166" s="22">
        <f>IF(ISNUMBER(D166), $B172 * E166, "")</f>
        <v>-298.21073558648106</v>
      </c>
      <c r="G166" s="30">
        <v>502</v>
      </c>
      <c r="H166" s="21">
        <f t="shared" si="87"/>
        <v>-1.9880715705765406E-3</v>
      </c>
      <c r="I166" s="95">
        <f>IF(ISNUMBER(G166), $B172 * H166, "")</f>
        <v>-298.21073558648106</v>
      </c>
      <c r="J166" s="20">
        <v>503</v>
      </c>
      <c r="K166" s="21">
        <f t="shared" si="88"/>
        <v>0</v>
      </c>
      <c r="L166" s="22">
        <f>IF(ISNUMBER(J166), $B172 * K166, "")</f>
        <v>0</v>
      </c>
      <c r="M166" s="30">
        <v>489</v>
      </c>
      <c r="N166" s="21">
        <f t="shared" si="89"/>
        <v>-2.7833001988071572E-2</v>
      </c>
      <c r="O166" s="22">
        <f>IF(ISNUMBER(M166), $B172 * N166, "")</f>
        <v>-4174.950298210736</v>
      </c>
      <c r="Q166" s="156"/>
      <c r="R166" s="156"/>
      <c r="S166" s="156"/>
    </row>
    <row r="167" spans="1:19" ht="17.25" thickBot="1">
      <c r="A167" s="109" t="s">
        <v>336</v>
      </c>
      <c r="B167" s="113">
        <v>311</v>
      </c>
      <c r="C167" s="73">
        <v>-4.60122699E-2</v>
      </c>
      <c r="D167" s="96">
        <v>317</v>
      </c>
      <c r="E167" s="97">
        <f>IF(ISNUMBER(D167), (D167 - $B167) / $B167, "")</f>
        <v>1.9292604501607719E-2</v>
      </c>
      <c r="F167" s="98">
        <f>IF(ISNUMBER(D167), $B172 * E167, "")</f>
        <v>2893.8906752411576</v>
      </c>
      <c r="G167" s="99">
        <v>317</v>
      </c>
      <c r="H167" s="97">
        <f>IF(ISNUMBER(G167), (G167 - $B167) / $B167, "")</f>
        <v>1.9292604501607719E-2</v>
      </c>
      <c r="I167" s="100">
        <f>IF(ISNUMBER(G167), $B172 * H167, "")</f>
        <v>2893.8906752411576</v>
      </c>
      <c r="J167" s="96">
        <v>316</v>
      </c>
      <c r="K167" s="97">
        <f>IF(ISNUMBER(J167), (J167 - $B167) / $B167, "")</f>
        <v>1.607717041800643E-2</v>
      </c>
      <c r="L167" s="98">
        <f>IF(ISNUMBER(J167), $B172 * K167, "")</f>
        <v>2411.5755627009644</v>
      </c>
      <c r="M167" s="99">
        <v>310</v>
      </c>
      <c r="N167" s="97">
        <f>IF(ISNUMBER(M167), (M167 - $B167) / $B167, "")</f>
        <v>-3.2154340836012861E-3</v>
      </c>
      <c r="O167" s="98">
        <f>IF(ISNUMBER(M167), $B172 * N167, "")</f>
        <v>-482.3151125401929</v>
      </c>
      <c r="Q167" s="146"/>
      <c r="R167" s="146"/>
      <c r="S167" s="146"/>
    </row>
    <row r="168" spans="1:19" ht="17.25" thickBot="1">
      <c r="A168" s="109" t="s">
        <v>105</v>
      </c>
      <c r="B168" s="110">
        <v>248</v>
      </c>
      <c r="C168" s="70">
        <v>-4.6153846200000001E-2</v>
      </c>
      <c r="D168" s="15">
        <v>247</v>
      </c>
      <c r="E168" s="32">
        <f t="shared" ref="E168:E171" si="90">IF(ISNUMBER(D168), (D168 - $B168) / $B168, "")</f>
        <v>-4.0322580645161289E-3</v>
      </c>
      <c r="F168" s="18">
        <f>IF(ISNUMBER(D168), $B172 * E168, "")</f>
        <v>-604.83870967741939</v>
      </c>
      <c r="G168" s="31">
        <v>244</v>
      </c>
      <c r="H168" s="32">
        <f t="shared" ref="H168:H171" si="91">IF(ISNUMBER(G168), (G168 - $B168) / $B168, "")</f>
        <v>-1.6129032258064516E-2</v>
      </c>
      <c r="I168" s="91">
        <f>IF(ISNUMBER(G168), $B172 * H168, "")</f>
        <v>-2419.3548387096776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-5443.5483870967746</v>
      </c>
      <c r="Q168" s="146"/>
      <c r="R168" s="146"/>
      <c r="S168" s="146"/>
    </row>
    <row r="169" spans="1:19" ht="17.25" thickBot="1">
      <c r="A169" s="109" t="s">
        <v>352</v>
      </c>
      <c r="B169" s="110">
        <v>232</v>
      </c>
      <c r="C169" s="70">
        <v>-4.9180327900000001E-2</v>
      </c>
      <c r="D169" s="15">
        <v>230</v>
      </c>
      <c r="E169" s="32">
        <f t="shared" si="90"/>
        <v>-8.6206896551724137E-3</v>
      </c>
      <c r="F169" s="18">
        <f>IF(ISNUMBER(D169), $B172 * E169, "")</f>
        <v>-1293.1034482758621</v>
      </c>
      <c r="G169" s="31">
        <v>236</v>
      </c>
      <c r="H169" s="32">
        <f t="shared" si="91"/>
        <v>1.7241379310344827E-2</v>
      </c>
      <c r="I169" s="91">
        <f>IF(ISNUMBER(G169), $B172 * H169, "")</f>
        <v>2586.2068965517242</v>
      </c>
      <c r="J169" s="15">
        <v>233</v>
      </c>
      <c r="K169" s="32">
        <f t="shared" si="92"/>
        <v>4.3103448275862068E-3</v>
      </c>
      <c r="L169" s="18">
        <f>IF(ISNUMBER(J169), $B172 * K169, "")</f>
        <v>646.55172413793105</v>
      </c>
      <c r="M169" s="31">
        <v>228</v>
      </c>
      <c r="N169" s="32">
        <f t="shared" si="93"/>
        <v>-1.7241379310344827E-2</v>
      </c>
      <c r="O169" s="18">
        <f>IF(ISNUMBER(M169), $B172 * N169, "")</f>
        <v>-2586.2068965517242</v>
      </c>
      <c r="Q169" s="146"/>
      <c r="R169" s="146"/>
      <c r="S169" s="146"/>
    </row>
    <row r="170" spans="1:19">
      <c r="A170" s="109" t="s">
        <v>130</v>
      </c>
      <c r="B170" s="110">
        <v>785</v>
      </c>
      <c r="C170" s="70">
        <v>-5.3075995199999997E-2</v>
      </c>
      <c r="D170" s="15">
        <v>807</v>
      </c>
      <c r="E170" s="32">
        <f t="shared" si="90"/>
        <v>2.802547770700637E-2</v>
      </c>
      <c r="F170" s="18">
        <f>IF(ISNUMBER(D170), $B172 * E170, "")</f>
        <v>4203.8216560509554</v>
      </c>
      <c r="G170" s="31">
        <v>805</v>
      </c>
      <c r="H170" s="32">
        <f t="shared" si="91"/>
        <v>2.5477707006369428E-2</v>
      </c>
      <c r="I170" s="91">
        <f>IF(ISNUMBER(G170), $B172 * H170, "")</f>
        <v>3821.6560509554142</v>
      </c>
      <c r="J170" s="15">
        <v>807</v>
      </c>
      <c r="K170" s="32">
        <f t="shared" si="92"/>
        <v>2.802547770700637E-2</v>
      </c>
      <c r="L170" s="18">
        <f>IF(ISNUMBER(J170), $B172 * K170, "")</f>
        <v>4203.8216560509554</v>
      </c>
      <c r="M170" s="31">
        <v>789</v>
      </c>
      <c r="N170" s="32">
        <f t="shared" si="93"/>
        <v>5.0955414012738851E-3</v>
      </c>
      <c r="O170" s="18">
        <f>IF(ISNUMBER(M170), $B172 * N170, "")</f>
        <v>764.33121019108273</v>
      </c>
      <c r="Q170" s="135"/>
      <c r="R170" s="136"/>
      <c r="S170" s="137"/>
    </row>
    <row r="171" spans="1:19" ht="17.25" thickBot="1">
      <c r="A171" s="114" t="s">
        <v>340</v>
      </c>
      <c r="B171" s="115">
        <v>712</v>
      </c>
      <c r="C171" s="72">
        <v>-8.4832904900000006E-2</v>
      </c>
      <c r="D171" s="24">
        <v>712</v>
      </c>
      <c r="E171" s="25">
        <f t="shared" si="90"/>
        <v>0</v>
      </c>
      <c r="F171" s="94">
        <f>IF(ISNUMBER(D171), $B172 * E171, "")</f>
        <v>0</v>
      </c>
      <c r="G171" s="92">
        <v>706</v>
      </c>
      <c r="H171" s="25">
        <f t="shared" si="91"/>
        <v>-8.4269662921348312E-3</v>
      </c>
      <c r="I171" s="93">
        <f>IF(ISNUMBER(G171), $B172 * H171, "")</f>
        <v>-1264.0449438202247</v>
      </c>
      <c r="J171" s="24">
        <v>705</v>
      </c>
      <c r="K171" s="25">
        <f t="shared" si="92"/>
        <v>-9.8314606741573031E-3</v>
      </c>
      <c r="L171" s="94">
        <f>IF(ISNUMBER(J171), $B172 * K171, "")</f>
        <v>-1474.7191011235955</v>
      </c>
      <c r="M171" s="92">
        <v>680</v>
      </c>
      <c r="N171" s="25">
        <f t="shared" si="93"/>
        <v>-4.49438202247191E-2</v>
      </c>
      <c r="O171" s="94">
        <f>IF(ISNUMBER(M171), $B172 * N171, "")</f>
        <v>-6741.5730337078649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1.0133561249943648E-2</v>
      </c>
      <c r="F172" s="28">
        <f>SUM(F152:F171)</f>
        <v>30400.68374983094</v>
      </c>
      <c r="G172" s="26" t="s">
        <v>258</v>
      </c>
      <c r="H172" s="27">
        <f>IF(COUNT(H152:H171), SUM(H152:H171) / COUNT(H152:H171), 0)</f>
        <v>9.1956757281094377E-3</v>
      </c>
      <c r="I172" s="28">
        <f>SUM(I152:I171)</f>
        <v>27587.027184328308</v>
      </c>
      <c r="J172" s="26" t="s">
        <v>258</v>
      </c>
      <c r="K172" s="27">
        <f>IF(COUNT(K152:K171), SUM(K152:K171) / COUNT(K152:K171), 0)</f>
        <v>1.0927186954324805E-2</v>
      </c>
      <c r="L172" s="28">
        <f>SUM(L152:L171)</f>
        <v>32781.560862974409</v>
      </c>
      <c r="M172" s="26" t="s">
        <v>258</v>
      </c>
      <c r="N172" s="27">
        <f>IF(COUNT(N152:N171), SUM(N152:N171) / COUNT(N152:N171), 0)</f>
        <v>-1.5048604126710247E-2</v>
      </c>
      <c r="O172" s="28">
        <f>SUM(O152:O171)</f>
        <v>-45145.812380130752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2023-03-12(일) 오전 00:00</v>
      </c>
      <c r="C177" s="198"/>
      <c r="D177" s="170" t="str">
        <f>TEXT($G$1, "[$-ko-KR]yyyy-mm-dd(ddd) ") &amp; "오후 14:00"</f>
        <v>2023-03-12(일) 오후 14:00</v>
      </c>
      <c r="E177" s="171"/>
      <c r="F177" s="172"/>
      <c r="G177" s="170" t="str">
        <f>TEXT($G$1, "[$-ko-KR]yyyy-mm-dd(ddd) ") &amp; "오후 19:00"</f>
        <v>2023-03-12(일) 오후 19:00</v>
      </c>
      <c r="H177" s="171"/>
      <c r="I177" s="172"/>
      <c r="J177" s="170" t="str">
        <f>TEXT($G$1, "[$-ko-KR]yyyy-mm-dd(ddd) ") &amp; "오후 21:00"</f>
        <v>2023-03-12(일) 오후 21:00</v>
      </c>
      <c r="K177" s="171"/>
      <c r="L177" s="172"/>
      <c r="M177" s="170" t="str">
        <f>TEXT($G$1+1, "[$-ko-KR]yyyy-mm-dd(ddd) ") &amp; "오전 00:00"</f>
        <v>2023-03-13(월)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178</v>
      </c>
      <c r="B179" s="108">
        <v>2100</v>
      </c>
      <c r="C179" s="69">
        <v>-4.5454545499999999E-2</v>
      </c>
      <c r="D179" s="13">
        <v>2085</v>
      </c>
      <c r="E179" s="14">
        <f>IF(ISNUMBER(D179), (D179 - $B179) / $B179, "")</f>
        <v>-7.1428571428571426E-3</v>
      </c>
      <c r="F179" s="16">
        <f>IF(ISNUMBER(D179), $B199 * E179, "")</f>
        <v>-1071.4285714285713</v>
      </c>
      <c r="G179" s="29">
        <v>2080</v>
      </c>
      <c r="H179" s="14">
        <f>IF(ISNUMBER(G179), (G179 - $B179) / $B179, "")</f>
        <v>-9.5238095238095247E-3</v>
      </c>
      <c r="I179" s="90">
        <f>IF(ISNUMBER(G179), $B199 * H179, "")</f>
        <v>-1428.5714285714287</v>
      </c>
      <c r="J179" s="13">
        <v>2085</v>
      </c>
      <c r="K179" s="14">
        <f>IF(ISNUMBER(J179), (J179 - $B179) / $B179, "")</f>
        <v>-7.1428571428571426E-3</v>
      </c>
      <c r="L179" s="16">
        <f>IF(ISNUMBER(J179), $B199 * K179, "")</f>
        <v>-1071.4285714285713</v>
      </c>
      <c r="M179" s="29">
        <v>2040</v>
      </c>
      <c r="N179" s="14">
        <f>IF(ISNUMBER(M179), (M179 - $B179) / $B179, "")</f>
        <v>-2.8571428571428571E-2</v>
      </c>
      <c r="O179" s="16">
        <f>IF(ISNUMBER(M179), $B199 * N179, "")</f>
        <v>-4285.7142857142853</v>
      </c>
      <c r="Q179" s="156"/>
      <c r="R179" s="156"/>
      <c r="S179" s="156"/>
    </row>
    <row r="180" spans="1:19" ht="17.25" thickBot="1">
      <c r="A180" s="109" t="s">
        <v>329</v>
      </c>
      <c r="B180" s="110">
        <v>503</v>
      </c>
      <c r="C180" s="70">
        <v>-4.5540797000000001E-2</v>
      </c>
      <c r="D180" s="15">
        <v>502</v>
      </c>
      <c r="E180" s="32">
        <f t="shared" ref="E180:E183" si="94">IF(ISNUMBER(D180), (D180 - $B180) / $B180, "")</f>
        <v>-1.9880715705765406E-3</v>
      </c>
      <c r="F180" s="18">
        <f>IF(ISNUMBER(D180), $B199 * E180, "")</f>
        <v>-298.21073558648106</v>
      </c>
      <c r="G180" s="31">
        <v>502</v>
      </c>
      <c r="H180" s="32">
        <f t="shared" ref="H180:H183" si="95">IF(ISNUMBER(G180), (G180 - $B180) / $B180, "")</f>
        <v>-1.9880715705765406E-3</v>
      </c>
      <c r="I180" s="91">
        <f>IF(ISNUMBER(G180), $B199 * H180, "")</f>
        <v>-298.21073558648106</v>
      </c>
      <c r="J180" s="15">
        <v>503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489</v>
      </c>
      <c r="N180" s="32">
        <f t="shared" ref="N180:N183" si="97">IF(ISNUMBER(M180), (M180 - $B180) / $B180, "")</f>
        <v>-2.7833001988071572E-2</v>
      </c>
      <c r="O180" s="18">
        <f>IF(ISNUMBER(M180), $B199 * N180, "")</f>
        <v>-4174.950298210736</v>
      </c>
      <c r="Q180" s="156"/>
      <c r="R180" s="156"/>
      <c r="S180" s="156"/>
    </row>
    <row r="181" spans="1:19" ht="17.25" thickBot="1">
      <c r="A181" s="109" t="s">
        <v>189</v>
      </c>
      <c r="B181" s="110">
        <v>1145</v>
      </c>
      <c r="C181" s="70">
        <v>-4.5833333300000001E-2</v>
      </c>
      <c r="D181" s="15">
        <v>1155</v>
      </c>
      <c r="E181" s="32">
        <f t="shared" si="94"/>
        <v>8.7336244541484712E-3</v>
      </c>
      <c r="F181" s="18">
        <f>IF(ISNUMBER(D181), $B199 * E181, "")</f>
        <v>1310.0436681222707</v>
      </c>
      <c r="G181" s="31">
        <v>1160</v>
      </c>
      <c r="H181" s="32">
        <f t="shared" si="95"/>
        <v>1.3100436681222707E-2</v>
      </c>
      <c r="I181" s="91">
        <f>IF(ISNUMBER(G181), $B199 * H181, "")</f>
        <v>1965.0655021834061</v>
      </c>
      <c r="J181" s="15">
        <v>1160</v>
      </c>
      <c r="K181" s="32">
        <f t="shared" si="96"/>
        <v>1.3100436681222707E-2</v>
      </c>
      <c r="L181" s="18">
        <f>IF(ISNUMBER(J181), $B199 * K181, "")</f>
        <v>1965.0655021834061</v>
      </c>
      <c r="M181" s="31">
        <v>1145</v>
      </c>
      <c r="N181" s="32">
        <f t="shared" si="97"/>
        <v>0</v>
      </c>
      <c r="O181" s="18">
        <f>IF(ISNUMBER(M181), $B199 * N181, "")</f>
        <v>0</v>
      </c>
      <c r="Q181" s="146"/>
      <c r="R181" s="146"/>
      <c r="S181" s="146"/>
    </row>
    <row r="182" spans="1:19" ht="17.25" thickBot="1">
      <c r="A182" s="109" t="s">
        <v>348</v>
      </c>
      <c r="B182" s="110">
        <v>19150</v>
      </c>
      <c r="C182" s="70">
        <v>-4.5839561500000001E-2</v>
      </c>
      <c r="D182" s="15">
        <v>19370</v>
      </c>
      <c r="E182" s="32">
        <f t="shared" si="94"/>
        <v>1.1488250652741514E-2</v>
      </c>
      <c r="F182" s="18">
        <f>IF(ISNUMBER(D182), $B199 * E182, "")</f>
        <v>1723.2375979112271</v>
      </c>
      <c r="G182" s="31">
        <v>19360</v>
      </c>
      <c r="H182" s="32">
        <f t="shared" si="95"/>
        <v>1.0966057441253264E-2</v>
      </c>
      <c r="I182" s="91">
        <f>IF(ISNUMBER(G182), $B199 * H182, "")</f>
        <v>1644.9086161879898</v>
      </c>
      <c r="J182" s="15">
        <v>19450</v>
      </c>
      <c r="K182" s="32">
        <f t="shared" si="96"/>
        <v>1.5665796344647518E-2</v>
      </c>
      <c r="L182" s="18">
        <f>IF(ISNUMBER(J182), $B199 * K182, "")</f>
        <v>2349.8694516971277</v>
      </c>
      <c r="M182" s="31">
        <v>19190</v>
      </c>
      <c r="N182" s="32">
        <f t="shared" si="97"/>
        <v>2.0887728459530026E-3</v>
      </c>
      <c r="O182" s="18">
        <f>IF(ISNUMBER(M182), $B199 * N182, "")</f>
        <v>313.31592689295036</v>
      </c>
      <c r="Q182" s="146"/>
      <c r="R182" s="146"/>
      <c r="S182" s="146"/>
    </row>
    <row r="183" spans="1:19" ht="17.25" thickBot="1">
      <c r="A183" s="111" t="s">
        <v>336</v>
      </c>
      <c r="B183" s="112">
        <v>311</v>
      </c>
      <c r="C183" s="71">
        <v>-4.60122699E-2</v>
      </c>
      <c r="D183" s="20">
        <v>317</v>
      </c>
      <c r="E183" s="21">
        <f t="shared" si="94"/>
        <v>1.9292604501607719E-2</v>
      </c>
      <c r="F183" s="22">
        <f>IF(ISNUMBER(D183), $B199 * E183, "")</f>
        <v>2893.8906752411576</v>
      </c>
      <c r="G183" s="30">
        <v>317</v>
      </c>
      <c r="H183" s="21">
        <f t="shared" si="95"/>
        <v>1.9292604501607719E-2</v>
      </c>
      <c r="I183" s="95">
        <f>IF(ISNUMBER(G183), $B199 * H183, "")</f>
        <v>2893.8906752411576</v>
      </c>
      <c r="J183" s="20">
        <v>316</v>
      </c>
      <c r="K183" s="21">
        <f t="shared" si="96"/>
        <v>1.607717041800643E-2</v>
      </c>
      <c r="L183" s="22">
        <f>IF(ISNUMBER(J183), $B199 * K183, "")</f>
        <v>2411.5755627009644</v>
      </c>
      <c r="M183" s="30">
        <v>310</v>
      </c>
      <c r="N183" s="21">
        <f t="shared" si="97"/>
        <v>-3.2154340836012861E-3</v>
      </c>
      <c r="O183" s="22">
        <f>IF(ISNUMBER(M183), $B199 * N183, "")</f>
        <v>-482.3151125401929</v>
      </c>
      <c r="Q183" s="146"/>
      <c r="R183" s="146"/>
      <c r="S183" s="146"/>
    </row>
    <row r="184" spans="1:19" ht="17.25" thickBot="1">
      <c r="A184" s="109" t="s">
        <v>105</v>
      </c>
      <c r="B184" s="113">
        <v>248</v>
      </c>
      <c r="C184" s="73">
        <v>-4.6153846200000001E-2</v>
      </c>
      <c r="D184" s="96">
        <v>247</v>
      </c>
      <c r="E184" s="97">
        <f>IF(ISNUMBER(D184), (D184 - $B184) / $B184, "")</f>
        <v>-4.0322580645161289E-3</v>
      </c>
      <c r="F184" s="98">
        <f>IF(ISNUMBER(D184), $B199 * E184, "")</f>
        <v>-604.83870967741939</v>
      </c>
      <c r="G184" s="99">
        <v>244</v>
      </c>
      <c r="H184" s="97">
        <f>IF(ISNUMBER(G184), (G184 - $B184) / $B184, "")</f>
        <v>-1.6129032258064516E-2</v>
      </c>
      <c r="I184" s="100">
        <f>IF(ISNUMBER(G184), $B199 * H184, "")</f>
        <v>-2419.3548387096776</v>
      </c>
      <c r="J184" s="96">
        <v>246</v>
      </c>
      <c r="K184" s="97">
        <f>IF(ISNUMBER(J184), (J184 - $B184) / $B184, "")</f>
        <v>-8.0645161290322578E-3</v>
      </c>
      <c r="L184" s="98">
        <f>IF(ISNUMBER(J184), $B199 * K184, "")</f>
        <v>-1209.6774193548388</v>
      </c>
      <c r="M184" s="99">
        <v>239</v>
      </c>
      <c r="N184" s="97">
        <f>IF(ISNUMBER(M184), (M184 - $B184) / $B184, "")</f>
        <v>-3.6290322580645164E-2</v>
      </c>
      <c r="O184" s="98">
        <f>IF(ISNUMBER(M184), $B199 * N184, "")</f>
        <v>-5443.5483870967746</v>
      </c>
      <c r="Q184" s="146"/>
      <c r="R184" s="146"/>
      <c r="S184" s="146"/>
    </row>
    <row r="185" spans="1:19" ht="17.25" thickBot="1">
      <c r="A185" s="109" t="s">
        <v>342</v>
      </c>
      <c r="B185" s="110">
        <v>88400</v>
      </c>
      <c r="C185" s="70">
        <v>-4.6180405700000003E-2</v>
      </c>
      <c r="D185" s="15">
        <v>90420</v>
      </c>
      <c r="E185" s="32">
        <f t="shared" ref="E185:E188" si="98">IF(ISNUMBER(D185), (D185 - $B185) / $B185, "")</f>
        <v>2.2850678733031673E-2</v>
      </c>
      <c r="F185" s="18">
        <f>IF(ISNUMBER(D185), $B199 * E185, "")</f>
        <v>3427.6018099547509</v>
      </c>
      <c r="G185" s="31">
        <v>89760</v>
      </c>
      <c r="H185" s="32">
        <f t="shared" ref="H185:H188" si="99">IF(ISNUMBER(G185), (G185 - $B185) / $B185, "")</f>
        <v>1.5384615384615385E-2</v>
      </c>
      <c r="I185" s="91">
        <f>IF(ISNUMBER(G185), $B199 * H185, "")</f>
        <v>2307.6923076923076</v>
      </c>
      <c r="J185" s="15">
        <v>90040</v>
      </c>
      <c r="K185" s="32">
        <f t="shared" ref="K185:K188" si="100">IF(ISNUMBER(J185), (J185 - $B185) / $B185, "")</f>
        <v>1.8552036199095023E-2</v>
      </c>
      <c r="L185" s="18">
        <f>IF(ISNUMBER(J185), $B199 * K185, "")</f>
        <v>2782.8054298642533</v>
      </c>
      <c r="M185" s="31">
        <v>88510</v>
      </c>
      <c r="N185" s="32">
        <f t="shared" ref="N185:N188" si="101">IF(ISNUMBER(M185), (M185 - $B185) / $B185, "")</f>
        <v>1.2443438914027148E-3</v>
      </c>
      <c r="O185" s="18">
        <f>IF(ISNUMBER(M185), $B199 * N185, "")</f>
        <v>186.65158371040724</v>
      </c>
      <c r="Q185" s="146"/>
      <c r="R185" s="146"/>
      <c r="S185" s="146"/>
    </row>
    <row r="186" spans="1:19" ht="17.25" thickBot="1">
      <c r="A186" s="109" t="s">
        <v>64</v>
      </c>
      <c r="B186" s="110">
        <v>11.9</v>
      </c>
      <c r="C186" s="70">
        <v>-4.8000000000000001E-2</v>
      </c>
      <c r="D186" s="15">
        <v>12.2</v>
      </c>
      <c r="E186" s="32">
        <f t="shared" si="98"/>
        <v>2.5210084033613356E-2</v>
      </c>
      <c r="F186" s="18">
        <f>IF(ISNUMBER(D186), $B199 * E186, "")</f>
        <v>3781.5126050420035</v>
      </c>
      <c r="G186" s="31">
        <v>12.3</v>
      </c>
      <c r="H186" s="32">
        <f t="shared" si="99"/>
        <v>3.3613445378151287E-2</v>
      </c>
      <c r="I186" s="91">
        <f>IF(ISNUMBER(G186), $B199 * H186, "")</f>
        <v>5042.0168067226932</v>
      </c>
      <c r="J186" s="15">
        <v>12.3</v>
      </c>
      <c r="K186" s="32">
        <f t="shared" si="100"/>
        <v>3.3613445378151287E-2</v>
      </c>
      <c r="L186" s="18">
        <f>IF(ISNUMBER(J186), $B199 * K186, "")</f>
        <v>5042.0168067226932</v>
      </c>
      <c r="M186" s="31">
        <v>12.1</v>
      </c>
      <c r="N186" s="32">
        <f t="shared" si="101"/>
        <v>1.6806722689075571E-2</v>
      </c>
      <c r="O186" s="18">
        <f>IF(ISNUMBER(M186), $B199 * N186, "")</f>
        <v>2521.0084033613357</v>
      </c>
      <c r="Q186" s="146"/>
      <c r="R186" s="146"/>
      <c r="S186" s="146"/>
    </row>
    <row r="187" spans="1:19" ht="17.25" thickBot="1">
      <c r="A187" s="109" t="s">
        <v>191</v>
      </c>
      <c r="B187" s="110">
        <v>74.7</v>
      </c>
      <c r="C187" s="70">
        <v>-4.8407643299999997E-2</v>
      </c>
      <c r="D187" s="15">
        <v>75.3</v>
      </c>
      <c r="E187" s="32">
        <f t="shared" si="98"/>
        <v>8.0321285140561478E-3</v>
      </c>
      <c r="F187" s="18">
        <f>IF(ISNUMBER(D187), $B199 * E187, "")</f>
        <v>1204.8192771084223</v>
      </c>
      <c r="G187" s="31">
        <v>74.7</v>
      </c>
      <c r="H187" s="32">
        <f t="shared" si="99"/>
        <v>0</v>
      </c>
      <c r="I187" s="91">
        <f>IF(ISNUMBER(G187), $B199 * H187, "")</f>
        <v>0</v>
      </c>
      <c r="J187" s="15">
        <v>75.400000000000006</v>
      </c>
      <c r="K187" s="32">
        <f t="shared" si="100"/>
        <v>9.3708165997323008E-3</v>
      </c>
      <c r="L187" s="18">
        <f>IF(ISNUMBER(J187), $B199 * K187, "")</f>
        <v>1405.6224899598451</v>
      </c>
      <c r="M187" s="31">
        <v>72.599999999999994</v>
      </c>
      <c r="N187" s="32">
        <f t="shared" si="101"/>
        <v>-2.8112449799196901E-2</v>
      </c>
      <c r="O187" s="18">
        <f>IF(ISNUMBER(M187), $B199 * N187, "")</f>
        <v>-4216.8674698795348</v>
      </c>
      <c r="Q187" s="33"/>
      <c r="R187" s="33"/>
    </row>
    <row r="188" spans="1:19" ht="17.25" thickBot="1">
      <c r="A188" s="114" t="s">
        <v>227</v>
      </c>
      <c r="B188" s="115">
        <v>52.6</v>
      </c>
      <c r="C188" s="72">
        <v>-4.8824593100000001E-2</v>
      </c>
      <c r="D188" s="24">
        <v>53</v>
      </c>
      <c r="E188" s="25">
        <f t="shared" si="98"/>
        <v>7.6045627376425586E-3</v>
      </c>
      <c r="F188" s="94">
        <f>IF(ISNUMBER(D188), $B199 * E188, "")</f>
        <v>1140.6844106463839</v>
      </c>
      <c r="G188" s="92">
        <v>52.7</v>
      </c>
      <c r="H188" s="25">
        <f t="shared" si="99"/>
        <v>1.9011406844106733E-3</v>
      </c>
      <c r="I188" s="93">
        <f>IF(ISNUMBER(G188), $B199 * H188, "")</f>
        <v>285.17110266160097</v>
      </c>
      <c r="J188" s="24">
        <v>52.8</v>
      </c>
      <c r="K188" s="25">
        <f t="shared" si="100"/>
        <v>3.8022813688212117E-3</v>
      </c>
      <c r="L188" s="94">
        <f>IF(ISNUMBER(J188), $B199 * K188, "")</f>
        <v>570.3422053231817</v>
      </c>
      <c r="M188" s="92">
        <v>51.5</v>
      </c>
      <c r="N188" s="25">
        <f t="shared" si="101"/>
        <v>-2.0912547528517136E-2</v>
      </c>
      <c r="O188" s="94">
        <f>IF(ISNUMBER(M188), $B199 * N188, "")</f>
        <v>-3136.8821292775706</v>
      </c>
      <c r="Q188" s="147"/>
      <c r="R188" s="148"/>
      <c r="S188" s="149"/>
    </row>
    <row r="189" spans="1:19">
      <c r="A189" s="107" t="s">
        <v>352</v>
      </c>
      <c r="B189" s="108">
        <v>232</v>
      </c>
      <c r="C189" s="69">
        <v>-4.9180327900000001E-2</v>
      </c>
      <c r="D189" s="13">
        <v>230</v>
      </c>
      <c r="E189" s="14">
        <f>IF(ISNUMBER(D189), (D189 - $B189) / $B189, "")</f>
        <v>-8.6206896551724137E-3</v>
      </c>
      <c r="F189" s="16">
        <f>IF(ISNUMBER(D189), $B199 * E189, "")</f>
        <v>-1293.1034482758621</v>
      </c>
      <c r="G189" s="29">
        <v>236</v>
      </c>
      <c r="H189" s="14">
        <f>IF(ISNUMBER(G189), (G189 - $B189) / $B189, "")</f>
        <v>1.7241379310344827E-2</v>
      </c>
      <c r="I189" s="90">
        <f>IF(ISNUMBER(G189), $B199 * H189, "")</f>
        <v>2586.2068965517242</v>
      </c>
      <c r="J189" s="13">
        <v>233</v>
      </c>
      <c r="K189" s="14">
        <f>IF(ISNUMBER(J189), (J189 - $B189) / $B189, "")</f>
        <v>4.3103448275862068E-3</v>
      </c>
      <c r="L189" s="16">
        <f>IF(ISNUMBER(J189), $B199 * K189, "")</f>
        <v>646.55172413793105</v>
      </c>
      <c r="M189" s="29">
        <v>228</v>
      </c>
      <c r="N189" s="14">
        <f>IF(ISNUMBER(M189), (M189 - $B189) / $B189, "")</f>
        <v>-1.7241379310344827E-2</v>
      </c>
      <c r="O189" s="16">
        <f>IF(ISNUMBER(M189), $B199 * N189, "")</f>
        <v>-2586.2068965517242</v>
      </c>
      <c r="Q189" s="150"/>
      <c r="R189" s="151"/>
      <c r="S189" s="152"/>
    </row>
    <row r="190" spans="1:19" ht="17.25" thickBot="1">
      <c r="A190" s="109" t="s">
        <v>136</v>
      </c>
      <c r="B190" s="110">
        <v>3570</v>
      </c>
      <c r="C190" s="70">
        <v>-4.9267643100000001E-2</v>
      </c>
      <c r="D190" s="15">
        <v>3585</v>
      </c>
      <c r="E190" s="32">
        <f t="shared" ref="E190:E193" si="102">IF(ISNUMBER(D190), (D190 - $B190) / $B190, "")</f>
        <v>4.2016806722689074E-3</v>
      </c>
      <c r="F190" s="18">
        <f>IF(ISNUMBER(D190), $B199 * E190, "")</f>
        <v>630.25210084033608</v>
      </c>
      <c r="G190" s="31">
        <v>3580</v>
      </c>
      <c r="H190" s="32">
        <f t="shared" ref="H190:H193" si="103">IF(ISNUMBER(G190), (G190 - $B190) / $B190, "")</f>
        <v>2.8011204481792717E-3</v>
      </c>
      <c r="I190" s="91">
        <f>IF(ISNUMBER(G190), $B199 * H190, "")</f>
        <v>420.16806722689074</v>
      </c>
      <c r="J190" s="15">
        <v>3600</v>
      </c>
      <c r="K190" s="32">
        <f t="shared" ref="K190:K193" si="104">IF(ISNUMBER(J190), (J190 - $B190) / $B190, "")</f>
        <v>8.4033613445378148E-3</v>
      </c>
      <c r="L190" s="18">
        <f>IF(ISNUMBER(J190), $B199 * K190, "")</f>
        <v>1260.5042016806722</v>
      </c>
      <c r="M190" s="31">
        <v>3510</v>
      </c>
      <c r="N190" s="32">
        <f t="shared" ref="N190:N193" si="105">IF(ISNUMBER(M190), (M190 - $B190) / $B190, "")</f>
        <v>-1.680672268907563E-2</v>
      </c>
      <c r="O190" s="18">
        <f>IF(ISNUMBER(M190), $B199 * N190, "")</f>
        <v>-2521.0084033613443</v>
      </c>
      <c r="Q190" s="153"/>
      <c r="R190" s="154"/>
      <c r="S190" s="155"/>
    </row>
    <row r="191" spans="1:19" ht="17.25" thickBot="1">
      <c r="A191" s="109" t="s">
        <v>130</v>
      </c>
      <c r="B191" s="110">
        <v>785</v>
      </c>
      <c r="C191" s="70">
        <v>-5.3075995199999997E-2</v>
      </c>
      <c r="D191" s="15">
        <v>807</v>
      </c>
      <c r="E191" s="32">
        <f t="shared" si="102"/>
        <v>2.802547770700637E-2</v>
      </c>
      <c r="F191" s="18">
        <f>IF(ISNUMBER(D191), $B199 * E191, "")</f>
        <v>4203.8216560509554</v>
      </c>
      <c r="G191" s="31">
        <v>805</v>
      </c>
      <c r="H191" s="32">
        <f t="shared" si="103"/>
        <v>2.5477707006369428E-2</v>
      </c>
      <c r="I191" s="91">
        <f>IF(ISNUMBER(G191), $B199 * H191, "")</f>
        <v>3821.6560509554142</v>
      </c>
      <c r="J191" s="15">
        <v>807</v>
      </c>
      <c r="K191" s="32">
        <f t="shared" si="104"/>
        <v>2.802547770700637E-2</v>
      </c>
      <c r="L191" s="18">
        <f>IF(ISNUMBER(J191), $B199 * K191, "")</f>
        <v>4203.8216560509554</v>
      </c>
      <c r="M191" s="31">
        <v>789</v>
      </c>
      <c r="N191" s="32">
        <f t="shared" si="105"/>
        <v>5.0955414012738851E-3</v>
      </c>
      <c r="O191" s="18">
        <f>IF(ISNUMBER(M191), $B199 * N191, "")</f>
        <v>764.33121019108273</v>
      </c>
      <c r="Q191" s="146"/>
      <c r="R191" s="146"/>
      <c r="S191" s="146"/>
    </row>
    <row r="192" spans="1:19" ht="17.25" thickBot="1">
      <c r="A192" s="109" t="s">
        <v>163</v>
      </c>
      <c r="B192" s="110">
        <v>9495</v>
      </c>
      <c r="C192" s="70">
        <v>-5.5223880599999997E-2</v>
      </c>
      <c r="D192" s="15">
        <v>9990</v>
      </c>
      <c r="E192" s="32">
        <f t="shared" si="102"/>
        <v>5.2132701421800945E-2</v>
      </c>
      <c r="F192" s="18">
        <f>IF(ISNUMBER(D192), $B199 * E192, "")</f>
        <v>7819.9052132701418</v>
      </c>
      <c r="G192" s="31">
        <v>9995</v>
      </c>
      <c r="H192" s="32">
        <f t="shared" si="103"/>
        <v>5.2659294365455502E-2</v>
      </c>
      <c r="I192" s="91">
        <f>IF(ISNUMBER(G192), $B199 * H192, "")</f>
        <v>7898.8941548183257</v>
      </c>
      <c r="J192" s="15">
        <v>10570</v>
      </c>
      <c r="K192" s="32">
        <f t="shared" si="104"/>
        <v>0.11321748288572933</v>
      </c>
      <c r="L192" s="18">
        <f>IF(ISNUMBER(J192), $B199 * K192, "")</f>
        <v>16982.6224328594</v>
      </c>
      <c r="M192" s="31">
        <v>9990</v>
      </c>
      <c r="N192" s="32">
        <f t="shared" si="105"/>
        <v>5.2132701421800945E-2</v>
      </c>
      <c r="O192" s="18">
        <f>IF(ISNUMBER(M192), $B199 * N192, "")</f>
        <v>7819.9052132701418</v>
      </c>
      <c r="Q192" s="156"/>
      <c r="R192" s="156"/>
      <c r="S192" s="156"/>
    </row>
    <row r="193" spans="1:19" ht="17.25" thickBot="1">
      <c r="A193" s="111" t="s">
        <v>62</v>
      </c>
      <c r="B193" s="112">
        <v>12580</v>
      </c>
      <c r="C193" s="71">
        <v>-5.6264066000000001E-2</v>
      </c>
      <c r="D193" s="20">
        <v>12770</v>
      </c>
      <c r="E193" s="21">
        <f t="shared" si="102"/>
        <v>1.5103338632750398E-2</v>
      </c>
      <c r="F193" s="22">
        <f>IF(ISNUMBER(D193), $B199 * E193, "")</f>
        <v>2265.5007949125597</v>
      </c>
      <c r="G193" s="30">
        <v>12650</v>
      </c>
      <c r="H193" s="21">
        <f t="shared" si="103"/>
        <v>5.5643879173290934E-3</v>
      </c>
      <c r="I193" s="95">
        <f>IF(ISNUMBER(G193), $B199 * H193, "")</f>
        <v>834.65818759936406</v>
      </c>
      <c r="J193" s="20">
        <v>12640</v>
      </c>
      <c r="K193" s="21">
        <f t="shared" si="104"/>
        <v>4.7694753577106515E-3</v>
      </c>
      <c r="L193" s="22">
        <f>IF(ISNUMBER(J193), $B199 * K193, "")</f>
        <v>715.42130365659773</v>
      </c>
      <c r="M193" s="30">
        <v>12360</v>
      </c>
      <c r="N193" s="21">
        <f t="shared" si="105"/>
        <v>-1.7488076311605722E-2</v>
      </c>
      <c r="O193" s="22">
        <f>IF(ISNUMBER(M193), $B199 * N193, "")</f>
        <v>-2623.2114467408583</v>
      </c>
      <c r="Q193" s="156"/>
      <c r="R193" s="156"/>
      <c r="S193" s="156"/>
    </row>
    <row r="194" spans="1:19" ht="17.25" thickBot="1">
      <c r="A194" s="109" t="s">
        <v>344</v>
      </c>
      <c r="B194" s="113">
        <v>13710</v>
      </c>
      <c r="C194" s="73">
        <v>-6.2884483899999996E-2</v>
      </c>
      <c r="D194" s="96">
        <v>14000</v>
      </c>
      <c r="E194" s="97">
        <f>IF(ISNUMBER(D194), (D194 - $B194) / $B194, "")</f>
        <v>2.1152443471918306E-2</v>
      </c>
      <c r="F194" s="98">
        <f>IF(ISNUMBER(D194), $B199 * E194, "")</f>
        <v>3172.8665207877461</v>
      </c>
      <c r="G194" s="99">
        <v>13840</v>
      </c>
      <c r="H194" s="97">
        <f>IF(ISNUMBER(G194), (G194 - $B194) / $B194, "")</f>
        <v>9.4821298322392417E-3</v>
      </c>
      <c r="I194" s="100">
        <f>IF(ISNUMBER(G194), $B199 * H194, "")</f>
        <v>1422.3194748358862</v>
      </c>
      <c r="J194" s="96">
        <v>13900</v>
      </c>
      <c r="K194" s="97">
        <f>IF(ISNUMBER(J194), (J194 - $B194) / $B194, "")</f>
        <v>1.3858497447118891E-2</v>
      </c>
      <c r="L194" s="98">
        <f>IF(ISNUMBER(J194), $B199 * K194, "")</f>
        <v>2078.7746170678338</v>
      </c>
      <c r="M194" s="99">
        <v>13570</v>
      </c>
      <c r="N194" s="97">
        <f>IF(ISNUMBER(M194), (M194 - $B194) / $B194, "")</f>
        <v>-1.0211524434719184E-2</v>
      </c>
      <c r="O194" s="98">
        <f>IF(ISNUMBER(M194), $B199 * N194, "")</f>
        <v>-1531.7286652078776</v>
      </c>
      <c r="Q194" s="146"/>
      <c r="R194" s="146"/>
      <c r="S194" s="146"/>
    </row>
    <row r="195" spans="1:19" ht="17.25" thickBot="1">
      <c r="A195" s="109" t="s">
        <v>334</v>
      </c>
      <c r="B195" s="110">
        <v>42.6</v>
      </c>
      <c r="C195" s="70">
        <v>-6.3736263700000004E-2</v>
      </c>
      <c r="D195" s="15">
        <v>42.9</v>
      </c>
      <c r="E195" s="32">
        <f t="shared" ref="E195:E198" si="106">IF(ISNUMBER(D195), (D195 - $B195) / $B195, "")</f>
        <v>7.0422535211266939E-3</v>
      </c>
      <c r="F195" s="18">
        <f>IF(ISNUMBER(D195), $B199 * E195, "")</f>
        <v>1056.338028169004</v>
      </c>
      <c r="G195" s="31">
        <v>42.8</v>
      </c>
      <c r="H195" s="32">
        <f t="shared" ref="H195:H198" si="107">IF(ISNUMBER(G195), (G195 - $B195) / $B195, "")</f>
        <v>4.6948356807510732E-3</v>
      </c>
      <c r="I195" s="91">
        <f>IF(ISNUMBER(G195), $B199 * H195, "")</f>
        <v>704.22535211266097</v>
      </c>
      <c r="J195" s="15">
        <v>42.9</v>
      </c>
      <c r="K195" s="32">
        <f t="shared" ref="K195:K198" si="108">IF(ISNUMBER(J195), (J195 - $B195) / $B195, "")</f>
        <v>7.0422535211266939E-3</v>
      </c>
      <c r="L195" s="18">
        <f>IF(ISNUMBER(J195), $B199 * K195, "")</f>
        <v>1056.338028169004</v>
      </c>
      <c r="M195" s="31">
        <v>41.7</v>
      </c>
      <c r="N195" s="32">
        <f t="shared" ref="N195:N198" si="109">IF(ISNUMBER(M195), (M195 - $B195) / $B195, "")</f>
        <v>-2.1126760563380247E-2</v>
      </c>
      <c r="O195" s="18">
        <f>IF(ISNUMBER(M195), $B199 * N195, "")</f>
        <v>-3169.0140845070368</v>
      </c>
      <c r="Q195" s="146"/>
      <c r="R195" s="146"/>
      <c r="S195" s="146"/>
    </row>
    <row r="196" spans="1:19" ht="17.25" thickBot="1">
      <c r="A196" s="109" t="s">
        <v>195</v>
      </c>
      <c r="B196" s="110">
        <v>7.83</v>
      </c>
      <c r="C196" s="70">
        <v>-6.67461263E-2</v>
      </c>
      <c r="D196" s="15">
        <v>7.7</v>
      </c>
      <c r="E196" s="32">
        <f t="shared" si="106"/>
        <v>-1.6602809706257968E-2</v>
      </c>
      <c r="F196" s="18">
        <f>IF(ISNUMBER(D196), $B199 * E196, "")</f>
        <v>-2490.4214559386951</v>
      </c>
      <c r="G196" s="31">
        <v>7.57</v>
      </c>
      <c r="H196" s="32">
        <f t="shared" si="107"/>
        <v>-3.3205619412515937E-2</v>
      </c>
      <c r="I196" s="91">
        <f>IF(ISNUMBER(G196), $B199 * H196, "")</f>
        <v>-4980.8429118773902</v>
      </c>
      <c r="J196" s="15">
        <v>7.57</v>
      </c>
      <c r="K196" s="32">
        <f t="shared" si="108"/>
        <v>-3.3205619412515937E-2</v>
      </c>
      <c r="L196" s="18">
        <f>IF(ISNUMBER(J196), $B199 * K196, "")</f>
        <v>-4980.8429118773902</v>
      </c>
      <c r="M196" s="31">
        <v>7.37</v>
      </c>
      <c r="N196" s="32">
        <f t="shared" si="109"/>
        <v>-5.8748403575989774E-2</v>
      </c>
      <c r="O196" s="18">
        <f>IF(ISNUMBER(M196), $B199 * N196, "")</f>
        <v>-8812.2605363984658</v>
      </c>
      <c r="Q196" s="146"/>
      <c r="R196" s="146"/>
      <c r="S196" s="146"/>
    </row>
    <row r="197" spans="1:19">
      <c r="A197" s="109" t="s">
        <v>83</v>
      </c>
      <c r="B197" s="110">
        <v>1325</v>
      </c>
      <c r="C197" s="70">
        <v>-6.6901408499999995E-2</v>
      </c>
      <c r="D197" s="15">
        <v>1330</v>
      </c>
      <c r="E197" s="32">
        <f t="shared" si="106"/>
        <v>3.7735849056603774E-3</v>
      </c>
      <c r="F197" s="18">
        <f>IF(ISNUMBER(D197), $B199 * E197, "")</f>
        <v>566.03773584905662</v>
      </c>
      <c r="G197" s="31">
        <v>1325</v>
      </c>
      <c r="H197" s="32">
        <f t="shared" si="107"/>
        <v>0</v>
      </c>
      <c r="I197" s="91">
        <f>IF(ISNUMBER(G197), $B199 * H197, "")</f>
        <v>0</v>
      </c>
      <c r="J197" s="15">
        <v>1330</v>
      </c>
      <c r="K197" s="32">
        <f t="shared" si="108"/>
        <v>3.7735849056603774E-3</v>
      </c>
      <c r="L197" s="18">
        <f>IF(ISNUMBER(J197), $B199 * K197, "")</f>
        <v>566.03773584905662</v>
      </c>
      <c r="M197" s="31">
        <v>1300</v>
      </c>
      <c r="N197" s="32">
        <f t="shared" si="109"/>
        <v>-1.8867924528301886E-2</v>
      </c>
      <c r="O197" s="18">
        <f>IF(ISNUMBER(M197), $B199 * N197, "")</f>
        <v>-2830.1886792452829</v>
      </c>
      <c r="Q197" s="135"/>
      <c r="R197" s="136"/>
      <c r="S197" s="137"/>
    </row>
    <row r="198" spans="1:19" ht="17.25" thickBot="1">
      <c r="A198" s="114" t="s">
        <v>340</v>
      </c>
      <c r="B198" s="115">
        <v>712</v>
      </c>
      <c r="C198" s="72">
        <v>-8.4832904900000006E-2</v>
      </c>
      <c r="D198" s="24">
        <v>712</v>
      </c>
      <c r="E198" s="25">
        <f t="shared" si="106"/>
        <v>0</v>
      </c>
      <c r="F198" s="94">
        <f>IF(ISNUMBER(D198), $B199 * E198, "")</f>
        <v>0</v>
      </c>
      <c r="G198" s="92">
        <v>706</v>
      </c>
      <c r="H198" s="25">
        <f t="shared" si="107"/>
        <v>-8.4269662921348312E-3</v>
      </c>
      <c r="I198" s="93">
        <f>IF(ISNUMBER(G198), $B199 * H198, "")</f>
        <v>-1264.0449438202247</v>
      </c>
      <c r="J198" s="24">
        <v>705</v>
      </c>
      <c r="K198" s="25">
        <f t="shared" si="108"/>
        <v>-9.8314606741573031E-3</v>
      </c>
      <c r="L198" s="94">
        <f>IF(ISNUMBER(J198), $B199 * K198, "")</f>
        <v>-1474.7191011235955</v>
      </c>
      <c r="M198" s="92">
        <v>680</v>
      </c>
      <c r="N198" s="25">
        <f t="shared" si="109"/>
        <v>-4.49438202247191E-2</v>
      </c>
      <c r="O198" s="94">
        <f>IF(ISNUMBER(M198), $B199 * N198, "")</f>
        <v>-6741.5730337078649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9.8128363909996599E-3</v>
      </c>
      <c r="F199" s="28">
        <f>SUM(F179:F198)</f>
        <v>29438.509172998984</v>
      </c>
      <c r="G199" s="26" t="s">
        <v>258</v>
      </c>
      <c r="H199" s="27">
        <f>IF(COUNT(H179:H198), SUM(H179:H198) / COUNT(H179:H198), 0)</f>
        <v>7.1452827787414092E-3</v>
      </c>
      <c r="I199" s="28">
        <f>SUM(I179:I198)</f>
        <v>21435.848336224226</v>
      </c>
      <c r="J199" s="26" t="s">
        <v>258</v>
      </c>
      <c r="K199" s="27">
        <f>IF(COUNT(K179:K198), SUM(K179:K198) / COUNT(K179:K198), 0)</f>
        <v>1.1766900381379508E-2</v>
      </c>
      <c r="L199" s="28">
        <f>SUM(L179:L198)</f>
        <v>35300.70114413854</v>
      </c>
      <c r="M199" s="26" t="s">
        <v>258</v>
      </c>
      <c r="N199" s="27">
        <f>IF(COUNT(N179:N198), SUM(N179:N198) / COUNT(N179:N198), 0)</f>
        <v>-1.3650085697004544E-2</v>
      </c>
      <c r="O199" s="28">
        <f>SUM(O179:O198)</f>
        <v>-40950.257091013635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92A5-AA8A-4D18-A2D7-D695F1B33D4E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44998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269,685 KRW (8.99%)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312,540 KRW (10.42%)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311,594 KRW (10.39%)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443,616 KRW (14.79%)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2023-03-13(월) 오전 00:00</v>
      </c>
      <c r="C15" s="196"/>
      <c r="D15" s="170" t="str">
        <f>TEXT($G$1, "[$-ko-KR]yyyy-mm-dd(ddd) ") &amp; "오후 14:00"</f>
        <v>2023-03-13(월) 오후 14:00</v>
      </c>
      <c r="E15" s="171"/>
      <c r="F15" s="172"/>
      <c r="G15" s="170" t="str">
        <f>TEXT($G$1, "[$-ko-KR]yyyy-mm-dd(ddd) ") &amp; "오후 19:00"</f>
        <v>2023-03-13(월) 오후 19:00</v>
      </c>
      <c r="H15" s="171"/>
      <c r="I15" s="172"/>
      <c r="J15" s="170" t="str">
        <f>TEXT($G$1, "[$-ko-KR]yyyy-mm-dd(ddd) ") &amp; "오후 21:00"</f>
        <v>2023-03-13(월) 오후 21:00</v>
      </c>
      <c r="K15" s="171"/>
      <c r="L15" s="172"/>
      <c r="M15" s="170" t="str">
        <f>TEXT($G$1+1, "[$-ko-KR]yyyy-mm-dd(ddd) ") &amp; "오전 00:00"</f>
        <v>2023-03-14(화)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2023-03-13(월) 오전 00:00</v>
      </c>
      <c r="C42" s="198"/>
      <c r="D42" s="170" t="str">
        <f>TEXT($G$1, "[$-ko-KR]yyyy-mm-dd(ddd) ") &amp; "오후 14:00"</f>
        <v>2023-03-13(월) 오후 14:00</v>
      </c>
      <c r="E42" s="171"/>
      <c r="F42" s="172"/>
      <c r="G42" s="170" t="str">
        <f>TEXT($G$1, "[$-ko-KR]yyyy-mm-dd(ddd) ") &amp; "오후 19:00"</f>
        <v>2023-03-13(월) 오후 19:00</v>
      </c>
      <c r="H42" s="171"/>
      <c r="I42" s="172"/>
      <c r="J42" s="170" t="str">
        <f>TEXT($G$1, "[$-ko-KR]yyyy-mm-dd(ddd) ") &amp; "오후 21:00"</f>
        <v>2023-03-13(월) 오후 21:00</v>
      </c>
      <c r="K42" s="171"/>
      <c r="L42" s="172"/>
      <c r="M42" s="170" t="str">
        <f>TEXT($G$1+1, "[$-ko-KR]yyyy-mm-dd(ddd) ") &amp; "오전 00:00"</f>
        <v>2023-03-14(화)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97</v>
      </c>
      <c r="B44" s="108">
        <v>8.0000000000000004E-4</v>
      </c>
      <c r="C44" s="69">
        <v>0</v>
      </c>
      <c r="D44" s="13">
        <v>8.9999999999999998E-4</v>
      </c>
      <c r="E44" s="14">
        <f>IF(ISNUMBER(D44), (D44 - $B44) / $B44, "")</f>
        <v>0.12499999999999992</v>
      </c>
      <c r="F44" s="16">
        <f>IF(ISNUMBER(D44), $B64 * E44, "")</f>
        <v>18749.999999999989</v>
      </c>
      <c r="G44" s="29">
        <v>8.9999999999999998E-4</v>
      </c>
      <c r="H44" s="14">
        <f>IF(ISNUMBER(G44), (G44 - $B44) / $B44, "")</f>
        <v>0.12499999999999992</v>
      </c>
      <c r="I44" s="90">
        <f>IF(ISNUMBER(G44), $B64 * H44, "")</f>
        <v>18749.999999999989</v>
      </c>
      <c r="J44" s="13">
        <v>8.0000000000000004E-4</v>
      </c>
      <c r="K44" s="14">
        <f>IF(ISNUMBER(J44), (J44 - $B44) / $B44, "")</f>
        <v>0</v>
      </c>
      <c r="L44" s="16">
        <f>IF(ISNUMBER(J44), $B64 * K44, "")</f>
        <v>0</v>
      </c>
      <c r="M44" s="29">
        <v>8.9999999999999998E-4</v>
      </c>
      <c r="N44" s="14">
        <f>IF(ISNUMBER(M44), (M44 - $B44) / $B44, "")</f>
        <v>0.12499999999999992</v>
      </c>
      <c r="O44" s="16">
        <f>IF(ISNUMBER(M44), $B64 * N44, "")</f>
        <v>18749.999999999989</v>
      </c>
      <c r="Q44" s="156"/>
      <c r="R44" s="156"/>
      <c r="S44" s="156"/>
    </row>
    <row r="45" spans="1:19" ht="17.25" customHeight="1" thickBot="1">
      <c r="A45" s="109" t="s">
        <v>145</v>
      </c>
      <c r="B45" s="110">
        <v>79.099999999999994</v>
      </c>
      <c r="C45" s="70">
        <v>-7.5282309000000002E-3</v>
      </c>
      <c r="D45" s="15">
        <v>88.6</v>
      </c>
      <c r="E45" s="32">
        <f t="shared" ref="E45:E48" si="14">IF(ISNUMBER(D45), (D45 - $B45) / $B45, "")</f>
        <v>0.12010113780025285</v>
      </c>
      <c r="F45" s="18">
        <f>IF(ISNUMBER(D45), $B64 * E45, "")</f>
        <v>18015.170670037925</v>
      </c>
      <c r="G45" s="31">
        <v>86.2</v>
      </c>
      <c r="H45" s="32">
        <f t="shared" ref="H45:H48" si="15">IF(ISNUMBER(G45), (G45 - $B45) / $B45, "")</f>
        <v>8.9759797724399612E-2</v>
      </c>
      <c r="I45" s="91">
        <f>IF(ISNUMBER(G45), $B64 * H45, "")</f>
        <v>13463.969658659942</v>
      </c>
      <c r="J45" s="15">
        <v>86.5</v>
      </c>
      <c r="K45" s="32">
        <f t="shared" ref="K45:K48" si="16">IF(ISNUMBER(J45), (J45 - $B45) / $B45, "")</f>
        <v>9.3552465233881235E-2</v>
      </c>
      <c r="L45" s="18">
        <f>IF(ISNUMBER(J45), $B64 * K45, "")</f>
        <v>14032.869785082185</v>
      </c>
      <c r="M45" s="31">
        <v>88.9</v>
      </c>
      <c r="N45" s="32">
        <f t="shared" ref="N45:N48" si="17">IF(ISNUMBER(M45), (M45 - $B45) / $B45, "")</f>
        <v>0.12389380530973466</v>
      </c>
      <c r="O45" s="18">
        <f>IF(ISNUMBER(M45), $B64 * N45, "")</f>
        <v>18584.070796460201</v>
      </c>
      <c r="Q45" s="156"/>
      <c r="R45" s="156"/>
      <c r="S45" s="156"/>
    </row>
    <row r="46" spans="1:19" ht="17.25" customHeight="1" thickBot="1">
      <c r="A46" s="109" t="s">
        <v>237</v>
      </c>
      <c r="B46" s="110">
        <v>30.9</v>
      </c>
      <c r="C46" s="70">
        <v>-1.27795527E-2</v>
      </c>
      <c r="D46" s="15">
        <v>33.5</v>
      </c>
      <c r="E46" s="32">
        <f t="shared" si="14"/>
        <v>8.4142394822006528E-2</v>
      </c>
      <c r="F46" s="18">
        <f>IF(ISNUMBER(D46), $B64 * E46, "")</f>
        <v>12621.359223300979</v>
      </c>
      <c r="G46" s="31">
        <v>32.9</v>
      </c>
      <c r="H46" s="32">
        <f t="shared" si="15"/>
        <v>6.4724919093851141E-2</v>
      </c>
      <c r="I46" s="91">
        <f>IF(ISNUMBER(G46), $B64 * H46, "")</f>
        <v>9708.7378640776715</v>
      </c>
      <c r="J46" s="15">
        <v>33.799999999999997</v>
      </c>
      <c r="K46" s="32">
        <f t="shared" si="16"/>
        <v>9.3851132686084096E-2</v>
      </c>
      <c r="L46" s="18">
        <f>IF(ISNUMBER(J46), $B64 * K46, "")</f>
        <v>14077.669902912614</v>
      </c>
      <c r="M46" s="31">
        <v>34.299999999999997</v>
      </c>
      <c r="N46" s="32">
        <f t="shared" si="17"/>
        <v>0.11003236245954688</v>
      </c>
      <c r="O46" s="18">
        <f>IF(ISNUMBER(M46), $B64 * N46, "")</f>
        <v>16504.854368932032</v>
      </c>
      <c r="Q46" s="146"/>
      <c r="R46" s="146"/>
      <c r="S46" s="146"/>
    </row>
    <row r="47" spans="1:19" ht="17.25" customHeight="1" thickBot="1">
      <c r="A47" s="109" t="s">
        <v>323</v>
      </c>
      <c r="B47" s="110">
        <v>85.7</v>
      </c>
      <c r="C47" s="70">
        <v>-1.6073478799999999E-2</v>
      </c>
      <c r="D47" s="15">
        <v>89.5</v>
      </c>
      <c r="E47" s="32">
        <f t="shared" si="14"/>
        <v>4.4340723453908951E-2</v>
      </c>
      <c r="F47" s="18">
        <f>IF(ISNUMBER(D47), $B64 * E47, "")</f>
        <v>6651.1085180863429</v>
      </c>
      <c r="G47" s="31">
        <v>88</v>
      </c>
      <c r="H47" s="32">
        <f t="shared" si="15"/>
        <v>2.6837806301050142E-2</v>
      </c>
      <c r="I47" s="91">
        <f>IF(ISNUMBER(G47), $B64 * H47, "")</f>
        <v>4025.6709451575211</v>
      </c>
      <c r="J47" s="15">
        <v>88.8</v>
      </c>
      <c r="K47" s="32">
        <f t="shared" si="16"/>
        <v>3.6172695449241475E-2</v>
      </c>
      <c r="L47" s="18">
        <f>IF(ISNUMBER(J47), $B64 * K47, "")</f>
        <v>5425.904317386221</v>
      </c>
      <c r="M47" s="31">
        <v>92.3</v>
      </c>
      <c r="N47" s="32">
        <f t="shared" si="17"/>
        <v>7.70128354725787E-2</v>
      </c>
      <c r="O47" s="18">
        <f>IF(ISNUMBER(M47), $B64 * N47, "")</f>
        <v>11551.925320886805</v>
      </c>
      <c r="Q47" s="146"/>
      <c r="R47" s="146"/>
      <c r="S47" s="146"/>
    </row>
    <row r="48" spans="1:19" ht="17.25" customHeight="1" thickBot="1">
      <c r="A48" s="111" t="s">
        <v>64</v>
      </c>
      <c r="B48" s="112">
        <v>12.1</v>
      </c>
      <c r="C48" s="71">
        <v>-1.6260162599999999E-2</v>
      </c>
      <c r="D48" s="20">
        <v>13</v>
      </c>
      <c r="E48" s="21">
        <f t="shared" si="14"/>
        <v>7.4380165289256228E-2</v>
      </c>
      <c r="F48" s="22">
        <f>IF(ISNUMBER(D48), $B64 * E48, "")</f>
        <v>11157.024793388435</v>
      </c>
      <c r="G48" s="30">
        <v>12.7</v>
      </c>
      <c r="H48" s="21">
        <f t="shared" si="15"/>
        <v>4.9586776859504106E-2</v>
      </c>
      <c r="I48" s="95">
        <f>IF(ISNUMBER(G48), $B64 * H48, "")</f>
        <v>7438.0165289256156</v>
      </c>
      <c r="J48" s="20">
        <v>12.9</v>
      </c>
      <c r="K48" s="21">
        <f t="shared" si="16"/>
        <v>6.61157024793389E-2</v>
      </c>
      <c r="L48" s="22">
        <f>IF(ISNUMBER(J48), $B64 * K48, "")</f>
        <v>9917.3553719008341</v>
      </c>
      <c r="M48" s="30">
        <v>13.4</v>
      </c>
      <c r="N48" s="21">
        <f t="shared" si="17"/>
        <v>0.10743801652892568</v>
      </c>
      <c r="O48" s="22">
        <f>IF(ISNUMBER(M48), $B64 * N48, "")</f>
        <v>16115.702479338852</v>
      </c>
      <c r="Q48" s="146"/>
      <c r="R48" s="146"/>
      <c r="S48" s="146"/>
    </row>
    <row r="49" spans="1:19" ht="17.25" customHeight="1" thickBot="1">
      <c r="A49" s="109" t="s">
        <v>253</v>
      </c>
      <c r="B49" s="113">
        <v>87.9</v>
      </c>
      <c r="C49" s="73">
        <v>-1.8973214299999999E-2</v>
      </c>
      <c r="D49" s="96">
        <v>92.6</v>
      </c>
      <c r="E49" s="97">
        <f>IF(ISNUMBER(D49), (D49 - $B49) / $B49, "")</f>
        <v>5.3469852104664262E-2</v>
      </c>
      <c r="F49" s="98">
        <f>IF(ISNUMBER(D49), $B64 * E49, "")</f>
        <v>8020.477815699639</v>
      </c>
      <c r="G49" s="99">
        <v>90.8</v>
      </c>
      <c r="H49" s="97">
        <f>IF(ISNUMBER(G49), (G49 - $B49) / $B49, "")</f>
        <v>3.2992036405005587E-2</v>
      </c>
      <c r="I49" s="100">
        <f>IF(ISNUMBER(G49), $B64 * H49, "")</f>
        <v>4948.8054607508384</v>
      </c>
      <c r="J49" s="96">
        <v>91.4</v>
      </c>
      <c r="K49" s="97">
        <f>IF(ISNUMBER(J49), (J49 - $B49) / $B49, "")</f>
        <v>3.981797497155859E-2</v>
      </c>
      <c r="L49" s="98">
        <f>IF(ISNUMBER(J49), $B64 * K49, "")</f>
        <v>5972.6962457337886</v>
      </c>
      <c r="M49" s="99">
        <v>94.5</v>
      </c>
      <c r="N49" s="97">
        <f>IF(ISNUMBER(M49), (M49 - $B49) / $B49, "")</f>
        <v>7.5085324232081835E-2</v>
      </c>
      <c r="O49" s="98">
        <f>IF(ISNUMBER(M49), $B64 * N49, "")</f>
        <v>11262.798634812276</v>
      </c>
      <c r="Q49" s="146"/>
      <c r="R49" s="146"/>
      <c r="S49" s="146"/>
    </row>
    <row r="50" spans="1:19" ht="17.25" customHeight="1" thickBot="1">
      <c r="A50" s="109" t="s">
        <v>56</v>
      </c>
      <c r="B50" s="110">
        <v>44.5</v>
      </c>
      <c r="C50" s="70">
        <v>-2.4122807E-2</v>
      </c>
      <c r="D50" s="15">
        <v>48.1</v>
      </c>
      <c r="E50" s="32">
        <f t="shared" ref="E50:E53" si="18">IF(ISNUMBER(D50), (D50 - $B50) / $B50, "")</f>
        <v>8.0898876404494419E-2</v>
      </c>
      <c r="F50" s="18">
        <f>IF(ISNUMBER(D50), $B64 * E50, "")</f>
        <v>12134.831460674162</v>
      </c>
      <c r="G50" s="31">
        <v>46.7</v>
      </c>
      <c r="H50" s="32">
        <f t="shared" ref="H50:H53" si="19">IF(ISNUMBER(G50), (G50 - $B50) / $B50, "")</f>
        <v>4.9438202247191074E-2</v>
      </c>
      <c r="I50" s="91">
        <f>IF(ISNUMBER(G50), $B64 * H50, "")</f>
        <v>7415.7303370786613</v>
      </c>
      <c r="J50" s="15">
        <v>47.3</v>
      </c>
      <c r="K50" s="32">
        <f t="shared" ref="K50:K53" si="20">IF(ISNUMBER(J50), (J50 - $B50) / $B50, "")</f>
        <v>6.2921348314606676E-2</v>
      </c>
      <c r="L50" s="18">
        <f>IF(ISNUMBER(J50), $B64 * K50, "")</f>
        <v>9438.2022471910022</v>
      </c>
      <c r="M50" s="31">
        <v>48.6</v>
      </c>
      <c r="N50" s="32">
        <f t="shared" ref="N50:N53" si="21">IF(ISNUMBER(M50), (M50 - $B50) / $B50, "")</f>
        <v>9.2134831460674194E-2</v>
      </c>
      <c r="O50" s="18">
        <f>IF(ISNUMBER(M50), $B64 * N50, "")</f>
        <v>13820.224719101128</v>
      </c>
      <c r="Q50" s="146"/>
      <c r="R50" s="146"/>
      <c r="S50" s="146"/>
    </row>
    <row r="51" spans="1:19" ht="17.25" customHeight="1" thickBot="1">
      <c r="A51" s="109" t="s">
        <v>122</v>
      </c>
      <c r="B51" s="110">
        <v>26.9</v>
      </c>
      <c r="C51" s="70">
        <v>-2.5362318799999999E-2</v>
      </c>
      <c r="D51" s="15">
        <v>29.1</v>
      </c>
      <c r="E51" s="32">
        <f t="shared" si="18"/>
        <v>8.1784386617100482E-2</v>
      </c>
      <c r="F51" s="18">
        <f>IF(ISNUMBER(D51), $B64 * E51, "")</f>
        <v>12267.657992565073</v>
      </c>
      <c r="G51" s="31">
        <v>28.5</v>
      </c>
      <c r="H51" s="32">
        <f t="shared" si="19"/>
        <v>5.9479553903345778E-2</v>
      </c>
      <c r="I51" s="91">
        <f>IF(ISNUMBER(G51), $B64 * H51, "")</f>
        <v>8921.933085501867</v>
      </c>
      <c r="J51" s="15">
        <v>28.7</v>
      </c>
      <c r="K51" s="32">
        <f t="shared" si="20"/>
        <v>6.6914498141263976E-2</v>
      </c>
      <c r="L51" s="18">
        <f>IF(ISNUMBER(J51), $B64 * K51, "")</f>
        <v>10037.174721189596</v>
      </c>
      <c r="M51" s="31">
        <v>30.3</v>
      </c>
      <c r="N51" s="32">
        <f t="shared" si="21"/>
        <v>0.12639405204460974</v>
      </c>
      <c r="O51" s="18">
        <f>IF(ISNUMBER(M51), $B64 * N51, "")</f>
        <v>18959.10780669146</v>
      </c>
      <c r="Q51" s="146"/>
      <c r="R51" s="146"/>
      <c r="S51" s="146"/>
    </row>
    <row r="52" spans="1:19" ht="17.25" customHeight="1" thickBot="1">
      <c r="A52" s="109" t="s">
        <v>141</v>
      </c>
      <c r="B52" s="110">
        <v>4.4800000000000004</v>
      </c>
      <c r="C52" s="70">
        <v>-2.6086956500000001E-2</v>
      </c>
      <c r="D52" s="15">
        <v>4.8</v>
      </c>
      <c r="E52" s="32">
        <f t="shared" si="18"/>
        <v>7.1428571428571286E-2</v>
      </c>
      <c r="F52" s="18">
        <f>IF(ISNUMBER(D52), $B64 * E52, "")</f>
        <v>10714.285714285694</v>
      </c>
      <c r="G52" s="31">
        <v>4.74</v>
      </c>
      <c r="H52" s="32">
        <f t="shared" si="19"/>
        <v>5.8035714285714232E-2</v>
      </c>
      <c r="I52" s="91">
        <f>IF(ISNUMBER(G52), $B64 * H52, "")</f>
        <v>8705.357142857134</v>
      </c>
      <c r="J52" s="15">
        <v>4.87</v>
      </c>
      <c r="K52" s="32">
        <f t="shared" si="20"/>
        <v>8.7053571428571355E-2</v>
      </c>
      <c r="L52" s="18">
        <f>IF(ISNUMBER(J52), $B64 * K52, "")</f>
        <v>13058.035714285703</v>
      </c>
      <c r="M52" s="31">
        <v>5</v>
      </c>
      <c r="N52" s="32">
        <f t="shared" si="21"/>
        <v>0.11607142857142846</v>
      </c>
      <c r="O52" s="18">
        <f>IF(ISNUMBER(M52), $B64 * N52, "")</f>
        <v>17410.714285714268</v>
      </c>
      <c r="Q52" s="33"/>
      <c r="R52" s="33"/>
    </row>
    <row r="53" spans="1:19" ht="17.25" customHeight="1" thickBot="1">
      <c r="A53" s="114" t="s">
        <v>338</v>
      </c>
      <c r="B53" s="115">
        <v>3.5400000000000001E-2</v>
      </c>
      <c r="C53" s="72">
        <v>-2.74725275E-2</v>
      </c>
      <c r="D53" s="24">
        <v>3.8199999999999998E-2</v>
      </c>
      <c r="E53" s="25">
        <f t="shared" si="18"/>
        <v>7.9096045197740023E-2</v>
      </c>
      <c r="F53" s="94">
        <f>IF(ISNUMBER(D53), $B64 * E53, "")</f>
        <v>11864.406779661003</v>
      </c>
      <c r="G53" s="92">
        <v>3.7400000000000003E-2</v>
      </c>
      <c r="H53" s="25">
        <f t="shared" si="19"/>
        <v>5.6497175141242986E-2</v>
      </c>
      <c r="I53" s="93">
        <f>IF(ISNUMBER(G53), $B64 * H53, "")</f>
        <v>8474.5762711864481</v>
      </c>
      <c r="J53" s="24">
        <v>3.7699999999999997E-2</v>
      </c>
      <c r="K53" s="25">
        <f t="shared" si="20"/>
        <v>6.4971751412429279E-2</v>
      </c>
      <c r="L53" s="94">
        <f>IF(ISNUMBER(J53), $B64 * K53, "")</f>
        <v>9745.7627118643923</v>
      </c>
      <c r="M53" s="92">
        <v>3.9300000000000002E-2</v>
      </c>
      <c r="N53" s="25">
        <f t="shared" si="21"/>
        <v>0.11016949152542374</v>
      </c>
      <c r="O53" s="94">
        <f>IF(ISNUMBER(M53), $B64 * N53, "")</f>
        <v>16525.423728813563</v>
      </c>
      <c r="Q53" s="147"/>
      <c r="R53" s="148"/>
      <c r="S53" s="149"/>
    </row>
    <row r="54" spans="1:19" ht="17.25" customHeight="1">
      <c r="A54" s="107" t="s">
        <v>181</v>
      </c>
      <c r="B54" s="108">
        <v>4.8</v>
      </c>
      <c r="C54" s="69">
        <v>-3.2258064500000003E-2</v>
      </c>
      <c r="D54" s="13">
        <v>5.0999999999999996</v>
      </c>
      <c r="E54" s="14">
        <f>IF(ISNUMBER(D54), (D54 - $B54) / $B54, "")</f>
        <v>6.2499999999999965E-2</v>
      </c>
      <c r="F54" s="16">
        <f>IF(ISNUMBER(D54), $B64 * E54, "")</f>
        <v>9374.9999999999945</v>
      </c>
      <c r="G54" s="29">
        <v>5</v>
      </c>
      <c r="H54" s="14">
        <f>IF(ISNUMBER(G54), (G54 - $B54) / $B54, "")</f>
        <v>4.1666666666666706E-2</v>
      </c>
      <c r="I54" s="90">
        <f>IF(ISNUMBER(G54), $B64 * H54, "")</f>
        <v>6250.0000000000055</v>
      </c>
      <c r="J54" s="13">
        <v>5.0599999999999996</v>
      </c>
      <c r="K54" s="14">
        <f>IF(ISNUMBER(J54), (J54 - $B54) / $B54, "")</f>
        <v>5.4166666666666627E-2</v>
      </c>
      <c r="L54" s="16">
        <f>IF(ISNUMBER(J54), $B64 * K54, "")</f>
        <v>8124.9999999999936</v>
      </c>
      <c r="M54" s="29">
        <v>5.23</v>
      </c>
      <c r="N54" s="14">
        <f>IF(ISNUMBER(M54), (M54 - $B54) / $B54, "")</f>
        <v>8.9583333333333459E-2</v>
      </c>
      <c r="O54" s="16">
        <f>IF(ISNUMBER(M54), $B64 * N54, "")</f>
        <v>13437.500000000018</v>
      </c>
      <c r="Q54" s="150"/>
      <c r="R54" s="151"/>
      <c r="S54" s="152"/>
    </row>
    <row r="55" spans="1:19" ht="17.25" customHeight="1" thickBot="1">
      <c r="A55" s="109" t="s">
        <v>126</v>
      </c>
      <c r="B55" s="110">
        <v>29.6</v>
      </c>
      <c r="C55" s="70">
        <v>-3.2679738600000001E-2</v>
      </c>
      <c r="D55" s="15">
        <v>32.5</v>
      </c>
      <c r="E55" s="32">
        <f t="shared" ref="E55:E58" si="22">IF(ISNUMBER(D55), (D55 - $B55) / $B55, "")</f>
        <v>9.7972972972972916E-2</v>
      </c>
      <c r="F55" s="18">
        <f>IF(ISNUMBER(D55), $B64 * E55, "")</f>
        <v>14695.945945945938</v>
      </c>
      <c r="G55" s="31">
        <v>31.5</v>
      </c>
      <c r="H55" s="32">
        <f t="shared" ref="H55:H58" si="23">IF(ISNUMBER(G55), (G55 - $B55) / $B55, "")</f>
        <v>6.4189189189189144E-2</v>
      </c>
      <c r="I55" s="91">
        <f>IF(ISNUMBER(G55), $B64 * H55, "")</f>
        <v>9628.3783783783711</v>
      </c>
      <c r="J55" s="15">
        <v>32.1</v>
      </c>
      <c r="K55" s="32">
        <f t="shared" ref="K55:K58" si="24">IF(ISNUMBER(J55), (J55 - $B55) / $B55, "")</f>
        <v>8.4459459459459457E-2</v>
      </c>
      <c r="L55" s="18">
        <f>IF(ISNUMBER(J55), $B64 * K55, "")</f>
        <v>12668.918918918918</v>
      </c>
      <c r="M55" s="31">
        <v>33.4</v>
      </c>
      <c r="N55" s="32">
        <f t="shared" ref="N55:N58" si="25">IF(ISNUMBER(M55), (M55 - $B55) / $B55, "")</f>
        <v>0.12837837837837829</v>
      </c>
      <c r="O55" s="18">
        <f>IF(ISNUMBER(M55), $B64 * N55, "")</f>
        <v>19256.756756756742</v>
      </c>
      <c r="Q55" s="153"/>
      <c r="R55" s="154"/>
      <c r="S55" s="155"/>
    </row>
    <row r="56" spans="1:19" ht="17.25" customHeight="1" thickBot="1">
      <c r="A56" s="109" t="s">
        <v>155</v>
      </c>
      <c r="B56" s="110">
        <v>30.4</v>
      </c>
      <c r="C56" s="70">
        <v>-3.4920634899999997E-2</v>
      </c>
      <c r="D56" s="15">
        <v>32.6</v>
      </c>
      <c r="E56" s="32">
        <f t="shared" si="22"/>
        <v>7.2368421052631679E-2</v>
      </c>
      <c r="F56" s="18">
        <f>IF(ISNUMBER(D56), $B64 * E56, "")</f>
        <v>10855.263157894751</v>
      </c>
      <c r="G56" s="31">
        <v>32.200000000000003</v>
      </c>
      <c r="H56" s="32">
        <f t="shared" si="23"/>
        <v>5.9210526315789616E-2</v>
      </c>
      <c r="I56" s="91">
        <f>IF(ISNUMBER(G56), $B64 * H56, "")</f>
        <v>8881.5789473684417</v>
      </c>
      <c r="J56" s="15">
        <v>32.5</v>
      </c>
      <c r="K56" s="32">
        <f t="shared" si="24"/>
        <v>6.9078947368421101E-2</v>
      </c>
      <c r="L56" s="18">
        <f>IF(ISNUMBER(J56), $B64 * K56, "")</f>
        <v>10361.842105263166</v>
      </c>
      <c r="M56" s="31">
        <v>33.6</v>
      </c>
      <c r="N56" s="32">
        <f t="shared" si="25"/>
        <v>0.10526315789473695</v>
      </c>
      <c r="O56" s="18">
        <f>IF(ISNUMBER(M56), $B64 * N56, "")</f>
        <v>15789.473684210541</v>
      </c>
      <c r="Q56" s="146"/>
      <c r="R56" s="146"/>
      <c r="S56" s="146"/>
    </row>
    <row r="57" spans="1:19" ht="17.25" customHeight="1" thickBot="1">
      <c r="A57" s="109" t="s">
        <v>335</v>
      </c>
      <c r="B57" s="110">
        <v>75.900000000000006</v>
      </c>
      <c r="C57" s="70">
        <v>-3.5578144899999997E-2</v>
      </c>
      <c r="D57" s="15">
        <v>80.5</v>
      </c>
      <c r="E57" s="32">
        <f t="shared" si="22"/>
        <v>6.0606060606060524E-2</v>
      </c>
      <c r="F57" s="18">
        <f>IF(ISNUMBER(D57), $B64 * E57, "")</f>
        <v>9090.9090909090792</v>
      </c>
      <c r="G57" s="31">
        <v>78.099999999999994</v>
      </c>
      <c r="H57" s="32">
        <f t="shared" si="23"/>
        <v>2.8985507246376659E-2</v>
      </c>
      <c r="I57" s="91">
        <f>IF(ISNUMBER(G57), $B64 * H57, "")</f>
        <v>4347.8260869564992</v>
      </c>
      <c r="J57" s="15">
        <v>79.099999999999994</v>
      </c>
      <c r="K57" s="32">
        <f t="shared" si="24"/>
        <v>4.2160737812911575E-2</v>
      </c>
      <c r="L57" s="18">
        <f>IF(ISNUMBER(J57), $B64 * K57, "")</f>
        <v>6324.1106719367363</v>
      </c>
      <c r="M57" s="31">
        <v>82.5</v>
      </c>
      <c r="N57" s="32">
        <f t="shared" si="25"/>
        <v>8.6956521739130349E-2</v>
      </c>
      <c r="O57" s="18">
        <f>IF(ISNUMBER(M57), $B64 * N57, "")</f>
        <v>13043.478260869553</v>
      </c>
      <c r="Q57" s="156"/>
      <c r="R57" s="156"/>
      <c r="S57" s="156"/>
    </row>
    <row r="58" spans="1:19" ht="17.25" customHeight="1" thickBot="1">
      <c r="A58" s="111" t="s">
        <v>317</v>
      </c>
      <c r="B58" s="112">
        <v>1.35E-2</v>
      </c>
      <c r="C58" s="71">
        <v>-3.5714285700000001E-2</v>
      </c>
      <c r="D58" s="20">
        <v>1.43E-2</v>
      </c>
      <c r="E58" s="21">
        <f t="shared" si="22"/>
        <v>5.9259259259259289E-2</v>
      </c>
      <c r="F58" s="22">
        <f>IF(ISNUMBER(D58), $B64 * E58, "")</f>
        <v>8888.8888888888941</v>
      </c>
      <c r="G58" s="30">
        <v>1.38E-2</v>
      </c>
      <c r="H58" s="21">
        <f t="shared" si="23"/>
        <v>2.2222222222222216E-2</v>
      </c>
      <c r="I58" s="95">
        <f>IF(ISNUMBER(G58), $B64 * H58, "")</f>
        <v>3333.3333333333326</v>
      </c>
      <c r="J58" s="20">
        <v>1.3899999999999999E-2</v>
      </c>
      <c r="K58" s="21">
        <f t="shared" si="24"/>
        <v>2.9629629629629579E-2</v>
      </c>
      <c r="L58" s="22">
        <f>IF(ISNUMBER(J58), $B64 * K58, "")</f>
        <v>4444.4444444444371</v>
      </c>
      <c r="M58" s="30">
        <v>1.4500000000000001E-2</v>
      </c>
      <c r="N58" s="21">
        <f t="shared" si="25"/>
        <v>7.4074074074074139E-2</v>
      </c>
      <c r="O58" s="22">
        <f>IF(ISNUMBER(M58), $B64 * N58, "")</f>
        <v>11111.11111111112</v>
      </c>
      <c r="Q58" s="156"/>
      <c r="R58" s="156"/>
      <c r="S58" s="156"/>
    </row>
    <row r="59" spans="1:19" ht="17.25" customHeight="1" thickBot="1">
      <c r="A59" s="109" t="s">
        <v>203</v>
      </c>
      <c r="B59" s="113">
        <v>3.77</v>
      </c>
      <c r="C59" s="73">
        <v>-3.5805626600000001E-2</v>
      </c>
      <c r="D59" s="96">
        <v>4.04</v>
      </c>
      <c r="E59" s="97">
        <f>IF(ISNUMBER(D59), (D59 - $B59) / $B59, "")</f>
        <v>7.161803713527852E-2</v>
      </c>
      <c r="F59" s="98">
        <f>IF(ISNUMBER(D59), $B64 * E59, "")</f>
        <v>10742.705570291779</v>
      </c>
      <c r="G59" s="99">
        <v>3.95</v>
      </c>
      <c r="H59" s="97">
        <f>IF(ISNUMBER(G59), (G59 - $B59) / $B59, "")</f>
        <v>4.7745358090185722E-2</v>
      </c>
      <c r="I59" s="100">
        <f>IF(ISNUMBER(G59), $B64 * H59, "")</f>
        <v>7161.8037135278582</v>
      </c>
      <c r="J59" s="96">
        <v>4.05</v>
      </c>
      <c r="K59" s="97">
        <f>IF(ISNUMBER(J59), (J59 - $B59) / $B59, "")</f>
        <v>7.4270557029177661E-2</v>
      </c>
      <c r="L59" s="98">
        <f>IF(ISNUMBER(J59), $B64 * K59, "")</f>
        <v>11140.58355437665</v>
      </c>
      <c r="M59" s="99">
        <v>4.21</v>
      </c>
      <c r="N59" s="97">
        <f>IF(ISNUMBER(M59), (M59 - $B59) / $B59, "")</f>
        <v>0.11671087533156498</v>
      </c>
      <c r="O59" s="98">
        <f>IF(ISNUMBER(M59), $B64 * N59, "")</f>
        <v>17506.631299734745</v>
      </c>
      <c r="Q59" s="146"/>
      <c r="R59" s="146"/>
      <c r="S59" s="146"/>
    </row>
    <row r="60" spans="1:19" ht="17.25" customHeight="1" thickBot="1">
      <c r="A60" s="109" t="s">
        <v>193</v>
      </c>
      <c r="B60" s="110">
        <v>20.2</v>
      </c>
      <c r="C60" s="70">
        <v>-3.8095238099999998E-2</v>
      </c>
      <c r="D60" s="15">
        <v>21.4</v>
      </c>
      <c r="E60" s="32">
        <f t="shared" ref="E60:E63" si="26">IF(ISNUMBER(D60), (D60 - $B60) / $B60, "")</f>
        <v>5.9405940594059375E-2</v>
      </c>
      <c r="F60" s="18">
        <f>IF(ISNUMBER(D60), $B64 * E60, "")</f>
        <v>8910.8910891089072</v>
      </c>
      <c r="G60" s="31">
        <v>21.2</v>
      </c>
      <c r="H60" s="32">
        <f t="shared" ref="H60:H63" si="27">IF(ISNUMBER(G60), (G60 - $B60) / $B60, "")</f>
        <v>4.9504950495049507E-2</v>
      </c>
      <c r="I60" s="91">
        <f>IF(ISNUMBER(G60), $B64 * H60, "")</f>
        <v>7425.742574257426</v>
      </c>
      <c r="J60" s="15">
        <v>21.4</v>
      </c>
      <c r="K60" s="32">
        <f t="shared" ref="K60:K63" si="28">IF(ISNUMBER(J60), (J60 - $B60) / $B60, "")</f>
        <v>5.9405940594059375E-2</v>
      </c>
      <c r="L60" s="18">
        <f>IF(ISNUMBER(J60), $B64 * K60, "")</f>
        <v>8910.8910891089072</v>
      </c>
      <c r="M60" s="31">
        <v>22.1</v>
      </c>
      <c r="N60" s="32">
        <f t="shared" ref="N60:N63" si="29">IF(ISNUMBER(M60), (M60 - $B60) / $B60, "")</f>
        <v>9.4059405940594171E-2</v>
      </c>
      <c r="O60" s="18">
        <f>IF(ISNUMBER(M60), $B64 * N60, "")</f>
        <v>14108.910891089126</v>
      </c>
      <c r="Q60" s="146"/>
      <c r="R60" s="146"/>
      <c r="S60" s="146"/>
    </row>
    <row r="61" spans="1:19" ht="17.25" customHeight="1" thickBot="1">
      <c r="A61" s="109" t="s">
        <v>124</v>
      </c>
      <c r="B61" s="110">
        <v>37</v>
      </c>
      <c r="C61" s="70">
        <v>-3.8961039000000003E-2</v>
      </c>
      <c r="D61" s="15">
        <v>39</v>
      </c>
      <c r="E61" s="32">
        <f t="shared" si="26"/>
        <v>5.4054054054054057E-2</v>
      </c>
      <c r="F61" s="18">
        <f>IF(ISNUMBER(D61), $B64 * E61, "")</f>
        <v>8108.1081081081084</v>
      </c>
      <c r="G61" s="31">
        <v>38.4</v>
      </c>
      <c r="H61" s="32">
        <f t="shared" si="27"/>
        <v>3.7837837837837798E-2</v>
      </c>
      <c r="I61" s="91">
        <f>IF(ISNUMBER(G61), $B64 * H61, "")</f>
        <v>5675.6756756756695</v>
      </c>
      <c r="J61" s="15">
        <v>39</v>
      </c>
      <c r="K61" s="32">
        <f t="shared" si="28"/>
        <v>5.4054054054054057E-2</v>
      </c>
      <c r="L61" s="18">
        <f>IF(ISNUMBER(J61), $B64 * K61, "")</f>
        <v>8108.1081081081084</v>
      </c>
      <c r="M61" s="31">
        <v>39.9</v>
      </c>
      <c r="N61" s="32">
        <f t="shared" si="29"/>
        <v>7.8378378378378341E-2</v>
      </c>
      <c r="O61" s="18">
        <f>IF(ISNUMBER(M61), $B64 * N61, "")</f>
        <v>11756.756756756751</v>
      </c>
      <c r="Q61" s="146"/>
      <c r="R61" s="146"/>
      <c r="S61" s="146"/>
    </row>
    <row r="62" spans="1:19" ht="17.25" customHeight="1">
      <c r="A62" s="109" t="s">
        <v>197</v>
      </c>
      <c r="B62" s="110">
        <v>9.99</v>
      </c>
      <c r="C62" s="70">
        <v>-3.9423076899999999E-2</v>
      </c>
      <c r="D62" s="15">
        <v>10.7</v>
      </c>
      <c r="E62" s="32">
        <f t="shared" si="26"/>
        <v>7.1071071071070982E-2</v>
      </c>
      <c r="F62" s="18">
        <f>IF(ISNUMBER(D62), $B64 * E62, "")</f>
        <v>10660.660660660647</v>
      </c>
      <c r="G62" s="31">
        <v>10.7</v>
      </c>
      <c r="H62" s="32">
        <f t="shared" si="27"/>
        <v>7.1071071071070982E-2</v>
      </c>
      <c r="I62" s="91">
        <f>IF(ISNUMBER(G62), $B64 * H62, "")</f>
        <v>10660.660660660647</v>
      </c>
      <c r="J62" s="15">
        <v>11.1</v>
      </c>
      <c r="K62" s="32">
        <f t="shared" si="28"/>
        <v>0.11111111111111105</v>
      </c>
      <c r="L62" s="18">
        <f>IF(ISNUMBER(J62), $B64 * K62, "")</f>
        <v>16666.666666666657</v>
      </c>
      <c r="M62" s="31">
        <v>11.3</v>
      </c>
      <c r="N62" s="32">
        <f t="shared" si="29"/>
        <v>0.13113113113113117</v>
      </c>
      <c r="O62" s="18">
        <f>IF(ISNUMBER(M62), $B64 * N62, "")</f>
        <v>19669.669669669674</v>
      </c>
      <c r="Q62" s="135"/>
      <c r="R62" s="136"/>
      <c r="S62" s="137"/>
    </row>
    <row r="63" spans="1:19" ht="17.25" customHeight="1" thickBot="1">
      <c r="A63" s="114" t="s">
        <v>118</v>
      </c>
      <c r="B63" s="115">
        <v>6.82</v>
      </c>
      <c r="C63" s="72">
        <v>-3.9436619700000002E-2</v>
      </c>
      <c r="D63" s="24">
        <v>7.35</v>
      </c>
      <c r="E63" s="25">
        <f t="shared" si="26"/>
        <v>7.771260997067439E-2</v>
      </c>
      <c r="F63" s="94">
        <f>IF(ISNUMBER(D63), $B64 * E63, "")</f>
        <v>11656.891495601158</v>
      </c>
      <c r="G63" s="92">
        <v>7.15</v>
      </c>
      <c r="H63" s="25">
        <f t="shared" si="27"/>
        <v>4.8387096774193554E-2</v>
      </c>
      <c r="I63" s="93">
        <f>IF(ISNUMBER(G63), $B64 * H63, "")</f>
        <v>7258.0645161290331</v>
      </c>
      <c r="J63" s="24">
        <v>7.3</v>
      </c>
      <c r="K63" s="25">
        <f t="shared" si="28"/>
        <v>7.0381231671554176E-2</v>
      </c>
      <c r="L63" s="94">
        <f>IF(ISNUMBER(J63), $B64 * K63, "")</f>
        <v>10557.184750733126</v>
      </c>
      <c r="M63" s="92">
        <v>7.61</v>
      </c>
      <c r="N63" s="25">
        <f t="shared" si="29"/>
        <v>0.1158357771260997</v>
      </c>
      <c r="O63" s="94">
        <f>IF(ISNUMBER(M63), $B64 * N63, "")</f>
        <v>17375.366568914957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7.5060528991702846E-2</v>
      </c>
      <c r="F64" s="28">
        <f>SUM(F44:F63)</f>
        <v>225181.58697510854</v>
      </c>
      <c r="G64" s="26" t="s">
        <v>258</v>
      </c>
      <c r="H64" s="27">
        <f>IF(COUNT(H44:H63), SUM(H44:H63) / COUNT(H44:H63), 0)</f>
        <v>5.4158620393494325E-2</v>
      </c>
      <c r="I64" s="28">
        <f>SUM(I44:I63)</f>
        <v>162475.86118048299</v>
      </c>
      <c r="J64" s="26" t="s">
        <v>258</v>
      </c>
      <c r="K64" s="27">
        <f>IF(COUNT(K44:K63), SUM(K44:K63) / COUNT(K44:K63), 0)</f>
        <v>6.3004473775701023E-2</v>
      </c>
      <c r="L64" s="28">
        <f>SUM(L44:L63)</f>
        <v>189013.42132710305</v>
      </c>
      <c r="M64" s="26" t="s">
        <v>258</v>
      </c>
      <c r="N64" s="27">
        <f>IF(COUNT(N44:N63), SUM(N44:N63) / COUNT(N44:N63), 0)</f>
        <v>0.10418015904662126</v>
      </c>
      <c r="O64" s="28">
        <f>SUM(O44:O63)</f>
        <v>312540.47713986388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2023-03-13(월) 오전 00:00</v>
      </c>
      <c r="C69" s="198"/>
      <c r="D69" s="170" t="str">
        <f>TEXT($G$1, "[$-ko-KR]yyyy-mm-dd(ddd) ") &amp; "오후 14:00"</f>
        <v>2023-03-13(월) 오후 14:00</v>
      </c>
      <c r="E69" s="171"/>
      <c r="F69" s="172"/>
      <c r="G69" s="170" t="str">
        <f>TEXT($G$1, "[$-ko-KR]yyyy-mm-dd(ddd) ") &amp; "오후 19:00"</f>
        <v>2023-03-13(월) 오후 19:00</v>
      </c>
      <c r="H69" s="171"/>
      <c r="I69" s="172"/>
      <c r="J69" s="170" t="str">
        <f>TEXT($G$1, "[$-ko-KR]yyyy-mm-dd(ddd) ") &amp; "오후 21:00"</f>
        <v>2023-03-13(월) 오후 21:00</v>
      </c>
      <c r="K69" s="171"/>
      <c r="L69" s="172"/>
      <c r="M69" s="170" t="str">
        <f>TEXT($G$1+1, "[$-ko-KR]yyyy-mm-dd(ddd) ") &amp; "오전 00:00"</f>
        <v>2023-03-14(화)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187</v>
      </c>
      <c r="B71" s="108">
        <v>874</v>
      </c>
      <c r="C71" s="69">
        <v>0</v>
      </c>
      <c r="D71" s="13">
        <v>903</v>
      </c>
      <c r="E71" s="14">
        <f>IF(ISNUMBER(D71), (D71 - $B71) / $B71, "")</f>
        <v>3.3180778032036611E-2</v>
      </c>
      <c r="F71" s="16">
        <f>IF(ISNUMBER(D71), $B91 * E71, "")</f>
        <v>4977.1167048054913</v>
      </c>
      <c r="G71" s="29">
        <v>888</v>
      </c>
      <c r="H71" s="14">
        <f>IF(ISNUMBER(G71), (G71 - $B71) / $B71, "")</f>
        <v>1.6018306636155607E-2</v>
      </c>
      <c r="I71" s="90">
        <f>IF(ISNUMBER(G71), $B91 * H71, "")</f>
        <v>2402.7459954233409</v>
      </c>
      <c r="J71" s="13">
        <v>898</v>
      </c>
      <c r="K71" s="14">
        <f>IF(ISNUMBER(J71), (J71 - $B71) / $B71, "")</f>
        <v>2.7459954233409609E-2</v>
      </c>
      <c r="L71" s="16">
        <f>IF(ISNUMBER(J71), $B91 * K71, "")</f>
        <v>4118.9931350114412</v>
      </c>
      <c r="M71" s="29">
        <v>915</v>
      </c>
      <c r="N71" s="14">
        <f>IF(ISNUMBER(M71), (M71 - $B71) / $B71, "")</f>
        <v>4.691075514874142E-2</v>
      </c>
      <c r="O71" s="16">
        <f>IF(ISNUMBER(M71), $B91 * N71, "")</f>
        <v>7036.6132723112132</v>
      </c>
      <c r="Q71" s="156"/>
      <c r="R71" s="156"/>
      <c r="S71" s="156"/>
    </row>
    <row r="72" spans="1:19" ht="17.25" thickBot="1">
      <c r="A72" s="109" t="s">
        <v>101</v>
      </c>
      <c r="B72" s="110">
        <v>253</v>
      </c>
      <c r="C72" s="70">
        <v>-7.8431373000000006E-3</v>
      </c>
      <c r="D72" s="15">
        <v>272</v>
      </c>
      <c r="E72" s="32">
        <f t="shared" ref="E72:E75" si="30">IF(ISNUMBER(D72), (D72 - $B72) / $B72, "")</f>
        <v>7.5098814229249009E-2</v>
      </c>
      <c r="F72" s="18">
        <f>IF(ISNUMBER(D72), $B91 * E72, "")</f>
        <v>11264.822134387352</v>
      </c>
      <c r="G72" s="31">
        <v>264</v>
      </c>
      <c r="H72" s="32">
        <f t="shared" ref="H72:H75" si="31">IF(ISNUMBER(G72), (G72 - $B72) / $B72, "")</f>
        <v>4.3478260869565216E-2</v>
      </c>
      <c r="I72" s="91">
        <f>IF(ISNUMBER(G72), $B91 * H72, "")</f>
        <v>6521.7391304347821</v>
      </c>
      <c r="J72" s="15">
        <v>268</v>
      </c>
      <c r="K72" s="32">
        <f t="shared" ref="K72:K75" si="32">IF(ISNUMBER(J72), (J72 - $B72) / $B72, "")</f>
        <v>5.9288537549407112E-2</v>
      </c>
      <c r="L72" s="18">
        <f>IF(ISNUMBER(J72), $B91 * K72, "")</f>
        <v>8893.2806324110661</v>
      </c>
      <c r="M72" s="31">
        <v>276</v>
      </c>
      <c r="N72" s="32">
        <f t="shared" ref="N72:N75" si="33">IF(ISNUMBER(M72), (M72 - $B72) / $B72, "")</f>
        <v>9.0909090909090912E-2</v>
      </c>
      <c r="O72" s="18">
        <f>IF(ISNUMBER(M72), $B91 * N72, "")</f>
        <v>13636.363636363636</v>
      </c>
      <c r="Q72" s="156"/>
      <c r="R72" s="156"/>
      <c r="S72" s="156"/>
    </row>
    <row r="73" spans="1:19" ht="17.25" thickBot="1">
      <c r="A73" s="109" t="s">
        <v>149</v>
      </c>
      <c r="B73" s="110">
        <v>469</v>
      </c>
      <c r="C73" s="70">
        <v>-1.47058824E-2</v>
      </c>
      <c r="D73" s="15">
        <v>514</v>
      </c>
      <c r="E73" s="32">
        <f t="shared" si="30"/>
        <v>9.5948827292110878E-2</v>
      </c>
      <c r="F73" s="18">
        <f>IF(ISNUMBER(D73), $B91 * E73, "")</f>
        <v>14392.324093816631</v>
      </c>
      <c r="G73" s="31">
        <v>498</v>
      </c>
      <c r="H73" s="32">
        <f t="shared" si="31"/>
        <v>6.1833688699360338E-2</v>
      </c>
      <c r="I73" s="91">
        <f>IF(ISNUMBER(G73), $B91 * H73, "")</f>
        <v>9275.0533049040514</v>
      </c>
      <c r="J73" s="15">
        <v>502</v>
      </c>
      <c r="K73" s="32">
        <f t="shared" si="32"/>
        <v>7.0362473347547971E-2</v>
      </c>
      <c r="L73" s="18">
        <f>IF(ISNUMBER(J73), $B91 * K73, "")</f>
        <v>10554.371002132195</v>
      </c>
      <c r="M73" s="31">
        <v>525</v>
      </c>
      <c r="N73" s="32">
        <f t="shared" si="33"/>
        <v>0.11940298507462686</v>
      </c>
      <c r="O73" s="18">
        <f>IF(ISNUMBER(M73), $B91 * N73, "")</f>
        <v>17910.447761194031</v>
      </c>
      <c r="Q73" s="146"/>
      <c r="R73" s="146"/>
      <c r="S73" s="146"/>
    </row>
    <row r="74" spans="1:19" ht="17.25" thickBot="1">
      <c r="A74" s="109" t="s">
        <v>169</v>
      </c>
      <c r="B74" s="110">
        <v>254</v>
      </c>
      <c r="C74" s="70">
        <v>-1.5503876E-2</v>
      </c>
      <c r="D74" s="15">
        <v>268</v>
      </c>
      <c r="E74" s="32">
        <f t="shared" si="30"/>
        <v>5.5118110236220472E-2</v>
      </c>
      <c r="F74" s="18">
        <f>IF(ISNUMBER(D74), $B91 * E74, "")</f>
        <v>8267.71653543307</v>
      </c>
      <c r="G74" s="31">
        <v>264</v>
      </c>
      <c r="H74" s="32">
        <f t="shared" si="31"/>
        <v>3.937007874015748E-2</v>
      </c>
      <c r="I74" s="91">
        <f>IF(ISNUMBER(G74), $B91 * H74, "")</f>
        <v>5905.5118110236217</v>
      </c>
      <c r="J74" s="15">
        <v>265</v>
      </c>
      <c r="K74" s="32">
        <f t="shared" si="32"/>
        <v>4.3307086614173228E-2</v>
      </c>
      <c r="L74" s="18">
        <f>IF(ISNUMBER(J74), $B91 * K74, "")</f>
        <v>6496.0629921259842</v>
      </c>
      <c r="M74" s="31">
        <v>276</v>
      </c>
      <c r="N74" s="32">
        <f t="shared" si="33"/>
        <v>8.6614173228346455E-2</v>
      </c>
      <c r="O74" s="18">
        <f>IF(ISNUMBER(M74), $B91 * N74, "")</f>
        <v>12992.125984251968</v>
      </c>
      <c r="Q74" s="146"/>
      <c r="R74" s="146"/>
      <c r="S74" s="146"/>
    </row>
    <row r="75" spans="1:19" ht="17.25" thickBot="1">
      <c r="A75" s="111" t="s">
        <v>81</v>
      </c>
      <c r="B75" s="112">
        <v>407</v>
      </c>
      <c r="C75" s="71">
        <v>-1.69082126E-2</v>
      </c>
      <c r="D75" s="20">
        <v>447</v>
      </c>
      <c r="E75" s="21">
        <f t="shared" si="30"/>
        <v>9.8280098280098274E-2</v>
      </c>
      <c r="F75" s="22">
        <f>IF(ISNUMBER(D75), $B91 * E75, "")</f>
        <v>14742.01474201474</v>
      </c>
      <c r="G75" s="30">
        <v>437</v>
      </c>
      <c r="H75" s="21">
        <f t="shared" si="31"/>
        <v>7.3710073710073709E-2</v>
      </c>
      <c r="I75" s="95">
        <f>IF(ISNUMBER(G75), $B91 * H75, "")</f>
        <v>11056.511056511057</v>
      </c>
      <c r="J75" s="20">
        <v>440</v>
      </c>
      <c r="K75" s="21">
        <f t="shared" si="32"/>
        <v>8.1081081081081086E-2</v>
      </c>
      <c r="L75" s="22">
        <f>IF(ISNUMBER(J75), $B91 * K75, "")</f>
        <v>12162.162162162163</v>
      </c>
      <c r="M75" s="30">
        <v>456</v>
      </c>
      <c r="N75" s="21">
        <f t="shared" si="33"/>
        <v>0.12039312039312039</v>
      </c>
      <c r="O75" s="22">
        <f>IF(ISNUMBER(M75), $B91 * N75, "")</f>
        <v>18058.968058968057</v>
      </c>
      <c r="Q75" s="146"/>
      <c r="R75" s="146"/>
      <c r="S75" s="146"/>
    </row>
    <row r="76" spans="1:19" ht="17.25" thickBot="1">
      <c r="A76" s="109" t="s">
        <v>51</v>
      </c>
      <c r="B76" s="113">
        <v>105</v>
      </c>
      <c r="C76" s="73">
        <v>-1.8691588799999999E-2</v>
      </c>
      <c r="D76" s="96">
        <v>108</v>
      </c>
      <c r="E76" s="97">
        <f>IF(ISNUMBER(D76), (D76 - $B76) / $B76, "")</f>
        <v>2.8571428571428571E-2</v>
      </c>
      <c r="F76" s="98">
        <f>IF(ISNUMBER(D76), $B91 * E76, "")</f>
        <v>4285.7142857142853</v>
      </c>
      <c r="G76" s="99">
        <v>107</v>
      </c>
      <c r="H76" s="97">
        <f>IF(ISNUMBER(G76), (G76 - $B76) / $B76, "")</f>
        <v>1.9047619047619049E-2</v>
      </c>
      <c r="I76" s="100">
        <f>IF(ISNUMBER(G76), $B91 * H76, "")</f>
        <v>2857.1428571428573</v>
      </c>
      <c r="J76" s="96">
        <v>108</v>
      </c>
      <c r="K76" s="97">
        <f>IF(ISNUMBER(J76), (J76 - $B76) / $B76, "")</f>
        <v>2.8571428571428571E-2</v>
      </c>
      <c r="L76" s="98">
        <f>IF(ISNUMBER(J76), $B91 * K76, "")</f>
        <v>4285.7142857142853</v>
      </c>
      <c r="M76" s="99">
        <v>111</v>
      </c>
      <c r="N76" s="97">
        <f>IF(ISNUMBER(M76), (M76 - $B76) / $B76, "")</f>
        <v>5.7142857142857141E-2</v>
      </c>
      <c r="O76" s="98">
        <f>IF(ISNUMBER(M76), $B91 * N76, "")</f>
        <v>8571.4285714285706</v>
      </c>
      <c r="Q76" s="146"/>
      <c r="R76" s="146"/>
      <c r="S76" s="146"/>
    </row>
    <row r="77" spans="1:19" ht="17.25" thickBot="1">
      <c r="A77" s="109" t="s">
        <v>239</v>
      </c>
      <c r="B77" s="110">
        <v>479</v>
      </c>
      <c r="C77" s="70">
        <v>-2.2448979599999998E-2</v>
      </c>
      <c r="D77" s="15">
        <v>505</v>
      </c>
      <c r="E77" s="32">
        <f t="shared" ref="E77:E80" si="34">IF(ISNUMBER(D77), (D77 - $B77) / $B77, "")</f>
        <v>5.4279749478079335E-2</v>
      </c>
      <c r="F77" s="18">
        <f>IF(ISNUMBER(D77), $B91 * E77, "")</f>
        <v>8141.9624217118999</v>
      </c>
      <c r="G77" s="31">
        <v>499</v>
      </c>
      <c r="H77" s="32">
        <f t="shared" ref="H77:H80" si="35">IF(ISNUMBER(G77), (G77 - $B77) / $B77, "")</f>
        <v>4.1753653444676408E-2</v>
      </c>
      <c r="I77" s="91">
        <f>IF(ISNUMBER(G77), $B91 * H77, "")</f>
        <v>6263.0480167014612</v>
      </c>
      <c r="J77" s="15">
        <v>503</v>
      </c>
      <c r="K77" s="32">
        <f t="shared" ref="K77:K80" si="36">IF(ISNUMBER(J77), (J77 - $B77) / $B77, "")</f>
        <v>5.0104384133611693E-2</v>
      </c>
      <c r="L77" s="18">
        <f>IF(ISNUMBER(J77), $B91 * K77, "")</f>
        <v>7515.6576200417539</v>
      </c>
      <c r="M77" s="31">
        <v>517</v>
      </c>
      <c r="N77" s="32">
        <f t="shared" ref="N77:N80" si="37">IF(ISNUMBER(M77), (M77 - $B77) / $B77, "")</f>
        <v>7.9331941544885182E-2</v>
      </c>
      <c r="O77" s="18">
        <f>IF(ISNUMBER(M77), $B91 * N77, "")</f>
        <v>11899.791231732777</v>
      </c>
      <c r="Q77" s="146"/>
      <c r="R77" s="146"/>
      <c r="S77" s="146"/>
    </row>
    <row r="78" spans="1:19" ht="17.25" thickBot="1">
      <c r="A78" s="109" t="s">
        <v>130</v>
      </c>
      <c r="B78" s="110">
        <v>789</v>
      </c>
      <c r="C78" s="70">
        <v>-2.5925925900000001E-2</v>
      </c>
      <c r="D78" s="15">
        <v>878</v>
      </c>
      <c r="E78" s="32">
        <f t="shared" si="34"/>
        <v>0.11280101394169835</v>
      </c>
      <c r="F78" s="18">
        <f>IF(ISNUMBER(D78), $B91 * E78, "")</f>
        <v>16920.152091254753</v>
      </c>
      <c r="G78" s="31">
        <v>848</v>
      </c>
      <c r="H78" s="32">
        <f t="shared" si="35"/>
        <v>7.477820025348543E-2</v>
      </c>
      <c r="I78" s="91">
        <f>IF(ISNUMBER(G78), $B91 * H78, "")</f>
        <v>11216.730038022815</v>
      </c>
      <c r="J78" s="15">
        <v>860</v>
      </c>
      <c r="K78" s="32">
        <f t="shared" si="36"/>
        <v>8.9987325728770592E-2</v>
      </c>
      <c r="L78" s="18">
        <f>IF(ISNUMBER(J78), $B91 * K78, "")</f>
        <v>13498.098859315589</v>
      </c>
      <c r="M78" s="31">
        <v>900</v>
      </c>
      <c r="N78" s="32">
        <f t="shared" si="37"/>
        <v>0.14068441064638784</v>
      </c>
      <c r="O78" s="18">
        <f>IF(ISNUMBER(M78), $B91 * N78, "")</f>
        <v>21102.661596958176</v>
      </c>
      <c r="Q78" s="146"/>
      <c r="R78" s="146"/>
      <c r="S78" s="146"/>
    </row>
    <row r="79" spans="1:19" ht="17.25" thickBot="1">
      <c r="A79" s="109" t="s">
        <v>85</v>
      </c>
      <c r="B79" s="110">
        <v>144</v>
      </c>
      <c r="C79" s="70">
        <v>-2.7027026999999999E-2</v>
      </c>
      <c r="D79" s="15">
        <v>152</v>
      </c>
      <c r="E79" s="32">
        <f t="shared" si="34"/>
        <v>5.5555555555555552E-2</v>
      </c>
      <c r="F79" s="18">
        <f>IF(ISNUMBER(D79), $B91 * E79, "")</f>
        <v>8333.3333333333321</v>
      </c>
      <c r="G79" s="31">
        <v>148</v>
      </c>
      <c r="H79" s="32">
        <f t="shared" si="35"/>
        <v>2.7777777777777776E-2</v>
      </c>
      <c r="I79" s="91">
        <f>IF(ISNUMBER(G79), $B91 * H79, "")</f>
        <v>4166.6666666666661</v>
      </c>
      <c r="J79" s="15">
        <v>150</v>
      </c>
      <c r="K79" s="32">
        <f t="shared" si="36"/>
        <v>4.1666666666666664E-2</v>
      </c>
      <c r="L79" s="18">
        <f>IF(ISNUMBER(J79), $B91 * K79, "")</f>
        <v>6250</v>
      </c>
      <c r="M79" s="31">
        <v>155</v>
      </c>
      <c r="N79" s="32">
        <f t="shared" si="37"/>
        <v>7.6388888888888895E-2</v>
      </c>
      <c r="O79" s="18">
        <f>IF(ISNUMBER(M79), $B91 * N79, "")</f>
        <v>11458.333333333334</v>
      </c>
      <c r="Q79" s="33"/>
      <c r="R79" s="33"/>
    </row>
    <row r="80" spans="1:19" ht="17.25" thickBot="1">
      <c r="A80" s="114" t="s">
        <v>235</v>
      </c>
      <c r="B80" s="115">
        <v>606</v>
      </c>
      <c r="C80" s="72">
        <v>-2.7287319399999999E-2</v>
      </c>
      <c r="D80" s="24">
        <v>652</v>
      </c>
      <c r="E80" s="25">
        <f t="shared" si="34"/>
        <v>7.590759075907591E-2</v>
      </c>
      <c r="F80" s="94">
        <f>IF(ISNUMBER(D80), $B91 * E80, "")</f>
        <v>11386.138613861387</v>
      </c>
      <c r="G80" s="92">
        <v>635</v>
      </c>
      <c r="H80" s="25">
        <f t="shared" si="35"/>
        <v>4.7854785478547858E-2</v>
      </c>
      <c r="I80" s="93">
        <f>IF(ISNUMBER(G80), $B91 * H80, "")</f>
        <v>7178.2178217821784</v>
      </c>
      <c r="J80" s="24">
        <v>640</v>
      </c>
      <c r="K80" s="25">
        <f t="shared" si="36"/>
        <v>5.6105610561056105E-2</v>
      </c>
      <c r="L80" s="94">
        <f>IF(ISNUMBER(J80), $B91 * K80, "")</f>
        <v>8415.8415841584156</v>
      </c>
      <c r="M80" s="92">
        <v>661</v>
      </c>
      <c r="N80" s="25">
        <f t="shared" si="37"/>
        <v>9.0759075907590761E-2</v>
      </c>
      <c r="O80" s="94">
        <f>IF(ISNUMBER(M80), $B91 * N80, "")</f>
        <v>13613.861386138615</v>
      </c>
      <c r="Q80" s="147"/>
      <c r="R80" s="148"/>
      <c r="S80" s="149"/>
    </row>
    <row r="81" spans="1:19">
      <c r="A81" s="107" t="s">
        <v>336</v>
      </c>
      <c r="B81" s="108">
        <v>310</v>
      </c>
      <c r="C81" s="69">
        <v>-2.8213166099999999E-2</v>
      </c>
      <c r="D81" s="13">
        <v>341</v>
      </c>
      <c r="E81" s="14">
        <f>IF(ISNUMBER(D81), (D81 - $B81) / $B81, "")</f>
        <v>0.1</v>
      </c>
      <c r="F81" s="16">
        <f>IF(ISNUMBER(D81), $B91 * E81, "")</f>
        <v>15000</v>
      </c>
      <c r="G81" s="29">
        <v>330</v>
      </c>
      <c r="H81" s="14">
        <f>IF(ISNUMBER(G81), (G81 - $B81) / $B81, "")</f>
        <v>6.4516129032258063E-2</v>
      </c>
      <c r="I81" s="90">
        <f>IF(ISNUMBER(G81), $B91 * H81, "")</f>
        <v>9677.4193548387102</v>
      </c>
      <c r="J81" s="13">
        <v>332</v>
      </c>
      <c r="K81" s="14">
        <f>IF(ISNUMBER(J81), (J81 - $B81) / $B81, "")</f>
        <v>7.0967741935483872E-2</v>
      </c>
      <c r="L81" s="16">
        <f>IF(ISNUMBER(J81), $B91 * K81, "")</f>
        <v>10645.161290322581</v>
      </c>
      <c r="M81" s="29">
        <v>346</v>
      </c>
      <c r="N81" s="14">
        <f>IF(ISNUMBER(M81), (M81 - $B81) / $B81, "")</f>
        <v>0.11612903225806452</v>
      </c>
      <c r="O81" s="16">
        <f>IF(ISNUMBER(M81), $B91 * N81, "")</f>
        <v>17419.354838709678</v>
      </c>
      <c r="Q81" s="150"/>
      <c r="R81" s="151"/>
      <c r="S81" s="152"/>
    </row>
    <row r="82" spans="1:19" ht="17.25" thickBot="1">
      <c r="A82" s="109" t="s">
        <v>60</v>
      </c>
      <c r="B82" s="110">
        <v>683</v>
      </c>
      <c r="C82" s="70">
        <v>-2.9829545499999999E-2</v>
      </c>
      <c r="D82" s="15">
        <v>747</v>
      </c>
      <c r="E82" s="32">
        <f t="shared" ref="E82:E85" si="38">IF(ISNUMBER(D82), (D82 - $B82) / $B82, "")</f>
        <v>9.3704245973645683E-2</v>
      </c>
      <c r="F82" s="18">
        <f>IF(ISNUMBER(D82), $B91 * E82, "")</f>
        <v>14055.636896046852</v>
      </c>
      <c r="G82" s="31">
        <v>726</v>
      </c>
      <c r="H82" s="32">
        <f t="shared" ref="H82:H85" si="39">IF(ISNUMBER(G82), (G82 - $B82) / $B82, "")</f>
        <v>6.2957540263543194E-2</v>
      </c>
      <c r="I82" s="91">
        <f>IF(ISNUMBER(G82), $B91 * H82, "")</f>
        <v>9443.6310395314795</v>
      </c>
      <c r="J82" s="15">
        <v>734</v>
      </c>
      <c r="K82" s="32">
        <f t="shared" ref="K82:K85" si="40">IF(ISNUMBER(J82), (J82 - $B82) / $B82, "")</f>
        <v>7.4670571010248904E-2</v>
      </c>
      <c r="L82" s="18">
        <f>IF(ISNUMBER(J82), $B91 * K82, "")</f>
        <v>11200.585651537336</v>
      </c>
      <c r="M82" s="31">
        <v>772</v>
      </c>
      <c r="N82" s="32">
        <f t="shared" ref="N82:N85" si="41">IF(ISNUMBER(M82), (M82 - $B82) / $B82, "")</f>
        <v>0.13030746705710103</v>
      </c>
      <c r="O82" s="18">
        <f>IF(ISNUMBER(M82), $B91 * N82, "")</f>
        <v>19546.120058565153</v>
      </c>
      <c r="Q82" s="153"/>
      <c r="R82" s="154"/>
      <c r="S82" s="155"/>
    </row>
    <row r="83" spans="1:19" ht="17.25" thickBot="1">
      <c r="A83" s="109" t="s">
        <v>325</v>
      </c>
      <c r="B83" s="110">
        <v>577</v>
      </c>
      <c r="C83" s="70">
        <v>-3.0252100800000001E-2</v>
      </c>
      <c r="D83" s="15">
        <v>630</v>
      </c>
      <c r="E83" s="32">
        <f t="shared" si="38"/>
        <v>9.1854419410745236E-2</v>
      </c>
      <c r="F83" s="18">
        <f>IF(ISNUMBER(D83), $B91 * E83, "")</f>
        <v>13778.162911611786</v>
      </c>
      <c r="G83" s="31">
        <v>616</v>
      </c>
      <c r="H83" s="32">
        <f t="shared" si="39"/>
        <v>6.7590987868284227E-2</v>
      </c>
      <c r="I83" s="91">
        <f>IF(ISNUMBER(G83), $B91 * H83, "")</f>
        <v>10138.648180242633</v>
      </c>
      <c r="J83" s="15">
        <v>624</v>
      </c>
      <c r="K83" s="32">
        <f t="shared" si="40"/>
        <v>8.1455805892547667E-2</v>
      </c>
      <c r="L83" s="18">
        <f>IF(ISNUMBER(J83), $B91 * K83, "")</f>
        <v>12218.370883882149</v>
      </c>
      <c r="M83" s="31">
        <v>644</v>
      </c>
      <c r="N83" s="32">
        <f t="shared" si="41"/>
        <v>0.11611785095320624</v>
      </c>
      <c r="O83" s="18">
        <f>IF(ISNUMBER(M83), $B91 * N83, "")</f>
        <v>17417.677642980936</v>
      </c>
      <c r="Q83" s="146"/>
      <c r="R83" s="146"/>
      <c r="S83" s="146"/>
    </row>
    <row r="84" spans="1:19" ht="17.25" thickBot="1">
      <c r="A84" s="109" t="s">
        <v>319</v>
      </c>
      <c r="B84" s="110">
        <v>184</v>
      </c>
      <c r="C84" s="70">
        <v>-3.1578947400000001E-2</v>
      </c>
      <c r="D84" s="15">
        <v>200</v>
      </c>
      <c r="E84" s="32">
        <f t="shared" si="38"/>
        <v>8.6956521739130432E-2</v>
      </c>
      <c r="F84" s="18">
        <f>IF(ISNUMBER(D84), $B91 * E84, "")</f>
        <v>13043.478260869564</v>
      </c>
      <c r="G84" s="31">
        <v>197</v>
      </c>
      <c r="H84" s="32">
        <f t="shared" si="39"/>
        <v>7.0652173913043473E-2</v>
      </c>
      <c r="I84" s="91">
        <f>IF(ISNUMBER(G84), $B91 * H84, "")</f>
        <v>10597.82608695652</v>
      </c>
      <c r="J84" s="15">
        <v>200</v>
      </c>
      <c r="K84" s="32">
        <f t="shared" si="40"/>
        <v>8.6956521739130432E-2</v>
      </c>
      <c r="L84" s="18">
        <f>IF(ISNUMBER(J84), $B91 * K84, "")</f>
        <v>13043.478260869564</v>
      </c>
      <c r="M84" s="31">
        <v>206</v>
      </c>
      <c r="N84" s="32">
        <f t="shared" si="41"/>
        <v>0.11956521739130435</v>
      </c>
      <c r="O84" s="18">
        <f>IF(ISNUMBER(M84), $B91 * N84, "")</f>
        <v>17934.782608695652</v>
      </c>
      <c r="Q84" s="156"/>
      <c r="R84" s="156"/>
      <c r="S84" s="156"/>
    </row>
    <row r="85" spans="1:19" ht="17.25" thickBot="1">
      <c r="A85" s="111" t="s">
        <v>213</v>
      </c>
      <c r="B85" s="112">
        <v>514</v>
      </c>
      <c r="C85" s="71">
        <v>-3.20150659E-2</v>
      </c>
      <c r="D85" s="20">
        <v>555</v>
      </c>
      <c r="E85" s="21">
        <f t="shared" si="38"/>
        <v>7.9766536964980539E-2</v>
      </c>
      <c r="F85" s="22">
        <f>IF(ISNUMBER(D85), $B91 * E85, "")</f>
        <v>11964.980544747081</v>
      </c>
      <c r="G85" s="30">
        <v>542</v>
      </c>
      <c r="H85" s="21">
        <f t="shared" si="39"/>
        <v>5.4474708171206226E-2</v>
      </c>
      <c r="I85" s="95">
        <f>IF(ISNUMBER(G85), $B91 * H85, "")</f>
        <v>8171.206225680934</v>
      </c>
      <c r="J85" s="20">
        <v>551</v>
      </c>
      <c r="K85" s="21">
        <f t="shared" si="40"/>
        <v>7.1984435797665364E-2</v>
      </c>
      <c r="L85" s="22">
        <f>IF(ISNUMBER(J85), $B91 * K85, "")</f>
        <v>10797.665369649805</v>
      </c>
      <c r="M85" s="30">
        <v>569</v>
      </c>
      <c r="N85" s="21">
        <f t="shared" si="41"/>
        <v>0.10700389105058365</v>
      </c>
      <c r="O85" s="22">
        <f>IF(ISNUMBER(M85), $B91 * N85, "")</f>
        <v>16050.583657587547</v>
      </c>
      <c r="Q85" s="156"/>
      <c r="R85" s="156"/>
      <c r="S85" s="156"/>
    </row>
    <row r="86" spans="1:19" ht="17.25" thickBot="1">
      <c r="A86" s="109" t="s">
        <v>176</v>
      </c>
      <c r="B86" s="113">
        <v>329</v>
      </c>
      <c r="C86" s="73">
        <v>-3.2352941199999999E-2</v>
      </c>
      <c r="D86" s="96">
        <v>354</v>
      </c>
      <c r="E86" s="97">
        <f>IF(ISNUMBER(D86), (D86 - $B86) / $B86, "")</f>
        <v>7.598784194528875E-2</v>
      </c>
      <c r="F86" s="98">
        <f>IF(ISNUMBER(D86), $B91 * E86, "")</f>
        <v>11398.176291793312</v>
      </c>
      <c r="G86" s="99">
        <v>347</v>
      </c>
      <c r="H86" s="97">
        <f>IF(ISNUMBER(G86), (G86 - $B86) / $B86, "")</f>
        <v>5.4711246200607903E-2</v>
      </c>
      <c r="I86" s="100">
        <f>IF(ISNUMBER(G86), $B91 * H86, "")</f>
        <v>8206.6869300911858</v>
      </c>
      <c r="J86" s="96">
        <v>354</v>
      </c>
      <c r="K86" s="97">
        <f>IF(ISNUMBER(J86), (J86 - $B86) / $B86, "")</f>
        <v>7.598784194528875E-2</v>
      </c>
      <c r="L86" s="98">
        <f>IF(ISNUMBER(J86), $B91 * K86, "")</f>
        <v>11398.176291793312</v>
      </c>
      <c r="M86" s="99">
        <v>361</v>
      </c>
      <c r="N86" s="97">
        <f>IF(ISNUMBER(M86), (M86 - $B86) / $B86, "")</f>
        <v>9.7264437689969604E-2</v>
      </c>
      <c r="O86" s="98">
        <f>IF(ISNUMBER(M86), $B91 * N86, "")</f>
        <v>14589.66565349544</v>
      </c>
      <c r="Q86" s="146"/>
      <c r="R86" s="146"/>
      <c r="S86" s="146"/>
    </row>
    <row r="87" spans="1:19" ht="17.25" thickBot="1">
      <c r="A87" s="109" t="s">
        <v>120</v>
      </c>
      <c r="B87" s="110">
        <v>117</v>
      </c>
      <c r="C87" s="70">
        <v>-3.3057851200000002E-2</v>
      </c>
      <c r="D87" s="15">
        <v>131</v>
      </c>
      <c r="E87" s="32">
        <f t="shared" ref="E87:E90" si="42">IF(ISNUMBER(D87), (D87 - $B87) / $B87, "")</f>
        <v>0.11965811965811966</v>
      </c>
      <c r="F87" s="18">
        <f>IF(ISNUMBER(D87), $B91 * E87, "")</f>
        <v>17948.717948717949</v>
      </c>
      <c r="G87" s="31">
        <v>128</v>
      </c>
      <c r="H87" s="32">
        <f t="shared" ref="H87:H90" si="43">IF(ISNUMBER(G87), (G87 - $B87) / $B87, "")</f>
        <v>9.4017094017094016E-2</v>
      </c>
      <c r="I87" s="91">
        <f>IF(ISNUMBER(G87), $B91 * H87, "")</f>
        <v>14102.564102564102</v>
      </c>
      <c r="J87" s="15">
        <v>130</v>
      </c>
      <c r="K87" s="32">
        <f t="shared" ref="K87:K90" si="44">IF(ISNUMBER(J87), (J87 - $B87) / $B87, "")</f>
        <v>0.1111111111111111</v>
      </c>
      <c r="L87" s="18">
        <f>IF(ISNUMBER(J87), $B91 * K87, "")</f>
        <v>16666.666666666664</v>
      </c>
      <c r="M87" s="31">
        <v>133</v>
      </c>
      <c r="N87" s="32">
        <f t="shared" ref="N87:N90" si="45">IF(ISNUMBER(M87), (M87 - $B87) / $B87, "")</f>
        <v>0.13675213675213677</v>
      </c>
      <c r="O87" s="18">
        <f>IF(ISNUMBER(M87), $B91 * N87, "")</f>
        <v>20512.820512820515</v>
      </c>
      <c r="Q87" s="146"/>
      <c r="R87" s="146"/>
      <c r="S87" s="146"/>
    </row>
    <row r="88" spans="1:19" ht="17.25" thickBot="1">
      <c r="A88" s="109" t="s">
        <v>111</v>
      </c>
      <c r="B88" s="110">
        <v>692</v>
      </c>
      <c r="C88" s="70">
        <v>-3.3519553100000002E-2</v>
      </c>
      <c r="D88" s="15">
        <v>777</v>
      </c>
      <c r="E88" s="32">
        <f t="shared" si="42"/>
        <v>0.12283236994219653</v>
      </c>
      <c r="F88" s="18">
        <f>IF(ISNUMBER(D88), $B91 * E88, "")</f>
        <v>18424.855491329479</v>
      </c>
      <c r="G88" s="31">
        <v>755</v>
      </c>
      <c r="H88" s="32">
        <f t="shared" si="43"/>
        <v>9.1040462427745661E-2</v>
      </c>
      <c r="I88" s="91">
        <f>IF(ISNUMBER(G88), $B91 * H88, "")</f>
        <v>13656.069364161849</v>
      </c>
      <c r="J88" s="15">
        <v>759</v>
      </c>
      <c r="K88" s="32">
        <f t="shared" si="44"/>
        <v>9.6820809248554907E-2</v>
      </c>
      <c r="L88" s="18">
        <f>IF(ISNUMBER(J88), $B91 * K88, "")</f>
        <v>14523.121387283236</v>
      </c>
      <c r="M88" s="31">
        <v>795</v>
      </c>
      <c r="N88" s="32">
        <f t="shared" si="45"/>
        <v>0.14884393063583815</v>
      </c>
      <c r="O88" s="18">
        <f>IF(ISNUMBER(M88), $B91 * N88, "")</f>
        <v>22326.589595375721</v>
      </c>
      <c r="Q88" s="146"/>
      <c r="R88" s="146"/>
      <c r="S88" s="146"/>
    </row>
    <row r="89" spans="1:19">
      <c r="A89" s="109" t="s">
        <v>352</v>
      </c>
      <c r="B89" s="110">
        <v>228</v>
      </c>
      <c r="C89" s="70">
        <v>-3.3898305099999998E-2</v>
      </c>
      <c r="D89" s="15">
        <v>238</v>
      </c>
      <c r="E89" s="32">
        <f t="shared" si="42"/>
        <v>4.3859649122807015E-2</v>
      </c>
      <c r="F89" s="18">
        <f>IF(ISNUMBER(D89), $B91 * E89, "")</f>
        <v>6578.9473684210525</v>
      </c>
      <c r="G89" s="31">
        <v>250</v>
      </c>
      <c r="H89" s="32">
        <f t="shared" si="43"/>
        <v>9.6491228070175433E-2</v>
      </c>
      <c r="I89" s="91">
        <f>IF(ISNUMBER(G89), $B91 * H89, "")</f>
        <v>14473.684210526315</v>
      </c>
      <c r="J89" s="15">
        <v>241</v>
      </c>
      <c r="K89" s="32">
        <f t="shared" si="44"/>
        <v>5.701754385964912E-2</v>
      </c>
      <c r="L89" s="18">
        <f>IF(ISNUMBER(J89), $B91 * K89, "")</f>
        <v>8552.6315789473683</v>
      </c>
      <c r="M89" s="31">
        <v>243</v>
      </c>
      <c r="N89" s="32">
        <f t="shared" si="45"/>
        <v>6.5789473684210523E-2</v>
      </c>
      <c r="O89" s="18">
        <f>IF(ISNUMBER(M89), $B91 * N89, "")</f>
        <v>9868.4210526315783</v>
      </c>
      <c r="Q89" s="135"/>
      <c r="R89" s="136"/>
      <c r="S89" s="137"/>
    </row>
    <row r="90" spans="1:19" ht="17.25" thickBot="1">
      <c r="A90" s="114" t="s">
        <v>153</v>
      </c>
      <c r="B90" s="115">
        <v>397</v>
      </c>
      <c r="C90" s="72">
        <v>-3.4063260300000002E-2</v>
      </c>
      <c r="D90" s="24">
        <v>440</v>
      </c>
      <c r="E90" s="25">
        <f t="shared" si="42"/>
        <v>0.10831234256926953</v>
      </c>
      <c r="F90" s="94">
        <f>IF(ISNUMBER(D90), $B91 * E90, "")</f>
        <v>16246.85138539043</v>
      </c>
      <c r="G90" s="92">
        <v>426</v>
      </c>
      <c r="H90" s="25">
        <f t="shared" si="43"/>
        <v>7.3047858942065488E-2</v>
      </c>
      <c r="I90" s="93">
        <f>IF(ISNUMBER(G90), $B91 * H90, "")</f>
        <v>10957.178841309824</v>
      </c>
      <c r="J90" s="24">
        <v>428</v>
      </c>
      <c r="K90" s="25">
        <f t="shared" si="44"/>
        <v>7.8085642317380355E-2</v>
      </c>
      <c r="L90" s="94">
        <f>IF(ISNUMBER(J90), $B91 * K90, "")</f>
        <v>11712.846347607054</v>
      </c>
      <c r="M90" s="92">
        <v>449</v>
      </c>
      <c r="N90" s="25">
        <f t="shared" si="45"/>
        <v>0.13098236775818639</v>
      </c>
      <c r="O90" s="94">
        <f>IF(ISNUMBER(M90), $B91 * N90, "")</f>
        <v>19647.35516372796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8.0383700685086823E-2</v>
      </c>
      <c r="F91" s="28">
        <f>SUM(F71:F90)</f>
        <v>241151.10205526045</v>
      </c>
      <c r="G91" s="26" t="s">
        <v>258</v>
      </c>
      <c r="H91" s="27">
        <f>IF(COUNT(H71:H90), SUM(H71:H90) / COUNT(H71:H90), 0)</f>
        <v>5.8756093678172125E-2</v>
      </c>
      <c r="I91" s="28">
        <f>SUM(I71:I90)</f>
        <v>176268.28103451637</v>
      </c>
      <c r="J91" s="26" t="s">
        <v>258</v>
      </c>
      <c r="K91" s="27">
        <f>IF(COUNT(K71:K90), SUM(K71:K90) / COUNT(K71:K90), 0)</f>
        <v>6.7649628667210665E-2</v>
      </c>
      <c r="L91" s="28">
        <f>SUM(L71:L90)</f>
        <v>202948.88600163197</v>
      </c>
      <c r="M91" s="26" t="s">
        <v>258</v>
      </c>
      <c r="N91" s="27">
        <f>IF(COUNT(N71:N90), SUM(N71:N90) / COUNT(N71:N90), 0)</f>
        <v>0.10386465520575686</v>
      </c>
      <c r="O91" s="28">
        <f>SUM(O71:O90)</f>
        <v>311593.9656172705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2023-03-13(월) 오전 00:00</v>
      </c>
      <c r="C96" s="198"/>
      <c r="D96" s="170" t="str">
        <f>TEXT($G$1, "[$-ko-KR]yyyy-mm-dd(ddd) ") &amp; "오후 14:00"</f>
        <v>2023-03-13(월) 오후 14:00</v>
      </c>
      <c r="E96" s="171"/>
      <c r="F96" s="172"/>
      <c r="G96" s="170" t="str">
        <f>TEXT($G$1, "[$-ko-KR]yyyy-mm-dd(ddd) ") &amp; "오후 19:00"</f>
        <v>2023-03-13(월) 오후 19:00</v>
      </c>
      <c r="H96" s="171"/>
      <c r="I96" s="172"/>
      <c r="J96" s="170" t="str">
        <f>TEXT($G$1, "[$-ko-KR]yyyy-mm-dd(ddd) ") &amp; "오후 21:00"</f>
        <v>2023-03-13(월) 오후 21:00</v>
      </c>
      <c r="K96" s="171"/>
      <c r="L96" s="172"/>
      <c r="M96" s="170" t="str">
        <f>TEXT($G$1+1, "[$-ko-KR]yyyy-mm-dd(ddd) ") &amp; "오전 00:00"</f>
        <v>2023-03-14(화)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113</v>
      </c>
      <c r="B98" s="108">
        <v>1555</v>
      </c>
      <c r="C98" s="69">
        <v>4.7138047099999997E-2</v>
      </c>
      <c r="D98" s="13">
        <v>1640</v>
      </c>
      <c r="E98" s="14">
        <f>IF(ISNUMBER(D98), (D98 - $B98) / $B98, "")</f>
        <v>5.4662379421221867E-2</v>
      </c>
      <c r="F98" s="16">
        <f>IF(ISNUMBER(D98), $B118 * E98, "")</f>
        <v>8199.3569131832792</v>
      </c>
      <c r="G98" s="29">
        <v>1590</v>
      </c>
      <c r="H98" s="14">
        <f>IF(ISNUMBER(G98), (G98 - $B98) / $B98, "")</f>
        <v>2.2508038585209004E-2</v>
      </c>
      <c r="I98" s="90">
        <f>IF(ISNUMBER(G98), $B118 * H98, "")</f>
        <v>3376.2057877813504</v>
      </c>
      <c r="J98" s="13">
        <v>1595</v>
      </c>
      <c r="K98" s="14">
        <f>IF(ISNUMBER(J98), (J98 - $B98) / $B98, "")</f>
        <v>2.5723472668810289E-2</v>
      </c>
      <c r="L98" s="16">
        <f>IF(ISNUMBER(J98), $B118 * K98, "")</f>
        <v>3858.5209003215432</v>
      </c>
      <c r="M98" s="29">
        <v>1640</v>
      </c>
      <c r="N98" s="14">
        <f>IF(ISNUMBER(M98), (M98 - $B98) / $B98, "")</f>
        <v>5.4662379421221867E-2</v>
      </c>
      <c r="O98" s="16">
        <f>IF(ISNUMBER(M98), $B118 * N98, "")</f>
        <v>8199.3569131832792</v>
      </c>
      <c r="Q98" s="156"/>
      <c r="R98" s="156"/>
      <c r="S98" s="156"/>
    </row>
    <row r="99" spans="1:19" ht="17.25" thickBot="1">
      <c r="A99" s="109" t="s">
        <v>163</v>
      </c>
      <c r="B99" s="110">
        <v>9990</v>
      </c>
      <c r="C99" s="70">
        <v>2.7249357299999999E-2</v>
      </c>
      <c r="D99" s="15">
        <v>10290</v>
      </c>
      <c r="E99" s="32">
        <f t="shared" ref="E99:E102" si="46">IF(ISNUMBER(D99), (D99 - $B99) / $B99, "")</f>
        <v>3.003003003003003E-2</v>
      </c>
      <c r="F99" s="18">
        <f>IF(ISNUMBER(D99), $B118 * E99, "")</f>
        <v>4504.5045045045044</v>
      </c>
      <c r="G99" s="31">
        <v>10150</v>
      </c>
      <c r="H99" s="32">
        <f t="shared" ref="H99:H102" si="47">IF(ISNUMBER(G99), (G99 - $B99) / $B99, "")</f>
        <v>1.6016016016016016E-2</v>
      </c>
      <c r="I99" s="91">
        <f>IF(ISNUMBER(G99), $B118 * H99, "")</f>
        <v>2402.4024024024025</v>
      </c>
      <c r="J99" s="15">
        <v>10230</v>
      </c>
      <c r="K99" s="32">
        <f t="shared" ref="K99:K102" si="48">IF(ISNUMBER(J99), (J99 - $B99) / $B99, "")</f>
        <v>2.4024024024024024E-2</v>
      </c>
      <c r="L99" s="18">
        <f>IF(ISNUMBER(J99), $B118 * K99, "")</f>
        <v>3603.6036036036035</v>
      </c>
      <c r="M99" s="31">
        <v>10530</v>
      </c>
      <c r="N99" s="32">
        <f t="shared" ref="N99:N102" si="49">IF(ISNUMBER(M99), (M99 - $B99) / $B99, "")</f>
        <v>5.4054054054054057E-2</v>
      </c>
      <c r="O99" s="18">
        <f>IF(ISNUMBER(M99), $B118 * N99, "")</f>
        <v>8108.1081081081084</v>
      </c>
      <c r="Q99" s="156"/>
      <c r="R99" s="156"/>
      <c r="S99" s="156"/>
    </row>
    <row r="100" spans="1:19" ht="17.25" thickBot="1">
      <c r="A100" s="109" t="s">
        <v>322</v>
      </c>
      <c r="B100" s="110">
        <v>1440</v>
      </c>
      <c r="C100" s="70">
        <v>6.9930069999999999E-3</v>
      </c>
      <c r="D100" s="15">
        <v>1495</v>
      </c>
      <c r="E100" s="32">
        <f t="shared" si="46"/>
        <v>3.8194444444444448E-2</v>
      </c>
      <c r="F100" s="18">
        <f>IF(ISNUMBER(D100), $B118 * E100, "")</f>
        <v>5729.166666666667</v>
      </c>
      <c r="G100" s="31">
        <v>1455</v>
      </c>
      <c r="H100" s="32">
        <f t="shared" si="47"/>
        <v>1.0416666666666666E-2</v>
      </c>
      <c r="I100" s="91">
        <f>IF(ISNUMBER(G100), $B118 * H100, "")</f>
        <v>1562.5</v>
      </c>
      <c r="J100" s="15">
        <v>1475</v>
      </c>
      <c r="K100" s="32">
        <f t="shared" si="48"/>
        <v>2.4305555555555556E-2</v>
      </c>
      <c r="L100" s="18">
        <f>IF(ISNUMBER(J100), $B118 * K100, "")</f>
        <v>3645.8333333333335</v>
      </c>
      <c r="M100" s="31">
        <v>1545</v>
      </c>
      <c r="N100" s="32">
        <f t="shared" si="49"/>
        <v>7.2916666666666671E-2</v>
      </c>
      <c r="O100" s="18">
        <f>IF(ISNUMBER(M100), $B118 * N100, "")</f>
        <v>10937.5</v>
      </c>
      <c r="Q100" s="146"/>
      <c r="R100" s="146"/>
      <c r="S100" s="146"/>
    </row>
    <row r="101" spans="1:19" ht="17.25" thickBot="1">
      <c r="A101" s="109" t="s">
        <v>174</v>
      </c>
      <c r="B101" s="110">
        <v>16030</v>
      </c>
      <c r="C101" s="70">
        <v>5.6461730999999996E-3</v>
      </c>
      <c r="D101" s="15">
        <v>16490</v>
      </c>
      <c r="E101" s="32">
        <f t="shared" si="46"/>
        <v>2.8696194635059263E-2</v>
      </c>
      <c r="F101" s="18">
        <f>IF(ISNUMBER(D101), $B118 * E101, "")</f>
        <v>4304.4291952588892</v>
      </c>
      <c r="G101" s="31">
        <v>16300</v>
      </c>
      <c r="H101" s="32">
        <f t="shared" si="47"/>
        <v>1.6843418590143482E-2</v>
      </c>
      <c r="I101" s="91">
        <f>IF(ISNUMBER(G101), $B118 * H101, "")</f>
        <v>2526.5127885215225</v>
      </c>
      <c r="J101" s="15">
        <v>16360</v>
      </c>
      <c r="K101" s="32">
        <f t="shared" si="48"/>
        <v>2.0586400499064253E-2</v>
      </c>
      <c r="L101" s="18">
        <f>IF(ISNUMBER(J101), $B118 * K101, "")</f>
        <v>3087.9600748596381</v>
      </c>
      <c r="M101" s="31">
        <v>16900</v>
      </c>
      <c r="N101" s="32">
        <f t="shared" si="49"/>
        <v>5.4273237679351216E-2</v>
      </c>
      <c r="O101" s="18">
        <f>IF(ISNUMBER(M101), $B118 * N101, "")</f>
        <v>8140.9856519026825</v>
      </c>
      <c r="Q101" s="146"/>
      <c r="R101" s="146"/>
      <c r="S101" s="146"/>
    </row>
    <row r="102" spans="1:19" ht="17.25" thickBot="1">
      <c r="A102" s="111" t="s">
        <v>97</v>
      </c>
      <c r="B102" s="112">
        <v>8.0000000000000004E-4</v>
      </c>
      <c r="C102" s="71">
        <v>0</v>
      </c>
      <c r="D102" s="20">
        <v>8.9999999999999998E-4</v>
      </c>
      <c r="E102" s="21">
        <f t="shared" si="46"/>
        <v>0.12499999999999992</v>
      </c>
      <c r="F102" s="22">
        <f>IF(ISNUMBER(D102), $B118 * E102, "")</f>
        <v>18749.999999999989</v>
      </c>
      <c r="G102" s="30">
        <v>8.9999999999999998E-4</v>
      </c>
      <c r="H102" s="21">
        <f t="shared" si="47"/>
        <v>0.12499999999999992</v>
      </c>
      <c r="I102" s="95">
        <f>IF(ISNUMBER(G102), $B118 * H102, "")</f>
        <v>18749.999999999989</v>
      </c>
      <c r="J102" s="20">
        <v>8.0000000000000004E-4</v>
      </c>
      <c r="K102" s="21">
        <f t="shared" si="48"/>
        <v>0</v>
      </c>
      <c r="L102" s="22">
        <f>IF(ISNUMBER(J102), $B118 * K102, "")</f>
        <v>0</v>
      </c>
      <c r="M102" s="30">
        <v>8.9999999999999998E-4</v>
      </c>
      <c r="N102" s="21">
        <f t="shared" si="49"/>
        <v>0.12499999999999992</v>
      </c>
      <c r="O102" s="22">
        <f>IF(ISNUMBER(M102), $B118 * N102, "")</f>
        <v>18749.999999999989</v>
      </c>
      <c r="Q102" s="146"/>
      <c r="R102" s="146"/>
      <c r="S102" s="146"/>
    </row>
    <row r="103" spans="1:19" ht="17.25" thickBot="1">
      <c r="A103" s="109" t="s">
        <v>187</v>
      </c>
      <c r="B103" s="113">
        <v>874</v>
      </c>
      <c r="C103" s="73">
        <v>0</v>
      </c>
      <c r="D103" s="96">
        <v>903</v>
      </c>
      <c r="E103" s="97">
        <f>IF(ISNUMBER(D103), (D103 - $B103) / $B103, "")</f>
        <v>3.3180778032036611E-2</v>
      </c>
      <c r="F103" s="98">
        <f>IF(ISNUMBER(D103), $B118 * E103, "")</f>
        <v>4977.1167048054913</v>
      </c>
      <c r="G103" s="99">
        <v>888</v>
      </c>
      <c r="H103" s="97">
        <f>IF(ISNUMBER(G103), (G103 - $B103) / $B103, "")</f>
        <v>1.6018306636155607E-2</v>
      </c>
      <c r="I103" s="100">
        <f>IF(ISNUMBER(G103), $B118 * H103, "")</f>
        <v>2402.7459954233409</v>
      </c>
      <c r="J103" s="96">
        <v>898</v>
      </c>
      <c r="K103" s="97">
        <f>IF(ISNUMBER(J103), (J103 - $B103) / $B103, "")</f>
        <v>2.7459954233409609E-2</v>
      </c>
      <c r="L103" s="98">
        <f>IF(ISNUMBER(J103), $B118 * K103, "")</f>
        <v>4118.9931350114412</v>
      </c>
      <c r="M103" s="99">
        <v>915</v>
      </c>
      <c r="N103" s="97">
        <f>IF(ISNUMBER(M103), (M103 - $B103) / $B103, "")</f>
        <v>4.691075514874142E-2</v>
      </c>
      <c r="O103" s="98">
        <f>IF(ISNUMBER(M103), $B118 * N103, "")</f>
        <v>7036.6132723112132</v>
      </c>
      <c r="Q103" s="146"/>
      <c r="R103" s="146"/>
      <c r="S103" s="146"/>
    </row>
    <row r="104" spans="1:19" ht="17.25" thickBot="1">
      <c r="A104" s="109" t="s">
        <v>73</v>
      </c>
      <c r="B104" s="110">
        <v>14910</v>
      </c>
      <c r="C104" s="70">
        <v>-2.6755853E-3</v>
      </c>
      <c r="D104" s="15">
        <v>15490</v>
      </c>
      <c r="E104" s="32">
        <f t="shared" ref="E104:E107" si="50">IF(ISNUMBER(D104), (D104 - $B104) / $B104, "")</f>
        <v>3.8900067069081154E-2</v>
      </c>
      <c r="F104" s="18">
        <f>IF(ISNUMBER(D104), $B118 * E104, "")</f>
        <v>5835.0100603621731</v>
      </c>
      <c r="G104" s="31">
        <v>15170</v>
      </c>
      <c r="H104" s="32">
        <f t="shared" ref="H104:H107" si="51">IF(ISNUMBER(G104), (G104 - $B104) / $B104, "")</f>
        <v>1.7437961099932932E-2</v>
      </c>
      <c r="I104" s="91">
        <f>IF(ISNUMBER(G104), $B118 * H104, "")</f>
        <v>2615.69416498994</v>
      </c>
      <c r="J104" s="15">
        <v>15200</v>
      </c>
      <c r="K104" s="32">
        <f t="shared" ref="K104:K107" si="52">IF(ISNUMBER(J104), (J104 - $B104) / $B104, "")</f>
        <v>1.9450033534540577E-2</v>
      </c>
      <c r="L104" s="18">
        <f>IF(ISNUMBER(J104), $B118 * K104, "")</f>
        <v>2917.5050301810866</v>
      </c>
      <c r="M104" s="31">
        <v>15690</v>
      </c>
      <c r="N104" s="32">
        <f t="shared" ref="N104:N107" si="53">IF(ISNUMBER(M104), (M104 - $B104) / $B104, "")</f>
        <v>5.2313883299798795E-2</v>
      </c>
      <c r="O104" s="18">
        <f>IF(ISNUMBER(M104), $B118 * N104, "")</f>
        <v>7847.082494969819</v>
      </c>
      <c r="Q104" s="146"/>
      <c r="R104" s="146"/>
      <c r="S104" s="146"/>
    </row>
    <row r="105" spans="1:19" ht="17.25" thickBot="1">
      <c r="A105" s="109" t="s">
        <v>145</v>
      </c>
      <c r="B105" s="110">
        <v>79.099999999999994</v>
      </c>
      <c r="C105" s="70">
        <v>-7.5282309000000002E-3</v>
      </c>
      <c r="D105" s="15">
        <v>88.6</v>
      </c>
      <c r="E105" s="32">
        <f t="shared" si="50"/>
        <v>0.12010113780025285</v>
      </c>
      <c r="F105" s="18">
        <f>IF(ISNUMBER(D105), $B118 * E105, "")</f>
        <v>18015.170670037925</v>
      </c>
      <c r="G105" s="31">
        <v>86.2</v>
      </c>
      <c r="H105" s="32">
        <f t="shared" si="51"/>
        <v>8.9759797724399612E-2</v>
      </c>
      <c r="I105" s="91">
        <f>IF(ISNUMBER(G105), $B118 * H105, "")</f>
        <v>13463.969658659942</v>
      </c>
      <c r="J105" s="15">
        <v>86.5</v>
      </c>
      <c r="K105" s="32">
        <f t="shared" si="52"/>
        <v>9.3552465233881235E-2</v>
      </c>
      <c r="L105" s="18">
        <f>IF(ISNUMBER(J105), $B118 * K105, "")</f>
        <v>14032.869785082185</v>
      </c>
      <c r="M105" s="31">
        <v>88.9</v>
      </c>
      <c r="N105" s="32">
        <f t="shared" si="53"/>
        <v>0.12389380530973466</v>
      </c>
      <c r="O105" s="18">
        <f>IF(ISNUMBER(M105), $B118 * N105, "")</f>
        <v>18584.070796460201</v>
      </c>
      <c r="Q105" s="146"/>
      <c r="R105" s="146"/>
      <c r="S105" s="146"/>
    </row>
    <row r="106" spans="1:19" ht="17.25" thickBot="1">
      <c r="A106" s="109" t="s">
        <v>101</v>
      </c>
      <c r="B106" s="110">
        <v>253</v>
      </c>
      <c r="C106" s="70">
        <v>-7.8431373000000006E-3</v>
      </c>
      <c r="D106" s="15">
        <v>272</v>
      </c>
      <c r="E106" s="32">
        <f t="shared" si="50"/>
        <v>7.5098814229249009E-2</v>
      </c>
      <c r="F106" s="18">
        <f>IF(ISNUMBER(D106), $B118 * E106, "")</f>
        <v>11264.822134387352</v>
      </c>
      <c r="G106" s="31">
        <v>264</v>
      </c>
      <c r="H106" s="32">
        <f t="shared" si="51"/>
        <v>4.3478260869565216E-2</v>
      </c>
      <c r="I106" s="91">
        <f>IF(ISNUMBER(G106), $B118 * H106, "")</f>
        <v>6521.7391304347821</v>
      </c>
      <c r="J106" s="15">
        <v>268</v>
      </c>
      <c r="K106" s="32">
        <f t="shared" si="52"/>
        <v>5.9288537549407112E-2</v>
      </c>
      <c r="L106" s="18">
        <f>IF(ISNUMBER(J106), $B118 * K106, "")</f>
        <v>8893.2806324110661</v>
      </c>
      <c r="M106" s="31">
        <v>276</v>
      </c>
      <c r="N106" s="32">
        <f t="shared" si="53"/>
        <v>9.0909090909090912E-2</v>
      </c>
      <c r="O106" s="18">
        <f>IF(ISNUMBER(M106), $B118 * N106, "")</f>
        <v>13636.363636363636</v>
      </c>
      <c r="Q106" s="33"/>
      <c r="R106" s="33"/>
    </row>
    <row r="107" spans="1:19" ht="17.25" thickBot="1">
      <c r="A107" s="114" t="s">
        <v>237</v>
      </c>
      <c r="B107" s="115">
        <v>30.9</v>
      </c>
      <c r="C107" s="72">
        <v>-1.27795527E-2</v>
      </c>
      <c r="D107" s="24">
        <v>33.5</v>
      </c>
      <c r="E107" s="25">
        <f t="shared" si="50"/>
        <v>8.4142394822006528E-2</v>
      </c>
      <c r="F107" s="94">
        <f>IF(ISNUMBER(D107), $B118 * E107, "")</f>
        <v>12621.359223300979</v>
      </c>
      <c r="G107" s="92">
        <v>32.9</v>
      </c>
      <c r="H107" s="25">
        <f t="shared" si="51"/>
        <v>6.4724919093851141E-2</v>
      </c>
      <c r="I107" s="93">
        <f>IF(ISNUMBER(G107), $B118 * H107, "")</f>
        <v>9708.7378640776715</v>
      </c>
      <c r="J107" s="24">
        <v>33.799999999999997</v>
      </c>
      <c r="K107" s="25">
        <f t="shared" si="52"/>
        <v>9.3851132686084096E-2</v>
      </c>
      <c r="L107" s="94">
        <f>IF(ISNUMBER(J107), $B118 * K107, "")</f>
        <v>14077.669902912614</v>
      </c>
      <c r="M107" s="92">
        <v>34.299999999999997</v>
      </c>
      <c r="N107" s="25">
        <f t="shared" si="53"/>
        <v>0.11003236245954688</v>
      </c>
      <c r="O107" s="94">
        <f>IF(ISNUMBER(M107), $B118 * N107, "")</f>
        <v>16504.854368932032</v>
      </c>
      <c r="Q107" s="147"/>
      <c r="R107" s="148"/>
      <c r="S107" s="149"/>
    </row>
    <row r="108" spans="1:19">
      <c r="A108" s="107" t="s">
        <v>77</v>
      </c>
      <c r="B108" s="108">
        <v>151300</v>
      </c>
      <c r="C108" s="69">
        <v>-1.4011078499999999E-2</v>
      </c>
      <c r="D108" s="13">
        <v>158850</v>
      </c>
      <c r="E108" s="14">
        <f>IF(ISNUMBER(D108), (D108 - $B108) / $B108, "")</f>
        <v>4.9900859220092533E-2</v>
      </c>
      <c r="F108" s="16">
        <f>IF(ISNUMBER(D108), $B118 * E108, "")</f>
        <v>7485.1288830138801</v>
      </c>
      <c r="G108" s="29">
        <v>158500</v>
      </c>
      <c r="H108" s="14">
        <f>IF(ISNUMBER(G108), (G108 - $B108) / $B108, "")</f>
        <v>4.758757435558493E-2</v>
      </c>
      <c r="I108" s="90">
        <f>IF(ISNUMBER(G108), $B118 * H108, "")</f>
        <v>7138.1361533377394</v>
      </c>
      <c r="J108" s="13">
        <v>160350</v>
      </c>
      <c r="K108" s="14">
        <f>IF(ISNUMBER(J108), (J108 - $B108) / $B108, "")</f>
        <v>5.9814937210839393E-2</v>
      </c>
      <c r="L108" s="16">
        <f>IF(ISNUMBER(J108), $B118 * K108, "")</f>
        <v>8972.2405816259088</v>
      </c>
      <c r="M108" s="29">
        <v>165650</v>
      </c>
      <c r="N108" s="14">
        <f>IF(ISNUMBER(M108), (M108 - $B108) / $B108, "")</f>
        <v>9.4844679444811633E-2</v>
      </c>
      <c r="O108" s="16">
        <f>IF(ISNUMBER(M108), $B118 * N108, "")</f>
        <v>14226.701916721746</v>
      </c>
      <c r="Q108" s="150"/>
      <c r="R108" s="151"/>
      <c r="S108" s="152"/>
    </row>
    <row r="109" spans="1:19" ht="17.25" thickBot="1">
      <c r="A109" s="109" t="s">
        <v>149</v>
      </c>
      <c r="B109" s="110">
        <v>469</v>
      </c>
      <c r="C109" s="70">
        <v>-1.47058824E-2</v>
      </c>
      <c r="D109" s="15">
        <v>514</v>
      </c>
      <c r="E109" s="32">
        <f t="shared" ref="E109:E112" si="54">IF(ISNUMBER(D109), (D109 - $B109) / $B109, "")</f>
        <v>9.5948827292110878E-2</v>
      </c>
      <c r="F109" s="18">
        <f>IF(ISNUMBER(D109), $B118 * E109, "")</f>
        <v>14392.324093816631</v>
      </c>
      <c r="G109" s="31">
        <v>498</v>
      </c>
      <c r="H109" s="32">
        <f t="shared" ref="H109:H112" si="55">IF(ISNUMBER(G109), (G109 - $B109) / $B109, "")</f>
        <v>6.1833688699360338E-2</v>
      </c>
      <c r="I109" s="91">
        <f>IF(ISNUMBER(G109), $B118 * H109, "")</f>
        <v>9275.0533049040514</v>
      </c>
      <c r="J109" s="15">
        <v>502</v>
      </c>
      <c r="K109" s="32">
        <f t="shared" ref="K109:K112" si="56">IF(ISNUMBER(J109), (J109 - $B109) / $B109, "")</f>
        <v>7.0362473347547971E-2</v>
      </c>
      <c r="L109" s="18">
        <f>IF(ISNUMBER(J109), $B118 * K109, "")</f>
        <v>10554.371002132195</v>
      </c>
      <c r="M109" s="31">
        <v>525</v>
      </c>
      <c r="N109" s="32">
        <f t="shared" ref="N109:N112" si="57">IF(ISNUMBER(M109), (M109 - $B109) / $B109, "")</f>
        <v>0.11940298507462686</v>
      </c>
      <c r="O109" s="18">
        <f>IF(ISNUMBER(M109), $B118 * N109, "")</f>
        <v>17910.447761194031</v>
      </c>
      <c r="Q109" s="153"/>
      <c r="R109" s="154"/>
      <c r="S109" s="155"/>
    </row>
    <row r="110" spans="1:19" ht="17.25" thickBot="1">
      <c r="A110" s="109" t="s">
        <v>49</v>
      </c>
      <c r="B110" s="110">
        <v>27315000</v>
      </c>
      <c r="C110" s="70">
        <v>-1.5214334600000001E-2</v>
      </c>
      <c r="D110" s="15">
        <v>29463000</v>
      </c>
      <c r="E110" s="32">
        <f t="shared" si="54"/>
        <v>7.86381109280615E-2</v>
      </c>
      <c r="F110" s="18">
        <f>IF(ISNUMBER(D110), $B118 * E110, "")</f>
        <v>11795.716639209226</v>
      </c>
      <c r="G110" s="31">
        <v>29094000</v>
      </c>
      <c r="H110" s="32">
        <f t="shared" si="55"/>
        <v>6.5129049972542555E-2</v>
      </c>
      <c r="I110" s="91">
        <f>IF(ISNUMBER(G110), $B118 * H110, "")</f>
        <v>9769.3574958813824</v>
      </c>
      <c r="J110" s="15">
        <v>29300000</v>
      </c>
      <c r="K110" s="32">
        <f t="shared" si="56"/>
        <v>7.2670693758008414E-2</v>
      </c>
      <c r="L110" s="18">
        <f>IF(ISNUMBER(J110), $B118 * K110, "")</f>
        <v>10900.604063701263</v>
      </c>
      <c r="M110" s="31">
        <v>30941000</v>
      </c>
      <c r="N110" s="32">
        <f t="shared" si="57"/>
        <v>0.13274757459271463</v>
      </c>
      <c r="O110" s="18">
        <f>IF(ISNUMBER(M110), $B118 * N110, "")</f>
        <v>19912.136188907196</v>
      </c>
      <c r="Q110" s="146"/>
      <c r="R110" s="146"/>
      <c r="S110" s="146"/>
    </row>
    <row r="111" spans="1:19" ht="17.25" thickBot="1">
      <c r="A111" s="109" t="s">
        <v>169</v>
      </c>
      <c r="B111" s="110">
        <v>254</v>
      </c>
      <c r="C111" s="70">
        <v>-1.5503876E-2</v>
      </c>
      <c r="D111" s="15">
        <v>268</v>
      </c>
      <c r="E111" s="32">
        <f t="shared" si="54"/>
        <v>5.5118110236220472E-2</v>
      </c>
      <c r="F111" s="18">
        <f>IF(ISNUMBER(D111), $B118 * E111, "")</f>
        <v>8267.71653543307</v>
      </c>
      <c r="G111" s="31">
        <v>264</v>
      </c>
      <c r="H111" s="32">
        <f t="shared" si="55"/>
        <v>3.937007874015748E-2</v>
      </c>
      <c r="I111" s="91">
        <f>IF(ISNUMBER(G111), $B118 * H111, "")</f>
        <v>5905.5118110236217</v>
      </c>
      <c r="J111" s="15">
        <v>265</v>
      </c>
      <c r="K111" s="32">
        <f t="shared" si="56"/>
        <v>4.3307086614173228E-2</v>
      </c>
      <c r="L111" s="18">
        <f>IF(ISNUMBER(J111), $B118 * K111, "")</f>
        <v>6496.0629921259842</v>
      </c>
      <c r="M111" s="31">
        <v>276</v>
      </c>
      <c r="N111" s="32">
        <f t="shared" si="57"/>
        <v>8.6614173228346455E-2</v>
      </c>
      <c r="O111" s="18">
        <f>IF(ISNUMBER(M111), $B118 * N111, "")</f>
        <v>12992.125984251968</v>
      </c>
      <c r="Q111" s="156"/>
      <c r="R111" s="156"/>
      <c r="S111" s="156"/>
    </row>
    <row r="112" spans="1:19" ht="17.25" thickBot="1">
      <c r="A112" s="111" t="s">
        <v>323</v>
      </c>
      <c r="B112" s="112">
        <v>85.7</v>
      </c>
      <c r="C112" s="71">
        <v>-1.6073478799999999E-2</v>
      </c>
      <c r="D112" s="20">
        <v>89.5</v>
      </c>
      <c r="E112" s="21">
        <f t="shared" si="54"/>
        <v>4.4340723453908951E-2</v>
      </c>
      <c r="F112" s="22">
        <f>IF(ISNUMBER(D112), $B118 * E112, "")</f>
        <v>6651.1085180863429</v>
      </c>
      <c r="G112" s="30">
        <v>88</v>
      </c>
      <c r="H112" s="21">
        <f t="shared" si="55"/>
        <v>2.6837806301050142E-2</v>
      </c>
      <c r="I112" s="95">
        <f>IF(ISNUMBER(G112), $B118 * H112, "")</f>
        <v>4025.6709451575211</v>
      </c>
      <c r="J112" s="20">
        <v>88.8</v>
      </c>
      <c r="K112" s="21">
        <f t="shared" si="56"/>
        <v>3.6172695449241475E-2</v>
      </c>
      <c r="L112" s="22">
        <f>IF(ISNUMBER(J112), $B118 * K112, "")</f>
        <v>5425.904317386221</v>
      </c>
      <c r="M112" s="30">
        <v>92.3</v>
      </c>
      <c r="N112" s="21">
        <f t="shared" si="57"/>
        <v>7.70128354725787E-2</v>
      </c>
      <c r="O112" s="22">
        <f>IF(ISNUMBER(M112), $B118 * N112, "")</f>
        <v>11551.925320886805</v>
      </c>
      <c r="Q112" s="156"/>
      <c r="R112" s="156"/>
      <c r="S112" s="156"/>
    </row>
    <row r="113" spans="1:19" ht="17.25" thickBot="1">
      <c r="A113" s="109" t="s">
        <v>64</v>
      </c>
      <c r="B113" s="113">
        <v>12.1</v>
      </c>
      <c r="C113" s="73">
        <v>-1.6260162599999999E-2</v>
      </c>
      <c r="D113" s="96">
        <v>13</v>
      </c>
      <c r="E113" s="97">
        <f>IF(ISNUMBER(D113), (D113 - $B113) / $B113, "")</f>
        <v>7.4380165289256228E-2</v>
      </c>
      <c r="F113" s="98">
        <f>IF(ISNUMBER(D113), $B118 * E113, "")</f>
        <v>11157.024793388435</v>
      </c>
      <c r="G113" s="99">
        <v>12.7</v>
      </c>
      <c r="H113" s="97">
        <f>IF(ISNUMBER(G113), (G113 - $B113) / $B113, "")</f>
        <v>4.9586776859504106E-2</v>
      </c>
      <c r="I113" s="100">
        <f>IF(ISNUMBER(G113), $B118 * H113, "")</f>
        <v>7438.0165289256156</v>
      </c>
      <c r="J113" s="96">
        <v>12.9</v>
      </c>
      <c r="K113" s="97">
        <f>IF(ISNUMBER(J113), (J113 - $B113) / $B113, "")</f>
        <v>6.61157024793389E-2</v>
      </c>
      <c r="L113" s="98">
        <f>IF(ISNUMBER(J113), $B118 * K113, "")</f>
        <v>9917.3553719008341</v>
      </c>
      <c r="M113" s="99">
        <v>13.4</v>
      </c>
      <c r="N113" s="97">
        <f>IF(ISNUMBER(M113), (M113 - $B113) / $B113, "")</f>
        <v>0.10743801652892568</v>
      </c>
      <c r="O113" s="98">
        <f>IF(ISNUMBER(M113), $B118 * N113, "")</f>
        <v>16115.702479338852</v>
      </c>
      <c r="Q113" s="146"/>
      <c r="R113" s="146"/>
      <c r="S113" s="146"/>
    </row>
    <row r="114" spans="1:19" ht="17.25" thickBot="1">
      <c r="A114" s="109" t="s">
        <v>172</v>
      </c>
      <c r="B114" s="110">
        <v>3320</v>
      </c>
      <c r="C114" s="70">
        <v>-1.6296296299999999E-2</v>
      </c>
      <c r="D114" s="15">
        <v>3615</v>
      </c>
      <c r="E114" s="32">
        <f t="shared" ref="E114:E117" si="58">IF(ISNUMBER(D114), (D114 - $B114) / $B114, "")</f>
        <v>8.8855421686746983E-2</v>
      </c>
      <c r="F114" s="18">
        <f>IF(ISNUMBER(D114), $B118 * E114, "")</f>
        <v>13328.313253012047</v>
      </c>
      <c r="G114" s="31">
        <v>3520</v>
      </c>
      <c r="H114" s="32">
        <f t="shared" ref="H114:H117" si="59">IF(ISNUMBER(G114), (G114 - $B114) / $B114, "")</f>
        <v>6.0240963855421686E-2</v>
      </c>
      <c r="I114" s="91">
        <f>IF(ISNUMBER(G114), $B118 * H114, "")</f>
        <v>9036.1445783132531</v>
      </c>
      <c r="J114" s="15">
        <v>3545</v>
      </c>
      <c r="K114" s="32">
        <f t="shared" ref="K114:K117" si="60">IF(ISNUMBER(J114), (J114 - $B114) / $B114, "")</f>
        <v>6.7771084337349394E-2</v>
      </c>
      <c r="L114" s="18">
        <f>IF(ISNUMBER(J114), $B118 * K114, "")</f>
        <v>10165.662650602409</v>
      </c>
      <c r="M114" s="31">
        <v>3665</v>
      </c>
      <c r="N114" s="32">
        <f t="shared" ref="N114:N117" si="61">IF(ISNUMBER(M114), (M114 - $B114) / $B114, "")</f>
        <v>0.10391566265060241</v>
      </c>
      <c r="O114" s="18">
        <f>IF(ISNUMBER(M114), $B118 * N114, "")</f>
        <v>15587.349397590362</v>
      </c>
      <c r="Q114" s="146"/>
      <c r="R114" s="146"/>
      <c r="S114" s="146"/>
    </row>
    <row r="115" spans="1:19" ht="17.25" thickBot="1">
      <c r="A115" s="109" t="s">
        <v>151</v>
      </c>
      <c r="B115" s="110">
        <v>2645</v>
      </c>
      <c r="C115" s="70">
        <v>-1.6728624500000001E-2</v>
      </c>
      <c r="D115" s="15">
        <v>2905</v>
      </c>
      <c r="E115" s="32">
        <f t="shared" si="58"/>
        <v>9.8298676748582225E-2</v>
      </c>
      <c r="F115" s="18">
        <f>IF(ISNUMBER(D115), $B118 * E115, "")</f>
        <v>14744.801512287333</v>
      </c>
      <c r="G115" s="31">
        <v>2815</v>
      </c>
      <c r="H115" s="32">
        <f t="shared" si="59"/>
        <v>6.4272211720226846E-2</v>
      </c>
      <c r="I115" s="91">
        <f>IF(ISNUMBER(G115), $B118 * H115, "")</f>
        <v>9640.8317580340263</v>
      </c>
      <c r="J115" s="15">
        <v>2835</v>
      </c>
      <c r="K115" s="32">
        <f t="shared" si="60"/>
        <v>7.1833648393194713E-2</v>
      </c>
      <c r="L115" s="18">
        <f>IF(ISNUMBER(J115), $B118 * K115, "")</f>
        <v>10775.047258979206</v>
      </c>
      <c r="M115" s="31">
        <v>2945</v>
      </c>
      <c r="N115" s="32">
        <f t="shared" si="61"/>
        <v>0.11342155009451796</v>
      </c>
      <c r="O115" s="18">
        <f>IF(ISNUMBER(M115), $B118 * N115, "")</f>
        <v>17013.232514177693</v>
      </c>
      <c r="Q115" s="146"/>
      <c r="R115" s="146"/>
      <c r="S115" s="146"/>
    </row>
    <row r="116" spans="1:19">
      <c r="A116" s="109" t="s">
        <v>81</v>
      </c>
      <c r="B116" s="110">
        <v>407</v>
      </c>
      <c r="C116" s="70">
        <v>-1.69082126E-2</v>
      </c>
      <c r="D116" s="15">
        <v>447</v>
      </c>
      <c r="E116" s="32">
        <f t="shared" si="58"/>
        <v>9.8280098280098274E-2</v>
      </c>
      <c r="F116" s="18">
        <f>IF(ISNUMBER(D116), $B118 * E116, "")</f>
        <v>14742.01474201474</v>
      </c>
      <c r="G116" s="31">
        <v>437</v>
      </c>
      <c r="H116" s="32">
        <f t="shared" si="59"/>
        <v>7.3710073710073709E-2</v>
      </c>
      <c r="I116" s="91">
        <f>IF(ISNUMBER(G116), $B118 * H116, "")</f>
        <v>11056.511056511057</v>
      </c>
      <c r="J116" s="15">
        <v>440</v>
      </c>
      <c r="K116" s="32">
        <f t="shared" si="60"/>
        <v>8.1081081081081086E-2</v>
      </c>
      <c r="L116" s="18">
        <f>IF(ISNUMBER(J116), $B118 * K116, "")</f>
        <v>12162.162162162163</v>
      </c>
      <c r="M116" s="31">
        <v>456</v>
      </c>
      <c r="N116" s="32">
        <f t="shared" si="61"/>
        <v>0.12039312039312039</v>
      </c>
      <c r="O116" s="18">
        <f>IF(ISNUMBER(M116), $B118 * N116, "")</f>
        <v>18058.968058968057</v>
      </c>
      <c r="Q116" s="135"/>
      <c r="R116" s="136"/>
      <c r="S116" s="137"/>
    </row>
    <row r="117" spans="1:19" ht="17.25" thickBot="1">
      <c r="A117" s="114" t="s">
        <v>51</v>
      </c>
      <c r="B117" s="115">
        <v>105</v>
      </c>
      <c r="C117" s="72">
        <v>-1.8691588799999999E-2</v>
      </c>
      <c r="D117" s="24">
        <v>108</v>
      </c>
      <c r="E117" s="25">
        <f t="shared" si="58"/>
        <v>2.8571428571428571E-2</v>
      </c>
      <c r="F117" s="94">
        <f>IF(ISNUMBER(D117), $B118 * E117, "")</f>
        <v>4285.7142857142853</v>
      </c>
      <c r="G117" s="92">
        <v>107</v>
      </c>
      <c r="H117" s="25">
        <f t="shared" si="59"/>
        <v>1.9047619047619049E-2</v>
      </c>
      <c r="I117" s="93">
        <f>IF(ISNUMBER(G117), $B118 * H117, "")</f>
        <v>2857.1428571428573</v>
      </c>
      <c r="J117" s="24">
        <v>108</v>
      </c>
      <c r="K117" s="25">
        <f t="shared" si="60"/>
        <v>2.8571428571428571E-2</v>
      </c>
      <c r="L117" s="94">
        <f>IF(ISNUMBER(J117), $B118 * K117, "")</f>
        <v>4285.7142857142853</v>
      </c>
      <c r="M117" s="92">
        <v>111</v>
      </c>
      <c r="N117" s="25">
        <f t="shared" si="61"/>
        <v>5.7142857142857141E-2</v>
      </c>
      <c r="O117" s="94">
        <f>IF(ISNUMBER(M117), $B118 * N117, "")</f>
        <v>8571.4285714285706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6.7016933109494414E-2</v>
      </c>
      <c r="F118" s="28">
        <f>SUM(F98:F117)</f>
        <v>201050.79932848326</v>
      </c>
      <c r="G118" s="26" t="s">
        <v>258</v>
      </c>
      <c r="H118" s="27">
        <f>IF(COUNT(H98:H117), SUM(H98:H117) / COUNT(H98:H117), 0)</f>
        <v>4.6490961427174023E-2</v>
      </c>
      <c r="I118" s="28">
        <f>SUM(I98:I117)</f>
        <v>139472.88428152207</v>
      </c>
      <c r="J118" s="26" t="s">
        <v>258</v>
      </c>
      <c r="K118" s="27">
        <f>IF(COUNT(K98:K117), SUM(K98:K117) / COUNT(K98:K117), 0)</f>
        <v>4.9297120361348992E-2</v>
      </c>
      <c r="L118" s="28">
        <f>SUM(L98:L117)</f>
        <v>147891.36108404698</v>
      </c>
      <c r="M118" s="26" t="s">
        <v>258</v>
      </c>
      <c r="N118" s="27">
        <f>IF(COUNT(N98:N117), SUM(N98:N117) / COUNT(N98:N117), 0)</f>
        <v>8.9894984478565421E-2</v>
      </c>
      <c r="O118" s="28">
        <f>SUM(O98:O117)</f>
        <v>269684.9534356962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2023-03-13(월) 오전 00:00</v>
      </c>
      <c r="C123" s="198"/>
      <c r="D123" s="170" t="str">
        <f>TEXT($G$1, "[$-ko-KR]yyyy-mm-dd(ddd) ") &amp; "오후 14:00"</f>
        <v>2023-03-13(월) 오후 14:00</v>
      </c>
      <c r="E123" s="171"/>
      <c r="F123" s="172"/>
      <c r="G123" s="170" t="str">
        <f>TEXT($G$1, "[$-ko-KR]yyyy-mm-dd(ddd) ") &amp; "오후 19:00"</f>
        <v>2023-03-13(월) 오후 19:00</v>
      </c>
      <c r="H123" s="171"/>
      <c r="I123" s="172"/>
      <c r="J123" s="170" t="str">
        <f>TEXT($G$1, "[$-ko-KR]yyyy-mm-dd(ddd) ") &amp; "오후 21:00"</f>
        <v>2023-03-13(월) 오후 21:00</v>
      </c>
      <c r="K123" s="171"/>
      <c r="L123" s="172"/>
      <c r="M123" s="170" t="str">
        <f>TEXT($G$1+1, "[$-ko-KR]yyyy-mm-dd(ddd) ") &amp; "오전 00:00"</f>
        <v>2023-03-14(화)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193</v>
      </c>
      <c r="B125" s="108">
        <v>20.2</v>
      </c>
      <c r="C125" s="69">
        <v>-3.8095238099999998E-2</v>
      </c>
      <c r="D125" s="13">
        <v>21.4</v>
      </c>
      <c r="E125" s="14">
        <f>IF(ISNUMBER(D125), (D125 - $B125) / $B125, "")</f>
        <v>5.9405940594059375E-2</v>
      </c>
      <c r="F125" s="16">
        <f>IF(ISNUMBER(D125), $B145 * E125, "")</f>
        <v>8910.8910891089072</v>
      </c>
      <c r="G125" s="29">
        <v>21.2</v>
      </c>
      <c r="H125" s="14">
        <f>IF(ISNUMBER(G125), (G125 - $B125) / $B125, "")</f>
        <v>4.9504950495049507E-2</v>
      </c>
      <c r="I125" s="90">
        <f>IF(ISNUMBER(G125), $B145 * H125, "")</f>
        <v>7425.742574257426</v>
      </c>
      <c r="J125" s="13">
        <v>21.4</v>
      </c>
      <c r="K125" s="14">
        <f>IF(ISNUMBER(J125), (J125 - $B125) / $B125, "")</f>
        <v>5.9405940594059375E-2</v>
      </c>
      <c r="L125" s="16">
        <f>IF(ISNUMBER(J125), $B145 * K125, "")</f>
        <v>8910.8910891089072</v>
      </c>
      <c r="M125" s="29">
        <v>22.1</v>
      </c>
      <c r="N125" s="14">
        <f>IF(ISNUMBER(M125), (M125 - $B125) / $B125, "")</f>
        <v>9.4059405940594171E-2</v>
      </c>
      <c r="O125" s="16">
        <f>IF(ISNUMBER(M125), $B145 * N125, "")</f>
        <v>14108.910891089126</v>
      </c>
      <c r="Q125" s="156"/>
      <c r="R125" s="156"/>
      <c r="S125" s="156"/>
    </row>
    <row r="126" spans="1:19" ht="17.25" thickBot="1">
      <c r="A126" s="109" t="s">
        <v>124</v>
      </c>
      <c r="B126" s="110">
        <v>37</v>
      </c>
      <c r="C126" s="70">
        <v>-3.8961039000000003E-2</v>
      </c>
      <c r="D126" s="15">
        <v>39</v>
      </c>
      <c r="E126" s="32">
        <f t="shared" ref="E126:E129" si="62">IF(ISNUMBER(D126), (D126 - $B126) / $B126, "")</f>
        <v>5.4054054054054057E-2</v>
      </c>
      <c r="F126" s="18">
        <f>IF(ISNUMBER(D126), $B145 * E126, "")</f>
        <v>8108.1081081081084</v>
      </c>
      <c r="G126" s="31">
        <v>38.4</v>
      </c>
      <c r="H126" s="32">
        <f t="shared" ref="H126:H129" si="63">IF(ISNUMBER(G126), (G126 - $B126) / $B126, "")</f>
        <v>3.7837837837837798E-2</v>
      </c>
      <c r="I126" s="91">
        <f>IF(ISNUMBER(G126), $B145 * H126, "")</f>
        <v>5675.6756756756695</v>
      </c>
      <c r="J126" s="15">
        <v>39</v>
      </c>
      <c r="K126" s="32">
        <f t="shared" ref="K126:K129" si="64">IF(ISNUMBER(J126), (J126 - $B126) / $B126, "")</f>
        <v>5.4054054054054057E-2</v>
      </c>
      <c r="L126" s="18">
        <f>IF(ISNUMBER(J126), $B145 * K126, "")</f>
        <v>8108.1081081081084</v>
      </c>
      <c r="M126" s="31">
        <v>39.9</v>
      </c>
      <c r="N126" s="32">
        <f t="shared" ref="N126:N129" si="65">IF(ISNUMBER(M126), (M126 - $B126) / $B126, "")</f>
        <v>7.8378378378378341E-2</v>
      </c>
      <c r="O126" s="18">
        <f>IF(ISNUMBER(M126), $B145 * N126, "")</f>
        <v>11756.756756756751</v>
      </c>
      <c r="Q126" s="156"/>
      <c r="R126" s="156"/>
      <c r="S126" s="156"/>
    </row>
    <row r="127" spans="1:19" ht="17.25" thickBot="1">
      <c r="A127" s="109" t="s">
        <v>197</v>
      </c>
      <c r="B127" s="110">
        <v>9.99</v>
      </c>
      <c r="C127" s="70">
        <v>-3.9423076899999999E-2</v>
      </c>
      <c r="D127" s="15">
        <v>10.7</v>
      </c>
      <c r="E127" s="32">
        <f t="shared" si="62"/>
        <v>7.1071071071070982E-2</v>
      </c>
      <c r="F127" s="18">
        <f>IF(ISNUMBER(D127), $B145 * E127, "")</f>
        <v>10660.660660660647</v>
      </c>
      <c r="G127" s="31">
        <v>10.7</v>
      </c>
      <c r="H127" s="32">
        <f t="shared" si="63"/>
        <v>7.1071071071070982E-2</v>
      </c>
      <c r="I127" s="91">
        <f>IF(ISNUMBER(G127), $B145 * H127, "")</f>
        <v>10660.660660660647</v>
      </c>
      <c r="J127" s="15">
        <v>11.1</v>
      </c>
      <c r="K127" s="32">
        <f t="shared" si="64"/>
        <v>0.11111111111111105</v>
      </c>
      <c r="L127" s="18">
        <f>IF(ISNUMBER(J127), $B145 * K127, "")</f>
        <v>16666.666666666657</v>
      </c>
      <c r="M127" s="31">
        <v>11.3</v>
      </c>
      <c r="N127" s="32">
        <f t="shared" si="65"/>
        <v>0.13113113113113117</v>
      </c>
      <c r="O127" s="18">
        <f>IF(ISNUMBER(M127), $B145 * N127, "")</f>
        <v>19669.669669669674</v>
      </c>
      <c r="Q127" s="146"/>
      <c r="R127" s="146"/>
      <c r="S127" s="146"/>
    </row>
    <row r="128" spans="1:19" ht="17.25" thickBot="1">
      <c r="A128" s="109" t="s">
        <v>118</v>
      </c>
      <c r="B128" s="110">
        <v>6.82</v>
      </c>
      <c r="C128" s="70">
        <v>-3.9436619700000002E-2</v>
      </c>
      <c r="D128" s="15">
        <v>7.35</v>
      </c>
      <c r="E128" s="32">
        <f t="shared" si="62"/>
        <v>7.771260997067439E-2</v>
      </c>
      <c r="F128" s="18">
        <f>IF(ISNUMBER(D128), $B145 * E128, "")</f>
        <v>11656.891495601158</v>
      </c>
      <c r="G128" s="31">
        <v>7.15</v>
      </c>
      <c r="H128" s="32">
        <f t="shared" si="63"/>
        <v>4.8387096774193554E-2</v>
      </c>
      <c r="I128" s="91">
        <f>IF(ISNUMBER(G128), $B145 * H128, "")</f>
        <v>7258.0645161290331</v>
      </c>
      <c r="J128" s="15">
        <v>7.3</v>
      </c>
      <c r="K128" s="32">
        <f t="shared" si="64"/>
        <v>7.0381231671554176E-2</v>
      </c>
      <c r="L128" s="18">
        <f>IF(ISNUMBER(J128), $B145 * K128, "")</f>
        <v>10557.184750733126</v>
      </c>
      <c r="M128" s="31">
        <v>7.61</v>
      </c>
      <c r="N128" s="32">
        <f t="shared" si="65"/>
        <v>0.1158357771260997</v>
      </c>
      <c r="O128" s="18">
        <f>IF(ISNUMBER(M128), $B145 * N128, "")</f>
        <v>17375.366568914957</v>
      </c>
      <c r="Q128" s="146"/>
      <c r="R128" s="146"/>
      <c r="S128" s="146"/>
    </row>
    <row r="129" spans="1:19" ht="17.25" thickBot="1">
      <c r="A129" s="111" t="s">
        <v>107</v>
      </c>
      <c r="B129" s="112">
        <v>40.799999999999997</v>
      </c>
      <c r="C129" s="71">
        <v>-0.04</v>
      </c>
      <c r="D129" s="20">
        <v>44.5</v>
      </c>
      <c r="E129" s="21">
        <f t="shared" si="62"/>
        <v>9.0686274509804002E-2</v>
      </c>
      <c r="F129" s="22">
        <f>IF(ISNUMBER(D129), $B145 * E129, "")</f>
        <v>13602.9411764706</v>
      </c>
      <c r="G129" s="30">
        <v>43.3</v>
      </c>
      <c r="H129" s="21">
        <f t="shared" si="63"/>
        <v>6.1274509803921573E-2</v>
      </c>
      <c r="I129" s="95">
        <f>IF(ISNUMBER(G129), $B145 * H129, "")</f>
        <v>9191.176470588236</v>
      </c>
      <c r="J129" s="20">
        <v>44.4</v>
      </c>
      <c r="K129" s="21">
        <f t="shared" si="64"/>
        <v>8.8235294117647106E-2</v>
      </c>
      <c r="L129" s="22">
        <f>IF(ISNUMBER(J129), $B145 * K129, "")</f>
        <v>13235.294117647067</v>
      </c>
      <c r="M129" s="30">
        <v>45.7</v>
      </c>
      <c r="N129" s="21">
        <f t="shared" si="65"/>
        <v>0.12009803921568642</v>
      </c>
      <c r="O129" s="22">
        <f>IF(ISNUMBER(M129), $B145 * N129, "")</f>
        <v>18014.705882352962</v>
      </c>
      <c r="Q129" s="146"/>
      <c r="R129" s="146"/>
      <c r="S129" s="146"/>
    </row>
    <row r="130" spans="1:19" ht="17.25" thickBot="1">
      <c r="A130" s="109" t="s">
        <v>221</v>
      </c>
      <c r="B130" s="113">
        <v>21.6</v>
      </c>
      <c r="C130" s="73">
        <v>-0.04</v>
      </c>
      <c r="D130" s="96">
        <v>23.3</v>
      </c>
      <c r="E130" s="97">
        <f>IF(ISNUMBER(D130), (D130 - $B130) / $B130, "")</f>
        <v>7.8703703703703665E-2</v>
      </c>
      <c r="F130" s="98">
        <f>IF(ISNUMBER(D130), $B145 * E130, "")</f>
        <v>11805.555555555549</v>
      </c>
      <c r="G130" s="99">
        <v>22.9</v>
      </c>
      <c r="H130" s="97">
        <f>IF(ISNUMBER(G130), (G130 - $B130) / $B130, "")</f>
        <v>6.018518518518505E-2</v>
      </c>
      <c r="I130" s="100">
        <f>IF(ISNUMBER(G130), $B145 * H130, "")</f>
        <v>9027.7777777777574</v>
      </c>
      <c r="J130" s="96">
        <v>23.4</v>
      </c>
      <c r="K130" s="97">
        <f>IF(ISNUMBER(J130), (J130 - $B130) / $B130, "")</f>
        <v>8.333333333333319E-2</v>
      </c>
      <c r="L130" s="98">
        <f>IF(ISNUMBER(J130), $B145 * K130, "")</f>
        <v>12499.999999999978</v>
      </c>
      <c r="M130" s="99">
        <v>24.1</v>
      </c>
      <c r="N130" s="97">
        <f>IF(ISNUMBER(M130), (M130 - $B130) / $B130, "")</f>
        <v>0.11574074074074073</v>
      </c>
      <c r="O130" s="98">
        <f>IF(ISNUMBER(M130), $B145 * N130, "")</f>
        <v>17361.111111111109</v>
      </c>
      <c r="Q130" s="146"/>
      <c r="R130" s="146"/>
      <c r="S130" s="146"/>
    </row>
    <row r="131" spans="1:19" ht="17.25" thickBot="1">
      <c r="A131" s="109" t="s">
        <v>71</v>
      </c>
      <c r="B131" s="110">
        <v>11.9</v>
      </c>
      <c r="C131" s="70">
        <v>-4.0322580599999998E-2</v>
      </c>
      <c r="D131" s="15">
        <v>12.8</v>
      </c>
      <c r="E131" s="32">
        <f t="shared" ref="E131:E134" si="66">IF(ISNUMBER(D131), (D131 - $B131) / $B131, "")</f>
        <v>7.5630252100840359E-2</v>
      </c>
      <c r="F131" s="18">
        <f>IF(ISNUMBER(D131), $B145 * E131, "")</f>
        <v>11344.537815126054</v>
      </c>
      <c r="G131" s="31">
        <v>12.5</v>
      </c>
      <c r="H131" s="32">
        <f t="shared" ref="H131:H134" si="67">IF(ISNUMBER(G131), (G131 - $B131) / $B131, "")</f>
        <v>5.0420168067226857E-2</v>
      </c>
      <c r="I131" s="91">
        <f>IF(ISNUMBER(G131), $B145 * H131, "")</f>
        <v>7563.0252100840289</v>
      </c>
      <c r="J131" s="15">
        <v>12.7</v>
      </c>
      <c r="K131" s="32">
        <f t="shared" ref="K131:K134" si="68">IF(ISNUMBER(J131), (J131 - $B131) / $B131, "")</f>
        <v>6.7226890756302435E-2</v>
      </c>
      <c r="L131" s="18">
        <f>IF(ISNUMBER(J131), $B145 * K131, "")</f>
        <v>10084.033613445365</v>
      </c>
      <c r="M131" s="31">
        <v>13.2</v>
      </c>
      <c r="N131" s="32">
        <f t="shared" ref="N131:N134" si="69">IF(ISNUMBER(M131), (M131 - $B131) / $B131, "")</f>
        <v>0.1092436974789915</v>
      </c>
      <c r="O131" s="18">
        <f>IF(ISNUMBER(M131), $B145 * N131, "")</f>
        <v>16386.554621848725</v>
      </c>
      <c r="Q131" s="146"/>
      <c r="R131" s="146"/>
      <c r="S131" s="146"/>
    </row>
    <row r="132" spans="1:19" ht="17.25" thickBot="1">
      <c r="A132" s="109" t="s">
        <v>185</v>
      </c>
      <c r="B132" s="110">
        <v>35.299999999999997</v>
      </c>
      <c r="C132" s="70">
        <v>-4.0760869599999999E-2</v>
      </c>
      <c r="D132" s="15">
        <v>41.1</v>
      </c>
      <c r="E132" s="32">
        <f t="shared" si="66"/>
        <v>0.16430594900849871</v>
      </c>
      <c r="F132" s="18">
        <f>IF(ISNUMBER(D132), $B145 * E132, "")</f>
        <v>24645.892351274808</v>
      </c>
      <c r="G132" s="31">
        <v>39.299999999999997</v>
      </c>
      <c r="H132" s="32">
        <f t="shared" si="67"/>
        <v>0.113314447592068</v>
      </c>
      <c r="I132" s="91">
        <f>IF(ISNUMBER(G132), $B145 * H132, "")</f>
        <v>16997.1671388102</v>
      </c>
      <c r="J132" s="15">
        <v>40.799999999999997</v>
      </c>
      <c r="K132" s="32">
        <f t="shared" si="68"/>
        <v>0.15580736543909349</v>
      </c>
      <c r="L132" s="18">
        <f>IF(ISNUMBER(J132), $B145 * K132, "")</f>
        <v>23371.104815864022</v>
      </c>
      <c r="M132" s="31">
        <v>40.799999999999997</v>
      </c>
      <c r="N132" s="32">
        <f t="shared" si="69"/>
        <v>0.15580736543909349</v>
      </c>
      <c r="O132" s="18">
        <f>IF(ISNUMBER(M132), $B145 * N132, "")</f>
        <v>23371.104815864022</v>
      </c>
      <c r="Q132" s="146"/>
      <c r="R132" s="146"/>
      <c r="S132" s="146"/>
    </row>
    <row r="133" spans="1:19" ht="17.25" thickBot="1">
      <c r="A133" s="109" t="s">
        <v>320</v>
      </c>
      <c r="B133" s="110">
        <v>5.15</v>
      </c>
      <c r="C133" s="70">
        <v>-4.0968342599999999E-2</v>
      </c>
      <c r="D133" s="15">
        <v>5.56</v>
      </c>
      <c r="E133" s="32">
        <f t="shared" si="66"/>
        <v>7.9611650485436739E-2</v>
      </c>
      <c r="F133" s="18">
        <f>IF(ISNUMBER(D133), $B145 * E133, "")</f>
        <v>11941.747572815511</v>
      </c>
      <c r="G133" s="31">
        <v>5.51</v>
      </c>
      <c r="H133" s="32">
        <f t="shared" si="67"/>
        <v>6.9902912621359115E-2</v>
      </c>
      <c r="I133" s="91">
        <f>IF(ISNUMBER(G133), $B145 * H133, "")</f>
        <v>10485.436893203867</v>
      </c>
      <c r="J133" s="15">
        <v>5.6</v>
      </c>
      <c r="K133" s="32">
        <f t="shared" si="68"/>
        <v>8.7378640776698879E-2</v>
      </c>
      <c r="L133" s="18">
        <f>IF(ISNUMBER(J133), $B145 * K133, "")</f>
        <v>13106.796116504833</v>
      </c>
      <c r="M133" s="31">
        <v>5.7</v>
      </c>
      <c r="N133" s="32">
        <f t="shared" si="69"/>
        <v>0.10679611650485432</v>
      </c>
      <c r="O133" s="18">
        <f>IF(ISNUMBER(M133), $B145 * N133, "")</f>
        <v>16019.417475728149</v>
      </c>
      <c r="Q133" s="33"/>
      <c r="R133" s="33"/>
    </row>
    <row r="134" spans="1:19" ht="17.25" thickBot="1">
      <c r="A134" s="114" t="s">
        <v>225</v>
      </c>
      <c r="B134" s="115">
        <v>76.099999999999994</v>
      </c>
      <c r="C134" s="72">
        <v>-4.2767295599999998E-2</v>
      </c>
      <c r="D134" s="24">
        <v>81</v>
      </c>
      <c r="E134" s="25">
        <f t="shared" si="66"/>
        <v>6.4388961892247118E-2</v>
      </c>
      <c r="F134" s="94">
        <f>IF(ISNUMBER(D134), $B145 * E134, "")</f>
        <v>9658.3442838370684</v>
      </c>
      <c r="G134" s="92">
        <v>85.1</v>
      </c>
      <c r="H134" s="25">
        <f t="shared" si="67"/>
        <v>0.11826544021024968</v>
      </c>
      <c r="I134" s="93">
        <f>IF(ISNUMBER(G134), $B145 * H134, "")</f>
        <v>17739.816031537452</v>
      </c>
      <c r="J134" s="24">
        <v>98.3</v>
      </c>
      <c r="K134" s="25">
        <f t="shared" si="68"/>
        <v>0.2917214191852826</v>
      </c>
      <c r="L134" s="94">
        <f>IF(ISNUMBER(J134), $B145 * K134, "")</f>
        <v>43758.212877792394</v>
      </c>
      <c r="M134" s="92">
        <v>100</v>
      </c>
      <c r="N134" s="25">
        <f t="shared" si="69"/>
        <v>0.31406044678055201</v>
      </c>
      <c r="O134" s="94">
        <f>IF(ISNUMBER(M134), $B145 * N134, "")</f>
        <v>47109.067017082802</v>
      </c>
      <c r="Q134" s="147"/>
      <c r="R134" s="148"/>
      <c r="S134" s="149"/>
    </row>
    <row r="135" spans="1:19">
      <c r="A135" s="107" t="s">
        <v>138</v>
      </c>
      <c r="B135" s="108">
        <v>35.799999999999997</v>
      </c>
      <c r="C135" s="69">
        <v>-4.2780748700000003E-2</v>
      </c>
      <c r="D135" s="13">
        <v>41.5</v>
      </c>
      <c r="E135" s="14">
        <f>IF(ISNUMBER(D135), (D135 - $B135) / $B135, "")</f>
        <v>0.15921787709497215</v>
      </c>
      <c r="F135" s="16">
        <f>IF(ISNUMBER(D135), $B145 * E135, "")</f>
        <v>23882.681564245824</v>
      </c>
      <c r="G135" s="29">
        <v>40.1</v>
      </c>
      <c r="H135" s="14">
        <f>IF(ISNUMBER(G135), (G135 - $B135) / $B135, "")</f>
        <v>0.12011173184357554</v>
      </c>
      <c r="I135" s="90">
        <f>IF(ISNUMBER(G135), $B145 * H135, "")</f>
        <v>18016.759776536332</v>
      </c>
      <c r="J135" s="13">
        <v>41.6</v>
      </c>
      <c r="K135" s="14">
        <f>IF(ISNUMBER(J135), (J135 - $B135) / $B135, "")</f>
        <v>0.16201117318435768</v>
      </c>
      <c r="L135" s="16">
        <f>IF(ISNUMBER(J135), $B145 * K135, "")</f>
        <v>24301.675977653653</v>
      </c>
      <c r="M135" s="29">
        <v>42.6</v>
      </c>
      <c r="N135" s="14">
        <f>IF(ISNUMBER(M135), (M135 - $B135) / $B135, "")</f>
        <v>0.18994413407821242</v>
      </c>
      <c r="O135" s="16">
        <f>IF(ISNUMBER(M135), $B145 * N135, "")</f>
        <v>28491.620111731863</v>
      </c>
      <c r="Q135" s="150"/>
      <c r="R135" s="151"/>
      <c r="S135" s="152"/>
    </row>
    <row r="136" spans="1:19" ht="17.25" thickBot="1">
      <c r="A136" s="109" t="s">
        <v>217</v>
      </c>
      <c r="B136" s="110">
        <v>78.900000000000006</v>
      </c>
      <c r="C136" s="70">
        <v>-4.3636363599999999E-2</v>
      </c>
      <c r="D136" s="15">
        <v>85</v>
      </c>
      <c r="E136" s="32">
        <f t="shared" ref="E136:E139" si="70">IF(ISNUMBER(D136), (D136 - $B136) / $B136, "")</f>
        <v>7.7313054499366207E-2</v>
      </c>
      <c r="F136" s="18">
        <f>IF(ISNUMBER(D136), $B145 * E136, "")</f>
        <v>11596.95817490493</v>
      </c>
      <c r="G136" s="31">
        <v>82.9</v>
      </c>
      <c r="H136" s="32">
        <f t="shared" ref="H136:H139" si="71">IF(ISNUMBER(G136), (G136 - $B136) / $B136, "")</f>
        <v>5.0697084917617236E-2</v>
      </c>
      <c r="I136" s="91">
        <f>IF(ISNUMBER(G136), $B145 * H136, "")</f>
        <v>7604.5627376425855</v>
      </c>
      <c r="J136" s="15">
        <v>84.3</v>
      </c>
      <c r="K136" s="32">
        <f t="shared" ref="K136:K139" si="72">IF(ISNUMBER(J136), (J136 - $B136) / $B136, "")</f>
        <v>6.8441064638783161E-2</v>
      </c>
      <c r="L136" s="18">
        <f>IF(ISNUMBER(J136), $B145 * K136, "")</f>
        <v>10266.159695817474</v>
      </c>
      <c r="M136" s="31">
        <v>87.6</v>
      </c>
      <c r="N136" s="32">
        <f t="shared" ref="N136:N139" si="73">IF(ISNUMBER(M136), (M136 - $B136) / $B136, "")</f>
        <v>0.11026615969581734</v>
      </c>
      <c r="O136" s="18">
        <f>IF(ISNUMBER(M136), $B145 * N136, "")</f>
        <v>16539.9239543726</v>
      </c>
      <c r="Q136" s="153"/>
      <c r="R136" s="154"/>
      <c r="S136" s="155"/>
    </row>
    <row r="137" spans="1:19" ht="17.25" thickBot="1">
      <c r="A137" s="109" t="s">
        <v>132</v>
      </c>
      <c r="B137" s="110">
        <v>60.5</v>
      </c>
      <c r="C137" s="70">
        <v>-4.72440945E-2</v>
      </c>
      <c r="D137" s="15">
        <v>66.099999999999994</v>
      </c>
      <c r="E137" s="32">
        <f t="shared" si="70"/>
        <v>9.2561983471074291E-2</v>
      </c>
      <c r="F137" s="18">
        <f>IF(ISNUMBER(D137), $B145 * E137, "")</f>
        <v>13884.297520661145</v>
      </c>
      <c r="G137" s="31">
        <v>64.599999999999994</v>
      </c>
      <c r="H137" s="32">
        <f t="shared" si="71"/>
        <v>6.7768595041322224E-2</v>
      </c>
      <c r="I137" s="91">
        <f>IF(ISNUMBER(G137), $B145 * H137, "")</f>
        <v>10165.289256198334</v>
      </c>
      <c r="J137" s="15">
        <v>66.5</v>
      </c>
      <c r="K137" s="32">
        <f t="shared" si="72"/>
        <v>9.9173553719008267E-2</v>
      </c>
      <c r="L137" s="18">
        <f>IF(ISNUMBER(J137), $B145 * K137, "")</f>
        <v>14876.03305785124</v>
      </c>
      <c r="M137" s="31">
        <v>67.3</v>
      </c>
      <c r="N137" s="32">
        <f t="shared" si="73"/>
        <v>0.11239669421487598</v>
      </c>
      <c r="O137" s="18">
        <f>IF(ISNUMBER(M137), $B145 * N137, "")</f>
        <v>16859.504132231399</v>
      </c>
      <c r="Q137" s="146"/>
      <c r="R137" s="146"/>
      <c r="S137" s="146"/>
    </row>
    <row r="138" spans="1:19" ht="17.25" thickBot="1">
      <c r="A138" s="109" t="s">
        <v>227</v>
      </c>
      <c r="B138" s="110">
        <v>51.5</v>
      </c>
      <c r="C138" s="70">
        <v>-4.8059149699999998E-2</v>
      </c>
      <c r="D138" s="15">
        <v>55.9</v>
      </c>
      <c r="E138" s="32">
        <f t="shared" si="70"/>
        <v>8.5436893203883466E-2</v>
      </c>
      <c r="F138" s="18">
        <f>IF(ISNUMBER(D138), $B145 * E138, "")</f>
        <v>12815.533980582521</v>
      </c>
      <c r="G138" s="31">
        <v>55.1</v>
      </c>
      <c r="H138" s="32">
        <f t="shared" si="71"/>
        <v>6.9902912621359253E-2</v>
      </c>
      <c r="I138" s="91">
        <f>IF(ISNUMBER(G138), $B145 * H138, "")</f>
        <v>10485.436893203889</v>
      </c>
      <c r="J138" s="15">
        <v>58.7</v>
      </c>
      <c r="K138" s="32">
        <f t="shared" si="72"/>
        <v>0.13980582524271851</v>
      </c>
      <c r="L138" s="18">
        <f>IF(ISNUMBER(J138), $B145 * K138, "")</f>
        <v>20970.873786407778</v>
      </c>
      <c r="M138" s="31">
        <v>58.3</v>
      </c>
      <c r="N138" s="32">
        <f t="shared" si="73"/>
        <v>0.13203883495145627</v>
      </c>
      <c r="O138" s="18">
        <f>IF(ISNUMBER(M138), $B145 * N138, "")</f>
        <v>19805.825242718442</v>
      </c>
      <c r="Q138" s="156"/>
      <c r="R138" s="156"/>
      <c r="S138" s="156"/>
    </row>
    <row r="139" spans="1:19" ht="17.25" thickBot="1">
      <c r="A139" s="111" t="s">
        <v>143</v>
      </c>
      <c r="B139" s="112">
        <v>4.8600000000000003</v>
      </c>
      <c r="C139" s="71">
        <v>-4.8923679099999999E-2</v>
      </c>
      <c r="D139" s="20">
        <v>5.41</v>
      </c>
      <c r="E139" s="21">
        <f t="shared" si="70"/>
        <v>0.11316872427983535</v>
      </c>
      <c r="F139" s="22">
        <f>IF(ISNUMBER(D139), $B145 * E139, "")</f>
        <v>16975.308641975302</v>
      </c>
      <c r="G139" s="30">
        <v>5.43</v>
      </c>
      <c r="H139" s="21">
        <f t="shared" si="71"/>
        <v>0.11728395061728382</v>
      </c>
      <c r="I139" s="95">
        <f>IF(ISNUMBER(G139), $B145 * H139, "")</f>
        <v>17592.592592592573</v>
      </c>
      <c r="J139" s="20">
        <v>5.8</v>
      </c>
      <c r="K139" s="21">
        <f t="shared" si="72"/>
        <v>0.1934156378600822</v>
      </c>
      <c r="L139" s="22">
        <f>IF(ISNUMBER(J139), $B145 * K139, "")</f>
        <v>29012.345679012331</v>
      </c>
      <c r="M139" s="30">
        <v>5.78</v>
      </c>
      <c r="N139" s="21">
        <f t="shared" si="73"/>
        <v>0.18930041152263372</v>
      </c>
      <c r="O139" s="22">
        <f>IF(ISNUMBER(M139), $B145 * N139, "")</f>
        <v>28395.061728395056</v>
      </c>
      <c r="Q139" s="156"/>
      <c r="R139" s="156"/>
      <c r="S139" s="156"/>
    </row>
    <row r="140" spans="1:19" ht="17.25" thickBot="1">
      <c r="A140" s="109" t="s">
        <v>334</v>
      </c>
      <c r="B140" s="113">
        <v>41.7</v>
      </c>
      <c r="C140" s="73">
        <v>-5.0113895200000001E-2</v>
      </c>
      <c r="D140" s="96">
        <v>46.3</v>
      </c>
      <c r="E140" s="97">
        <f>IF(ISNUMBER(D140), (D140 - $B140) / $B140, "")</f>
        <v>0.11031175059952024</v>
      </c>
      <c r="F140" s="98">
        <f>IF(ISNUMBER(D140), $B145 * E140, "")</f>
        <v>16546.762589928036</v>
      </c>
      <c r="G140" s="99">
        <v>45.5</v>
      </c>
      <c r="H140" s="97">
        <f>IF(ISNUMBER(G140), (G140 - $B140) / $B140, "")</f>
        <v>9.1127098321342845E-2</v>
      </c>
      <c r="I140" s="100">
        <f>IF(ISNUMBER(G140), $B145 * H140, "")</f>
        <v>13669.064748201426</v>
      </c>
      <c r="J140" s="96">
        <v>46</v>
      </c>
      <c r="K140" s="97">
        <f>IF(ISNUMBER(J140), (J140 - $B140) / $B140, "")</f>
        <v>0.10311750599520376</v>
      </c>
      <c r="L140" s="98">
        <f>IF(ISNUMBER(J140), $B145 * K140, "")</f>
        <v>15467.625899280565</v>
      </c>
      <c r="M140" s="99">
        <v>47.2</v>
      </c>
      <c r="N140" s="97">
        <f>IF(ISNUMBER(M140), (M140 - $B140) / $B140, "")</f>
        <v>0.13189448441247001</v>
      </c>
      <c r="O140" s="98">
        <f>IF(ISNUMBER(M140), $B145 * N140, "")</f>
        <v>19784.1726618705</v>
      </c>
      <c r="Q140" s="146"/>
      <c r="R140" s="146"/>
      <c r="S140" s="146"/>
    </row>
    <row r="141" spans="1:19" ht="17.25" thickBot="1">
      <c r="A141" s="109" t="s">
        <v>207</v>
      </c>
      <c r="B141" s="110">
        <v>77.8</v>
      </c>
      <c r="C141" s="70">
        <v>-5.1219512199999997E-2</v>
      </c>
      <c r="D141" s="15">
        <v>83</v>
      </c>
      <c r="E141" s="32">
        <f t="shared" ref="E141:E144" si="74">IF(ISNUMBER(D141), (D141 - $B141) / $B141, "")</f>
        <v>6.6838046272493609E-2</v>
      </c>
      <c r="F141" s="18">
        <f>IF(ISNUMBER(D141), $B145 * E141, "")</f>
        <v>10025.706940874041</v>
      </c>
      <c r="G141" s="31">
        <v>82.8</v>
      </c>
      <c r="H141" s="32">
        <f t="shared" ref="H141:H144" si="75">IF(ISNUMBER(G141), (G141 - $B141) / $B141, "")</f>
        <v>6.4267352185089971E-2</v>
      </c>
      <c r="I141" s="91">
        <f>IF(ISNUMBER(G141), $B145 * H141, "")</f>
        <v>9640.102827763496</v>
      </c>
      <c r="J141" s="15">
        <v>86.7</v>
      </c>
      <c r="K141" s="32">
        <f t="shared" ref="K141:K144" si="76">IF(ISNUMBER(J141), (J141 - $B141) / $B141, "")</f>
        <v>0.11439588688946023</v>
      </c>
      <c r="L141" s="18">
        <f>IF(ISNUMBER(J141), $B145 * K141, "")</f>
        <v>17159.383033419035</v>
      </c>
      <c r="M141" s="31">
        <v>89.3</v>
      </c>
      <c r="N141" s="32">
        <f t="shared" ref="N141:N144" si="77">IF(ISNUMBER(M141), (M141 - $B141) / $B141, "")</f>
        <v>0.14781491002570696</v>
      </c>
      <c r="O141" s="18">
        <f>IF(ISNUMBER(M141), $B145 * N141, "")</f>
        <v>22172.236503856042</v>
      </c>
      <c r="Q141" s="146"/>
      <c r="R141" s="146"/>
      <c r="S141" s="146"/>
    </row>
    <row r="142" spans="1:19" ht="17.25" thickBot="1">
      <c r="A142" s="109" t="s">
        <v>191</v>
      </c>
      <c r="B142" s="110">
        <v>72.599999999999994</v>
      </c>
      <c r="C142" s="70">
        <v>-5.83657588E-2</v>
      </c>
      <c r="D142" s="15">
        <v>77.8</v>
      </c>
      <c r="E142" s="32">
        <f t="shared" si="74"/>
        <v>7.1625344352617124E-2</v>
      </c>
      <c r="F142" s="18">
        <f>IF(ISNUMBER(D142), $B145 * E142, "")</f>
        <v>10743.801652892569</v>
      </c>
      <c r="G142" s="31">
        <v>77.3</v>
      </c>
      <c r="H142" s="32">
        <f t="shared" si="75"/>
        <v>6.4738292011019327E-2</v>
      </c>
      <c r="I142" s="91">
        <f>IF(ISNUMBER(G142), $B145 * H142, "")</f>
        <v>9710.7438016528995</v>
      </c>
      <c r="J142" s="15">
        <v>81.8</v>
      </c>
      <c r="K142" s="32">
        <f t="shared" si="76"/>
        <v>0.12672176308539951</v>
      </c>
      <c r="L142" s="18">
        <f>IF(ISNUMBER(J142), $B145 * K142, "")</f>
        <v>19008.264462809926</v>
      </c>
      <c r="M142" s="31">
        <v>82.7</v>
      </c>
      <c r="N142" s="32">
        <f t="shared" si="77"/>
        <v>0.13911845730027561</v>
      </c>
      <c r="O142" s="18">
        <f>IF(ISNUMBER(M142), $B145 * N142, "")</f>
        <v>20867.768595041343</v>
      </c>
      <c r="Q142" s="146"/>
      <c r="R142" s="146"/>
      <c r="S142" s="146"/>
    </row>
    <row r="143" spans="1:19">
      <c r="A143" s="109" t="s">
        <v>332</v>
      </c>
      <c r="B143" s="110">
        <v>7.14</v>
      </c>
      <c r="C143" s="70">
        <v>-6.42201835E-2</v>
      </c>
      <c r="D143" s="15">
        <v>7.61</v>
      </c>
      <c r="E143" s="32">
        <f t="shared" si="74"/>
        <v>6.5826330532212984E-2</v>
      </c>
      <c r="F143" s="18">
        <f>IF(ISNUMBER(D143), $B145 * E143, "")</f>
        <v>9873.9495798319476</v>
      </c>
      <c r="G143" s="31">
        <v>7.57</v>
      </c>
      <c r="H143" s="32">
        <f t="shared" si="75"/>
        <v>6.0224089635854426E-2</v>
      </c>
      <c r="I143" s="91">
        <f>IF(ISNUMBER(G143), $B145 * H143, "")</f>
        <v>9033.6134453781633</v>
      </c>
      <c r="J143" s="15">
        <v>7.69</v>
      </c>
      <c r="K143" s="32">
        <f t="shared" si="76"/>
        <v>7.7030812324930073E-2</v>
      </c>
      <c r="L143" s="18">
        <f>IF(ISNUMBER(J143), $B145 * K143, "")</f>
        <v>11554.621848739511</v>
      </c>
      <c r="M143" s="31">
        <v>7.93</v>
      </c>
      <c r="N143" s="32">
        <f t="shared" si="77"/>
        <v>0.11064425770308124</v>
      </c>
      <c r="O143" s="18">
        <f>IF(ISNUMBER(M143), $B145 * N143, "")</f>
        <v>16596.638655462186</v>
      </c>
      <c r="Q143" s="135"/>
      <c r="R143" s="136"/>
      <c r="S143" s="137"/>
    </row>
    <row r="144" spans="1:19" ht="17.25" thickBot="1">
      <c r="A144" s="114" t="s">
        <v>195</v>
      </c>
      <c r="B144" s="115">
        <v>7.37</v>
      </c>
      <c r="C144" s="72">
        <v>-7.0617906699999997E-2</v>
      </c>
      <c r="D144" s="24">
        <v>7.89</v>
      </c>
      <c r="E144" s="25">
        <f t="shared" si="74"/>
        <v>7.0556309362279454E-2</v>
      </c>
      <c r="F144" s="94">
        <f>IF(ISNUMBER(D144), $B145 * E144, "")</f>
        <v>10583.446404341918</v>
      </c>
      <c r="G144" s="92">
        <v>7.78</v>
      </c>
      <c r="H144" s="25">
        <f t="shared" si="75"/>
        <v>5.5630936227951171E-2</v>
      </c>
      <c r="I144" s="93">
        <f>IF(ISNUMBER(G144), $B145 * H144, "")</f>
        <v>8344.6404341926755</v>
      </c>
      <c r="J144" s="24">
        <v>7.92</v>
      </c>
      <c r="K144" s="25">
        <f t="shared" si="76"/>
        <v>7.4626865671641771E-2</v>
      </c>
      <c r="L144" s="94">
        <f>IF(ISNUMBER(J144), $B145 * K144, "")</f>
        <v>11194.029850746265</v>
      </c>
      <c r="M144" s="92">
        <v>8.1999999999999993</v>
      </c>
      <c r="N144" s="25">
        <f t="shared" si="77"/>
        <v>0.11261872455902296</v>
      </c>
      <c r="O144" s="94">
        <f>IF(ISNUMBER(M144), $B145 * N144, "")</f>
        <v>16892.808683853444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8.64213390529322E-2</v>
      </c>
      <c r="F145" s="28">
        <f>SUM(F125:F144)</f>
        <v>259264.01715879666</v>
      </c>
      <c r="G145" s="26" t="s">
        <v>258</v>
      </c>
      <c r="H145" s="27">
        <f>IF(COUNT(H125:H144), SUM(H125:H144) / COUNT(H125:H144), 0)</f>
        <v>7.2095783154028911E-2</v>
      </c>
      <c r="I145" s="28">
        <f>SUM(I125:I144)</f>
        <v>216287.34946208671</v>
      </c>
      <c r="J145" s="26" t="s">
        <v>258</v>
      </c>
      <c r="K145" s="27">
        <f>IF(COUNT(K125:K144), SUM(K125:K144) / COUNT(K125:K144), 0)</f>
        <v>0.11136976848253607</v>
      </c>
      <c r="L145" s="28">
        <f>SUM(L125:L144)</f>
        <v>334109.30544760829</v>
      </c>
      <c r="M145" s="26" t="s">
        <v>258</v>
      </c>
      <c r="N145" s="27">
        <f>IF(COUNT(N125:N144), SUM(N125:N144) / COUNT(N125:N144), 0)</f>
        <v>0.13585940835998372</v>
      </c>
      <c r="O145" s="28">
        <f>SUM(O125:O144)</f>
        <v>407578.22507995111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2023-03-13(월) 오전 00:00</v>
      </c>
      <c r="C150" s="198"/>
      <c r="D150" s="170" t="str">
        <f>TEXT($G$1, "[$-ko-KR]yyyy-mm-dd(ddd) ") &amp; "오후 14:00"</f>
        <v>2023-03-13(월) 오후 14:00</v>
      </c>
      <c r="E150" s="171"/>
      <c r="F150" s="172"/>
      <c r="G150" s="170" t="str">
        <f>TEXT($G$1, "[$-ko-KR]yyyy-mm-dd(ddd) ") &amp; "오후 19:00"</f>
        <v>2023-03-13(월) 오후 19:00</v>
      </c>
      <c r="H150" s="171"/>
      <c r="I150" s="172"/>
      <c r="J150" s="170" t="str">
        <f>TEXT($G$1, "[$-ko-KR]yyyy-mm-dd(ddd) ") &amp; "오후 21:00"</f>
        <v>2023-03-13(월) 오후 21:00</v>
      </c>
      <c r="K150" s="171"/>
      <c r="L150" s="172"/>
      <c r="M150" s="170" t="str">
        <f>TEXT($G$1+1, "[$-ko-KR]yyyy-mm-dd(ddd) ") &amp; "오전 00:00"</f>
        <v>2023-03-14(화)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327</v>
      </c>
      <c r="B152" s="108">
        <v>396</v>
      </c>
      <c r="C152" s="69">
        <v>-3.8834951499999999E-2</v>
      </c>
      <c r="D152" s="13">
        <v>466</v>
      </c>
      <c r="E152" s="14">
        <f>IF(ISNUMBER(D152), (D152 - $B152) / $B152, "")</f>
        <v>0.17676767676767677</v>
      </c>
      <c r="F152" s="16">
        <f>IF(ISNUMBER(D152), $B172 * E152, "")</f>
        <v>26515.151515151516</v>
      </c>
      <c r="G152" s="29">
        <v>445</v>
      </c>
      <c r="H152" s="14">
        <f>IF(ISNUMBER(G152), (G152 - $B152) / $B152, "")</f>
        <v>0.12373737373737374</v>
      </c>
      <c r="I152" s="90">
        <f>IF(ISNUMBER(G152), $B172 * H152, "")</f>
        <v>18560.60606060606</v>
      </c>
      <c r="J152" s="13">
        <v>447</v>
      </c>
      <c r="K152" s="14">
        <f>IF(ISNUMBER(J152), (J152 - $B152) / $B152, "")</f>
        <v>0.12878787878787878</v>
      </c>
      <c r="L152" s="16">
        <f>IF(ISNUMBER(J152), $B172 * K152, "")</f>
        <v>19318.181818181816</v>
      </c>
      <c r="M152" s="29">
        <v>469</v>
      </c>
      <c r="N152" s="14">
        <f>IF(ISNUMBER(M152), (M152 - $B152) / $B152, "")</f>
        <v>0.18434343434343434</v>
      </c>
      <c r="O152" s="16">
        <f>IF(ISNUMBER(M152), $B172 * N152, "")</f>
        <v>27651.515151515152</v>
      </c>
      <c r="Q152" s="156"/>
      <c r="R152" s="156"/>
      <c r="S152" s="156"/>
    </row>
    <row r="153" spans="1:19" ht="17.25" thickBot="1">
      <c r="A153" s="109" t="s">
        <v>205</v>
      </c>
      <c r="B153" s="110">
        <v>123</v>
      </c>
      <c r="C153" s="70">
        <v>-3.90625E-2</v>
      </c>
      <c r="D153" s="15">
        <v>130</v>
      </c>
      <c r="E153" s="32">
        <f t="shared" ref="E153:E156" si="78">IF(ISNUMBER(D153), (D153 - $B153) / $B153, "")</f>
        <v>5.6910569105691054E-2</v>
      </c>
      <c r="F153" s="18">
        <f>IF(ISNUMBER(D153), $B172 * E153, "")</f>
        <v>8536.585365853658</v>
      </c>
      <c r="G153" s="31">
        <v>127</v>
      </c>
      <c r="H153" s="32">
        <f t="shared" ref="H153:H156" si="79">IF(ISNUMBER(G153), (G153 - $B153) / $B153, "")</f>
        <v>3.2520325203252036E-2</v>
      </c>
      <c r="I153" s="91">
        <f>IF(ISNUMBER(G153), $B172 * H153, "")</f>
        <v>4878.0487804878057</v>
      </c>
      <c r="J153" s="15">
        <v>130</v>
      </c>
      <c r="K153" s="32">
        <f t="shared" ref="K153:K156" si="80">IF(ISNUMBER(J153), (J153 - $B153) / $B153, "")</f>
        <v>5.6910569105691054E-2</v>
      </c>
      <c r="L153" s="18">
        <f>IF(ISNUMBER(J153), $B172 * K153, "")</f>
        <v>8536.585365853658</v>
      </c>
      <c r="M153" s="31">
        <v>134</v>
      </c>
      <c r="N153" s="32">
        <f t="shared" ref="N153:N156" si="81">IF(ISNUMBER(M153), (M153 - $B153) / $B153, "")</f>
        <v>8.943089430894309E-2</v>
      </c>
      <c r="O153" s="18">
        <f>IF(ISNUMBER(M153), $B172 * N153, "")</f>
        <v>13414.634146341463</v>
      </c>
      <c r="Q153" s="156"/>
      <c r="R153" s="156"/>
      <c r="S153" s="156"/>
    </row>
    <row r="154" spans="1:19" ht="17.25" thickBot="1">
      <c r="A154" s="109" t="s">
        <v>346</v>
      </c>
      <c r="B154" s="110">
        <v>244</v>
      </c>
      <c r="C154" s="70">
        <v>-3.9370078699999998E-2</v>
      </c>
      <c r="D154" s="15">
        <v>266</v>
      </c>
      <c r="E154" s="32">
        <f t="shared" si="78"/>
        <v>9.0163934426229511E-2</v>
      </c>
      <c r="F154" s="18">
        <f>IF(ISNUMBER(D154), $B172 * E154, "")</f>
        <v>13524.590163934427</v>
      </c>
      <c r="G154" s="31">
        <v>260</v>
      </c>
      <c r="H154" s="32">
        <f t="shared" si="79"/>
        <v>6.5573770491803282E-2</v>
      </c>
      <c r="I154" s="91">
        <f>IF(ISNUMBER(G154), $B172 * H154, "")</f>
        <v>9836.0655737704928</v>
      </c>
      <c r="J154" s="15">
        <v>260</v>
      </c>
      <c r="K154" s="32">
        <f t="shared" si="80"/>
        <v>6.5573770491803282E-2</v>
      </c>
      <c r="L154" s="18">
        <f>IF(ISNUMBER(J154), $B172 * K154, "")</f>
        <v>9836.0655737704928</v>
      </c>
      <c r="M154" s="31">
        <v>271</v>
      </c>
      <c r="N154" s="32">
        <f t="shared" si="81"/>
        <v>0.11065573770491803</v>
      </c>
      <c r="O154" s="18">
        <f>IF(ISNUMBER(M154), $B172 * N154, "")</f>
        <v>16598.360655737706</v>
      </c>
      <c r="Q154" s="146"/>
      <c r="R154" s="146"/>
      <c r="S154" s="146"/>
    </row>
    <row r="155" spans="1:19" ht="17.25" thickBot="1">
      <c r="A155" s="109" t="s">
        <v>89</v>
      </c>
      <c r="B155" s="110">
        <v>473</v>
      </c>
      <c r="C155" s="70">
        <v>-4.0567951300000002E-2</v>
      </c>
      <c r="D155" s="15">
        <v>486</v>
      </c>
      <c r="E155" s="32">
        <f t="shared" si="78"/>
        <v>2.748414376321353E-2</v>
      </c>
      <c r="F155" s="18">
        <f>IF(ISNUMBER(D155), $B172 * E155, "")</f>
        <v>4122.6215644820295</v>
      </c>
      <c r="G155" s="31">
        <v>475</v>
      </c>
      <c r="H155" s="32">
        <f t="shared" si="79"/>
        <v>4.2283298097251587E-3</v>
      </c>
      <c r="I155" s="91">
        <f>IF(ISNUMBER(G155), $B172 * H155, "")</f>
        <v>634.24947145877377</v>
      </c>
      <c r="J155" s="15">
        <v>478</v>
      </c>
      <c r="K155" s="32">
        <f t="shared" si="80"/>
        <v>1.0570824524312896E-2</v>
      </c>
      <c r="L155" s="18">
        <f>IF(ISNUMBER(J155), $B172 * K155, "")</f>
        <v>1585.6236786469344</v>
      </c>
      <c r="M155" s="31">
        <v>491</v>
      </c>
      <c r="N155" s="32">
        <f t="shared" si="81"/>
        <v>3.8054968287526428E-2</v>
      </c>
      <c r="O155" s="18">
        <f>IF(ISNUMBER(M155), $B172 * N155, "")</f>
        <v>5708.2452431289639</v>
      </c>
      <c r="Q155" s="146"/>
      <c r="R155" s="146"/>
      <c r="S155" s="146"/>
    </row>
    <row r="156" spans="1:19" ht="17.25" thickBot="1">
      <c r="A156" s="111" t="s">
        <v>229</v>
      </c>
      <c r="B156" s="112">
        <v>275</v>
      </c>
      <c r="C156" s="71">
        <v>-4.1811846700000002E-2</v>
      </c>
      <c r="D156" s="20">
        <v>293</v>
      </c>
      <c r="E156" s="21">
        <f t="shared" si="78"/>
        <v>6.545454545454546E-2</v>
      </c>
      <c r="F156" s="22">
        <f>IF(ISNUMBER(D156), $B172 * E156, "")</f>
        <v>9818.1818181818198</v>
      </c>
      <c r="G156" s="30">
        <v>289</v>
      </c>
      <c r="H156" s="21">
        <f t="shared" si="79"/>
        <v>5.0909090909090911E-2</v>
      </c>
      <c r="I156" s="95">
        <f>IF(ISNUMBER(G156), $B172 * H156, "")</f>
        <v>7636.3636363636369</v>
      </c>
      <c r="J156" s="20">
        <v>291</v>
      </c>
      <c r="K156" s="21">
        <f t="shared" si="80"/>
        <v>5.8181818181818182E-2</v>
      </c>
      <c r="L156" s="22">
        <f>IF(ISNUMBER(J156), $B172 * K156, "")</f>
        <v>8727.2727272727279</v>
      </c>
      <c r="M156" s="30">
        <v>304</v>
      </c>
      <c r="N156" s="21">
        <f t="shared" si="81"/>
        <v>0.10545454545454545</v>
      </c>
      <c r="O156" s="22">
        <f>IF(ISNUMBER(M156), $B172 * N156, "")</f>
        <v>15818.181818181818</v>
      </c>
      <c r="Q156" s="146"/>
      <c r="R156" s="146"/>
      <c r="S156" s="146"/>
    </row>
    <row r="157" spans="1:19" ht="17.25" thickBot="1">
      <c r="A157" s="109" t="s">
        <v>159</v>
      </c>
      <c r="B157" s="113">
        <v>204</v>
      </c>
      <c r="C157" s="73">
        <v>-4.2253521099999997E-2</v>
      </c>
      <c r="D157" s="96">
        <v>221</v>
      </c>
      <c r="E157" s="97">
        <f>IF(ISNUMBER(D157), (D157 - $B157) / $B157, "")</f>
        <v>8.3333333333333329E-2</v>
      </c>
      <c r="F157" s="98">
        <f>IF(ISNUMBER(D157), $B172 * E157, "")</f>
        <v>12500</v>
      </c>
      <c r="G157" s="99">
        <v>216</v>
      </c>
      <c r="H157" s="97">
        <f>IF(ISNUMBER(G157), (G157 - $B157) / $B157, "")</f>
        <v>5.8823529411764705E-2</v>
      </c>
      <c r="I157" s="100">
        <f>IF(ISNUMBER(G157), $B172 * H157, "")</f>
        <v>8823.5294117647063</v>
      </c>
      <c r="J157" s="96">
        <v>220</v>
      </c>
      <c r="K157" s="97">
        <f>IF(ISNUMBER(J157), (J157 - $B157) / $B157, "")</f>
        <v>7.8431372549019607E-2</v>
      </c>
      <c r="L157" s="98">
        <f>IF(ISNUMBER(J157), $B172 * K157, "")</f>
        <v>11764.705882352941</v>
      </c>
      <c r="M157" s="99">
        <v>228</v>
      </c>
      <c r="N157" s="97">
        <f>IF(ISNUMBER(M157), (M157 - $B157) / $B157, "")</f>
        <v>0.11764705882352941</v>
      </c>
      <c r="O157" s="98">
        <f>IF(ISNUMBER(M157), $B172 * N157, "")</f>
        <v>17647.058823529413</v>
      </c>
      <c r="Q157" s="146"/>
      <c r="R157" s="146"/>
      <c r="S157" s="146"/>
    </row>
    <row r="158" spans="1:19" ht="17.25" thickBot="1">
      <c r="A158" s="109" t="s">
        <v>167</v>
      </c>
      <c r="B158" s="110">
        <v>201</v>
      </c>
      <c r="C158" s="70">
        <v>-4.2857142899999999E-2</v>
      </c>
      <c r="D158" s="15">
        <v>220</v>
      </c>
      <c r="E158" s="32">
        <f t="shared" ref="E158:E161" si="82">IF(ISNUMBER(D158), (D158 - $B158) / $B158, "")</f>
        <v>9.4527363184079602E-2</v>
      </c>
      <c r="F158" s="18">
        <f>IF(ISNUMBER(D158), $B172 * E158, "")</f>
        <v>14179.10447761194</v>
      </c>
      <c r="G158" s="31">
        <v>215</v>
      </c>
      <c r="H158" s="32">
        <f t="shared" ref="H158:H161" si="83">IF(ISNUMBER(G158), (G158 - $B158) / $B158, "")</f>
        <v>6.965174129353234E-2</v>
      </c>
      <c r="I158" s="91">
        <f>IF(ISNUMBER(G158), $B172 * H158, "")</f>
        <v>10447.76119402985</v>
      </c>
      <c r="J158" s="15">
        <v>218</v>
      </c>
      <c r="K158" s="32">
        <f t="shared" ref="K158:K161" si="84">IF(ISNUMBER(J158), (J158 - $B158) / $B158, "")</f>
        <v>8.45771144278607E-2</v>
      </c>
      <c r="L158" s="18">
        <f>IF(ISNUMBER(J158), $B172 * K158, "")</f>
        <v>12686.567164179105</v>
      </c>
      <c r="M158" s="31">
        <v>225</v>
      </c>
      <c r="N158" s="32">
        <f t="shared" ref="N158:N161" si="85">IF(ISNUMBER(M158), (M158 - $B158) / $B158, "")</f>
        <v>0.11940298507462686</v>
      </c>
      <c r="O158" s="18">
        <f>IF(ISNUMBER(M158), $B172 * N158, "")</f>
        <v>17910.447761194031</v>
      </c>
      <c r="Q158" s="146"/>
      <c r="R158" s="146"/>
      <c r="S158" s="146"/>
    </row>
    <row r="159" spans="1:19" ht="17.25" thickBot="1">
      <c r="A159" s="109" t="s">
        <v>231</v>
      </c>
      <c r="B159" s="110">
        <v>374</v>
      </c>
      <c r="C159" s="70">
        <v>-4.3478260900000003E-2</v>
      </c>
      <c r="D159" s="15">
        <v>406</v>
      </c>
      <c r="E159" s="32">
        <f t="shared" si="82"/>
        <v>8.5561497326203204E-2</v>
      </c>
      <c r="F159" s="18">
        <f>IF(ISNUMBER(D159), $B172 * E159, "")</f>
        <v>12834.224598930481</v>
      </c>
      <c r="G159" s="31">
        <v>396</v>
      </c>
      <c r="H159" s="32">
        <f t="shared" si="83"/>
        <v>5.8823529411764705E-2</v>
      </c>
      <c r="I159" s="91">
        <f>IF(ISNUMBER(G159), $B172 * H159, "")</f>
        <v>8823.5294117647063</v>
      </c>
      <c r="J159" s="15">
        <v>403</v>
      </c>
      <c r="K159" s="32">
        <f t="shared" si="84"/>
        <v>7.7540106951871662E-2</v>
      </c>
      <c r="L159" s="18">
        <f>IF(ISNUMBER(J159), $B172 * K159, "")</f>
        <v>11631.01604278075</v>
      </c>
      <c r="M159" s="31">
        <v>417</v>
      </c>
      <c r="N159" s="32">
        <f t="shared" si="85"/>
        <v>0.11497326203208556</v>
      </c>
      <c r="O159" s="18">
        <f>IF(ISNUMBER(M159), $B172 * N159, "")</f>
        <v>17245.989304812836</v>
      </c>
      <c r="Q159" s="146"/>
      <c r="R159" s="146"/>
      <c r="S159" s="146"/>
    </row>
    <row r="160" spans="1:19" ht="17.25" thickBot="1">
      <c r="A160" s="109" t="s">
        <v>241</v>
      </c>
      <c r="B160" s="110">
        <v>103</v>
      </c>
      <c r="C160" s="70">
        <v>-4.6296296299999998E-2</v>
      </c>
      <c r="D160" s="15">
        <v>111</v>
      </c>
      <c r="E160" s="32">
        <f t="shared" si="82"/>
        <v>7.7669902912621352E-2</v>
      </c>
      <c r="F160" s="18">
        <f>IF(ISNUMBER(D160), $B172 * E160, "")</f>
        <v>11650.485436893203</v>
      </c>
      <c r="G160" s="31">
        <v>110</v>
      </c>
      <c r="H160" s="32">
        <f t="shared" si="83"/>
        <v>6.7961165048543687E-2</v>
      </c>
      <c r="I160" s="91">
        <f>IF(ISNUMBER(G160), $B172 * H160, "")</f>
        <v>10194.174757281553</v>
      </c>
      <c r="J160" s="15">
        <v>112</v>
      </c>
      <c r="K160" s="32">
        <f t="shared" si="84"/>
        <v>8.7378640776699032E-2</v>
      </c>
      <c r="L160" s="18">
        <f>IF(ISNUMBER(J160), $B172 * K160, "")</f>
        <v>13106.796116504855</v>
      </c>
      <c r="M160" s="31">
        <v>114</v>
      </c>
      <c r="N160" s="32">
        <f t="shared" si="85"/>
        <v>0.10679611650485436</v>
      </c>
      <c r="O160" s="18">
        <f>IF(ISNUMBER(M160), $B172 * N160, "")</f>
        <v>16019.417475728154</v>
      </c>
      <c r="Q160" s="33"/>
      <c r="R160" s="33"/>
    </row>
    <row r="161" spans="1:19" ht="17.25" thickBot="1">
      <c r="A161" s="114" t="s">
        <v>329</v>
      </c>
      <c r="B161" s="115">
        <v>489</v>
      </c>
      <c r="C161" s="72">
        <v>-4.6783625699999998E-2</v>
      </c>
      <c r="D161" s="24">
        <v>526</v>
      </c>
      <c r="E161" s="25">
        <f t="shared" si="82"/>
        <v>7.5664621676891614E-2</v>
      </c>
      <c r="F161" s="94">
        <f>IF(ISNUMBER(D161), $B172 * E161, "")</f>
        <v>11349.693251533741</v>
      </c>
      <c r="G161" s="92">
        <v>514</v>
      </c>
      <c r="H161" s="25">
        <f t="shared" si="83"/>
        <v>5.112474437627812E-2</v>
      </c>
      <c r="I161" s="93">
        <f>IF(ISNUMBER(G161), $B172 * H161, "")</f>
        <v>7668.7116564417183</v>
      </c>
      <c r="J161" s="24">
        <v>520</v>
      </c>
      <c r="K161" s="25">
        <f t="shared" si="84"/>
        <v>6.3394683026584867E-2</v>
      </c>
      <c r="L161" s="94">
        <f>IF(ISNUMBER(J161), $B172 * K161, "")</f>
        <v>9509.2024539877293</v>
      </c>
      <c r="M161" s="92">
        <v>549</v>
      </c>
      <c r="N161" s="25">
        <f t="shared" si="85"/>
        <v>0.12269938650306748</v>
      </c>
      <c r="O161" s="94">
        <f>IF(ISNUMBER(M161), $B172 * N161, "")</f>
        <v>18404.907975460123</v>
      </c>
      <c r="Q161" s="147"/>
      <c r="R161" s="148"/>
      <c r="S161" s="149"/>
    </row>
    <row r="162" spans="1:19">
      <c r="A162" s="107" t="s">
        <v>66</v>
      </c>
      <c r="B162" s="108">
        <v>790</v>
      </c>
      <c r="C162" s="69">
        <v>-4.7044632099999997E-2</v>
      </c>
      <c r="D162" s="13">
        <v>851</v>
      </c>
      <c r="E162" s="14">
        <f>IF(ISNUMBER(D162), (D162 - $B162) / $B162, "")</f>
        <v>7.7215189873417717E-2</v>
      </c>
      <c r="F162" s="16">
        <f>IF(ISNUMBER(D162), $B172 * E162, "")</f>
        <v>11582.278481012658</v>
      </c>
      <c r="G162" s="29">
        <v>847</v>
      </c>
      <c r="H162" s="14">
        <f>IF(ISNUMBER(G162), (G162 - $B162) / $B162, "")</f>
        <v>7.2151898734177211E-2</v>
      </c>
      <c r="I162" s="90">
        <f>IF(ISNUMBER(G162), $B172 * H162, "")</f>
        <v>10822.784810126581</v>
      </c>
      <c r="J162" s="13">
        <v>851</v>
      </c>
      <c r="K162" s="14">
        <f>IF(ISNUMBER(J162), (J162 - $B162) / $B162, "")</f>
        <v>7.7215189873417717E-2</v>
      </c>
      <c r="L162" s="16">
        <f>IF(ISNUMBER(J162), $B172 * K162, "")</f>
        <v>11582.278481012658</v>
      </c>
      <c r="M162" s="29">
        <v>874</v>
      </c>
      <c r="N162" s="14">
        <f>IF(ISNUMBER(M162), (M162 - $B162) / $B162, "")</f>
        <v>0.10632911392405063</v>
      </c>
      <c r="O162" s="16">
        <f>IF(ISNUMBER(M162), $B172 * N162, "")</f>
        <v>15949.367088607594</v>
      </c>
      <c r="Q162" s="150"/>
      <c r="R162" s="151"/>
      <c r="S162" s="152"/>
    </row>
    <row r="163" spans="1:19" ht="17.25" thickBot="1">
      <c r="A163" s="109" t="s">
        <v>201</v>
      </c>
      <c r="B163" s="110">
        <v>240</v>
      </c>
      <c r="C163" s="70">
        <v>-4.7619047599999999E-2</v>
      </c>
      <c r="D163" s="15">
        <v>263</v>
      </c>
      <c r="E163" s="32">
        <f t="shared" ref="E163:E166" si="86">IF(ISNUMBER(D163), (D163 - $B163) / $B163, "")</f>
        <v>9.583333333333334E-2</v>
      </c>
      <c r="F163" s="18">
        <f>IF(ISNUMBER(D163), $B172 * E163, "")</f>
        <v>14375.000000000002</v>
      </c>
      <c r="G163" s="31">
        <v>259</v>
      </c>
      <c r="H163" s="32">
        <f t="shared" ref="H163:H166" si="87">IF(ISNUMBER(G163), (G163 - $B163) / $B163, "")</f>
        <v>7.9166666666666663E-2</v>
      </c>
      <c r="I163" s="91">
        <f>IF(ISNUMBER(G163), $B172 * H163, "")</f>
        <v>11875</v>
      </c>
      <c r="J163" s="15">
        <v>261</v>
      </c>
      <c r="K163" s="32">
        <f t="shared" ref="K163:K166" si="88">IF(ISNUMBER(J163), (J163 - $B163) / $B163, "")</f>
        <v>8.7499999999999994E-2</v>
      </c>
      <c r="L163" s="18">
        <f>IF(ISNUMBER(J163), $B172 * K163, "")</f>
        <v>13125</v>
      </c>
      <c r="M163" s="31">
        <v>274</v>
      </c>
      <c r="N163" s="32">
        <f t="shared" ref="N163:N166" si="89">IF(ISNUMBER(M163), (M163 - $B163) / $B163, "")</f>
        <v>0.14166666666666666</v>
      </c>
      <c r="O163" s="18">
        <f>IF(ISNUMBER(M163), $B172 * N163, "")</f>
        <v>21250</v>
      </c>
      <c r="Q163" s="153"/>
      <c r="R163" s="154"/>
      <c r="S163" s="155"/>
    </row>
    <row r="164" spans="1:19" ht="17.25" thickBot="1">
      <c r="A164" s="109" t="s">
        <v>103</v>
      </c>
      <c r="B164" s="110">
        <v>256</v>
      </c>
      <c r="C164" s="70">
        <v>-4.8327137499999999E-2</v>
      </c>
      <c r="D164" s="15">
        <v>282</v>
      </c>
      <c r="E164" s="32">
        <f t="shared" si="86"/>
        <v>0.1015625</v>
      </c>
      <c r="F164" s="18">
        <f>IF(ISNUMBER(D164), $B172 * E164, "")</f>
        <v>15234.375</v>
      </c>
      <c r="G164" s="31">
        <v>274</v>
      </c>
      <c r="H164" s="32">
        <f t="shared" si="87"/>
        <v>7.03125E-2</v>
      </c>
      <c r="I164" s="91">
        <f>IF(ISNUMBER(G164), $B172 * H164, "")</f>
        <v>10546.875</v>
      </c>
      <c r="J164" s="15">
        <v>278</v>
      </c>
      <c r="K164" s="32">
        <f t="shared" si="88"/>
        <v>8.59375E-2</v>
      </c>
      <c r="L164" s="18">
        <f>IF(ISNUMBER(J164), $B172 * K164, "")</f>
        <v>12890.625</v>
      </c>
      <c r="M164" s="31">
        <v>289</v>
      </c>
      <c r="N164" s="32">
        <f t="shared" si="89"/>
        <v>0.12890625</v>
      </c>
      <c r="O164" s="18">
        <f>IF(ISNUMBER(M164), $B172 * N164, "")</f>
        <v>19335.9375</v>
      </c>
      <c r="Q164" s="146"/>
      <c r="R164" s="146"/>
      <c r="S164" s="146"/>
    </row>
    <row r="165" spans="1:19" ht="17.25" thickBot="1">
      <c r="A165" s="109" t="s">
        <v>209</v>
      </c>
      <c r="B165" s="110">
        <v>116</v>
      </c>
      <c r="C165" s="70">
        <v>-4.9180327900000001E-2</v>
      </c>
      <c r="D165" s="15">
        <v>124</v>
      </c>
      <c r="E165" s="32">
        <f t="shared" si="86"/>
        <v>6.8965517241379309E-2</v>
      </c>
      <c r="F165" s="18">
        <f>IF(ISNUMBER(D165), $B172 * E165, "")</f>
        <v>10344.827586206897</v>
      </c>
      <c r="G165" s="31">
        <v>122</v>
      </c>
      <c r="H165" s="32">
        <f t="shared" si="87"/>
        <v>5.1724137931034482E-2</v>
      </c>
      <c r="I165" s="91">
        <f>IF(ISNUMBER(G165), $B172 * H165, "")</f>
        <v>7758.6206896551721</v>
      </c>
      <c r="J165" s="15">
        <v>125</v>
      </c>
      <c r="K165" s="32">
        <f t="shared" si="88"/>
        <v>7.7586206896551727E-2</v>
      </c>
      <c r="L165" s="18">
        <f>IF(ISNUMBER(J165), $B172 * K165, "")</f>
        <v>11637.931034482759</v>
      </c>
      <c r="M165" s="31">
        <v>129</v>
      </c>
      <c r="N165" s="32">
        <f t="shared" si="89"/>
        <v>0.11206896551724138</v>
      </c>
      <c r="O165" s="18">
        <f>IF(ISNUMBER(M165), $B172 * N165, "")</f>
        <v>16810.344827586207</v>
      </c>
      <c r="Q165" s="156"/>
      <c r="R165" s="156"/>
      <c r="S165" s="156"/>
    </row>
    <row r="166" spans="1:19" ht="17.25" thickBot="1">
      <c r="A166" s="111" t="s">
        <v>183</v>
      </c>
      <c r="B166" s="112">
        <v>135</v>
      </c>
      <c r="C166" s="71">
        <v>-4.9295774600000002E-2</v>
      </c>
      <c r="D166" s="20">
        <v>147</v>
      </c>
      <c r="E166" s="21">
        <f t="shared" si="86"/>
        <v>8.8888888888888892E-2</v>
      </c>
      <c r="F166" s="22">
        <f>IF(ISNUMBER(D166), $B172 * E166, "")</f>
        <v>13333.333333333334</v>
      </c>
      <c r="G166" s="30">
        <v>144</v>
      </c>
      <c r="H166" s="21">
        <f t="shared" si="87"/>
        <v>6.6666666666666666E-2</v>
      </c>
      <c r="I166" s="95">
        <f>IF(ISNUMBER(G166), $B172 * H166, "")</f>
        <v>10000</v>
      </c>
      <c r="J166" s="20">
        <v>150</v>
      </c>
      <c r="K166" s="21">
        <f t="shared" si="88"/>
        <v>0.1111111111111111</v>
      </c>
      <c r="L166" s="22">
        <f>IF(ISNUMBER(J166), $B172 * K166, "")</f>
        <v>16666.666666666664</v>
      </c>
      <c r="M166" s="30">
        <v>155</v>
      </c>
      <c r="N166" s="21">
        <f t="shared" si="89"/>
        <v>0.14814814814814814</v>
      </c>
      <c r="O166" s="22">
        <f>IF(ISNUMBER(M166), $B172 * N166, "")</f>
        <v>22222.222222222223</v>
      </c>
      <c r="Q166" s="156"/>
      <c r="R166" s="156"/>
      <c r="S166" s="156"/>
    </row>
    <row r="167" spans="1:19" ht="17.25" thickBot="1">
      <c r="A167" s="109" t="s">
        <v>199</v>
      </c>
      <c r="B167" s="113">
        <v>303</v>
      </c>
      <c r="C167" s="73">
        <v>-5.0156739800000003E-2</v>
      </c>
      <c r="D167" s="96">
        <v>333</v>
      </c>
      <c r="E167" s="97">
        <f>IF(ISNUMBER(D167), (D167 - $B167) / $B167, "")</f>
        <v>9.9009900990099015E-2</v>
      </c>
      <c r="F167" s="98">
        <f>IF(ISNUMBER(D167), $B172 * E167, "")</f>
        <v>14851.485148514852</v>
      </c>
      <c r="G167" s="99">
        <v>326</v>
      </c>
      <c r="H167" s="97">
        <f>IF(ISNUMBER(G167), (G167 - $B167) / $B167, "")</f>
        <v>7.590759075907591E-2</v>
      </c>
      <c r="I167" s="100">
        <f>IF(ISNUMBER(G167), $B172 * H167, "")</f>
        <v>11386.138613861387</v>
      </c>
      <c r="J167" s="96">
        <v>329</v>
      </c>
      <c r="K167" s="97">
        <f>IF(ISNUMBER(J167), (J167 - $B167) / $B167, "")</f>
        <v>8.5808580858085806E-2</v>
      </c>
      <c r="L167" s="98">
        <f>IF(ISNUMBER(J167), $B172 * K167, "")</f>
        <v>12871.287128712871</v>
      </c>
      <c r="M167" s="99">
        <v>341</v>
      </c>
      <c r="N167" s="97">
        <f>IF(ISNUMBER(M167), (M167 - $B167) / $B167, "")</f>
        <v>0.1254125412541254</v>
      </c>
      <c r="O167" s="98">
        <f>IF(ISNUMBER(M167), $B172 * N167, "")</f>
        <v>18811.881188118812</v>
      </c>
      <c r="Q167" s="146"/>
      <c r="R167" s="146"/>
      <c r="S167" s="146"/>
    </row>
    <row r="168" spans="1:19" ht="17.25" thickBot="1">
      <c r="A168" s="109" t="s">
        <v>68</v>
      </c>
      <c r="B168" s="110">
        <v>438</v>
      </c>
      <c r="C168" s="70">
        <v>-5.19480519E-2</v>
      </c>
      <c r="D168" s="15">
        <v>527</v>
      </c>
      <c r="E168" s="32">
        <f t="shared" ref="E168:E171" si="90">IF(ISNUMBER(D168), (D168 - $B168) / $B168, "")</f>
        <v>0.20319634703196346</v>
      </c>
      <c r="F168" s="18">
        <f>IF(ISNUMBER(D168), $B172 * E168, "")</f>
        <v>30479.452054794518</v>
      </c>
      <c r="G168" s="31">
        <v>500</v>
      </c>
      <c r="H168" s="32">
        <f t="shared" ref="H168:H171" si="91">IF(ISNUMBER(G168), (G168 - $B168) / $B168, "")</f>
        <v>0.14155251141552511</v>
      </c>
      <c r="I168" s="91">
        <f>IF(ISNUMBER(G168), $B172 * H168, "")</f>
        <v>21232.876712328765</v>
      </c>
      <c r="J168" s="15">
        <v>506</v>
      </c>
      <c r="K168" s="32">
        <f t="shared" ref="K168:K171" si="92">IF(ISNUMBER(J168), (J168 - $B168) / $B168, "")</f>
        <v>0.15525114155251141</v>
      </c>
      <c r="L168" s="18">
        <f>IF(ISNUMBER(J168), $B172 * K168, "")</f>
        <v>23287.67123287671</v>
      </c>
      <c r="M168" s="31">
        <v>522</v>
      </c>
      <c r="N168" s="32">
        <f t="shared" ref="N168:N171" si="93">IF(ISNUMBER(M168), (M168 - $B168) / $B168, "")</f>
        <v>0.19178082191780821</v>
      </c>
      <c r="O168" s="18">
        <f>IF(ISNUMBER(M168), $B172 * N168, "")</f>
        <v>28767.123287671231</v>
      </c>
      <c r="Q168" s="146"/>
      <c r="R168" s="146"/>
      <c r="S168" s="146"/>
    </row>
    <row r="169" spans="1:19" ht="17.25" thickBot="1">
      <c r="A169" s="109" t="s">
        <v>105</v>
      </c>
      <c r="B169" s="110">
        <v>239</v>
      </c>
      <c r="C169" s="70">
        <v>-5.5335968399999998E-2</v>
      </c>
      <c r="D169" s="15">
        <v>264</v>
      </c>
      <c r="E169" s="32">
        <f t="shared" si="90"/>
        <v>0.10460251046025104</v>
      </c>
      <c r="F169" s="18">
        <f>IF(ISNUMBER(D169), $B172 * E169, "")</f>
        <v>15690.376569037657</v>
      </c>
      <c r="G169" s="31">
        <v>256</v>
      </c>
      <c r="H169" s="32">
        <f t="shared" si="91"/>
        <v>7.1129707112970716E-2</v>
      </c>
      <c r="I169" s="91">
        <f>IF(ISNUMBER(G169), $B172 * H169, "")</f>
        <v>10669.456066945608</v>
      </c>
      <c r="J169" s="15">
        <v>260</v>
      </c>
      <c r="K169" s="32">
        <f t="shared" si="92"/>
        <v>8.7866108786610872E-2</v>
      </c>
      <c r="L169" s="18">
        <f>IF(ISNUMBER(J169), $B172 * K169, "")</f>
        <v>13179.91631799163</v>
      </c>
      <c r="M169" s="31">
        <v>271</v>
      </c>
      <c r="N169" s="32">
        <f t="shared" si="93"/>
        <v>0.13389121338912133</v>
      </c>
      <c r="O169" s="18">
        <f>IF(ISNUMBER(M169), $B172 * N169, "")</f>
        <v>20083.6820083682</v>
      </c>
      <c r="Q169" s="146"/>
      <c r="R169" s="146"/>
      <c r="S169" s="146"/>
    </row>
    <row r="170" spans="1:19">
      <c r="A170" s="109" t="s">
        <v>161</v>
      </c>
      <c r="B170" s="110">
        <v>772</v>
      </c>
      <c r="C170" s="70">
        <v>-6.5375302699999999E-2</v>
      </c>
      <c r="D170" s="15">
        <v>999</v>
      </c>
      <c r="E170" s="32">
        <f t="shared" si="90"/>
        <v>0.29404145077720206</v>
      </c>
      <c r="F170" s="18">
        <f>IF(ISNUMBER(D170), $B172 * E170, "")</f>
        <v>44106.21761658031</v>
      </c>
      <c r="G170" s="31">
        <v>946</v>
      </c>
      <c r="H170" s="32">
        <f t="shared" si="91"/>
        <v>0.22538860103626943</v>
      </c>
      <c r="I170" s="91">
        <f>IF(ISNUMBER(G170), $B172 * H170, "")</f>
        <v>33808.290155440416</v>
      </c>
      <c r="J170" s="15">
        <v>959</v>
      </c>
      <c r="K170" s="32">
        <f t="shared" si="92"/>
        <v>0.2422279792746114</v>
      </c>
      <c r="L170" s="18">
        <f>IF(ISNUMBER(J170), $B172 * K170, "")</f>
        <v>36334.196891191707</v>
      </c>
      <c r="M170" s="31">
        <v>1060</v>
      </c>
      <c r="N170" s="32">
        <f t="shared" si="93"/>
        <v>0.37305699481865284</v>
      </c>
      <c r="O170" s="18">
        <f>IF(ISNUMBER(M170), $B172 * N170, "")</f>
        <v>55958.549222797927</v>
      </c>
      <c r="Q170" s="135"/>
      <c r="R170" s="136"/>
      <c r="S170" s="137"/>
    </row>
    <row r="171" spans="1:19" ht="17.25" thickBot="1">
      <c r="A171" s="114" t="s">
        <v>340</v>
      </c>
      <c r="B171" s="115">
        <v>680</v>
      </c>
      <c r="C171" s="72">
        <v>-6.72153635E-2</v>
      </c>
      <c r="D171" s="24">
        <v>750</v>
      </c>
      <c r="E171" s="25">
        <f t="shared" si="90"/>
        <v>0.10294117647058823</v>
      </c>
      <c r="F171" s="94">
        <f>IF(ISNUMBER(D171), $B172 * E171, "")</f>
        <v>15441.176470588234</v>
      </c>
      <c r="G171" s="92">
        <v>729</v>
      </c>
      <c r="H171" s="25">
        <f t="shared" si="91"/>
        <v>7.2058823529411759E-2</v>
      </c>
      <c r="I171" s="93">
        <f>IF(ISNUMBER(G171), $B172 * H171, "")</f>
        <v>10808.823529411764</v>
      </c>
      <c r="J171" s="24">
        <v>738</v>
      </c>
      <c r="K171" s="25">
        <f t="shared" si="92"/>
        <v>8.5294117647058826E-2</v>
      </c>
      <c r="L171" s="94">
        <f>IF(ISNUMBER(J171), $B172 * K171, "")</f>
        <v>12794.117647058823</v>
      </c>
      <c r="M171" s="92">
        <v>774</v>
      </c>
      <c r="N171" s="25">
        <f t="shared" si="93"/>
        <v>0.13823529411764707</v>
      </c>
      <c r="O171" s="94">
        <f>IF(ISNUMBER(M171), $B172 * N171, "")</f>
        <v>20735.294117647059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0.10348972015088043</v>
      </c>
      <c r="F172" s="28">
        <f>SUM(F152:F171)</f>
        <v>310469.16045264126</v>
      </c>
      <c r="G172" s="26" t="s">
        <v>258</v>
      </c>
      <c r="H172" s="27">
        <f>IF(COUNT(H152:H171), SUM(H152:H171) / COUNT(H152:H171), 0)</f>
        <v>7.5470635177246309E-2</v>
      </c>
      <c r="I172" s="28">
        <f>SUM(I152:I171)</f>
        <v>226411.905531739</v>
      </c>
      <c r="J172" s="26" t="s">
        <v>258</v>
      </c>
      <c r="K172" s="27">
        <f>IF(COUNT(K152:K171), SUM(K152:K171) / COUNT(K152:K171), 0)</f>
        <v>9.0357235741174949E-2</v>
      </c>
      <c r="L172" s="28">
        <f>SUM(L152:L171)</f>
        <v>271071.70722352481</v>
      </c>
      <c r="M172" s="26" t="s">
        <v>258</v>
      </c>
      <c r="N172" s="27">
        <f>IF(COUNT(N152:N171), SUM(N152:N171) / COUNT(N152:N171), 0)</f>
        <v>0.13544771993954963</v>
      </c>
      <c r="O172" s="28">
        <f>SUM(O152:O171)</f>
        <v>406343.15981864888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2023-03-13(월) 오전 00:00</v>
      </c>
      <c r="C177" s="198"/>
      <c r="D177" s="170" t="str">
        <f>TEXT($G$1, "[$-ko-KR]yyyy-mm-dd(ddd) ") &amp; "오후 14:00"</f>
        <v>2023-03-13(월) 오후 14:00</v>
      </c>
      <c r="E177" s="171"/>
      <c r="F177" s="172"/>
      <c r="G177" s="170" t="str">
        <f>TEXT($G$1, "[$-ko-KR]yyyy-mm-dd(ddd) ") &amp; "오후 19:00"</f>
        <v>2023-03-13(월) 오후 19:00</v>
      </c>
      <c r="H177" s="171"/>
      <c r="I177" s="172"/>
      <c r="J177" s="170" t="str">
        <f>TEXT($G$1, "[$-ko-KR]yyyy-mm-dd(ddd) ") &amp; "오후 21:00"</f>
        <v>2023-03-13(월) 오후 21:00</v>
      </c>
      <c r="K177" s="171"/>
      <c r="L177" s="172"/>
      <c r="M177" s="170" t="str">
        <f>TEXT($G$1+1, "[$-ko-KR]yyyy-mm-dd(ddd) ") &amp; "오전 00:00"</f>
        <v>2023-03-14(화)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66</v>
      </c>
      <c r="B179" s="108">
        <v>790</v>
      </c>
      <c r="C179" s="69">
        <v>-4.7044632099999997E-2</v>
      </c>
      <c r="D179" s="13">
        <v>851</v>
      </c>
      <c r="E179" s="14">
        <f>IF(ISNUMBER(D179), (D179 - $B179) / $B179, "")</f>
        <v>7.7215189873417717E-2</v>
      </c>
      <c r="F179" s="16">
        <f>IF(ISNUMBER(D179), $B199 * E179, "")</f>
        <v>11582.278481012658</v>
      </c>
      <c r="G179" s="29">
        <v>847</v>
      </c>
      <c r="H179" s="14">
        <f>IF(ISNUMBER(G179), (G179 - $B179) / $B179, "")</f>
        <v>7.2151898734177211E-2</v>
      </c>
      <c r="I179" s="90">
        <f>IF(ISNUMBER(G179), $B199 * H179, "")</f>
        <v>10822.784810126581</v>
      </c>
      <c r="J179" s="13">
        <v>851</v>
      </c>
      <c r="K179" s="14">
        <f>IF(ISNUMBER(J179), (J179 - $B179) / $B179, "")</f>
        <v>7.7215189873417717E-2</v>
      </c>
      <c r="L179" s="16">
        <f>IF(ISNUMBER(J179), $B199 * K179, "")</f>
        <v>11582.278481012658</v>
      </c>
      <c r="M179" s="29">
        <v>874</v>
      </c>
      <c r="N179" s="14">
        <f>IF(ISNUMBER(M179), (M179 - $B179) / $B179, "")</f>
        <v>0.10632911392405063</v>
      </c>
      <c r="O179" s="16">
        <f>IF(ISNUMBER(M179), $B199 * N179, "")</f>
        <v>15949.367088607594</v>
      </c>
      <c r="Q179" s="156"/>
      <c r="R179" s="156"/>
      <c r="S179" s="156"/>
    </row>
    <row r="180" spans="1:19" ht="17.25" thickBot="1">
      <c r="A180" s="109" t="s">
        <v>132</v>
      </c>
      <c r="B180" s="110">
        <v>60.5</v>
      </c>
      <c r="C180" s="70">
        <v>-4.72440945E-2</v>
      </c>
      <c r="D180" s="15">
        <v>66.099999999999994</v>
      </c>
      <c r="E180" s="32">
        <f t="shared" ref="E180:E183" si="94">IF(ISNUMBER(D180), (D180 - $B180) / $B180, "")</f>
        <v>9.2561983471074291E-2</v>
      </c>
      <c r="F180" s="18">
        <f>IF(ISNUMBER(D180), $B199 * E180, "")</f>
        <v>13884.297520661145</v>
      </c>
      <c r="G180" s="31">
        <v>64.599999999999994</v>
      </c>
      <c r="H180" s="32">
        <f t="shared" ref="H180:H183" si="95">IF(ISNUMBER(G180), (G180 - $B180) / $B180, "")</f>
        <v>6.7768595041322224E-2</v>
      </c>
      <c r="I180" s="91">
        <f>IF(ISNUMBER(G180), $B199 * H180, "")</f>
        <v>10165.289256198334</v>
      </c>
      <c r="J180" s="15">
        <v>66.5</v>
      </c>
      <c r="K180" s="32">
        <f t="shared" ref="K180:K183" si="96">IF(ISNUMBER(J180), (J180 - $B180) / $B180, "")</f>
        <v>9.9173553719008267E-2</v>
      </c>
      <c r="L180" s="18">
        <f>IF(ISNUMBER(J180), $B199 * K180, "")</f>
        <v>14876.03305785124</v>
      </c>
      <c r="M180" s="31">
        <v>67.3</v>
      </c>
      <c r="N180" s="32">
        <f t="shared" ref="N180:N183" si="97">IF(ISNUMBER(M180), (M180 - $B180) / $B180, "")</f>
        <v>0.11239669421487598</v>
      </c>
      <c r="O180" s="18">
        <f>IF(ISNUMBER(M180), $B199 * N180, "")</f>
        <v>16859.504132231399</v>
      </c>
      <c r="Q180" s="156"/>
      <c r="R180" s="156"/>
      <c r="S180" s="156"/>
    </row>
    <row r="181" spans="1:19" ht="17.25" thickBot="1">
      <c r="A181" s="109" t="s">
        <v>136</v>
      </c>
      <c r="B181" s="110">
        <v>3510</v>
      </c>
      <c r="C181" s="70">
        <v>-4.7489823600000002E-2</v>
      </c>
      <c r="D181" s="15">
        <v>3805</v>
      </c>
      <c r="E181" s="32">
        <f t="shared" si="94"/>
        <v>8.4045584045584043E-2</v>
      </c>
      <c r="F181" s="18">
        <f>IF(ISNUMBER(D181), $B199 * E181, "")</f>
        <v>12606.837606837606</v>
      </c>
      <c r="G181" s="31">
        <v>3740</v>
      </c>
      <c r="H181" s="32">
        <f t="shared" si="95"/>
        <v>6.5527065527065526E-2</v>
      </c>
      <c r="I181" s="91">
        <f>IF(ISNUMBER(G181), $B199 * H181, "")</f>
        <v>9829.0598290598282</v>
      </c>
      <c r="J181" s="15">
        <v>3795</v>
      </c>
      <c r="K181" s="32">
        <f t="shared" si="96"/>
        <v>8.11965811965812E-2</v>
      </c>
      <c r="L181" s="18">
        <f>IF(ISNUMBER(J181), $B199 * K181, "")</f>
        <v>12179.48717948718</v>
      </c>
      <c r="M181" s="31">
        <v>3945</v>
      </c>
      <c r="N181" s="32">
        <f t="shared" si="97"/>
        <v>0.12393162393162394</v>
      </c>
      <c r="O181" s="18">
        <f>IF(ISNUMBER(M181), $B199 * N181, "")</f>
        <v>18589.74358974359</v>
      </c>
      <c r="Q181" s="146"/>
      <c r="R181" s="146"/>
      <c r="S181" s="146"/>
    </row>
    <row r="182" spans="1:19" ht="17.25" thickBot="1">
      <c r="A182" s="109" t="s">
        <v>201</v>
      </c>
      <c r="B182" s="110">
        <v>240</v>
      </c>
      <c r="C182" s="70">
        <v>-4.7619047599999999E-2</v>
      </c>
      <c r="D182" s="15">
        <v>263</v>
      </c>
      <c r="E182" s="32">
        <f t="shared" si="94"/>
        <v>9.583333333333334E-2</v>
      </c>
      <c r="F182" s="18">
        <f>IF(ISNUMBER(D182), $B199 * E182, "")</f>
        <v>14375.000000000002</v>
      </c>
      <c r="G182" s="31">
        <v>259</v>
      </c>
      <c r="H182" s="32">
        <f t="shared" si="95"/>
        <v>7.9166666666666663E-2</v>
      </c>
      <c r="I182" s="91">
        <f>IF(ISNUMBER(G182), $B199 * H182, "")</f>
        <v>11875</v>
      </c>
      <c r="J182" s="15">
        <v>261</v>
      </c>
      <c r="K182" s="32">
        <f t="shared" si="96"/>
        <v>8.7499999999999994E-2</v>
      </c>
      <c r="L182" s="18">
        <f>IF(ISNUMBER(J182), $B199 * K182, "")</f>
        <v>13125</v>
      </c>
      <c r="M182" s="31">
        <v>274</v>
      </c>
      <c r="N182" s="32">
        <f t="shared" si="97"/>
        <v>0.14166666666666666</v>
      </c>
      <c r="O182" s="18">
        <f>IF(ISNUMBER(M182), $B199 * N182, "")</f>
        <v>21250</v>
      </c>
      <c r="Q182" s="146"/>
      <c r="R182" s="146"/>
      <c r="S182" s="146"/>
    </row>
    <row r="183" spans="1:19" ht="17.25" thickBot="1">
      <c r="A183" s="111" t="s">
        <v>227</v>
      </c>
      <c r="B183" s="112">
        <v>51.5</v>
      </c>
      <c r="C183" s="71">
        <v>-4.8059149699999998E-2</v>
      </c>
      <c r="D183" s="20">
        <v>55.9</v>
      </c>
      <c r="E183" s="21">
        <f t="shared" si="94"/>
        <v>8.5436893203883466E-2</v>
      </c>
      <c r="F183" s="22">
        <f>IF(ISNUMBER(D183), $B199 * E183, "")</f>
        <v>12815.533980582521</v>
      </c>
      <c r="G183" s="30">
        <v>55.1</v>
      </c>
      <c r="H183" s="21">
        <f t="shared" si="95"/>
        <v>6.9902912621359253E-2</v>
      </c>
      <c r="I183" s="95">
        <f>IF(ISNUMBER(G183), $B199 * H183, "")</f>
        <v>10485.436893203889</v>
      </c>
      <c r="J183" s="20">
        <v>58.7</v>
      </c>
      <c r="K183" s="21">
        <f t="shared" si="96"/>
        <v>0.13980582524271851</v>
      </c>
      <c r="L183" s="22">
        <f>IF(ISNUMBER(J183), $B199 * K183, "")</f>
        <v>20970.873786407778</v>
      </c>
      <c r="M183" s="30">
        <v>58.3</v>
      </c>
      <c r="N183" s="21">
        <f t="shared" si="97"/>
        <v>0.13203883495145627</v>
      </c>
      <c r="O183" s="22">
        <f>IF(ISNUMBER(M183), $B199 * N183, "")</f>
        <v>19805.825242718442</v>
      </c>
      <c r="Q183" s="146"/>
      <c r="R183" s="146"/>
      <c r="S183" s="146"/>
    </row>
    <row r="184" spans="1:19" ht="17.25" thickBot="1">
      <c r="A184" s="109" t="s">
        <v>103</v>
      </c>
      <c r="B184" s="113">
        <v>256</v>
      </c>
      <c r="C184" s="73">
        <v>-4.8327137499999999E-2</v>
      </c>
      <c r="D184" s="96">
        <v>282</v>
      </c>
      <c r="E184" s="97">
        <f>IF(ISNUMBER(D184), (D184 - $B184) / $B184, "")</f>
        <v>0.1015625</v>
      </c>
      <c r="F184" s="98">
        <f>IF(ISNUMBER(D184), $B199 * E184, "")</f>
        <v>15234.375</v>
      </c>
      <c r="G184" s="99">
        <v>274</v>
      </c>
      <c r="H184" s="97">
        <f>IF(ISNUMBER(G184), (G184 - $B184) / $B184, "")</f>
        <v>7.03125E-2</v>
      </c>
      <c r="I184" s="100">
        <f>IF(ISNUMBER(G184), $B199 * H184, "")</f>
        <v>10546.875</v>
      </c>
      <c r="J184" s="96">
        <v>278</v>
      </c>
      <c r="K184" s="97">
        <f>IF(ISNUMBER(J184), (J184 - $B184) / $B184, "")</f>
        <v>8.59375E-2</v>
      </c>
      <c r="L184" s="98">
        <f>IF(ISNUMBER(J184), $B199 * K184, "")</f>
        <v>12890.625</v>
      </c>
      <c r="M184" s="99">
        <v>289</v>
      </c>
      <c r="N184" s="97">
        <f>IF(ISNUMBER(M184), (M184 - $B184) / $B184, "")</f>
        <v>0.12890625</v>
      </c>
      <c r="O184" s="98">
        <f>IF(ISNUMBER(M184), $B199 * N184, "")</f>
        <v>19335.9375</v>
      </c>
      <c r="Q184" s="146"/>
      <c r="R184" s="146"/>
      <c r="S184" s="146"/>
    </row>
    <row r="185" spans="1:19" ht="17.25" thickBot="1">
      <c r="A185" s="109" t="s">
        <v>354</v>
      </c>
      <c r="B185" s="110">
        <v>3635</v>
      </c>
      <c r="C185" s="70">
        <v>-4.8429319399999997E-2</v>
      </c>
      <c r="D185" s="15">
        <v>4140</v>
      </c>
      <c r="E185" s="32">
        <f t="shared" ref="E185:E188" si="98">IF(ISNUMBER(D185), (D185 - $B185) / $B185, "")</f>
        <v>0.13892709766162312</v>
      </c>
      <c r="F185" s="18">
        <f>IF(ISNUMBER(D185), $B199 * E185, "")</f>
        <v>20839.064649243468</v>
      </c>
      <c r="G185" s="31">
        <v>3965</v>
      </c>
      <c r="H185" s="32">
        <f t="shared" ref="H185:H188" si="99">IF(ISNUMBER(G185), (G185 - $B185) / $B185, "")</f>
        <v>9.0784044016506193E-2</v>
      </c>
      <c r="I185" s="91">
        <f>IF(ISNUMBER(G185), $B199 * H185, "")</f>
        <v>13617.606602475929</v>
      </c>
      <c r="J185" s="15">
        <v>4005</v>
      </c>
      <c r="K185" s="32">
        <f t="shared" ref="K185:K188" si="100">IF(ISNUMBER(J185), (J185 - $B185) / $B185, "")</f>
        <v>0.10178817056396149</v>
      </c>
      <c r="L185" s="18">
        <f>IF(ISNUMBER(J185), $B199 * K185, "")</f>
        <v>15268.225584594224</v>
      </c>
      <c r="M185" s="31">
        <v>4210</v>
      </c>
      <c r="N185" s="32">
        <f t="shared" ref="N185:N188" si="101">IF(ISNUMBER(M185), (M185 - $B185) / $B185, "")</f>
        <v>0.15818431911966988</v>
      </c>
      <c r="O185" s="18">
        <f>IF(ISNUMBER(M185), $B199 * N185, "")</f>
        <v>23727.64786795048</v>
      </c>
      <c r="Q185" s="146"/>
      <c r="R185" s="146"/>
      <c r="S185" s="146"/>
    </row>
    <row r="186" spans="1:19" ht="17.25" thickBot="1">
      <c r="A186" s="109" t="s">
        <v>143</v>
      </c>
      <c r="B186" s="110">
        <v>4.8600000000000003</v>
      </c>
      <c r="C186" s="70">
        <v>-4.8923679099999999E-2</v>
      </c>
      <c r="D186" s="15">
        <v>5.41</v>
      </c>
      <c r="E186" s="32">
        <f t="shared" si="98"/>
        <v>0.11316872427983535</v>
      </c>
      <c r="F186" s="18">
        <f>IF(ISNUMBER(D186), $B199 * E186, "")</f>
        <v>16975.308641975302</v>
      </c>
      <c r="G186" s="31">
        <v>5.43</v>
      </c>
      <c r="H186" s="32">
        <f t="shared" si="99"/>
        <v>0.11728395061728382</v>
      </c>
      <c r="I186" s="91">
        <f>IF(ISNUMBER(G186), $B199 * H186, "")</f>
        <v>17592.592592592573</v>
      </c>
      <c r="J186" s="15">
        <v>5.8</v>
      </c>
      <c r="K186" s="32">
        <f t="shared" si="100"/>
        <v>0.1934156378600822</v>
      </c>
      <c r="L186" s="18">
        <f>IF(ISNUMBER(J186), $B199 * K186, "")</f>
        <v>29012.345679012331</v>
      </c>
      <c r="M186" s="31">
        <v>5.78</v>
      </c>
      <c r="N186" s="32">
        <f t="shared" si="101"/>
        <v>0.18930041152263372</v>
      </c>
      <c r="O186" s="18">
        <f>IF(ISNUMBER(M186), $B199 * N186, "")</f>
        <v>28395.061728395056</v>
      </c>
      <c r="Q186" s="146"/>
      <c r="R186" s="146"/>
      <c r="S186" s="146"/>
    </row>
    <row r="187" spans="1:19" ht="17.25" thickBot="1">
      <c r="A187" s="109" t="s">
        <v>209</v>
      </c>
      <c r="B187" s="110">
        <v>116</v>
      </c>
      <c r="C187" s="70">
        <v>-4.9180327900000001E-2</v>
      </c>
      <c r="D187" s="15">
        <v>124</v>
      </c>
      <c r="E187" s="32">
        <f t="shared" si="98"/>
        <v>6.8965517241379309E-2</v>
      </c>
      <c r="F187" s="18">
        <f>IF(ISNUMBER(D187), $B199 * E187, "")</f>
        <v>10344.827586206897</v>
      </c>
      <c r="G187" s="31">
        <v>122</v>
      </c>
      <c r="H187" s="32">
        <f t="shared" si="99"/>
        <v>5.1724137931034482E-2</v>
      </c>
      <c r="I187" s="91">
        <f>IF(ISNUMBER(G187), $B199 * H187, "")</f>
        <v>7758.6206896551721</v>
      </c>
      <c r="J187" s="15">
        <v>125</v>
      </c>
      <c r="K187" s="32">
        <f t="shared" si="100"/>
        <v>7.7586206896551727E-2</v>
      </c>
      <c r="L187" s="18">
        <f>IF(ISNUMBER(J187), $B199 * K187, "")</f>
        <v>11637.931034482759</v>
      </c>
      <c r="M187" s="31">
        <v>129</v>
      </c>
      <c r="N187" s="32">
        <f t="shared" si="101"/>
        <v>0.11206896551724138</v>
      </c>
      <c r="O187" s="18">
        <f>IF(ISNUMBER(M187), $B199 * N187, "")</f>
        <v>16810.344827586207</v>
      </c>
      <c r="Q187" s="33"/>
      <c r="R187" s="33"/>
    </row>
    <row r="188" spans="1:19" ht="17.25" thickBot="1">
      <c r="A188" s="114" t="s">
        <v>183</v>
      </c>
      <c r="B188" s="115">
        <v>135</v>
      </c>
      <c r="C188" s="72">
        <v>-4.9295774600000002E-2</v>
      </c>
      <c r="D188" s="24">
        <v>147</v>
      </c>
      <c r="E188" s="25">
        <f t="shared" si="98"/>
        <v>8.8888888888888892E-2</v>
      </c>
      <c r="F188" s="94">
        <f>IF(ISNUMBER(D188), $B199 * E188, "")</f>
        <v>13333.333333333334</v>
      </c>
      <c r="G188" s="92">
        <v>144</v>
      </c>
      <c r="H188" s="25">
        <f t="shared" si="99"/>
        <v>6.6666666666666666E-2</v>
      </c>
      <c r="I188" s="93">
        <f>IF(ISNUMBER(G188), $B199 * H188, "")</f>
        <v>10000</v>
      </c>
      <c r="J188" s="24">
        <v>150</v>
      </c>
      <c r="K188" s="25">
        <f t="shared" si="100"/>
        <v>0.1111111111111111</v>
      </c>
      <c r="L188" s="94">
        <f>IF(ISNUMBER(J188), $B199 * K188, "")</f>
        <v>16666.666666666664</v>
      </c>
      <c r="M188" s="92">
        <v>155</v>
      </c>
      <c r="N188" s="25">
        <f t="shared" si="101"/>
        <v>0.14814814814814814</v>
      </c>
      <c r="O188" s="94">
        <f>IF(ISNUMBER(M188), $B199 * N188, "")</f>
        <v>22222.222222222223</v>
      </c>
      <c r="Q188" s="147"/>
      <c r="R188" s="148"/>
      <c r="S188" s="149"/>
    </row>
    <row r="189" spans="1:19">
      <c r="A189" s="107" t="s">
        <v>334</v>
      </c>
      <c r="B189" s="108">
        <v>41.7</v>
      </c>
      <c r="C189" s="69">
        <v>-5.0113895200000001E-2</v>
      </c>
      <c r="D189" s="13">
        <v>46.3</v>
      </c>
      <c r="E189" s="14">
        <f>IF(ISNUMBER(D189), (D189 - $B189) / $B189, "")</f>
        <v>0.11031175059952024</v>
      </c>
      <c r="F189" s="16">
        <f>IF(ISNUMBER(D189), $B199 * E189, "")</f>
        <v>16546.762589928036</v>
      </c>
      <c r="G189" s="29">
        <v>45.5</v>
      </c>
      <c r="H189" s="14">
        <f>IF(ISNUMBER(G189), (G189 - $B189) / $B189, "")</f>
        <v>9.1127098321342845E-2</v>
      </c>
      <c r="I189" s="90">
        <f>IF(ISNUMBER(G189), $B199 * H189, "")</f>
        <v>13669.064748201426</v>
      </c>
      <c r="J189" s="13">
        <v>46</v>
      </c>
      <c r="K189" s="14">
        <f>IF(ISNUMBER(J189), (J189 - $B189) / $B189, "")</f>
        <v>0.10311750599520376</v>
      </c>
      <c r="L189" s="16">
        <f>IF(ISNUMBER(J189), $B199 * K189, "")</f>
        <v>15467.625899280565</v>
      </c>
      <c r="M189" s="29">
        <v>47.2</v>
      </c>
      <c r="N189" s="14">
        <f>IF(ISNUMBER(M189), (M189 - $B189) / $B189, "")</f>
        <v>0.13189448441247001</v>
      </c>
      <c r="O189" s="16">
        <f>IF(ISNUMBER(M189), $B199 * N189, "")</f>
        <v>19784.1726618705</v>
      </c>
      <c r="Q189" s="150"/>
      <c r="R189" s="151"/>
      <c r="S189" s="152"/>
    </row>
    <row r="190" spans="1:19" ht="17.25" thickBot="1">
      <c r="A190" s="109" t="s">
        <v>199</v>
      </c>
      <c r="B190" s="110">
        <v>303</v>
      </c>
      <c r="C190" s="70">
        <v>-5.0156739800000003E-2</v>
      </c>
      <c r="D190" s="15">
        <v>333</v>
      </c>
      <c r="E190" s="32">
        <f t="shared" ref="E190:E193" si="102">IF(ISNUMBER(D190), (D190 - $B190) / $B190, "")</f>
        <v>9.9009900990099015E-2</v>
      </c>
      <c r="F190" s="18">
        <f>IF(ISNUMBER(D190), $B199 * E190, "")</f>
        <v>14851.485148514852</v>
      </c>
      <c r="G190" s="31">
        <v>326</v>
      </c>
      <c r="H190" s="32">
        <f t="shared" ref="H190:H193" si="103">IF(ISNUMBER(G190), (G190 - $B190) / $B190, "")</f>
        <v>7.590759075907591E-2</v>
      </c>
      <c r="I190" s="91">
        <f>IF(ISNUMBER(G190), $B199 * H190, "")</f>
        <v>11386.138613861387</v>
      </c>
      <c r="J190" s="15">
        <v>329</v>
      </c>
      <c r="K190" s="32">
        <f t="shared" ref="K190:K193" si="104">IF(ISNUMBER(J190), (J190 - $B190) / $B190, "")</f>
        <v>8.5808580858085806E-2</v>
      </c>
      <c r="L190" s="18">
        <f>IF(ISNUMBER(J190), $B199 * K190, "")</f>
        <v>12871.287128712871</v>
      </c>
      <c r="M190" s="31">
        <v>341</v>
      </c>
      <c r="N190" s="32">
        <f t="shared" ref="N190:N193" si="105">IF(ISNUMBER(M190), (M190 - $B190) / $B190, "")</f>
        <v>0.1254125412541254</v>
      </c>
      <c r="O190" s="18">
        <f>IF(ISNUMBER(M190), $B199 * N190, "")</f>
        <v>18811.881188118812</v>
      </c>
      <c r="Q190" s="153"/>
      <c r="R190" s="154"/>
      <c r="S190" s="155"/>
    </row>
    <row r="191" spans="1:19" ht="17.25" thickBot="1">
      <c r="A191" s="109" t="s">
        <v>207</v>
      </c>
      <c r="B191" s="110">
        <v>77.8</v>
      </c>
      <c r="C191" s="70">
        <v>-5.1219512199999997E-2</v>
      </c>
      <c r="D191" s="15">
        <v>83</v>
      </c>
      <c r="E191" s="32">
        <f t="shared" si="102"/>
        <v>6.6838046272493609E-2</v>
      </c>
      <c r="F191" s="18">
        <f>IF(ISNUMBER(D191), $B199 * E191, "")</f>
        <v>10025.706940874041</v>
      </c>
      <c r="G191" s="31">
        <v>82.8</v>
      </c>
      <c r="H191" s="32">
        <f t="shared" si="103"/>
        <v>6.4267352185089971E-2</v>
      </c>
      <c r="I191" s="91">
        <f>IF(ISNUMBER(G191), $B199 * H191, "")</f>
        <v>9640.102827763496</v>
      </c>
      <c r="J191" s="15">
        <v>86.7</v>
      </c>
      <c r="K191" s="32">
        <f t="shared" si="104"/>
        <v>0.11439588688946023</v>
      </c>
      <c r="L191" s="18">
        <f>IF(ISNUMBER(J191), $B199 * K191, "")</f>
        <v>17159.383033419035</v>
      </c>
      <c r="M191" s="31">
        <v>89.3</v>
      </c>
      <c r="N191" s="32">
        <f t="shared" si="105"/>
        <v>0.14781491002570696</v>
      </c>
      <c r="O191" s="18">
        <f>IF(ISNUMBER(M191), $B199 * N191, "")</f>
        <v>22172.236503856042</v>
      </c>
      <c r="Q191" s="146"/>
      <c r="R191" s="146"/>
      <c r="S191" s="146"/>
    </row>
    <row r="192" spans="1:19" ht="17.25" thickBot="1">
      <c r="A192" s="109" t="s">
        <v>68</v>
      </c>
      <c r="B192" s="110">
        <v>438</v>
      </c>
      <c r="C192" s="70">
        <v>-5.19480519E-2</v>
      </c>
      <c r="D192" s="15">
        <v>527</v>
      </c>
      <c r="E192" s="32">
        <f t="shared" si="102"/>
        <v>0.20319634703196346</v>
      </c>
      <c r="F192" s="18">
        <f>IF(ISNUMBER(D192), $B199 * E192, "")</f>
        <v>30479.452054794518</v>
      </c>
      <c r="G192" s="31">
        <v>500</v>
      </c>
      <c r="H192" s="32">
        <f t="shared" si="103"/>
        <v>0.14155251141552511</v>
      </c>
      <c r="I192" s="91">
        <f>IF(ISNUMBER(G192), $B199 * H192, "")</f>
        <v>21232.876712328765</v>
      </c>
      <c r="J192" s="15">
        <v>506</v>
      </c>
      <c r="K192" s="32">
        <f t="shared" si="104"/>
        <v>0.15525114155251141</v>
      </c>
      <c r="L192" s="18">
        <f>IF(ISNUMBER(J192), $B199 * K192, "")</f>
        <v>23287.67123287671</v>
      </c>
      <c r="M192" s="31">
        <v>522</v>
      </c>
      <c r="N192" s="32">
        <f t="shared" si="105"/>
        <v>0.19178082191780821</v>
      </c>
      <c r="O192" s="18">
        <f>IF(ISNUMBER(M192), $B199 * N192, "")</f>
        <v>28767.123287671231</v>
      </c>
      <c r="Q192" s="156"/>
      <c r="R192" s="156"/>
      <c r="S192" s="156"/>
    </row>
    <row r="193" spans="1:19" ht="17.25" thickBot="1">
      <c r="A193" s="111" t="s">
        <v>105</v>
      </c>
      <c r="B193" s="112">
        <v>239</v>
      </c>
      <c r="C193" s="71">
        <v>-5.5335968399999998E-2</v>
      </c>
      <c r="D193" s="20">
        <v>264</v>
      </c>
      <c r="E193" s="21">
        <f t="shared" si="102"/>
        <v>0.10460251046025104</v>
      </c>
      <c r="F193" s="22">
        <f>IF(ISNUMBER(D193), $B199 * E193, "")</f>
        <v>15690.376569037657</v>
      </c>
      <c r="G193" s="30">
        <v>256</v>
      </c>
      <c r="H193" s="21">
        <f t="shared" si="103"/>
        <v>7.1129707112970716E-2</v>
      </c>
      <c r="I193" s="95">
        <f>IF(ISNUMBER(G193), $B199 * H193, "")</f>
        <v>10669.456066945608</v>
      </c>
      <c r="J193" s="20">
        <v>260</v>
      </c>
      <c r="K193" s="21">
        <f t="shared" si="104"/>
        <v>8.7866108786610872E-2</v>
      </c>
      <c r="L193" s="22">
        <f>IF(ISNUMBER(J193), $B199 * K193, "")</f>
        <v>13179.91631799163</v>
      </c>
      <c r="M193" s="30">
        <v>271</v>
      </c>
      <c r="N193" s="21">
        <f t="shared" si="105"/>
        <v>0.13389121338912133</v>
      </c>
      <c r="O193" s="22">
        <f>IF(ISNUMBER(M193), $B199 * N193, "")</f>
        <v>20083.6820083682</v>
      </c>
      <c r="Q193" s="156"/>
      <c r="R193" s="156"/>
      <c r="S193" s="156"/>
    </row>
    <row r="194" spans="1:19" ht="17.25" thickBot="1">
      <c r="A194" s="109" t="s">
        <v>191</v>
      </c>
      <c r="B194" s="113">
        <v>72.599999999999994</v>
      </c>
      <c r="C194" s="73">
        <v>-5.83657588E-2</v>
      </c>
      <c r="D194" s="96">
        <v>77.8</v>
      </c>
      <c r="E194" s="97">
        <f>IF(ISNUMBER(D194), (D194 - $B194) / $B194, "")</f>
        <v>7.1625344352617124E-2</v>
      </c>
      <c r="F194" s="98">
        <f>IF(ISNUMBER(D194), $B199 * E194, "")</f>
        <v>10743.801652892569</v>
      </c>
      <c r="G194" s="99">
        <v>77.3</v>
      </c>
      <c r="H194" s="97">
        <f>IF(ISNUMBER(G194), (G194 - $B194) / $B194, "")</f>
        <v>6.4738292011019327E-2</v>
      </c>
      <c r="I194" s="100">
        <f>IF(ISNUMBER(G194), $B199 * H194, "")</f>
        <v>9710.7438016528995</v>
      </c>
      <c r="J194" s="96">
        <v>81.8</v>
      </c>
      <c r="K194" s="97">
        <f>IF(ISNUMBER(J194), (J194 - $B194) / $B194, "")</f>
        <v>0.12672176308539951</v>
      </c>
      <c r="L194" s="98">
        <f>IF(ISNUMBER(J194), $B199 * K194, "")</f>
        <v>19008.264462809926</v>
      </c>
      <c r="M194" s="99">
        <v>82.7</v>
      </c>
      <c r="N194" s="97">
        <f>IF(ISNUMBER(M194), (M194 - $B194) / $B194, "")</f>
        <v>0.13911845730027561</v>
      </c>
      <c r="O194" s="98">
        <f>IF(ISNUMBER(M194), $B199 * N194, "")</f>
        <v>20867.768595041343</v>
      </c>
      <c r="Q194" s="146"/>
      <c r="R194" s="146"/>
      <c r="S194" s="146"/>
    </row>
    <row r="195" spans="1:19" ht="17.25" thickBot="1">
      <c r="A195" s="109" t="s">
        <v>332</v>
      </c>
      <c r="B195" s="110">
        <v>7.14</v>
      </c>
      <c r="C195" s="70">
        <v>-6.42201835E-2</v>
      </c>
      <c r="D195" s="15">
        <v>7.61</v>
      </c>
      <c r="E195" s="32">
        <f t="shared" ref="E195:E198" si="106">IF(ISNUMBER(D195), (D195 - $B195) / $B195, "")</f>
        <v>6.5826330532212984E-2</v>
      </c>
      <c r="F195" s="18">
        <f>IF(ISNUMBER(D195), $B199 * E195, "")</f>
        <v>9873.9495798319476</v>
      </c>
      <c r="G195" s="31">
        <v>7.57</v>
      </c>
      <c r="H195" s="32">
        <f t="shared" ref="H195:H198" si="107">IF(ISNUMBER(G195), (G195 - $B195) / $B195, "")</f>
        <v>6.0224089635854426E-2</v>
      </c>
      <c r="I195" s="91">
        <f>IF(ISNUMBER(G195), $B199 * H195, "")</f>
        <v>9033.6134453781633</v>
      </c>
      <c r="J195" s="15">
        <v>7.69</v>
      </c>
      <c r="K195" s="32">
        <f t="shared" ref="K195:K198" si="108">IF(ISNUMBER(J195), (J195 - $B195) / $B195, "")</f>
        <v>7.7030812324930073E-2</v>
      </c>
      <c r="L195" s="18">
        <f>IF(ISNUMBER(J195), $B199 * K195, "")</f>
        <v>11554.621848739511</v>
      </c>
      <c r="M195" s="31">
        <v>7.93</v>
      </c>
      <c r="N195" s="32">
        <f t="shared" ref="N195:N198" si="109">IF(ISNUMBER(M195), (M195 - $B195) / $B195, "")</f>
        <v>0.11064425770308124</v>
      </c>
      <c r="O195" s="18">
        <f>IF(ISNUMBER(M195), $B199 * N195, "")</f>
        <v>16596.638655462186</v>
      </c>
      <c r="Q195" s="146"/>
      <c r="R195" s="146"/>
      <c r="S195" s="146"/>
    </row>
    <row r="196" spans="1:19" ht="17.25" thickBot="1">
      <c r="A196" s="109" t="s">
        <v>161</v>
      </c>
      <c r="B196" s="110">
        <v>772</v>
      </c>
      <c r="C196" s="70">
        <v>-6.5375302699999999E-2</v>
      </c>
      <c r="D196" s="15">
        <v>999</v>
      </c>
      <c r="E196" s="32">
        <f t="shared" si="106"/>
        <v>0.29404145077720206</v>
      </c>
      <c r="F196" s="18">
        <f>IF(ISNUMBER(D196), $B199 * E196, "")</f>
        <v>44106.21761658031</v>
      </c>
      <c r="G196" s="31">
        <v>946</v>
      </c>
      <c r="H196" s="32">
        <f t="shared" si="107"/>
        <v>0.22538860103626943</v>
      </c>
      <c r="I196" s="91">
        <f>IF(ISNUMBER(G196), $B199 * H196, "")</f>
        <v>33808.290155440416</v>
      </c>
      <c r="J196" s="15">
        <v>959</v>
      </c>
      <c r="K196" s="32">
        <f t="shared" si="108"/>
        <v>0.2422279792746114</v>
      </c>
      <c r="L196" s="18">
        <f>IF(ISNUMBER(J196), $B199 * K196, "")</f>
        <v>36334.196891191707</v>
      </c>
      <c r="M196" s="31">
        <v>1060</v>
      </c>
      <c r="N196" s="32">
        <f t="shared" si="109"/>
        <v>0.37305699481865284</v>
      </c>
      <c r="O196" s="18">
        <f>IF(ISNUMBER(M196), $B199 * N196, "")</f>
        <v>55958.549222797927</v>
      </c>
      <c r="Q196" s="146"/>
      <c r="R196" s="146"/>
      <c r="S196" s="146"/>
    </row>
    <row r="197" spans="1:19">
      <c r="A197" s="109" t="s">
        <v>340</v>
      </c>
      <c r="B197" s="110">
        <v>680</v>
      </c>
      <c r="C197" s="70">
        <v>-6.72153635E-2</v>
      </c>
      <c r="D197" s="15">
        <v>750</v>
      </c>
      <c r="E197" s="32">
        <f t="shared" si="106"/>
        <v>0.10294117647058823</v>
      </c>
      <c r="F197" s="18">
        <f>IF(ISNUMBER(D197), $B199 * E197, "")</f>
        <v>15441.176470588234</v>
      </c>
      <c r="G197" s="31">
        <v>729</v>
      </c>
      <c r="H197" s="32">
        <f t="shared" si="107"/>
        <v>7.2058823529411759E-2</v>
      </c>
      <c r="I197" s="91">
        <f>IF(ISNUMBER(G197), $B199 * H197, "")</f>
        <v>10808.823529411764</v>
      </c>
      <c r="J197" s="15">
        <v>738</v>
      </c>
      <c r="K197" s="32">
        <f t="shared" si="108"/>
        <v>8.5294117647058826E-2</v>
      </c>
      <c r="L197" s="18">
        <f>IF(ISNUMBER(J197), $B199 * K197, "")</f>
        <v>12794.117647058823</v>
      </c>
      <c r="M197" s="31">
        <v>774</v>
      </c>
      <c r="N197" s="32">
        <f t="shared" si="109"/>
        <v>0.13823529411764707</v>
      </c>
      <c r="O197" s="18">
        <f>IF(ISNUMBER(M197), $B199 * N197, "")</f>
        <v>20735.294117647059</v>
      </c>
      <c r="Q197" s="135"/>
      <c r="R197" s="136"/>
      <c r="S197" s="137"/>
    </row>
    <row r="198" spans="1:19" ht="17.25" thickBot="1">
      <c r="A198" s="114" t="s">
        <v>195</v>
      </c>
      <c r="B198" s="115">
        <v>7.37</v>
      </c>
      <c r="C198" s="72">
        <v>-7.0617906699999997E-2</v>
      </c>
      <c r="D198" s="24">
        <v>7.89</v>
      </c>
      <c r="E198" s="25">
        <f t="shared" si="106"/>
        <v>7.0556309362279454E-2</v>
      </c>
      <c r="F198" s="94">
        <f>IF(ISNUMBER(D198), $B199 * E198, "")</f>
        <v>10583.446404341918</v>
      </c>
      <c r="G198" s="92">
        <v>7.78</v>
      </c>
      <c r="H198" s="25">
        <f t="shared" si="107"/>
        <v>5.5630936227951171E-2</v>
      </c>
      <c r="I198" s="93">
        <f>IF(ISNUMBER(G198), $B199 * H198, "")</f>
        <v>8344.6404341926755</v>
      </c>
      <c r="J198" s="24">
        <v>7.92</v>
      </c>
      <c r="K198" s="25">
        <f t="shared" si="108"/>
        <v>7.4626865671641771E-2</v>
      </c>
      <c r="L198" s="94">
        <f>IF(ISNUMBER(J198), $B199 * K198, "")</f>
        <v>11194.029850746265</v>
      </c>
      <c r="M198" s="92">
        <v>8.1999999999999993</v>
      </c>
      <c r="N198" s="25">
        <f t="shared" si="109"/>
        <v>0.11261872455902296</v>
      </c>
      <c r="O198" s="94">
        <f>IF(ISNUMBER(M198), $B199 * N198, "")</f>
        <v>16892.808683853444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0.10677774394241235</v>
      </c>
      <c r="F199" s="28">
        <f>SUM(F179:F198)</f>
        <v>320333.23182723706</v>
      </c>
      <c r="G199" s="26" t="s">
        <v>258</v>
      </c>
      <c r="H199" s="27">
        <f>IF(COUNT(H179:H198), SUM(H179:H198) / COUNT(H179:H198), 0)</f>
        <v>8.3665672002829622E-2</v>
      </c>
      <c r="I199" s="28">
        <f>SUM(I179:I198)</f>
        <v>250997.01600848892</v>
      </c>
      <c r="J199" s="26" t="s">
        <v>258</v>
      </c>
      <c r="K199" s="27">
        <f>IF(COUNT(K179:K198), SUM(K179:K198) / COUNT(K179:K198), 0)</f>
        <v>0.11035352692744731</v>
      </c>
      <c r="L199" s="28">
        <f>SUM(L179:L198)</f>
        <v>331060.58078234183</v>
      </c>
      <c r="M199" s="26" t="s">
        <v>258</v>
      </c>
      <c r="N199" s="27">
        <f>IF(COUNT(N179:N198), SUM(N179:N198) / COUNT(N179:N198), 0)</f>
        <v>0.14787193637471391</v>
      </c>
      <c r="O199" s="28">
        <f>SUM(O179:O198)</f>
        <v>443615.8091241417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B462E-A56B-4AE1-970D-4379895E1509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44999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278,483 KRW (9.28%)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276,995 KRW (9.23%)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227,314 KRW (7.58%)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210,712 KRW (7.02%)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2023-03-14(화) 오전 00:00</v>
      </c>
      <c r="C15" s="196"/>
      <c r="D15" s="170" t="str">
        <f>TEXT($G$1, "[$-ko-KR]yyyy-mm-dd(ddd) ") &amp; "오후 14:00"</f>
        <v>2023-03-14(화) 오후 14:00</v>
      </c>
      <c r="E15" s="171"/>
      <c r="F15" s="172"/>
      <c r="G15" s="170" t="str">
        <f>TEXT($G$1, "[$-ko-KR]yyyy-mm-dd(ddd) ") &amp; "오후 19:00"</f>
        <v>2023-03-14(화) 오후 19:00</v>
      </c>
      <c r="H15" s="171"/>
      <c r="I15" s="172"/>
      <c r="J15" s="170" t="str">
        <f>TEXT($G$1, "[$-ko-KR]yyyy-mm-dd(ddd) ") &amp; "오후 21:00"</f>
        <v>2023-03-14(화) 오후 21:00</v>
      </c>
      <c r="K15" s="171"/>
      <c r="L15" s="172"/>
      <c r="M15" s="170" t="str">
        <f>TEXT($G$1+1, "[$-ko-KR]yyyy-mm-dd(ddd) ") &amp; "오전 00:00"</f>
        <v>2023-03-15(수)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2023-03-14(화) 오전 00:00</v>
      </c>
      <c r="C42" s="198"/>
      <c r="D42" s="170" t="str">
        <f>TEXT($G$1, "[$-ko-KR]yyyy-mm-dd(ddd) ") &amp; "오후 14:00"</f>
        <v>2023-03-14(화) 오후 14:00</v>
      </c>
      <c r="E42" s="171"/>
      <c r="F42" s="172"/>
      <c r="G42" s="170" t="str">
        <f>TEXT($G$1, "[$-ko-KR]yyyy-mm-dd(ddd) ") &amp; "오후 19:00"</f>
        <v>2023-03-14(화) 오후 19:00</v>
      </c>
      <c r="H42" s="171"/>
      <c r="I42" s="172"/>
      <c r="J42" s="170" t="str">
        <f>TEXT($G$1, "[$-ko-KR]yyyy-mm-dd(ddd) ") &amp; "오후 21:00"</f>
        <v>2023-03-14(화) 오후 21:00</v>
      </c>
      <c r="K42" s="171"/>
      <c r="L42" s="172"/>
      <c r="M42" s="170" t="str">
        <f>TEXT($G$1+1, "[$-ko-KR]yyyy-mm-dd(ddd) ") &amp; "오전 00:00"</f>
        <v>2023-03-15(수)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97</v>
      </c>
      <c r="B44" s="108">
        <v>8.9999999999999998E-4</v>
      </c>
      <c r="C44" s="69">
        <v>0.125</v>
      </c>
      <c r="D44" s="13">
        <v>8.9999999999999998E-4</v>
      </c>
      <c r="E44" s="14">
        <f>IF(ISNUMBER(D44), (D44 - $B44) / $B44, "")</f>
        <v>0</v>
      </c>
      <c r="F44" s="16">
        <f>IF(ISNUMBER(D44), $B64 * E44, "")</f>
        <v>0</v>
      </c>
      <c r="G44" s="29">
        <v>8.9999999999999998E-4</v>
      </c>
      <c r="H44" s="14">
        <f>IF(ISNUMBER(G44), (G44 - $B44) / $B44, "")</f>
        <v>0</v>
      </c>
      <c r="I44" s="90">
        <f>IF(ISNUMBER(G44), $B64 * H44, "")</f>
        <v>0</v>
      </c>
      <c r="J44" s="13">
        <v>8.9999999999999998E-4</v>
      </c>
      <c r="K44" s="14">
        <f>IF(ISNUMBER(J44), (J44 - $B44) / $B44, "")</f>
        <v>0</v>
      </c>
      <c r="L44" s="16">
        <f>IF(ISNUMBER(J44), $B64 * K44, "")</f>
        <v>0</v>
      </c>
      <c r="M44" s="29">
        <v>8.9999999999999998E-4</v>
      </c>
      <c r="N44" s="14">
        <f>IF(ISNUMBER(M44), (M44 - $B44) / $B44, "")</f>
        <v>0</v>
      </c>
      <c r="O44" s="16">
        <f>IF(ISNUMBER(M44), $B64 * N44, "")</f>
        <v>0</v>
      </c>
      <c r="Q44" s="156"/>
      <c r="R44" s="156"/>
      <c r="S44" s="156"/>
    </row>
    <row r="45" spans="1:19" ht="17.25" customHeight="1" thickBot="1">
      <c r="A45" s="109" t="s">
        <v>143</v>
      </c>
      <c r="B45" s="110">
        <v>5.78</v>
      </c>
      <c r="C45" s="70">
        <v>9.2627599199999994E-2</v>
      </c>
      <c r="D45" s="15">
        <v>6.43</v>
      </c>
      <c r="E45" s="32">
        <f t="shared" ref="E45:E48" si="14">IF(ISNUMBER(D45), (D45 - $B45) / $B45, "")</f>
        <v>0.1124567474048442</v>
      </c>
      <c r="F45" s="18">
        <f>IF(ISNUMBER(D45), $B64 * E45, "")</f>
        <v>16868.512110726628</v>
      </c>
      <c r="G45" s="31">
        <v>6.12</v>
      </c>
      <c r="H45" s="32">
        <f t="shared" ref="H45:H48" si="15">IF(ISNUMBER(G45), (G45 - $B45) / $B45, "")</f>
        <v>5.8823529411764677E-2</v>
      </c>
      <c r="I45" s="91">
        <f>IF(ISNUMBER(G45), $B64 * H45, "")</f>
        <v>8823.5294117647009</v>
      </c>
      <c r="J45" s="15">
        <v>6.27</v>
      </c>
      <c r="K45" s="32">
        <f t="shared" ref="K45:K48" si="16">IF(ISNUMBER(J45), (J45 - $B45) / $B45, "")</f>
        <v>8.4775086505190195E-2</v>
      </c>
      <c r="L45" s="18">
        <f>IF(ISNUMBER(J45), $B64 * K45, "")</f>
        <v>12716.262975778529</v>
      </c>
      <c r="M45" s="31">
        <v>6.42</v>
      </c>
      <c r="N45" s="32">
        <f t="shared" ref="N45:N48" si="17">IF(ISNUMBER(M45), (M45 - $B45) / $B45, "")</f>
        <v>0.11072664359861585</v>
      </c>
      <c r="O45" s="18">
        <f>IF(ISNUMBER(M45), $B64 * N45, "")</f>
        <v>16608.996539792377</v>
      </c>
      <c r="Q45" s="156"/>
      <c r="R45" s="156"/>
      <c r="S45" s="156"/>
    </row>
    <row r="46" spans="1:19" ht="17.25" customHeight="1" thickBot="1">
      <c r="A46" s="109" t="s">
        <v>185</v>
      </c>
      <c r="B46" s="110">
        <v>40.799999999999997</v>
      </c>
      <c r="C46" s="70">
        <v>6.8062827199999995E-2</v>
      </c>
      <c r="D46" s="15">
        <v>42.8</v>
      </c>
      <c r="E46" s="32">
        <f t="shared" si="14"/>
        <v>4.9019607843137261E-2</v>
      </c>
      <c r="F46" s="18">
        <f>IF(ISNUMBER(D46), $B64 * E46, "")</f>
        <v>7352.9411764705892</v>
      </c>
      <c r="G46" s="31">
        <v>40.9</v>
      </c>
      <c r="H46" s="32">
        <f t="shared" si="15"/>
        <v>2.4509803921568978E-3</v>
      </c>
      <c r="I46" s="91">
        <f>IF(ISNUMBER(G46), $B64 * H46, "")</f>
        <v>367.64705882353468</v>
      </c>
      <c r="J46" s="15">
        <v>41.6</v>
      </c>
      <c r="K46" s="32">
        <f t="shared" si="16"/>
        <v>1.9607843137255009E-2</v>
      </c>
      <c r="L46" s="18">
        <f>IF(ISNUMBER(J46), $B64 * K46, "")</f>
        <v>2941.1764705882515</v>
      </c>
      <c r="M46" s="31">
        <v>43.3</v>
      </c>
      <c r="N46" s="32">
        <f t="shared" si="17"/>
        <v>6.1274509803921573E-2</v>
      </c>
      <c r="O46" s="18">
        <f>IF(ISNUMBER(M46), $B64 * N46, "")</f>
        <v>9191.176470588236</v>
      </c>
      <c r="Q46" s="146"/>
      <c r="R46" s="146"/>
      <c r="S46" s="146"/>
    </row>
    <row r="47" spans="1:19" ht="17.25" customHeight="1" thickBot="1">
      <c r="A47" s="109" t="s">
        <v>138</v>
      </c>
      <c r="B47" s="110">
        <v>42.6</v>
      </c>
      <c r="C47" s="70">
        <v>6.2344139700000002E-2</v>
      </c>
      <c r="D47" s="15">
        <v>46.5</v>
      </c>
      <c r="E47" s="32">
        <f t="shared" si="14"/>
        <v>9.1549295774647849E-2</v>
      </c>
      <c r="F47" s="18">
        <f>IF(ISNUMBER(D47), $B64 * E47, "")</f>
        <v>13732.394366197177</v>
      </c>
      <c r="G47" s="31">
        <v>45.2</v>
      </c>
      <c r="H47" s="32">
        <f t="shared" si="15"/>
        <v>6.1032863849765293E-2</v>
      </c>
      <c r="I47" s="91">
        <f>IF(ISNUMBER(G47), $B64 * H47, "")</f>
        <v>9154.9295774647944</v>
      </c>
      <c r="J47" s="15">
        <v>45.5</v>
      </c>
      <c r="K47" s="32">
        <f t="shared" si="16"/>
        <v>6.8075117370891988E-2</v>
      </c>
      <c r="L47" s="18">
        <f>IF(ISNUMBER(J47), $B64 * K47, "")</f>
        <v>10211.267605633799</v>
      </c>
      <c r="M47" s="31">
        <v>47.5</v>
      </c>
      <c r="N47" s="32">
        <f t="shared" si="17"/>
        <v>0.11502347417840372</v>
      </c>
      <c r="O47" s="18">
        <f>IF(ISNUMBER(M47), $B64 * N47, "")</f>
        <v>17253.521126760559</v>
      </c>
      <c r="Q47" s="146"/>
      <c r="R47" s="146"/>
      <c r="S47" s="146"/>
    </row>
    <row r="48" spans="1:19" ht="17.25" customHeight="1" thickBot="1">
      <c r="A48" s="111" t="s">
        <v>207</v>
      </c>
      <c r="B48" s="112">
        <v>89.3</v>
      </c>
      <c r="C48" s="71">
        <v>6.05700713E-2</v>
      </c>
      <c r="D48" s="20">
        <v>99.9</v>
      </c>
      <c r="E48" s="21">
        <f t="shared" si="14"/>
        <v>0.1187010078387459</v>
      </c>
      <c r="F48" s="22">
        <f>IF(ISNUMBER(D48), $B64 * E48, "")</f>
        <v>17805.151175811887</v>
      </c>
      <c r="G48" s="30">
        <v>98</v>
      </c>
      <c r="H48" s="21">
        <f t="shared" si="15"/>
        <v>9.742441209406498E-2</v>
      </c>
      <c r="I48" s="95">
        <f>IF(ISNUMBER(G48), $B64 * H48, "")</f>
        <v>14613.661814109748</v>
      </c>
      <c r="J48" s="20">
        <v>98.7</v>
      </c>
      <c r="K48" s="21">
        <f t="shared" si="16"/>
        <v>0.10526315789473691</v>
      </c>
      <c r="L48" s="22">
        <f>IF(ISNUMBER(J48), $B64 * K48, "")</f>
        <v>15789.473684210536</v>
      </c>
      <c r="M48" s="30">
        <v>99.8</v>
      </c>
      <c r="N48" s="21">
        <f t="shared" si="17"/>
        <v>0.11758118701007839</v>
      </c>
      <c r="O48" s="22">
        <f>IF(ISNUMBER(M48), $B64 * N48, "")</f>
        <v>17637.178051511757</v>
      </c>
      <c r="Q48" s="146"/>
      <c r="R48" s="146"/>
      <c r="S48" s="146"/>
    </row>
    <row r="49" spans="1:19" ht="17.25" customHeight="1" thickBot="1">
      <c r="A49" s="109" t="s">
        <v>197</v>
      </c>
      <c r="B49" s="113">
        <v>11.3</v>
      </c>
      <c r="C49" s="73">
        <v>5.6074766400000003E-2</v>
      </c>
      <c r="D49" s="96">
        <v>12.3</v>
      </c>
      <c r="E49" s="97">
        <f>IF(ISNUMBER(D49), (D49 - $B49) / $B49, "")</f>
        <v>8.8495575221238937E-2</v>
      </c>
      <c r="F49" s="98">
        <f>IF(ISNUMBER(D49), $B64 * E49, "")</f>
        <v>13274.336283185841</v>
      </c>
      <c r="G49" s="99">
        <v>11.7</v>
      </c>
      <c r="H49" s="97">
        <f>IF(ISNUMBER(G49), (G49 - $B49) / $B49, "")</f>
        <v>3.539823008849545E-2</v>
      </c>
      <c r="I49" s="100">
        <f>IF(ISNUMBER(G49), $B64 * H49, "")</f>
        <v>5309.7345132743176</v>
      </c>
      <c r="J49" s="96">
        <v>11.9</v>
      </c>
      <c r="K49" s="97">
        <f>IF(ISNUMBER(J49), (J49 - $B49) / $B49, "")</f>
        <v>5.3097345132743327E-2</v>
      </c>
      <c r="L49" s="98">
        <f>IF(ISNUMBER(J49), $B64 * K49, "")</f>
        <v>7964.6017699114991</v>
      </c>
      <c r="M49" s="99">
        <v>12.4</v>
      </c>
      <c r="N49" s="97">
        <f>IF(ISNUMBER(M49), (M49 - $B49) / $B49, "")</f>
        <v>9.7345132743362789E-2</v>
      </c>
      <c r="O49" s="98">
        <f>IF(ISNUMBER(M49), $B64 * N49, "")</f>
        <v>14601.769911504418</v>
      </c>
      <c r="Q49" s="146"/>
      <c r="R49" s="146"/>
      <c r="S49" s="146"/>
    </row>
    <row r="50" spans="1:19" ht="17.25" customHeight="1" thickBot="1">
      <c r="A50" s="109" t="s">
        <v>237</v>
      </c>
      <c r="B50" s="110">
        <v>34.299999999999997</v>
      </c>
      <c r="C50" s="70">
        <v>4.8929663599999999E-2</v>
      </c>
      <c r="D50" s="15">
        <v>34.799999999999997</v>
      </c>
      <c r="E50" s="32">
        <f t="shared" ref="E50:E53" si="18">IF(ISNUMBER(D50), (D50 - $B50) / $B50, "")</f>
        <v>1.457725947521866E-2</v>
      </c>
      <c r="F50" s="18">
        <f>IF(ISNUMBER(D50), $B64 * E50, "")</f>
        <v>2186.5889212827992</v>
      </c>
      <c r="G50" s="31">
        <v>34</v>
      </c>
      <c r="H50" s="32">
        <f t="shared" ref="H50:H53" si="19">IF(ISNUMBER(G50), (G50 - $B50) / $B50, "")</f>
        <v>-8.7463556851311124E-3</v>
      </c>
      <c r="I50" s="91">
        <f>IF(ISNUMBER(G50), $B64 * H50, "")</f>
        <v>-1311.9533527696669</v>
      </c>
      <c r="J50" s="15">
        <v>34.4</v>
      </c>
      <c r="K50" s="32">
        <f t="shared" ref="K50:K53" si="20">IF(ISNUMBER(J50), (J50 - $B50) / $B50, "")</f>
        <v>2.9154518950437734E-3</v>
      </c>
      <c r="L50" s="18">
        <f>IF(ISNUMBER(J50), $B64 * K50, "")</f>
        <v>437.31778425656603</v>
      </c>
      <c r="M50" s="31">
        <v>35.799999999999997</v>
      </c>
      <c r="N50" s="32">
        <f t="shared" ref="N50:N53" si="21">IF(ISNUMBER(M50), (M50 - $B50) / $B50, "")</f>
        <v>4.3731778425655982E-2</v>
      </c>
      <c r="O50" s="18">
        <f>IF(ISNUMBER(M50), $B64 * N50, "")</f>
        <v>6559.7667638483972</v>
      </c>
      <c r="Q50" s="146"/>
      <c r="R50" s="146"/>
      <c r="S50" s="146"/>
    </row>
    <row r="51" spans="1:19" ht="17.25" customHeight="1" thickBot="1">
      <c r="A51" s="109" t="s">
        <v>191</v>
      </c>
      <c r="B51" s="110">
        <v>82.7</v>
      </c>
      <c r="C51" s="70">
        <v>4.4191919199999999E-2</v>
      </c>
      <c r="D51" s="15">
        <v>100</v>
      </c>
      <c r="E51" s="32">
        <f t="shared" si="18"/>
        <v>0.20918984280532038</v>
      </c>
      <c r="F51" s="18">
        <f>IF(ISNUMBER(D51), $B64 * E51, "")</f>
        <v>31378.476420798059</v>
      </c>
      <c r="G51" s="31">
        <v>96.3</v>
      </c>
      <c r="H51" s="32">
        <f t="shared" si="19"/>
        <v>0.1644498186215235</v>
      </c>
      <c r="I51" s="91">
        <f>IF(ISNUMBER(G51), $B64 * H51, "")</f>
        <v>24667.472793228524</v>
      </c>
      <c r="J51" s="15">
        <v>99.4</v>
      </c>
      <c r="K51" s="32">
        <f t="shared" si="20"/>
        <v>0.20193470374848854</v>
      </c>
      <c r="L51" s="18">
        <f>IF(ISNUMBER(J51), $B64 * K51, "")</f>
        <v>30290.205562273281</v>
      </c>
      <c r="M51" s="31">
        <v>99.8</v>
      </c>
      <c r="N51" s="32">
        <f t="shared" si="21"/>
        <v>0.20677146311970973</v>
      </c>
      <c r="O51" s="18">
        <f>IF(ISNUMBER(M51), $B64 * N51, "")</f>
        <v>31015.71946795646</v>
      </c>
      <c r="Q51" s="146"/>
      <c r="R51" s="146"/>
      <c r="S51" s="146"/>
    </row>
    <row r="52" spans="1:19" ht="17.25" customHeight="1" thickBot="1">
      <c r="A52" s="109" t="s">
        <v>227</v>
      </c>
      <c r="B52" s="110">
        <v>58.3</v>
      </c>
      <c r="C52" s="70">
        <v>4.1071428600000001E-2</v>
      </c>
      <c r="D52" s="15">
        <v>65.7</v>
      </c>
      <c r="E52" s="32">
        <f t="shared" si="18"/>
        <v>0.12692967409948552</v>
      </c>
      <c r="F52" s="18">
        <f>IF(ISNUMBER(D52), $B64 * E52, "")</f>
        <v>19039.451114922827</v>
      </c>
      <c r="G52" s="31">
        <v>63.6</v>
      </c>
      <c r="H52" s="32">
        <f t="shared" si="19"/>
        <v>9.0909090909090981E-2</v>
      </c>
      <c r="I52" s="91">
        <f>IF(ISNUMBER(G52), $B64 * H52, "")</f>
        <v>13636.363636363647</v>
      </c>
      <c r="J52" s="15">
        <v>64.400000000000006</v>
      </c>
      <c r="K52" s="32">
        <f t="shared" si="20"/>
        <v>0.10463121783876515</v>
      </c>
      <c r="L52" s="18">
        <f>IF(ISNUMBER(J52), $B64 * K52, "")</f>
        <v>15694.682675814773</v>
      </c>
      <c r="M52" s="31">
        <v>64.900000000000006</v>
      </c>
      <c r="N52" s="32">
        <f t="shared" si="21"/>
        <v>0.11320754716981148</v>
      </c>
      <c r="O52" s="18">
        <f>IF(ISNUMBER(M52), $B64 * N52, "")</f>
        <v>16981.13207547172</v>
      </c>
      <c r="Q52" s="33"/>
      <c r="R52" s="33"/>
    </row>
    <row r="53" spans="1:19" ht="17.25" customHeight="1" thickBot="1">
      <c r="A53" s="114" t="s">
        <v>334</v>
      </c>
      <c r="B53" s="115">
        <v>47.2</v>
      </c>
      <c r="C53" s="72">
        <v>3.9647577099999998E-2</v>
      </c>
      <c r="D53" s="24">
        <v>49.9</v>
      </c>
      <c r="E53" s="25">
        <f t="shared" si="18"/>
        <v>5.7203389830508378E-2</v>
      </c>
      <c r="F53" s="94">
        <f>IF(ISNUMBER(D53), $B64 * E53, "")</f>
        <v>8580.508474576256</v>
      </c>
      <c r="G53" s="92">
        <v>55.7</v>
      </c>
      <c r="H53" s="25">
        <f t="shared" si="19"/>
        <v>0.18008474576271186</v>
      </c>
      <c r="I53" s="93">
        <f>IF(ISNUMBER(G53), $B64 * H53, "")</f>
        <v>27012.711864406778</v>
      </c>
      <c r="J53" s="24">
        <v>57.2</v>
      </c>
      <c r="K53" s="25">
        <f t="shared" si="20"/>
        <v>0.21186440677966101</v>
      </c>
      <c r="L53" s="94">
        <f>IF(ISNUMBER(J53), $B64 * K53, "")</f>
        <v>31779.661016949151</v>
      </c>
      <c r="M53" s="92">
        <v>57.9</v>
      </c>
      <c r="N53" s="25">
        <f t="shared" si="21"/>
        <v>0.22669491525423718</v>
      </c>
      <c r="O53" s="94">
        <f>IF(ISNUMBER(M53), $B64 * N53, "")</f>
        <v>34004.237288135577</v>
      </c>
      <c r="Q53" s="147"/>
      <c r="R53" s="148"/>
      <c r="S53" s="149"/>
    </row>
    <row r="54" spans="1:19" ht="17.25" customHeight="1">
      <c r="A54" s="107" t="s">
        <v>64</v>
      </c>
      <c r="B54" s="108">
        <v>13.4</v>
      </c>
      <c r="C54" s="69">
        <v>3.8759689899999998E-2</v>
      </c>
      <c r="D54" s="13">
        <v>13.7</v>
      </c>
      <c r="E54" s="14">
        <f>IF(ISNUMBER(D54), (D54 - $B54) / $B54, "")</f>
        <v>2.2388059701492456E-2</v>
      </c>
      <c r="F54" s="16">
        <f>IF(ISNUMBER(D54), $B64 * E54, "")</f>
        <v>3358.2089552238685</v>
      </c>
      <c r="G54" s="29">
        <v>13.5</v>
      </c>
      <c r="H54" s="14">
        <f>IF(ISNUMBER(G54), (G54 - $B54) / $B54, "")</f>
        <v>7.4626865671641521E-3</v>
      </c>
      <c r="I54" s="90">
        <f>IF(ISNUMBER(G54), $B64 * H54, "")</f>
        <v>1119.4029850746228</v>
      </c>
      <c r="J54" s="13">
        <v>13.4</v>
      </c>
      <c r="K54" s="14">
        <f>IF(ISNUMBER(J54), (J54 - $B54) / $B54, "")</f>
        <v>0</v>
      </c>
      <c r="L54" s="16">
        <f>IF(ISNUMBER(J54), $B64 * K54, "")</f>
        <v>0</v>
      </c>
      <c r="M54" s="29">
        <v>14.3</v>
      </c>
      <c r="N54" s="14">
        <f>IF(ISNUMBER(M54), (M54 - $B54) / $B54, "")</f>
        <v>6.7164179104477639E-2</v>
      </c>
      <c r="O54" s="16">
        <f>IF(ISNUMBER(M54), $B64 * N54, "")</f>
        <v>10074.626865671646</v>
      </c>
      <c r="Q54" s="150"/>
      <c r="R54" s="151"/>
      <c r="S54" s="152"/>
    </row>
    <row r="55" spans="1:19" ht="17.25" customHeight="1" thickBot="1">
      <c r="A55" s="109" t="s">
        <v>145</v>
      </c>
      <c r="B55" s="110">
        <v>88.9</v>
      </c>
      <c r="C55" s="70">
        <v>3.7339556599999997E-2</v>
      </c>
      <c r="D55" s="15">
        <v>88.4</v>
      </c>
      <c r="E55" s="32">
        <f t="shared" ref="E55:E58" si="22">IF(ISNUMBER(D55), (D55 - $B55) / $B55, "")</f>
        <v>-5.6242969628796397E-3</v>
      </c>
      <c r="F55" s="18">
        <f>IF(ISNUMBER(D55), $B64 * E55, "")</f>
        <v>-843.64454443194597</v>
      </c>
      <c r="G55" s="31">
        <v>86.9</v>
      </c>
      <c r="H55" s="32">
        <f t="shared" ref="H55:H58" si="23">IF(ISNUMBER(G55), (G55 - $B55) / $B55, "")</f>
        <v>-2.2497187851518559E-2</v>
      </c>
      <c r="I55" s="91">
        <f>IF(ISNUMBER(G55), $B64 * H55, "")</f>
        <v>-3374.5781777277839</v>
      </c>
      <c r="J55" s="15">
        <v>87.5</v>
      </c>
      <c r="K55" s="32">
        <f t="shared" ref="K55:K58" si="24">IF(ISNUMBER(J55), (J55 - $B55) / $B55, "")</f>
        <v>-1.5748031496063054E-2</v>
      </c>
      <c r="L55" s="18">
        <f>IF(ISNUMBER(J55), $B64 * K55, "")</f>
        <v>-2362.2047244094583</v>
      </c>
      <c r="M55" s="31">
        <v>89.4</v>
      </c>
      <c r="N55" s="32">
        <f t="shared" ref="N55:N58" si="25">IF(ISNUMBER(M55), (M55 - $B55) / $B55, "")</f>
        <v>5.6242969628796397E-3</v>
      </c>
      <c r="O55" s="18">
        <f>IF(ISNUMBER(M55), $B64 * N55, "")</f>
        <v>843.64454443194597</v>
      </c>
      <c r="Q55" s="153"/>
      <c r="R55" s="154"/>
      <c r="S55" s="155"/>
    </row>
    <row r="56" spans="1:19" ht="17.25" customHeight="1" thickBot="1">
      <c r="A56" s="109" t="s">
        <v>203</v>
      </c>
      <c r="B56" s="110">
        <v>4.21</v>
      </c>
      <c r="C56" s="70">
        <v>3.6945812799999998E-2</v>
      </c>
      <c r="D56" s="15">
        <v>4.3899999999999997</v>
      </c>
      <c r="E56" s="32">
        <f t="shared" si="22"/>
        <v>4.2755344418052191E-2</v>
      </c>
      <c r="F56" s="18">
        <f>IF(ISNUMBER(D56), $B64 * E56, "")</f>
        <v>6413.3016627078287</v>
      </c>
      <c r="G56" s="31">
        <v>4.22</v>
      </c>
      <c r="H56" s="32">
        <f t="shared" si="23"/>
        <v>2.3752969121139636E-3</v>
      </c>
      <c r="I56" s="91">
        <f>IF(ISNUMBER(G56), $B64 * H56, "")</f>
        <v>356.29453681709452</v>
      </c>
      <c r="J56" s="15">
        <v>4.28</v>
      </c>
      <c r="K56" s="32">
        <f t="shared" si="24"/>
        <v>1.6627078384798169E-2</v>
      </c>
      <c r="L56" s="18">
        <f>IF(ISNUMBER(J56), $B64 * K56, "")</f>
        <v>2494.0617577197254</v>
      </c>
      <c r="M56" s="31">
        <v>4.5</v>
      </c>
      <c r="N56" s="32">
        <f t="shared" si="25"/>
        <v>6.8883610451306421E-2</v>
      </c>
      <c r="O56" s="18">
        <f>IF(ISNUMBER(M56), $B64 * N56, "")</f>
        <v>10332.541567695964</v>
      </c>
      <c r="Q56" s="146"/>
      <c r="R56" s="146"/>
      <c r="S56" s="146"/>
    </row>
    <row r="57" spans="1:19" ht="17.25" customHeight="1" thickBot="1">
      <c r="A57" s="109" t="s">
        <v>141</v>
      </c>
      <c r="B57" s="110">
        <v>5</v>
      </c>
      <c r="C57" s="70">
        <v>3.5196687400000003E-2</v>
      </c>
      <c r="D57" s="15">
        <v>5.25</v>
      </c>
      <c r="E57" s="32">
        <f t="shared" si="22"/>
        <v>0.05</v>
      </c>
      <c r="F57" s="18">
        <f>IF(ISNUMBER(D57), $B64 * E57, "")</f>
        <v>7500</v>
      </c>
      <c r="G57" s="31">
        <v>5.09</v>
      </c>
      <c r="H57" s="32">
        <f t="shared" si="23"/>
        <v>1.7999999999999971E-2</v>
      </c>
      <c r="I57" s="91">
        <f>IF(ISNUMBER(G57), $B64 * H57, "")</f>
        <v>2699.9999999999955</v>
      </c>
      <c r="J57" s="15">
        <v>5.18</v>
      </c>
      <c r="K57" s="32">
        <f t="shared" si="24"/>
        <v>3.5999999999999942E-2</v>
      </c>
      <c r="L57" s="18">
        <f>IF(ISNUMBER(J57), $B64 * K57, "")</f>
        <v>5399.9999999999909</v>
      </c>
      <c r="M57" s="31">
        <v>5.45</v>
      </c>
      <c r="N57" s="32">
        <f t="shared" si="25"/>
        <v>9.0000000000000038E-2</v>
      </c>
      <c r="O57" s="18">
        <f>IF(ISNUMBER(M57), $B64 * N57, "")</f>
        <v>13500.000000000005</v>
      </c>
      <c r="Q57" s="156"/>
      <c r="R57" s="156"/>
      <c r="S57" s="156"/>
    </row>
    <row r="58" spans="1:19" ht="17.25" customHeight="1" thickBot="1">
      <c r="A58" s="111" t="s">
        <v>122</v>
      </c>
      <c r="B58" s="112">
        <v>30.3</v>
      </c>
      <c r="C58" s="71">
        <v>3.41296928E-2</v>
      </c>
      <c r="D58" s="20">
        <v>30.9</v>
      </c>
      <c r="E58" s="21">
        <f t="shared" si="22"/>
        <v>1.9801980198019733E-2</v>
      </c>
      <c r="F58" s="22">
        <f>IF(ISNUMBER(D58), $B64 * E58, "")</f>
        <v>2970.2970297029601</v>
      </c>
      <c r="G58" s="30">
        <v>30.2</v>
      </c>
      <c r="H58" s="21">
        <f t="shared" si="23"/>
        <v>-3.3003300330033472E-3</v>
      </c>
      <c r="I58" s="95">
        <f>IF(ISNUMBER(G58), $B64 * H58, "")</f>
        <v>-495.04950495050207</v>
      </c>
      <c r="J58" s="20">
        <v>30.4</v>
      </c>
      <c r="K58" s="21">
        <f t="shared" si="24"/>
        <v>3.3003300330032301E-3</v>
      </c>
      <c r="L58" s="22">
        <f>IF(ISNUMBER(J58), $B64 * K58, "")</f>
        <v>495.0495049504845</v>
      </c>
      <c r="M58" s="30">
        <v>32.299999999999997</v>
      </c>
      <c r="N58" s="21">
        <f t="shared" si="25"/>
        <v>6.6006600660065889E-2</v>
      </c>
      <c r="O58" s="22">
        <f>IF(ISNUMBER(M58), $B64 * N58, "")</f>
        <v>9900.9900990098831</v>
      </c>
      <c r="Q58" s="156"/>
      <c r="R58" s="156"/>
      <c r="S58" s="156"/>
    </row>
    <row r="59" spans="1:19" ht="17.25" customHeight="1" thickBot="1">
      <c r="A59" s="109" t="s">
        <v>71</v>
      </c>
      <c r="B59" s="113">
        <v>13.2</v>
      </c>
      <c r="C59" s="73">
        <v>3.125E-2</v>
      </c>
      <c r="D59" s="96">
        <v>13.9</v>
      </c>
      <c r="E59" s="97">
        <f>IF(ISNUMBER(D59), (D59 - $B59) / $B59, "")</f>
        <v>5.3030303030303115E-2</v>
      </c>
      <c r="F59" s="98">
        <f>IF(ISNUMBER(D59), $B64 * E59, "")</f>
        <v>7954.5454545454677</v>
      </c>
      <c r="G59" s="99">
        <v>13.4</v>
      </c>
      <c r="H59" s="97">
        <f>IF(ISNUMBER(G59), (G59 - $B59) / $B59, "")</f>
        <v>1.5151515151515233E-2</v>
      </c>
      <c r="I59" s="100">
        <f>IF(ISNUMBER(G59), $B64 * H59, "")</f>
        <v>2272.7272727272848</v>
      </c>
      <c r="J59" s="96">
        <v>13.6</v>
      </c>
      <c r="K59" s="97">
        <f>IF(ISNUMBER(J59), (J59 - $B59) / $B59, "")</f>
        <v>3.0303030303030332E-2</v>
      </c>
      <c r="L59" s="98">
        <f>IF(ISNUMBER(J59), $B64 * K59, "")</f>
        <v>4545.4545454545496</v>
      </c>
      <c r="M59" s="99">
        <v>14.5</v>
      </c>
      <c r="N59" s="97">
        <f>IF(ISNUMBER(M59), (M59 - $B59) / $B59, "")</f>
        <v>9.848484848484855E-2</v>
      </c>
      <c r="O59" s="98">
        <f>IF(ISNUMBER(M59), $B64 * N59, "")</f>
        <v>14772.727272727283</v>
      </c>
      <c r="Q59" s="146"/>
      <c r="R59" s="146"/>
      <c r="S59" s="146"/>
    </row>
    <row r="60" spans="1:19" ht="17.25" customHeight="1" thickBot="1">
      <c r="A60" s="109" t="s">
        <v>126</v>
      </c>
      <c r="B60" s="110">
        <v>33.4</v>
      </c>
      <c r="C60" s="70">
        <v>3.0864197499999999E-2</v>
      </c>
      <c r="D60" s="15">
        <v>35</v>
      </c>
      <c r="E60" s="32">
        <f t="shared" ref="E60:E63" si="26">IF(ISNUMBER(D60), (D60 - $B60) / $B60, "")</f>
        <v>4.7904191616766512E-2</v>
      </c>
      <c r="F60" s="18">
        <f>IF(ISNUMBER(D60), $B64 * E60, "")</f>
        <v>7185.6287425149767</v>
      </c>
      <c r="G60" s="31">
        <v>34.299999999999997</v>
      </c>
      <c r="H60" s="32">
        <f t="shared" ref="H60:H63" si="27">IF(ISNUMBER(G60), (G60 - $B60) / $B60, "")</f>
        <v>2.6946107784431097E-2</v>
      </c>
      <c r="I60" s="91">
        <f>IF(ISNUMBER(G60), $B64 * H60, "")</f>
        <v>4041.9161676646645</v>
      </c>
      <c r="J60" s="15">
        <v>34.9</v>
      </c>
      <c r="K60" s="32">
        <f t="shared" ref="K60:K63" si="28">IF(ISNUMBER(J60), (J60 - $B60) / $B60, "")</f>
        <v>4.4910179640718563E-2</v>
      </c>
      <c r="L60" s="18">
        <f>IF(ISNUMBER(J60), $B64 * K60, "")</f>
        <v>6736.5269461077842</v>
      </c>
      <c r="M60" s="31">
        <v>38</v>
      </c>
      <c r="N60" s="32">
        <f t="shared" ref="N60:N63" si="29">IF(ISNUMBER(M60), (M60 - $B60) / $B60, "")</f>
        <v>0.13772455089820365</v>
      </c>
      <c r="O60" s="18">
        <f>IF(ISNUMBER(M60), $B64 * N60, "")</f>
        <v>20658.682634730547</v>
      </c>
      <c r="Q60" s="146"/>
      <c r="R60" s="146"/>
      <c r="S60" s="146"/>
    </row>
    <row r="61" spans="1:19" ht="17.25" customHeight="1" thickBot="1">
      <c r="A61" s="109" t="s">
        <v>155</v>
      </c>
      <c r="B61" s="110">
        <v>33.6</v>
      </c>
      <c r="C61" s="70">
        <v>3.06748466E-2</v>
      </c>
      <c r="D61" s="15">
        <v>35</v>
      </c>
      <c r="E61" s="32">
        <f t="shared" si="26"/>
        <v>4.1666666666666623E-2</v>
      </c>
      <c r="F61" s="18">
        <f>IF(ISNUMBER(D61), $B64 * E61, "")</f>
        <v>6249.9999999999936</v>
      </c>
      <c r="G61" s="31">
        <v>34</v>
      </c>
      <c r="H61" s="32">
        <f t="shared" si="27"/>
        <v>1.1904761904761862E-2</v>
      </c>
      <c r="I61" s="91">
        <f>IF(ISNUMBER(G61), $B64 * H61, "")</f>
        <v>1785.7142857142794</v>
      </c>
      <c r="J61" s="15">
        <v>34.5</v>
      </c>
      <c r="K61" s="32">
        <f t="shared" si="28"/>
        <v>2.6785714285714243E-2</v>
      </c>
      <c r="L61" s="18">
        <f>IF(ISNUMBER(J61), $B64 * K61, "")</f>
        <v>4017.8571428571363</v>
      </c>
      <c r="M61" s="31">
        <v>35.700000000000003</v>
      </c>
      <c r="N61" s="32">
        <f t="shared" si="29"/>
        <v>6.2500000000000042E-2</v>
      </c>
      <c r="O61" s="18">
        <f>IF(ISNUMBER(M61), $B64 * N61, "")</f>
        <v>9375.0000000000055</v>
      </c>
      <c r="Q61" s="146"/>
      <c r="R61" s="146"/>
      <c r="S61" s="146"/>
    </row>
    <row r="62" spans="1:19" ht="17.25" customHeight="1">
      <c r="A62" s="109" t="s">
        <v>338</v>
      </c>
      <c r="B62" s="110">
        <v>3.9300000000000002E-2</v>
      </c>
      <c r="C62" s="70">
        <v>2.8795811500000001E-2</v>
      </c>
      <c r="D62" s="15">
        <v>4.1200000000000001E-2</v>
      </c>
      <c r="E62" s="32">
        <f t="shared" si="26"/>
        <v>4.8346055979643733E-2</v>
      </c>
      <c r="F62" s="18">
        <f>IF(ISNUMBER(D62), $B64 * E62, "")</f>
        <v>7251.9083969465601</v>
      </c>
      <c r="G62" s="31">
        <v>3.9699999999999999E-2</v>
      </c>
      <c r="H62" s="32">
        <f t="shared" si="27"/>
        <v>1.0178117048345994E-2</v>
      </c>
      <c r="I62" s="91">
        <f>IF(ISNUMBER(G62), $B64 * H62, "")</f>
        <v>1526.7175572518991</v>
      </c>
      <c r="J62" s="15">
        <v>4.0099999999999997E-2</v>
      </c>
      <c r="K62" s="32">
        <f t="shared" si="28"/>
        <v>2.0356234096691989E-2</v>
      </c>
      <c r="L62" s="18">
        <f>IF(ISNUMBER(J62), $B64 * K62, "")</f>
        <v>3053.4351145037981</v>
      </c>
      <c r="M62" s="31">
        <v>4.2200000000000001E-2</v>
      </c>
      <c r="N62" s="32">
        <f t="shared" si="29"/>
        <v>7.3791348600508899E-2</v>
      </c>
      <c r="O62" s="18">
        <f>IF(ISNUMBER(M62), $B64 * N62, "")</f>
        <v>11068.702290076335</v>
      </c>
      <c r="Q62" s="135"/>
      <c r="R62" s="136"/>
      <c r="S62" s="137"/>
    </row>
    <row r="63" spans="1:19" ht="17.25" customHeight="1" thickBot="1">
      <c r="A63" s="114" t="s">
        <v>118</v>
      </c>
      <c r="B63" s="115">
        <v>7.61</v>
      </c>
      <c r="C63" s="72">
        <v>2.6990553300000001E-2</v>
      </c>
      <c r="D63" s="24">
        <v>7.97</v>
      </c>
      <c r="E63" s="25">
        <f t="shared" si="26"/>
        <v>4.7306176084099795E-2</v>
      </c>
      <c r="F63" s="94">
        <f>IF(ISNUMBER(D63), $B64 * E63, "")</f>
        <v>7095.9264126149692</v>
      </c>
      <c r="G63" s="92">
        <v>7.68</v>
      </c>
      <c r="H63" s="25">
        <f t="shared" si="27"/>
        <v>9.1984231274637833E-3</v>
      </c>
      <c r="I63" s="93">
        <f>IF(ISNUMBER(G63), $B64 * H63, "")</f>
        <v>1379.7634691195674</v>
      </c>
      <c r="J63" s="24">
        <v>7.82</v>
      </c>
      <c r="K63" s="25">
        <f t="shared" si="28"/>
        <v>2.7595269382391586E-2</v>
      </c>
      <c r="L63" s="94">
        <f>IF(ISNUMBER(J63), $B64 * K63, "")</f>
        <v>4139.2904073587379</v>
      </c>
      <c r="M63" s="92">
        <v>8.25</v>
      </c>
      <c r="N63" s="25">
        <f t="shared" si="29"/>
        <v>8.4099868593955282E-2</v>
      </c>
      <c r="O63" s="94">
        <f>IF(ISNUMBER(M63), $B64 * N63, "")</f>
        <v>12614.980289093292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6.1784844051265587E-2</v>
      </c>
      <c r="F64" s="28">
        <f>SUM(F44:F63)</f>
        <v>185354.53215379675</v>
      </c>
      <c r="G64" s="26" t="s">
        <v>258</v>
      </c>
      <c r="H64" s="27">
        <f>IF(COUNT(H44:H63), SUM(H44:H63) / COUNT(H44:H63), 0)</f>
        <v>3.7862335302785835E-2</v>
      </c>
      <c r="I64" s="28">
        <f>SUM(I44:I63)</f>
        <v>113587.0059083575</v>
      </c>
      <c r="J64" s="26" t="s">
        <v>258</v>
      </c>
      <c r="K64" s="27">
        <f>IF(COUNT(K44:K63), SUM(K44:K63) / COUNT(K44:K63), 0)</f>
        <v>5.2114706746653042E-2</v>
      </c>
      <c r="L64" s="28">
        <f>SUM(L44:L63)</f>
        <v>156344.12023995916</v>
      </c>
      <c r="M64" s="26" t="s">
        <v>258</v>
      </c>
      <c r="N64" s="27">
        <f>IF(COUNT(N44:N63), SUM(N44:N63) / COUNT(N44:N63), 0)</f>
        <v>9.2331797753002154E-2</v>
      </c>
      <c r="O64" s="28">
        <f>SUM(O44:O63)</f>
        <v>276995.39325900644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2023-03-14(화) 오전 00:00</v>
      </c>
      <c r="C69" s="198"/>
      <c r="D69" s="170" t="str">
        <f>TEXT($G$1, "[$-ko-KR]yyyy-mm-dd(ddd) ") &amp; "오후 14:00"</f>
        <v>2023-03-14(화) 오후 14:00</v>
      </c>
      <c r="E69" s="171"/>
      <c r="F69" s="172"/>
      <c r="G69" s="170" t="str">
        <f>TEXT($G$1, "[$-ko-KR]yyyy-mm-dd(ddd) ") &amp; "오후 19:00"</f>
        <v>2023-03-14(화) 오후 19:00</v>
      </c>
      <c r="H69" s="171"/>
      <c r="I69" s="172"/>
      <c r="J69" s="170" t="str">
        <f>TEXT($G$1, "[$-ko-KR]yyyy-mm-dd(ddd) ") &amp; "오후 21:00"</f>
        <v>2023-03-14(화) 오후 21:00</v>
      </c>
      <c r="K69" s="171"/>
      <c r="L69" s="172"/>
      <c r="M69" s="170" t="str">
        <f>TEXT($G$1+1, "[$-ko-KR]yyyy-mm-dd(ddd) ") &amp; "오전 00:00"</f>
        <v>2023-03-15(수)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225</v>
      </c>
      <c r="B71" s="108">
        <v>100</v>
      </c>
      <c r="C71" s="69">
        <v>0.22249388749999999</v>
      </c>
      <c r="D71" s="13">
        <v>147</v>
      </c>
      <c r="E71" s="14">
        <f>IF(ISNUMBER(D71), (D71 - $B71) / $B71, "")</f>
        <v>0.47</v>
      </c>
      <c r="F71" s="16">
        <f>IF(ISNUMBER(D71), $B91 * E71, "")</f>
        <v>70500</v>
      </c>
      <c r="G71" s="29">
        <v>107</v>
      </c>
      <c r="H71" s="14">
        <f>IF(ISNUMBER(G71), (G71 - $B71) / $B71, "")</f>
        <v>7.0000000000000007E-2</v>
      </c>
      <c r="I71" s="90">
        <f>IF(ISNUMBER(G71), $B91 * H71, "")</f>
        <v>10500.000000000002</v>
      </c>
      <c r="J71" s="13">
        <v>103</v>
      </c>
      <c r="K71" s="14">
        <f>IF(ISNUMBER(J71), (J71 - $B71) / $B71, "")</f>
        <v>0.03</v>
      </c>
      <c r="L71" s="16">
        <f>IF(ISNUMBER(J71), $B91 * K71, "")</f>
        <v>4500</v>
      </c>
      <c r="M71" s="29">
        <v>106</v>
      </c>
      <c r="N71" s="14">
        <f>IF(ISNUMBER(M71), (M71 - $B71) / $B71, "")</f>
        <v>0.06</v>
      </c>
      <c r="O71" s="16">
        <f>IF(ISNUMBER(M71), $B91 * N71, "")</f>
        <v>9000</v>
      </c>
      <c r="Q71" s="156"/>
      <c r="R71" s="156"/>
      <c r="S71" s="156"/>
    </row>
    <row r="72" spans="1:19" ht="17.25" thickBot="1">
      <c r="A72" s="109" t="s">
        <v>68</v>
      </c>
      <c r="B72" s="110">
        <v>522</v>
      </c>
      <c r="C72" s="70">
        <v>6.3136456199999996E-2</v>
      </c>
      <c r="D72" s="15">
        <v>566</v>
      </c>
      <c r="E72" s="32">
        <f t="shared" ref="E72:E75" si="30">IF(ISNUMBER(D72), (D72 - $B72) / $B72, "")</f>
        <v>8.4291187739463605E-2</v>
      </c>
      <c r="F72" s="18">
        <f>IF(ISNUMBER(D72), $B91 * E72, "")</f>
        <v>12643.67816091954</v>
      </c>
      <c r="G72" s="31">
        <v>546</v>
      </c>
      <c r="H72" s="32">
        <f t="shared" ref="H72:H75" si="31">IF(ISNUMBER(G72), (G72 - $B72) / $B72, "")</f>
        <v>4.5977011494252873E-2</v>
      </c>
      <c r="I72" s="91">
        <f>IF(ISNUMBER(G72), $B91 * H72, "")</f>
        <v>6896.5517241379312</v>
      </c>
      <c r="J72" s="15">
        <v>548</v>
      </c>
      <c r="K72" s="32">
        <f t="shared" ref="K72:K75" si="32">IF(ISNUMBER(J72), (J72 - $B72) / $B72, "")</f>
        <v>4.9808429118773943E-2</v>
      </c>
      <c r="L72" s="18">
        <f>IF(ISNUMBER(J72), $B91 * K72, "")</f>
        <v>7471.2643678160912</v>
      </c>
      <c r="M72" s="31">
        <v>584</v>
      </c>
      <c r="N72" s="32">
        <f t="shared" ref="N72:N75" si="33">IF(ISNUMBER(M72), (M72 - $B72) / $B72, "")</f>
        <v>0.11877394636015326</v>
      </c>
      <c r="O72" s="18">
        <f>IF(ISNUMBER(M72), $B91 * N72, "")</f>
        <v>17816.091954022988</v>
      </c>
      <c r="Q72" s="156"/>
      <c r="R72" s="156"/>
      <c r="S72" s="156"/>
    </row>
    <row r="73" spans="1:19" ht="17.25" thickBot="1">
      <c r="A73" s="109" t="s">
        <v>183</v>
      </c>
      <c r="B73" s="110">
        <v>155</v>
      </c>
      <c r="C73" s="70">
        <v>4.7297297299999999E-2</v>
      </c>
      <c r="D73" s="15">
        <v>166</v>
      </c>
      <c r="E73" s="32">
        <f t="shared" si="30"/>
        <v>7.0967741935483872E-2</v>
      </c>
      <c r="F73" s="18">
        <f>IF(ISNUMBER(D73), $B91 * E73, "")</f>
        <v>10645.161290322581</v>
      </c>
      <c r="G73" s="31">
        <v>162</v>
      </c>
      <c r="H73" s="32">
        <f t="shared" si="31"/>
        <v>4.5161290322580643E-2</v>
      </c>
      <c r="I73" s="91">
        <f>IF(ISNUMBER(G73), $B91 * H73, "")</f>
        <v>6774.1935483870966</v>
      </c>
      <c r="J73" s="15">
        <v>163</v>
      </c>
      <c r="K73" s="32">
        <f t="shared" si="32"/>
        <v>5.1612903225806452E-2</v>
      </c>
      <c r="L73" s="18">
        <f>IF(ISNUMBER(J73), $B91 * K73, "")</f>
        <v>7741.9354838709678</v>
      </c>
      <c r="M73" s="31">
        <v>169</v>
      </c>
      <c r="N73" s="32">
        <f t="shared" si="33"/>
        <v>9.0322580645161285E-2</v>
      </c>
      <c r="O73" s="18">
        <f>IF(ISNUMBER(M73), $B91 * N73, "")</f>
        <v>13548.387096774193</v>
      </c>
      <c r="Q73" s="146"/>
      <c r="R73" s="146"/>
      <c r="S73" s="146"/>
    </row>
    <row r="74" spans="1:19" ht="17.25" thickBot="1">
      <c r="A74" s="109" t="s">
        <v>120</v>
      </c>
      <c r="B74" s="110">
        <v>133</v>
      </c>
      <c r="C74" s="70">
        <v>4.72440945E-2</v>
      </c>
      <c r="D74" s="15">
        <v>141</v>
      </c>
      <c r="E74" s="32">
        <f t="shared" si="30"/>
        <v>6.0150375939849621E-2</v>
      </c>
      <c r="F74" s="18">
        <f>IF(ISNUMBER(D74), $B91 * E74, "")</f>
        <v>9022.5563909774428</v>
      </c>
      <c r="G74" s="31">
        <v>136</v>
      </c>
      <c r="H74" s="32">
        <f t="shared" si="31"/>
        <v>2.2556390977443608E-2</v>
      </c>
      <c r="I74" s="91">
        <f>IF(ISNUMBER(G74), $B91 * H74, "")</f>
        <v>3383.458646616541</v>
      </c>
      <c r="J74" s="15">
        <v>139</v>
      </c>
      <c r="K74" s="32">
        <f t="shared" si="32"/>
        <v>4.5112781954887216E-2</v>
      </c>
      <c r="L74" s="18">
        <f>IF(ISNUMBER(J74), $B91 * K74, "")</f>
        <v>6766.9172932330821</v>
      </c>
      <c r="M74" s="31">
        <v>146</v>
      </c>
      <c r="N74" s="32">
        <f t="shared" si="33"/>
        <v>9.7744360902255634E-2</v>
      </c>
      <c r="O74" s="18">
        <f>IF(ISNUMBER(M74), $B91 * N74, "")</f>
        <v>14661.654135338345</v>
      </c>
      <c r="Q74" s="146"/>
      <c r="R74" s="146"/>
      <c r="S74" s="146"/>
    </row>
    <row r="75" spans="1:19" ht="17.25" thickBot="1">
      <c r="A75" s="111" t="s">
        <v>81</v>
      </c>
      <c r="B75" s="112">
        <v>456</v>
      </c>
      <c r="C75" s="71">
        <v>4.1095890400000001E-2</v>
      </c>
      <c r="D75" s="20">
        <v>453</v>
      </c>
      <c r="E75" s="21">
        <f t="shared" si="30"/>
        <v>-6.5789473684210523E-3</v>
      </c>
      <c r="F75" s="22">
        <f>IF(ISNUMBER(D75), $B91 * E75, "")</f>
        <v>-986.8421052631578</v>
      </c>
      <c r="G75" s="30">
        <v>447</v>
      </c>
      <c r="H75" s="21">
        <f t="shared" si="31"/>
        <v>-1.9736842105263157E-2</v>
      </c>
      <c r="I75" s="95">
        <f>IF(ISNUMBER(G75), $B91 * H75, "")</f>
        <v>-2960.5263157894733</v>
      </c>
      <c r="J75" s="20">
        <v>450</v>
      </c>
      <c r="K75" s="21">
        <f t="shared" si="32"/>
        <v>-1.3157894736842105E-2</v>
      </c>
      <c r="L75" s="22">
        <f>IF(ISNUMBER(J75), $B91 * K75, "")</f>
        <v>-1973.6842105263156</v>
      </c>
      <c r="M75" s="30">
        <v>477</v>
      </c>
      <c r="N75" s="21">
        <f t="shared" si="33"/>
        <v>4.6052631578947366E-2</v>
      </c>
      <c r="O75" s="22">
        <f>IF(ISNUMBER(M75), $B91 * N75, "")</f>
        <v>6907.894736842105</v>
      </c>
      <c r="Q75" s="146"/>
      <c r="R75" s="146"/>
      <c r="S75" s="146"/>
    </row>
    <row r="76" spans="1:19" ht="17.25" thickBot="1">
      <c r="A76" s="109" t="s">
        <v>319</v>
      </c>
      <c r="B76" s="113">
        <v>206</v>
      </c>
      <c r="C76" s="73">
        <v>4.0404040400000001E-2</v>
      </c>
      <c r="D76" s="96">
        <v>218</v>
      </c>
      <c r="E76" s="97">
        <f>IF(ISNUMBER(D76), (D76 - $B76) / $B76, "")</f>
        <v>5.8252427184466021E-2</v>
      </c>
      <c r="F76" s="98">
        <f>IF(ISNUMBER(D76), $B91 * E76, "")</f>
        <v>8737.8640776699031</v>
      </c>
      <c r="G76" s="99">
        <v>208</v>
      </c>
      <c r="H76" s="97">
        <f>IF(ISNUMBER(G76), (G76 - $B76) / $B76, "")</f>
        <v>9.7087378640776691E-3</v>
      </c>
      <c r="I76" s="100">
        <f>IF(ISNUMBER(G76), $B91 * H76, "")</f>
        <v>1456.3106796116504</v>
      </c>
      <c r="J76" s="96">
        <v>213</v>
      </c>
      <c r="K76" s="97">
        <f>IF(ISNUMBER(J76), (J76 - $B76) / $B76, "")</f>
        <v>3.3980582524271843E-2</v>
      </c>
      <c r="L76" s="98">
        <f>IF(ISNUMBER(J76), $B91 * K76, "")</f>
        <v>5097.0873786407765</v>
      </c>
      <c r="M76" s="99">
        <v>221</v>
      </c>
      <c r="N76" s="97">
        <f>IF(ISNUMBER(M76), (M76 - $B76) / $B76, "")</f>
        <v>7.281553398058252E-2</v>
      </c>
      <c r="O76" s="98">
        <f>IF(ISNUMBER(M76), $B91 * N76, "")</f>
        <v>10922.330097087379</v>
      </c>
      <c r="Q76" s="146"/>
      <c r="R76" s="146"/>
      <c r="S76" s="146"/>
    </row>
    <row r="77" spans="1:19" ht="17.25" thickBot="1">
      <c r="A77" s="109" t="s">
        <v>329</v>
      </c>
      <c r="B77" s="110">
        <v>549</v>
      </c>
      <c r="C77" s="70">
        <v>3.5849056599999998E-2</v>
      </c>
      <c r="D77" s="15">
        <v>569</v>
      </c>
      <c r="E77" s="32">
        <f t="shared" ref="E77:E80" si="34">IF(ISNUMBER(D77), (D77 - $B77) / $B77, "")</f>
        <v>3.6429872495446269E-2</v>
      </c>
      <c r="F77" s="18">
        <f>IF(ISNUMBER(D77), $B91 * E77, "")</f>
        <v>5464.4808743169406</v>
      </c>
      <c r="G77" s="31">
        <v>544</v>
      </c>
      <c r="H77" s="32">
        <f t="shared" ref="H77:H80" si="35">IF(ISNUMBER(G77), (G77 - $B77) / $B77, "")</f>
        <v>-9.1074681238615673E-3</v>
      </c>
      <c r="I77" s="91">
        <f>IF(ISNUMBER(G77), $B91 * H77, "")</f>
        <v>-1366.1202185792351</v>
      </c>
      <c r="J77" s="15">
        <v>550</v>
      </c>
      <c r="K77" s="32">
        <f t="shared" ref="K77:K80" si="36">IF(ISNUMBER(J77), (J77 - $B77) / $B77, "")</f>
        <v>1.8214936247723133E-3</v>
      </c>
      <c r="L77" s="18">
        <f>IF(ISNUMBER(J77), $B91 * K77, "")</f>
        <v>273.22404371584702</v>
      </c>
      <c r="M77" s="31">
        <v>581</v>
      </c>
      <c r="N77" s="32">
        <f t="shared" ref="N77:N80" si="37">IF(ISNUMBER(M77), (M77 - $B77) / $B77, "")</f>
        <v>5.8287795992714025E-2</v>
      </c>
      <c r="O77" s="18">
        <f>IF(ISNUMBER(M77), $B91 * N77, "")</f>
        <v>8743.1693989071046</v>
      </c>
      <c r="Q77" s="146"/>
      <c r="R77" s="146"/>
      <c r="S77" s="146"/>
    </row>
    <row r="78" spans="1:19" ht="17.25" thickBot="1">
      <c r="A78" s="109" t="s">
        <v>327</v>
      </c>
      <c r="B78" s="110">
        <v>469</v>
      </c>
      <c r="C78" s="70">
        <v>3.5320088299999997E-2</v>
      </c>
      <c r="D78" s="15">
        <v>483</v>
      </c>
      <c r="E78" s="32">
        <f t="shared" si="34"/>
        <v>2.9850746268656716E-2</v>
      </c>
      <c r="F78" s="18">
        <f>IF(ISNUMBER(D78), $B91 * E78, "")</f>
        <v>4477.6119402985078</v>
      </c>
      <c r="G78" s="31">
        <v>469</v>
      </c>
      <c r="H78" s="32">
        <f t="shared" si="35"/>
        <v>0</v>
      </c>
      <c r="I78" s="91">
        <f>IF(ISNUMBER(G78), $B91 * H78, "")</f>
        <v>0</v>
      </c>
      <c r="J78" s="15">
        <v>474</v>
      </c>
      <c r="K78" s="32">
        <f t="shared" si="36"/>
        <v>1.0660980810234541E-2</v>
      </c>
      <c r="L78" s="18">
        <f>IF(ISNUMBER(J78), $B91 * K78, "")</f>
        <v>1599.1471215351812</v>
      </c>
      <c r="M78" s="31">
        <v>517</v>
      </c>
      <c r="N78" s="32">
        <f t="shared" si="37"/>
        <v>0.1023454157782516</v>
      </c>
      <c r="O78" s="18">
        <f>IF(ISNUMBER(M78), $B91 * N78, "")</f>
        <v>15351.81236673774</v>
      </c>
      <c r="Q78" s="146"/>
      <c r="R78" s="146"/>
      <c r="S78" s="146"/>
    </row>
    <row r="79" spans="1:19" ht="17.25" thickBot="1">
      <c r="A79" s="109" t="s">
        <v>201</v>
      </c>
      <c r="B79" s="110">
        <v>274</v>
      </c>
      <c r="C79" s="70">
        <v>3.3962264200000002E-2</v>
      </c>
      <c r="D79" s="15">
        <v>287</v>
      </c>
      <c r="E79" s="32">
        <f t="shared" si="34"/>
        <v>4.7445255474452552E-2</v>
      </c>
      <c r="F79" s="18">
        <f>IF(ISNUMBER(D79), $B91 * E79, "")</f>
        <v>7116.7883211678827</v>
      </c>
      <c r="G79" s="31">
        <v>273</v>
      </c>
      <c r="H79" s="32">
        <f t="shared" si="35"/>
        <v>-3.6496350364963502E-3</v>
      </c>
      <c r="I79" s="91">
        <f>IF(ISNUMBER(G79), $B91 * H79, "")</f>
        <v>-547.44525547445255</v>
      </c>
      <c r="J79" s="15">
        <v>277</v>
      </c>
      <c r="K79" s="32">
        <f t="shared" si="36"/>
        <v>1.0948905109489052E-2</v>
      </c>
      <c r="L79" s="18">
        <f>IF(ISNUMBER(J79), $B91 * K79, "")</f>
        <v>1642.3357664233577</v>
      </c>
      <c r="M79" s="31">
        <v>292</v>
      </c>
      <c r="N79" s="32">
        <f t="shared" si="37"/>
        <v>6.569343065693431E-2</v>
      </c>
      <c r="O79" s="18">
        <f>IF(ISNUMBER(M79), $B91 * N79, "")</f>
        <v>9854.0145985401468</v>
      </c>
      <c r="Q79" s="33"/>
      <c r="R79" s="33"/>
    </row>
    <row r="80" spans="1:19" ht="17.25" thickBot="1">
      <c r="A80" s="114" t="s">
        <v>149</v>
      </c>
      <c r="B80" s="115">
        <v>525</v>
      </c>
      <c r="C80" s="72">
        <v>3.3464566899999999E-2</v>
      </c>
      <c r="D80" s="24">
        <v>539</v>
      </c>
      <c r="E80" s="25">
        <f t="shared" si="34"/>
        <v>2.6666666666666668E-2</v>
      </c>
      <c r="F80" s="94">
        <f>IF(ISNUMBER(D80), $B91 * E80, "")</f>
        <v>4000.0000000000005</v>
      </c>
      <c r="G80" s="92">
        <v>527</v>
      </c>
      <c r="H80" s="25">
        <f t="shared" si="35"/>
        <v>3.8095238095238095E-3</v>
      </c>
      <c r="I80" s="93">
        <f>IF(ISNUMBER(G80), $B91 * H80, "")</f>
        <v>571.42857142857144</v>
      </c>
      <c r="J80" s="24">
        <v>528</v>
      </c>
      <c r="K80" s="25">
        <f t="shared" si="36"/>
        <v>5.7142857142857143E-3</v>
      </c>
      <c r="L80" s="94">
        <f>IF(ISNUMBER(J80), $B91 * K80, "")</f>
        <v>857.14285714285711</v>
      </c>
      <c r="M80" s="92">
        <v>559</v>
      </c>
      <c r="N80" s="25">
        <f t="shared" si="37"/>
        <v>6.4761904761904757E-2</v>
      </c>
      <c r="O80" s="94">
        <f>IF(ISNUMBER(M80), $B91 * N80, "")</f>
        <v>9714.2857142857138</v>
      </c>
      <c r="Q80" s="147"/>
      <c r="R80" s="148"/>
      <c r="S80" s="149"/>
    </row>
    <row r="81" spans="1:19">
      <c r="A81" s="107" t="s">
        <v>209</v>
      </c>
      <c r="B81" s="108">
        <v>129</v>
      </c>
      <c r="C81" s="69">
        <v>3.2000000000000001E-2</v>
      </c>
      <c r="D81" s="13">
        <v>140</v>
      </c>
      <c r="E81" s="14">
        <f>IF(ISNUMBER(D81), (D81 - $B81) / $B81, "")</f>
        <v>8.5271317829457363E-2</v>
      </c>
      <c r="F81" s="16">
        <f>IF(ISNUMBER(D81), $B91 * E81, "")</f>
        <v>12790.697674418605</v>
      </c>
      <c r="G81" s="29">
        <v>134</v>
      </c>
      <c r="H81" s="14">
        <f>IF(ISNUMBER(G81), (G81 - $B81) / $B81, "")</f>
        <v>3.875968992248062E-2</v>
      </c>
      <c r="I81" s="90">
        <f>IF(ISNUMBER(G81), $B91 * H81, "")</f>
        <v>5813.9534883720926</v>
      </c>
      <c r="J81" s="13">
        <v>135</v>
      </c>
      <c r="K81" s="14">
        <f>IF(ISNUMBER(J81), (J81 - $B81) / $B81, "")</f>
        <v>4.6511627906976744E-2</v>
      </c>
      <c r="L81" s="16">
        <f>IF(ISNUMBER(J81), $B91 * K81, "")</f>
        <v>6976.7441860465115</v>
      </c>
      <c r="M81" s="29">
        <v>141</v>
      </c>
      <c r="N81" s="14">
        <f>IF(ISNUMBER(M81), (M81 - $B81) / $B81, "")</f>
        <v>9.3023255813953487E-2</v>
      </c>
      <c r="O81" s="16">
        <f>IF(ISNUMBER(M81), $B91 * N81, "")</f>
        <v>13953.488372093023</v>
      </c>
      <c r="Q81" s="150"/>
      <c r="R81" s="151"/>
      <c r="S81" s="152"/>
    </row>
    <row r="82" spans="1:19" ht="17.25" thickBot="1">
      <c r="A82" s="109" t="s">
        <v>130</v>
      </c>
      <c r="B82" s="110">
        <v>900</v>
      </c>
      <c r="C82" s="70">
        <v>3.0927835099999999E-2</v>
      </c>
      <c r="D82" s="15">
        <v>929</v>
      </c>
      <c r="E82" s="32">
        <f t="shared" ref="E82:E85" si="38">IF(ISNUMBER(D82), (D82 - $B82) / $B82, "")</f>
        <v>3.2222222222222222E-2</v>
      </c>
      <c r="F82" s="18">
        <f>IF(ISNUMBER(D82), $B91 * E82, "")</f>
        <v>4833.333333333333</v>
      </c>
      <c r="G82" s="31">
        <v>909</v>
      </c>
      <c r="H82" s="32">
        <f t="shared" ref="H82:H85" si="39">IF(ISNUMBER(G82), (G82 - $B82) / $B82, "")</f>
        <v>0.01</v>
      </c>
      <c r="I82" s="91">
        <f>IF(ISNUMBER(G82), $B91 * H82, "")</f>
        <v>1500</v>
      </c>
      <c r="J82" s="15">
        <v>915</v>
      </c>
      <c r="K82" s="32">
        <f t="shared" ref="K82:K85" si="40">IF(ISNUMBER(J82), (J82 - $B82) / $B82, "")</f>
        <v>1.6666666666666666E-2</v>
      </c>
      <c r="L82" s="18">
        <f>IF(ISNUMBER(J82), $B91 * K82, "")</f>
        <v>2500</v>
      </c>
      <c r="M82" s="31">
        <v>973</v>
      </c>
      <c r="N82" s="32">
        <f t="shared" ref="N82:N85" si="41">IF(ISNUMBER(M82), (M82 - $B82) / $B82, "")</f>
        <v>8.1111111111111106E-2</v>
      </c>
      <c r="O82" s="18">
        <f>IF(ISNUMBER(M82), $B91 * N82, "")</f>
        <v>12166.666666666666</v>
      </c>
      <c r="Q82" s="153"/>
      <c r="R82" s="154"/>
      <c r="S82" s="155"/>
    </row>
    <row r="83" spans="1:19" ht="17.25" thickBot="1">
      <c r="A83" s="109" t="s">
        <v>79</v>
      </c>
      <c r="B83" s="110">
        <v>306</v>
      </c>
      <c r="C83" s="70">
        <v>3.0303030299999999E-2</v>
      </c>
      <c r="D83" s="15">
        <v>318</v>
      </c>
      <c r="E83" s="32">
        <f t="shared" si="38"/>
        <v>3.9215686274509803E-2</v>
      </c>
      <c r="F83" s="18">
        <f>IF(ISNUMBER(D83), $B91 * E83, "")</f>
        <v>5882.3529411764703</v>
      </c>
      <c r="G83" s="31">
        <v>308</v>
      </c>
      <c r="H83" s="32">
        <f t="shared" si="39"/>
        <v>6.5359477124183009E-3</v>
      </c>
      <c r="I83" s="91">
        <f>IF(ISNUMBER(G83), $B91 * H83, "")</f>
        <v>980.39215686274508</v>
      </c>
      <c r="J83" s="15">
        <v>310</v>
      </c>
      <c r="K83" s="32">
        <f t="shared" si="40"/>
        <v>1.3071895424836602E-2</v>
      </c>
      <c r="L83" s="18">
        <f>IF(ISNUMBER(J83), $B91 * K83, "")</f>
        <v>1960.7843137254902</v>
      </c>
      <c r="M83" s="31">
        <v>330</v>
      </c>
      <c r="N83" s="32">
        <f t="shared" si="41"/>
        <v>7.8431372549019607E-2</v>
      </c>
      <c r="O83" s="18">
        <f>IF(ISNUMBER(M83), $B91 * N83, "")</f>
        <v>11764.705882352941</v>
      </c>
      <c r="Q83" s="146"/>
      <c r="R83" s="146"/>
      <c r="S83" s="146"/>
    </row>
    <row r="84" spans="1:19" ht="17.25" thickBot="1">
      <c r="A84" s="109" t="s">
        <v>336</v>
      </c>
      <c r="B84" s="110">
        <v>346</v>
      </c>
      <c r="C84" s="70">
        <v>2.9761904799999999E-2</v>
      </c>
      <c r="D84" s="15">
        <v>357</v>
      </c>
      <c r="E84" s="32">
        <f t="shared" si="38"/>
        <v>3.1791907514450865E-2</v>
      </c>
      <c r="F84" s="18">
        <f>IF(ISNUMBER(D84), $B91 * E84, "")</f>
        <v>4768.7861271676302</v>
      </c>
      <c r="G84" s="31">
        <v>350</v>
      </c>
      <c r="H84" s="32">
        <f t="shared" si="39"/>
        <v>1.1560693641618497E-2</v>
      </c>
      <c r="I84" s="91">
        <f>IF(ISNUMBER(G84), $B91 * H84, "")</f>
        <v>1734.1040462427745</v>
      </c>
      <c r="J84" s="15">
        <v>350</v>
      </c>
      <c r="K84" s="32">
        <f t="shared" si="40"/>
        <v>1.1560693641618497E-2</v>
      </c>
      <c r="L84" s="18">
        <f>IF(ISNUMBER(J84), $B91 * K84, "")</f>
        <v>1734.1040462427745</v>
      </c>
      <c r="M84" s="31">
        <v>376</v>
      </c>
      <c r="N84" s="32">
        <f t="shared" si="41"/>
        <v>8.6705202312138727E-2</v>
      </c>
      <c r="O84" s="18">
        <f>IF(ISNUMBER(M84), $B91 * N84, "")</f>
        <v>13005.780346820809</v>
      </c>
      <c r="Q84" s="156"/>
      <c r="R84" s="156"/>
      <c r="S84" s="156"/>
    </row>
    <row r="85" spans="1:19" ht="17.25" thickBot="1">
      <c r="A85" s="111" t="s">
        <v>231</v>
      </c>
      <c r="B85" s="112">
        <v>417</v>
      </c>
      <c r="C85" s="71">
        <v>2.7093596099999999E-2</v>
      </c>
      <c r="D85" s="20">
        <v>439</v>
      </c>
      <c r="E85" s="21">
        <f t="shared" si="38"/>
        <v>5.2757793764988008E-2</v>
      </c>
      <c r="F85" s="22">
        <f>IF(ISNUMBER(D85), $B91 * E85, "")</f>
        <v>7913.669064748201</v>
      </c>
      <c r="G85" s="30">
        <v>423</v>
      </c>
      <c r="H85" s="21">
        <f t="shared" si="39"/>
        <v>1.4388489208633094E-2</v>
      </c>
      <c r="I85" s="95">
        <f>IF(ISNUMBER(G85), $B91 * H85, "")</f>
        <v>2158.2733812949641</v>
      </c>
      <c r="J85" s="20">
        <v>432</v>
      </c>
      <c r="K85" s="21">
        <f t="shared" si="40"/>
        <v>3.5971223021582732E-2</v>
      </c>
      <c r="L85" s="22">
        <f>IF(ISNUMBER(J85), $B91 * K85, "")</f>
        <v>5395.6834532374096</v>
      </c>
      <c r="M85" s="30">
        <v>453</v>
      </c>
      <c r="N85" s="21">
        <f t="shared" si="41"/>
        <v>8.6330935251798566E-2</v>
      </c>
      <c r="O85" s="22">
        <f>IF(ISNUMBER(M85), $B91 * N85, "")</f>
        <v>12949.640287769786</v>
      </c>
      <c r="Q85" s="156"/>
      <c r="R85" s="156"/>
      <c r="S85" s="156"/>
    </row>
    <row r="86" spans="1:19" ht="17.25" thickBot="1">
      <c r="A86" s="109" t="s">
        <v>159</v>
      </c>
      <c r="B86" s="113">
        <v>228</v>
      </c>
      <c r="C86" s="73">
        <v>2.7027026999999999E-2</v>
      </c>
      <c r="D86" s="96">
        <v>241</v>
      </c>
      <c r="E86" s="97">
        <f>IF(ISNUMBER(D86), (D86 - $B86) / $B86, "")</f>
        <v>5.701754385964912E-2</v>
      </c>
      <c r="F86" s="98">
        <f>IF(ISNUMBER(D86), $B91 * E86, "")</f>
        <v>8552.6315789473683</v>
      </c>
      <c r="G86" s="99">
        <v>230</v>
      </c>
      <c r="H86" s="97">
        <f>IF(ISNUMBER(G86), (G86 - $B86) / $B86, "")</f>
        <v>8.771929824561403E-3</v>
      </c>
      <c r="I86" s="100">
        <f>IF(ISNUMBER(G86), $B91 * H86, "")</f>
        <v>1315.7894736842104</v>
      </c>
      <c r="J86" s="96">
        <v>236</v>
      </c>
      <c r="K86" s="97">
        <f>IF(ISNUMBER(J86), (J86 - $B86) / $B86, "")</f>
        <v>3.5087719298245612E-2</v>
      </c>
      <c r="L86" s="98">
        <f>IF(ISNUMBER(J86), $B91 * K86, "")</f>
        <v>5263.1578947368416</v>
      </c>
      <c r="M86" s="99">
        <v>245</v>
      </c>
      <c r="N86" s="97">
        <f>IF(ISNUMBER(M86), (M86 - $B86) / $B86, "")</f>
        <v>7.4561403508771926E-2</v>
      </c>
      <c r="O86" s="98">
        <f>IF(ISNUMBER(M86), $B91 * N86, "")</f>
        <v>11184.210526315788</v>
      </c>
      <c r="Q86" s="146"/>
      <c r="R86" s="146"/>
      <c r="S86" s="146"/>
    </row>
    <row r="87" spans="1:19" ht="17.25" thickBot="1">
      <c r="A87" s="109" t="s">
        <v>229</v>
      </c>
      <c r="B87" s="110">
        <v>304</v>
      </c>
      <c r="C87" s="70">
        <v>2.7027026999999999E-2</v>
      </c>
      <c r="D87" s="15">
        <v>315</v>
      </c>
      <c r="E87" s="32">
        <f t="shared" ref="E87:E90" si="42">IF(ISNUMBER(D87), (D87 - $B87) / $B87, "")</f>
        <v>3.6184210526315791E-2</v>
      </c>
      <c r="F87" s="18">
        <f>IF(ISNUMBER(D87), $B91 * E87, "")</f>
        <v>5427.6315789473683</v>
      </c>
      <c r="G87" s="31">
        <v>303</v>
      </c>
      <c r="H87" s="32">
        <f t="shared" ref="H87:H90" si="43">IF(ISNUMBER(G87), (G87 - $B87) / $B87, "")</f>
        <v>-3.2894736842105261E-3</v>
      </c>
      <c r="I87" s="91">
        <f>IF(ISNUMBER(G87), $B91 * H87, "")</f>
        <v>-493.4210526315789</v>
      </c>
      <c r="J87" s="15">
        <v>307</v>
      </c>
      <c r="K87" s="32">
        <f t="shared" ref="K87:K90" si="44">IF(ISNUMBER(J87), (J87 - $B87) / $B87, "")</f>
        <v>9.8684210526315784E-3</v>
      </c>
      <c r="L87" s="18">
        <f>IF(ISNUMBER(J87), $B91 * K87, "")</f>
        <v>1480.2631578947367</v>
      </c>
      <c r="M87" s="31">
        <v>322</v>
      </c>
      <c r="N87" s="32">
        <f t="shared" ref="N87:N90" si="45">IF(ISNUMBER(M87), (M87 - $B87) / $B87, "")</f>
        <v>5.921052631578947E-2</v>
      </c>
      <c r="O87" s="18">
        <f>IF(ISNUMBER(M87), $B91 * N87, "")</f>
        <v>8881.5789473684199</v>
      </c>
      <c r="Q87" s="146"/>
      <c r="R87" s="146"/>
      <c r="S87" s="146"/>
    </row>
    <row r="88" spans="1:19" ht="17.25" thickBot="1">
      <c r="A88" s="109" t="s">
        <v>105</v>
      </c>
      <c r="B88" s="110">
        <v>271</v>
      </c>
      <c r="C88" s="70">
        <v>2.65151515E-2</v>
      </c>
      <c r="D88" s="15">
        <v>280</v>
      </c>
      <c r="E88" s="32">
        <f t="shared" si="42"/>
        <v>3.3210332103321034E-2</v>
      </c>
      <c r="F88" s="18">
        <f>IF(ISNUMBER(D88), $B91 * E88, "")</f>
        <v>4981.5498154981551</v>
      </c>
      <c r="G88" s="31">
        <v>273</v>
      </c>
      <c r="H88" s="32">
        <f t="shared" si="43"/>
        <v>7.3800738007380072E-3</v>
      </c>
      <c r="I88" s="91">
        <f>IF(ISNUMBER(G88), $B91 * H88, "")</f>
        <v>1107.011070110701</v>
      </c>
      <c r="J88" s="15">
        <v>274</v>
      </c>
      <c r="K88" s="32">
        <f t="shared" si="44"/>
        <v>1.107011070110701E-2</v>
      </c>
      <c r="L88" s="18">
        <f>IF(ISNUMBER(J88), $B91 * K88, "")</f>
        <v>1660.5166051660515</v>
      </c>
      <c r="M88" s="31">
        <v>289</v>
      </c>
      <c r="N88" s="32">
        <f t="shared" si="45"/>
        <v>6.6420664206642069E-2</v>
      </c>
      <c r="O88" s="18">
        <f>IF(ISNUMBER(M88), $B91 * N88, "")</f>
        <v>9963.0996309963102</v>
      </c>
      <c r="Q88" s="146"/>
      <c r="R88" s="146"/>
      <c r="S88" s="146"/>
    </row>
    <row r="89" spans="1:19">
      <c r="A89" s="109" t="s">
        <v>169</v>
      </c>
      <c r="B89" s="110">
        <v>276</v>
      </c>
      <c r="C89" s="70">
        <v>2.60223048E-2</v>
      </c>
      <c r="D89" s="15">
        <v>284</v>
      </c>
      <c r="E89" s="32">
        <f t="shared" si="42"/>
        <v>2.8985507246376812E-2</v>
      </c>
      <c r="F89" s="18">
        <f>IF(ISNUMBER(D89), $B91 * E89, "")</f>
        <v>4347.826086956522</v>
      </c>
      <c r="G89" s="31">
        <v>278</v>
      </c>
      <c r="H89" s="32">
        <f t="shared" si="43"/>
        <v>7.246376811594203E-3</v>
      </c>
      <c r="I89" s="91">
        <f>IF(ISNUMBER(G89), $B91 * H89, "")</f>
        <v>1086.9565217391305</v>
      </c>
      <c r="J89" s="15">
        <v>280</v>
      </c>
      <c r="K89" s="32">
        <f t="shared" si="44"/>
        <v>1.4492753623188406E-2</v>
      </c>
      <c r="L89" s="18">
        <f>IF(ISNUMBER(J89), $B91 * K89, "")</f>
        <v>2173.913043478261</v>
      </c>
      <c r="M89" s="31">
        <v>290</v>
      </c>
      <c r="N89" s="32">
        <f t="shared" si="45"/>
        <v>5.0724637681159424E-2</v>
      </c>
      <c r="O89" s="18">
        <f>IF(ISNUMBER(M89), $B91 * N89, "")</f>
        <v>7608.6956521739139</v>
      </c>
      <c r="Q89" s="135"/>
      <c r="R89" s="136"/>
      <c r="S89" s="137"/>
    </row>
    <row r="90" spans="1:19" ht="17.25" thickBot="1">
      <c r="A90" s="114" t="s">
        <v>325</v>
      </c>
      <c r="B90" s="115">
        <v>644</v>
      </c>
      <c r="C90" s="72">
        <v>2.5477706999999999E-2</v>
      </c>
      <c r="D90" s="24">
        <v>661</v>
      </c>
      <c r="E90" s="25">
        <f t="shared" si="42"/>
        <v>2.6397515527950312E-2</v>
      </c>
      <c r="F90" s="94">
        <f>IF(ISNUMBER(D90), $B91 * E90, "")</f>
        <v>3959.6273291925468</v>
      </c>
      <c r="G90" s="92">
        <v>651</v>
      </c>
      <c r="H90" s="25">
        <f t="shared" si="43"/>
        <v>1.0869565217391304E-2</v>
      </c>
      <c r="I90" s="93">
        <f>IF(ISNUMBER(G90), $B91 * H90, "")</f>
        <v>1630.4347826086955</v>
      </c>
      <c r="J90" s="24">
        <v>653</v>
      </c>
      <c r="K90" s="25">
        <f t="shared" si="44"/>
        <v>1.3975155279503106E-2</v>
      </c>
      <c r="L90" s="94">
        <f>IF(ISNUMBER(J90), $B91 * K90, "")</f>
        <v>2096.2732919254659</v>
      </c>
      <c r="M90" s="92">
        <v>684</v>
      </c>
      <c r="N90" s="25">
        <f t="shared" si="45"/>
        <v>6.2111801242236024E-2</v>
      </c>
      <c r="O90" s="94">
        <f>IF(ISNUMBER(M90), $B91 * N90, "")</f>
        <v>9316.7701863354032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6.5026468160265277E-2</v>
      </c>
      <c r="F91" s="28">
        <f>SUM(F71:F90)</f>
        <v>195079.40448079581</v>
      </c>
      <c r="G91" s="26" t="s">
        <v>258</v>
      </c>
      <c r="H91" s="27">
        <f>IF(COUNT(H71:H90), SUM(H71:H90) / COUNT(H71:H90), 0)</f>
        <v>1.3847115082874123E-2</v>
      </c>
      <c r="I91" s="28">
        <f>SUM(I71:I90)</f>
        <v>41541.345248622383</v>
      </c>
      <c r="J91" s="26" t="s">
        <v>258</v>
      </c>
      <c r="K91" s="27">
        <f>IF(COUNT(K71:K90), SUM(K71:K90) / COUNT(K71:K90), 0)</f>
        <v>2.1738936698101799E-2</v>
      </c>
      <c r="L91" s="28">
        <f>SUM(L71:L90)</f>
        <v>65216.81009430538</v>
      </c>
      <c r="M91" s="26" t="s">
        <v>258</v>
      </c>
      <c r="N91" s="27">
        <f>IF(COUNT(N71:N90), SUM(N71:N90) / COUNT(N71:N90), 0)</f>
        <v>7.5771425532476233E-2</v>
      </c>
      <c r="O91" s="28">
        <f>SUM(O71:O90)</f>
        <v>227314.27659742878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2023-03-14(화) 오전 00:00</v>
      </c>
      <c r="C96" s="198"/>
      <c r="D96" s="170" t="str">
        <f>TEXT($G$1, "[$-ko-KR]yyyy-mm-dd(ddd) ") &amp; "오후 14:00"</f>
        <v>2023-03-14(화) 오후 14:00</v>
      </c>
      <c r="E96" s="171"/>
      <c r="F96" s="172"/>
      <c r="G96" s="170" t="str">
        <f>TEXT($G$1, "[$-ko-KR]yyyy-mm-dd(ddd) ") &amp; "오후 19:00"</f>
        <v>2023-03-14(화) 오후 19:00</v>
      </c>
      <c r="H96" s="171"/>
      <c r="I96" s="172"/>
      <c r="J96" s="170" t="str">
        <f>TEXT($G$1, "[$-ko-KR]yyyy-mm-dd(ddd) ") &amp; "오후 21:00"</f>
        <v>2023-03-14(화) 오후 21:00</v>
      </c>
      <c r="K96" s="171"/>
      <c r="L96" s="172"/>
      <c r="M96" s="170" t="str">
        <f>TEXT($G$1+1, "[$-ko-KR]yyyy-mm-dd(ddd) ") &amp; "오전 00:00"</f>
        <v>2023-03-15(수)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225</v>
      </c>
      <c r="B98" s="108">
        <v>100</v>
      </c>
      <c r="C98" s="69">
        <v>0.22249388749999999</v>
      </c>
      <c r="D98" s="13">
        <v>147</v>
      </c>
      <c r="E98" s="14">
        <f>IF(ISNUMBER(D98), (D98 - $B98) / $B98, "")</f>
        <v>0.47</v>
      </c>
      <c r="F98" s="16">
        <f>IF(ISNUMBER(D98), $B118 * E98, "")</f>
        <v>70500</v>
      </c>
      <c r="G98" s="29">
        <v>107</v>
      </c>
      <c r="H98" s="14">
        <f>IF(ISNUMBER(G98), (G98 - $B98) / $B98, "")</f>
        <v>7.0000000000000007E-2</v>
      </c>
      <c r="I98" s="90">
        <f>IF(ISNUMBER(G98), $B118 * H98, "")</f>
        <v>10500.000000000002</v>
      </c>
      <c r="J98" s="13">
        <v>103</v>
      </c>
      <c r="K98" s="14">
        <f>IF(ISNUMBER(J98), (J98 - $B98) / $B98, "")</f>
        <v>0.03</v>
      </c>
      <c r="L98" s="16">
        <f>IF(ISNUMBER(J98), $B118 * K98, "")</f>
        <v>4500</v>
      </c>
      <c r="M98" s="29">
        <v>106</v>
      </c>
      <c r="N98" s="14">
        <f>IF(ISNUMBER(M98), (M98 - $B98) / $B98, "")</f>
        <v>0.06</v>
      </c>
      <c r="O98" s="16">
        <f>IF(ISNUMBER(M98), $B118 * N98, "")</f>
        <v>9000</v>
      </c>
      <c r="Q98" s="156"/>
      <c r="R98" s="156"/>
      <c r="S98" s="156"/>
    </row>
    <row r="99" spans="1:19" ht="17.25" thickBot="1">
      <c r="A99" s="109" t="s">
        <v>97</v>
      </c>
      <c r="B99" s="110">
        <v>8.9999999999999998E-4</v>
      </c>
      <c r="C99" s="70">
        <v>0.125</v>
      </c>
      <c r="D99" s="15">
        <v>8.9999999999999998E-4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8.9999999999999998E-4</v>
      </c>
      <c r="H99" s="32">
        <f t="shared" ref="H99:H102" si="47">IF(ISNUMBER(G99), (G99 - $B99) / $B99, "")</f>
        <v>0</v>
      </c>
      <c r="I99" s="91">
        <f>IF(ISNUMBER(G99), $B118 * H99, "")</f>
        <v>0</v>
      </c>
      <c r="J99" s="15">
        <v>8.9999999999999998E-4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8.9999999999999998E-4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156"/>
      <c r="R99" s="156"/>
      <c r="S99" s="156"/>
    </row>
    <row r="100" spans="1:19" ht="17.25" thickBot="1">
      <c r="A100" s="109" t="s">
        <v>143</v>
      </c>
      <c r="B100" s="110">
        <v>5.78</v>
      </c>
      <c r="C100" s="70">
        <v>9.2627599199999994E-2</v>
      </c>
      <c r="D100" s="15">
        <v>6.43</v>
      </c>
      <c r="E100" s="32">
        <f t="shared" si="46"/>
        <v>0.1124567474048442</v>
      </c>
      <c r="F100" s="18">
        <f>IF(ISNUMBER(D100), $B118 * E100, "")</f>
        <v>16868.512110726628</v>
      </c>
      <c r="G100" s="31">
        <v>6.12</v>
      </c>
      <c r="H100" s="32">
        <f t="shared" si="47"/>
        <v>5.8823529411764677E-2</v>
      </c>
      <c r="I100" s="91">
        <f>IF(ISNUMBER(G100), $B118 * H100, "")</f>
        <v>8823.5294117647009</v>
      </c>
      <c r="J100" s="15">
        <v>6.27</v>
      </c>
      <c r="K100" s="32">
        <f t="shared" si="48"/>
        <v>8.4775086505190195E-2</v>
      </c>
      <c r="L100" s="18">
        <f>IF(ISNUMBER(J100), $B118 * K100, "")</f>
        <v>12716.262975778529</v>
      </c>
      <c r="M100" s="31">
        <v>6.42</v>
      </c>
      <c r="N100" s="32">
        <f t="shared" si="49"/>
        <v>0.11072664359861585</v>
      </c>
      <c r="O100" s="18">
        <f>IF(ISNUMBER(M100), $B118 * N100, "")</f>
        <v>16608.996539792377</v>
      </c>
      <c r="Q100" s="146"/>
      <c r="R100" s="146"/>
      <c r="S100" s="146"/>
    </row>
    <row r="101" spans="1:19" ht="17.25" thickBot="1">
      <c r="A101" s="109" t="s">
        <v>161</v>
      </c>
      <c r="B101" s="110">
        <v>1060</v>
      </c>
      <c r="C101" s="70">
        <v>6.9626639800000001E-2</v>
      </c>
      <c r="D101" s="15">
        <v>1120</v>
      </c>
      <c r="E101" s="32">
        <f t="shared" si="46"/>
        <v>5.6603773584905662E-2</v>
      </c>
      <c r="F101" s="18">
        <f>IF(ISNUMBER(D101), $B118 * E101, "")</f>
        <v>8490.566037735849</v>
      </c>
      <c r="G101" s="31">
        <v>1045</v>
      </c>
      <c r="H101" s="32">
        <f t="shared" si="47"/>
        <v>-1.4150943396226415E-2</v>
      </c>
      <c r="I101" s="91">
        <f>IF(ISNUMBER(G101), $B118 * H101, "")</f>
        <v>-2122.6415094339623</v>
      </c>
      <c r="J101" s="15">
        <v>1100</v>
      </c>
      <c r="K101" s="32">
        <f t="shared" si="48"/>
        <v>3.7735849056603772E-2</v>
      </c>
      <c r="L101" s="18">
        <f>IF(ISNUMBER(J101), $B118 * K101, "")</f>
        <v>5660.3773584905657</v>
      </c>
      <c r="M101" s="31">
        <v>1135</v>
      </c>
      <c r="N101" s="32">
        <f t="shared" si="49"/>
        <v>7.0754716981132074E-2</v>
      </c>
      <c r="O101" s="18">
        <f>IF(ISNUMBER(M101), $B118 * N101, "")</f>
        <v>10613.207547169812</v>
      </c>
      <c r="Q101" s="146"/>
      <c r="R101" s="146"/>
      <c r="S101" s="146"/>
    </row>
    <row r="102" spans="1:19" ht="17.25" thickBot="1">
      <c r="A102" s="111" t="s">
        <v>185</v>
      </c>
      <c r="B102" s="112">
        <v>40.799999999999997</v>
      </c>
      <c r="C102" s="71">
        <v>6.8062827199999995E-2</v>
      </c>
      <c r="D102" s="20">
        <v>42.8</v>
      </c>
      <c r="E102" s="21">
        <f t="shared" si="46"/>
        <v>4.9019607843137261E-2</v>
      </c>
      <c r="F102" s="22">
        <f>IF(ISNUMBER(D102), $B118 * E102, "")</f>
        <v>7352.9411764705892</v>
      </c>
      <c r="G102" s="30">
        <v>40.9</v>
      </c>
      <c r="H102" s="21">
        <f t="shared" si="47"/>
        <v>2.4509803921568978E-3</v>
      </c>
      <c r="I102" s="95">
        <f>IF(ISNUMBER(G102), $B118 * H102, "")</f>
        <v>367.64705882353468</v>
      </c>
      <c r="J102" s="20">
        <v>41.6</v>
      </c>
      <c r="K102" s="21">
        <f t="shared" si="48"/>
        <v>1.9607843137255009E-2</v>
      </c>
      <c r="L102" s="22">
        <f>IF(ISNUMBER(J102), $B118 * K102, "")</f>
        <v>2941.1764705882515</v>
      </c>
      <c r="M102" s="30">
        <v>43.3</v>
      </c>
      <c r="N102" s="21">
        <f t="shared" si="49"/>
        <v>6.1274509803921573E-2</v>
      </c>
      <c r="O102" s="22">
        <f>IF(ISNUMBER(M102), $B118 * N102, "")</f>
        <v>9191.176470588236</v>
      </c>
      <c r="Q102" s="146"/>
      <c r="R102" s="146"/>
      <c r="S102" s="146"/>
    </row>
    <row r="103" spans="1:19" ht="17.25" thickBot="1">
      <c r="A103" s="109" t="s">
        <v>68</v>
      </c>
      <c r="B103" s="113">
        <v>522</v>
      </c>
      <c r="C103" s="73">
        <v>6.3136456199999996E-2</v>
      </c>
      <c r="D103" s="96">
        <v>566</v>
      </c>
      <c r="E103" s="97">
        <f>IF(ISNUMBER(D103), (D103 - $B103) / $B103, "")</f>
        <v>8.4291187739463605E-2</v>
      </c>
      <c r="F103" s="98">
        <f>IF(ISNUMBER(D103), $B118 * E103, "")</f>
        <v>12643.67816091954</v>
      </c>
      <c r="G103" s="99">
        <v>546</v>
      </c>
      <c r="H103" s="97">
        <f>IF(ISNUMBER(G103), (G103 - $B103) / $B103, "")</f>
        <v>4.5977011494252873E-2</v>
      </c>
      <c r="I103" s="100">
        <f>IF(ISNUMBER(G103), $B118 * H103, "")</f>
        <v>6896.5517241379312</v>
      </c>
      <c r="J103" s="96">
        <v>548</v>
      </c>
      <c r="K103" s="97">
        <f>IF(ISNUMBER(J103), (J103 - $B103) / $B103, "")</f>
        <v>4.9808429118773943E-2</v>
      </c>
      <c r="L103" s="98">
        <f>IF(ISNUMBER(J103), $B118 * K103, "")</f>
        <v>7471.2643678160912</v>
      </c>
      <c r="M103" s="99">
        <v>584</v>
      </c>
      <c r="N103" s="97">
        <f>IF(ISNUMBER(M103), (M103 - $B103) / $B103, "")</f>
        <v>0.11877394636015326</v>
      </c>
      <c r="O103" s="98">
        <f>IF(ISNUMBER(M103), $B118 * N103, "")</f>
        <v>17816.091954022988</v>
      </c>
      <c r="Q103" s="146"/>
      <c r="R103" s="146"/>
      <c r="S103" s="146"/>
    </row>
    <row r="104" spans="1:19" ht="17.25" thickBot="1">
      <c r="A104" s="109" t="s">
        <v>138</v>
      </c>
      <c r="B104" s="110">
        <v>42.6</v>
      </c>
      <c r="C104" s="70">
        <v>6.2344139700000002E-2</v>
      </c>
      <c r="D104" s="15">
        <v>46.5</v>
      </c>
      <c r="E104" s="32">
        <f t="shared" ref="E104:E107" si="50">IF(ISNUMBER(D104), (D104 - $B104) / $B104, "")</f>
        <v>9.1549295774647849E-2</v>
      </c>
      <c r="F104" s="18">
        <f>IF(ISNUMBER(D104), $B118 * E104, "")</f>
        <v>13732.394366197177</v>
      </c>
      <c r="G104" s="31">
        <v>45.2</v>
      </c>
      <c r="H104" s="32">
        <f t="shared" ref="H104:H107" si="51">IF(ISNUMBER(G104), (G104 - $B104) / $B104, "")</f>
        <v>6.1032863849765293E-2</v>
      </c>
      <c r="I104" s="91">
        <f>IF(ISNUMBER(G104), $B118 * H104, "")</f>
        <v>9154.9295774647944</v>
      </c>
      <c r="J104" s="15">
        <v>45.5</v>
      </c>
      <c r="K104" s="32">
        <f t="shared" ref="K104:K107" si="52">IF(ISNUMBER(J104), (J104 - $B104) / $B104, "")</f>
        <v>6.8075117370891988E-2</v>
      </c>
      <c r="L104" s="18">
        <f>IF(ISNUMBER(J104), $B118 * K104, "")</f>
        <v>10211.267605633799</v>
      </c>
      <c r="M104" s="31">
        <v>47.5</v>
      </c>
      <c r="N104" s="32">
        <f t="shared" ref="N104:N107" si="53">IF(ISNUMBER(M104), (M104 - $B104) / $B104, "")</f>
        <v>0.11502347417840372</v>
      </c>
      <c r="O104" s="18">
        <f>IF(ISNUMBER(M104), $B118 * N104, "")</f>
        <v>17253.521126760559</v>
      </c>
      <c r="Q104" s="146"/>
      <c r="R104" s="146"/>
      <c r="S104" s="146"/>
    </row>
    <row r="105" spans="1:19" ht="17.25" thickBot="1">
      <c r="A105" s="109" t="s">
        <v>207</v>
      </c>
      <c r="B105" s="110">
        <v>89.3</v>
      </c>
      <c r="C105" s="70">
        <v>6.05700713E-2</v>
      </c>
      <c r="D105" s="15">
        <v>99.9</v>
      </c>
      <c r="E105" s="32">
        <f t="shared" si="50"/>
        <v>0.1187010078387459</v>
      </c>
      <c r="F105" s="18">
        <f>IF(ISNUMBER(D105), $B118 * E105, "")</f>
        <v>17805.151175811887</v>
      </c>
      <c r="G105" s="31">
        <v>98</v>
      </c>
      <c r="H105" s="32">
        <f t="shared" si="51"/>
        <v>9.742441209406498E-2</v>
      </c>
      <c r="I105" s="91">
        <f>IF(ISNUMBER(G105), $B118 * H105, "")</f>
        <v>14613.661814109748</v>
      </c>
      <c r="J105" s="15">
        <v>98.7</v>
      </c>
      <c r="K105" s="32">
        <f t="shared" si="52"/>
        <v>0.10526315789473691</v>
      </c>
      <c r="L105" s="18">
        <f>IF(ISNUMBER(J105), $B118 * K105, "")</f>
        <v>15789.473684210536</v>
      </c>
      <c r="M105" s="31">
        <v>99.8</v>
      </c>
      <c r="N105" s="32">
        <f t="shared" si="53"/>
        <v>0.11758118701007839</v>
      </c>
      <c r="O105" s="18">
        <f>IF(ISNUMBER(M105), $B118 * N105, "")</f>
        <v>17637.178051511757</v>
      </c>
      <c r="Q105" s="146"/>
      <c r="R105" s="146"/>
      <c r="S105" s="146"/>
    </row>
    <row r="106" spans="1:19" ht="17.25" thickBot="1">
      <c r="A106" s="109" t="s">
        <v>49</v>
      </c>
      <c r="B106" s="110">
        <v>30941000</v>
      </c>
      <c r="C106" s="70">
        <v>5.9659577399999997E-2</v>
      </c>
      <c r="D106" s="15">
        <v>32178000</v>
      </c>
      <c r="E106" s="32">
        <f t="shared" si="50"/>
        <v>3.9979315471381019E-2</v>
      </c>
      <c r="F106" s="18">
        <f>IF(ISNUMBER(D106), $B118 * E106, "")</f>
        <v>5996.8973207071531</v>
      </c>
      <c r="G106" s="31">
        <v>31870000</v>
      </c>
      <c r="H106" s="32">
        <f t="shared" si="51"/>
        <v>3.0024886073494714E-2</v>
      </c>
      <c r="I106" s="91">
        <f>IF(ISNUMBER(G106), $B118 * H106, "")</f>
        <v>4503.7329110242072</v>
      </c>
      <c r="J106" s="15">
        <v>32609000</v>
      </c>
      <c r="K106" s="32">
        <f t="shared" si="52"/>
        <v>5.3909052713228406E-2</v>
      </c>
      <c r="L106" s="18">
        <f>IF(ISNUMBER(J106), $B118 * K106, "")</f>
        <v>8086.3579069842608</v>
      </c>
      <c r="M106" s="31">
        <v>33781000</v>
      </c>
      <c r="N106" s="32">
        <f t="shared" si="53"/>
        <v>9.1787595746743805E-2</v>
      </c>
      <c r="O106" s="18">
        <f>IF(ISNUMBER(M106), $B118 * N106, "")</f>
        <v>13768.13936201157</v>
      </c>
      <c r="Q106" s="33"/>
      <c r="R106" s="33"/>
    </row>
    <row r="107" spans="1:19" ht="17.25" thickBot="1">
      <c r="A107" s="114" t="s">
        <v>113</v>
      </c>
      <c r="B107" s="115">
        <v>1640</v>
      </c>
      <c r="C107" s="72">
        <v>5.8064516099999998E-2</v>
      </c>
      <c r="D107" s="24">
        <v>1670</v>
      </c>
      <c r="E107" s="25">
        <f t="shared" si="50"/>
        <v>1.8292682926829267E-2</v>
      </c>
      <c r="F107" s="94">
        <f>IF(ISNUMBER(D107), $B118 * E107, "")</f>
        <v>2743.9024390243899</v>
      </c>
      <c r="G107" s="92">
        <v>1635</v>
      </c>
      <c r="H107" s="25">
        <f t="shared" si="51"/>
        <v>-3.0487804878048782E-3</v>
      </c>
      <c r="I107" s="93">
        <f>IF(ISNUMBER(G107), $B118 * H107, "")</f>
        <v>-457.3170731707317</v>
      </c>
      <c r="J107" s="24">
        <v>1635</v>
      </c>
      <c r="K107" s="25">
        <f t="shared" si="52"/>
        <v>-3.0487804878048782E-3</v>
      </c>
      <c r="L107" s="94">
        <f>IF(ISNUMBER(J107), $B118 * K107, "")</f>
        <v>-457.3170731707317</v>
      </c>
      <c r="M107" s="92">
        <v>1720</v>
      </c>
      <c r="N107" s="25">
        <f t="shared" si="53"/>
        <v>4.878048780487805E-2</v>
      </c>
      <c r="O107" s="94">
        <f>IF(ISNUMBER(M107), $B118 * N107, "")</f>
        <v>7317.0731707317073</v>
      </c>
      <c r="Q107" s="147"/>
      <c r="R107" s="148"/>
      <c r="S107" s="149"/>
    </row>
    <row r="108" spans="1:19">
      <c r="A108" s="107" t="s">
        <v>197</v>
      </c>
      <c r="B108" s="108">
        <v>11.3</v>
      </c>
      <c r="C108" s="69">
        <v>5.6074766400000003E-2</v>
      </c>
      <c r="D108" s="13">
        <v>12.3</v>
      </c>
      <c r="E108" s="14">
        <f>IF(ISNUMBER(D108), (D108 - $B108) / $B108, "")</f>
        <v>8.8495575221238937E-2</v>
      </c>
      <c r="F108" s="16">
        <f>IF(ISNUMBER(D108), $B118 * E108, "")</f>
        <v>13274.336283185841</v>
      </c>
      <c r="G108" s="29">
        <v>11.7</v>
      </c>
      <c r="H108" s="14">
        <f>IF(ISNUMBER(G108), (G108 - $B108) / $B108, "")</f>
        <v>3.539823008849545E-2</v>
      </c>
      <c r="I108" s="90">
        <f>IF(ISNUMBER(G108), $B118 * H108, "")</f>
        <v>5309.7345132743176</v>
      </c>
      <c r="J108" s="13">
        <v>11.9</v>
      </c>
      <c r="K108" s="14">
        <f>IF(ISNUMBER(J108), (J108 - $B108) / $B108, "")</f>
        <v>5.3097345132743327E-2</v>
      </c>
      <c r="L108" s="16">
        <f>IF(ISNUMBER(J108), $B118 * K108, "")</f>
        <v>7964.6017699114991</v>
      </c>
      <c r="M108" s="29">
        <v>12.4</v>
      </c>
      <c r="N108" s="14">
        <f>IF(ISNUMBER(M108), (M108 - $B108) / $B108, "")</f>
        <v>9.7345132743362789E-2</v>
      </c>
      <c r="O108" s="16">
        <f>IF(ISNUMBER(M108), $B118 * N108, "")</f>
        <v>14601.769911504418</v>
      </c>
      <c r="Q108" s="150"/>
      <c r="R108" s="151"/>
      <c r="S108" s="152"/>
    </row>
    <row r="109" spans="1:19" ht="17.25" thickBot="1">
      <c r="A109" s="109" t="s">
        <v>237</v>
      </c>
      <c r="B109" s="110">
        <v>34.299999999999997</v>
      </c>
      <c r="C109" s="70">
        <v>4.8929663599999999E-2</v>
      </c>
      <c r="D109" s="15">
        <v>34.799999999999997</v>
      </c>
      <c r="E109" s="32">
        <f t="shared" ref="E109:E112" si="54">IF(ISNUMBER(D109), (D109 - $B109) / $B109, "")</f>
        <v>1.457725947521866E-2</v>
      </c>
      <c r="F109" s="18">
        <f>IF(ISNUMBER(D109), $B118 * E109, "")</f>
        <v>2186.5889212827992</v>
      </c>
      <c r="G109" s="31">
        <v>34</v>
      </c>
      <c r="H109" s="32">
        <f t="shared" ref="H109:H112" si="55">IF(ISNUMBER(G109), (G109 - $B109) / $B109, "")</f>
        <v>-8.7463556851311124E-3</v>
      </c>
      <c r="I109" s="91">
        <f>IF(ISNUMBER(G109), $B118 * H109, "")</f>
        <v>-1311.9533527696669</v>
      </c>
      <c r="J109" s="15">
        <v>34.4</v>
      </c>
      <c r="K109" s="32">
        <f t="shared" ref="K109:K112" si="56">IF(ISNUMBER(J109), (J109 - $B109) / $B109, "")</f>
        <v>2.9154518950437734E-3</v>
      </c>
      <c r="L109" s="18">
        <f>IF(ISNUMBER(J109), $B118 * K109, "")</f>
        <v>437.31778425656603</v>
      </c>
      <c r="M109" s="31">
        <v>35.799999999999997</v>
      </c>
      <c r="N109" s="32">
        <f t="shared" ref="N109:N112" si="57">IF(ISNUMBER(M109), (M109 - $B109) / $B109, "")</f>
        <v>4.3731778425655982E-2</v>
      </c>
      <c r="O109" s="18">
        <f>IF(ISNUMBER(M109), $B118 * N109, "")</f>
        <v>6559.7667638483972</v>
      </c>
      <c r="Q109" s="153"/>
      <c r="R109" s="154"/>
      <c r="S109" s="155"/>
    </row>
    <row r="110" spans="1:19" ht="17.25" thickBot="1">
      <c r="A110" s="109" t="s">
        <v>183</v>
      </c>
      <c r="B110" s="110">
        <v>155</v>
      </c>
      <c r="C110" s="70">
        <v>4.7297297299999999E-2</v>
      </c>
      <c r="D110" s="15">
        <v>166</v>
      </c>
      <c r="E110" s="32">
        <f t="shared" si="54"/>
        <v>7.0967741935483872E-2</v>
      </c>
      <c r="F110" s="18">
        <f>IF(ISNUMBER(D110), $B118 * E110, "")</f>
        <v>10645.161290322581</v>
      </c>
      <c r="G110" s="31">
        <v>162</v>
      </c>
      <c r="H110" s="32">
        <f t="shared" si="55"/>
        <v>4.5161290322580643E-2</v>
      </c>
      <c r="I110" s="91">
        <f>IF(ISNUMBER(G110), $B118 * H110, "")</f>
        <v>6774.1935483870966</v>
      </c>
      <c r="J110" s="15">
        <v>163</v>
      </c>
      <c r="K110" s="32">
        <f t="shared" si="56"/>
        <v>5.1612903225806452E-2</v>
      </c>
      <c r="L110" s="18">
        <f>IF(ISNUMBER(J110), $B118 * K110, "")</f>
        <v>7741.9354838709678</v>
      </c>
      <c r="M110" s="31">
        <v>169</v>
      </c>
      <c r="N110" s="32">
        <f t="shared" si="57"/>
        <v>9.0322580645161285E-2</v>
      </c>
      <c r="O110" s="18">
        <f>IF(ISNUMBER(M110), $B118 * N110, "")</f>
        <v>13548.387096774193</v>
      </c>
      <c r="Q110" s="146"/>
      <c r="R110" s="146"/>
      <c r="S110" s="146"/>
    </row>
    <row r="111" spans="1:19" ht="17.25" thickBot="1">
      <c r="A111" s="109" t="s">
        <v>120</v>
      </c>
      <c r="B111" s="110">
        <v>133</v>
      </c>
      <c r="C111" s="70">
        <v>4.72440945E-2</v>
      </c>
      <c r="D111" s="15">
        <v>141</v>
      </c>
      <c r="E111" s="32">
        <f t="shared" si="54"/>
        <v>6.0150375939849621E-2</v>
      </c>
      <c r="F111" s="18">
        <f>IF(ISNUMBER(D111), $B118 * E111, "")</f>
        <v>9022.5563909774428</v>
      </c>
      <c r="G111" s="31">
        <v>136</v>
      </c>
      <c r="H111" s="32">
        <f t="shared" si="55"/>
        <v>2.2556390977443608E-2</v>
      </c>
      <c r="I111" s="91">
        <f>IF(ISNUMBER(G111), $B118 * H111, "")</f>
        <v>3383.458646616541</v>
      </c>
      <c r="J111" s="15">
        <v>139</v>
      </c>
      <c r="K111" s="32">
        <f t="shared" si="56"/>
        <v>4.5112781954887216E-2</v>
      </c>
      <c r="L111" s="18">
        <f>IF(ISNUMBER(J111), $B118 * K111, "")</f>
        <v>6766.9172932330821</v>
      </c>
      <c r="M111" s="31">
        <v>146</v>
      </c>
      <c r="N111" s="32">
        <f t="shared" si="57"/>
        <v>9.7744360902255634E-2</v>
      </c>
      <c r="O111" s="18">
        <f>IF(ISNUMBER(M111), $B118 * N111, "")</f>
        <v>14661.654135338345</v>
      </c>
      <c r="Q111" s="156"/>
      <c r="R111" s="156"/>
      <c r="S111" s="156"/>
    </row>
    <row r="112" spans="1:19" ht="17.25" thickBot="1">
      <c r="A112" s="111" t="s">
        <v>191</v>
      </c>
      <c r="B112" s="112">
        <v>82.7</v>
      </c>
      <c r="C112" s="71">
        <v>4.4191919199999999E-2</v>
      </c>
      <c r="D112" s="20">
        <v>100</v>
      </c>
      <c r="E112" s="21">
        <f t="shared" si="54"/>
        <v>0.20918984280532038</v>
      </c>
      <c r="F112" s="22">
        <f>IF(ISNUMBER(D112), $B118 * E112, "")</f>
        <v>31378.476420798059</v>
      </c>
      <c r="G112" s="30">
        <v>96.3</v>
      </c>
      <c r="H112" s="21">
        <f t="shared" si="55"/>
        <v>0.1644498186215235</v>
      </c>
      <c r="I112" s="95">
        <f>IF(ISNUMBER(G112), $B118 * H112, "")</f>
        <v>24667.472793228524</v>
      </c>
      <c r="J112" s="20">
        <v>99.4</v>
      </c>
      <c r="K112" s="21">
        <f t="shared" si="56"/>
        <v>0.20193470374848854</v>
      </c>
      <c r="L112" s="22">
        <f>IF(ISNUMBER(J112), $B118 * K112, "")</f>
        <v>30290.205562273281</v>
      </c>
      <c r="M112" s="30">
        <v>99.8</v>
      </c>
      <c r="N112" s="21">
        <f t="shared" si="57"/>
        <v>0.20677146311970973</v>
      </c>
      <c r="O112" s="22">
        <f>IF(ISNUMBER(M112), $B118 * N112, "")</f>
        <v>31015.71946795646</v>
      </c>
      <c r="Q112" s="156"/>
      <c r="R112" s="156"/>
      <c r="S112" s="156"/>
    </row>
    <row r="113" spans="1:19" ht="17.25" thickBot="1">
      <c r="A113" s="109" t="s">
        <v>81</v>
      </c>
      <c r="B113" s="113">
        <v>456</v>
      </c>
      <c r="C113" s="73">
        <v>4.1095890400000001E-2</v>
      </c>
      <c r="D113" s="96">
        <v>453</v>
      </c>
      <c r="E113" s="97">
        <f>IF(ISNUMBER(D113), (D113 - $B113) / $B113, "")</f>
        <v>-6.5789473684210523E-3</v>
      </c>
      <c r="F113" s="98">
        <f>IF(ISNUMBER(D113), $B118 * E113, "")</f>
        <v>-986.8421052631578</v>
      </c>
      <c r="G113" s="99">
        <v>447</v>
      </c>
      <c r="H113" s="97">
        <f>IF(ISNUMBER(G113), (G113 - $B113) / $B113, "")</f>
        <v>-1.9736842105263157E-2</v>
      </c>
      <c r="I113" s="100">
        <f>IF(ISNUMBER(G113), $B118 * H113, "")</f>
        <v>-2960.5263157894733</v>
      </c>
      <c r="J113" s="96">
        <v>450</v>
      </c>
      <c r="K113" s="97">
        <f>IF(ISNUMBER(J113), (J113 - $B113) / $B113, "")</f>
        <v>-1.3157894736842105E-2</v>
      </c>
      <c r="L113" s="98">
        <f>IF(ISNUMBER(J113), $B118 * K113, "")</f>
        <v>-1973.6842105263156</v>
      </c>
      <c r="M113" s="99">
        <v>477</v>
      </c>
      <c r="N113" s="97">
        <f>IF(ISNUMBER(M113), (M113 - $B113) / $B113, "")</f>
        <v>4.6052631578947366E-2</v>
      </c>
      <c r="O113" s="98">
        <f>IF(ISNUMBER(M113), $B118 * N113, "")</f>
        <v>6907.894736842105</v>
      </c>
      <c r="Q113" s="146"/>
      <c r="R113" s="146"/>
      <c r="S113" s="146"/>
    </row>
    <row r="114" spans="1:19" ht="17.25" thickBot="1">
      <c r="A114" s="109" t="s">
        <v>227</v>
      </c>
      <c r="B114" s="110">
        <v>58.3</v>
      </c>
      <c r="C114" s="70">
        <v>4.1071428600000001E-2</v>
      </c>
      <c r="D114" s="15">
        <v>65.7</v>
      </c>
      <c r="E114" s="32">
        <f t="shared" ref="E114:E117" si="58">IF(ISNUMBER(D114), (D114 - $B114) / $B114, "")</f>
        <v>0.12692967409948552</v>
      </c>
      <c r="F114" s="18">
        <f>IF(ISNUMBER(D114), $B118 * E114, "")</f>
        <v>19039.451114922827</v>
      </c>
      <c r="G114" s="31">
        <v>63.6</v>
      </c>
      <c r="H114" s="32">
        <f t="shared" ref="H114:H117" si="59">IF(ISNUMBER(G114), (G114 - $B114) / $B114, "")</f>
        <v>9.0909090909090981E-2</v>
      </c>
      <c r="I114" s="91">
        <f>IF(ISNUMBER(G114), $B118 * H114, "")</f>
        <v>13636.363636363647</v>
      </c>
      <c r="J114" s="15">
        <v>64.400000000000006</v>
      </c>
      <c r="K114" s="32">
        <f t="shared" ref="K114:K117" si="60">IF(ISNUMBER(J114), (J114 - $B114) / $B114, "")</f>
        <v>0.10463121783876515</v>
      </c>
      <c r="L114" s="18">
        <f>IF(ISNUMBER(J114), $B118 * K114, "")</f>
        <v>15694.682675814773</v>
      </c>
      <c r="M114" s="31">
        <v>64.900000000000006</v>
      </c>
      <c r="N114" s="32">
        <f t="shared" ref="N114:N117" si="61">IF(ISNUMBER(M114), (M114 - $B114) / $B114, "")</f>
        <v>0.11320754716981148</v>
      </c>
      <c r="O114" s="18">
        <f>IF(ISNUMBER(M114), $B118 * N114, "")</f>
        <v>16981.13207547172</v>
      </c>
      <c r="Q114" s="146"/>
      <c r="R114" s="146"/>
      <c r="S114" s="146"/>
    </row>
    <row r="115" spans="1:19" ht="17.25" thickBot="1">
      <c r="A115" s="109" t="s">
        <v>319</v>
      </c>
      <c r="B115" s="110">
        <v>206</v>
      </c>
      <c r="C115" s="70">
        <v>4.0404040400000001E-2</v>
      </c>
      <c r="D115" s="15">
        <v>218</v>
      </c>
      <c r="E115" s="32">
        <f t="shared" si="58"/>
        <v>5.8252427184466021E-2</v>
      </c>
      <c r="F115" s="18">
        <f>IF(ISNUMBER(D115), $B118 * E115, "")</f>
        <v>8737.8640776699031</v>
      </c>
      <c r="G115" s="31">
        <v>208</v>
      </c>
      <c r="H115" s="32">
        <f t="shared" si="59"/>
        <v>9.7087378640776691E-3</v>
      </c>
      <c r="I115" s="91">
        <f>IF(ISNUMBER(G115), $B118 * H115, "")</f>
        <v>1456.3106796116504</v>
      </c>
      <c r="J115" s="15">
        <v>213</v>
      </c>
      <c r="K115" s="32">
        <f t="shared" si="60"/>
        <v>3.3980582524271843E-2</v>
      </c>
      <c r="L115" s="18">
        <f>IF(ISNUMBER(J115), $B118 * K115, "")</f>
        <v>5097.0873786407765</v>
      </c>
      <c r="M115" s="31">
        <v>221</v>
      </c>
      <c r="N115" s="32">
        <f t="shared" si="61"/>
        <v>7.281553398058252E-2</v>
      </c>
      <c r="O115" s="18">
        <f>IF(ISNUMBER(M115), $B118 * N115, "")</f>
        <v>10922.330097087379</v>
      </c>
      <c r="Q115" s="146"/>
      <c r="R115" s="146"/>
      <c r="S115" s="146"/>
    </row>
    <row r="116" spans="1:19">
      <c r="A116" s="109" t="s">
        <v>334</v>
      </c>
      <c r="B116" s="110">
        <v>47.2</v>
      </c>
      <c r="C116" s="70">
        <v>3.9647577099999998E-2</v>
      </c>
      <c r="D116" s="15">
        <v>49.9</v>
      </c>
      <c r="E116" s="32">
        <f t="shared" si="58"/>
        <v>5.7203389830508378E-2</v>
      </c>
      <c r="F116" s="18">
        <f>IF(ISNUMBER(D116), $B118 * E116, "")</f>
        <v>8580.508474576256</v>
      </c>
      <c r="G116" s="31">
        <v>55.7</v>
      </c>
      <c r="H116" s="32">
        <f t="shared" si="59"/>
        <v>0.18008474576271186</v>
      </c>
      <c r="I116" s="91">
        <f>IF(ISNUMBER(G116), $B118 * H116, "")</f>
        <v>27012.711864406778</v>
      </c>
      <c r="J116" s="15">
        <v>57.2</v>
      </c>
      <c r="K116" s="32">
        <f t="shared" si="60"/>
        <v>0.21186440677966101</v>
      </c>
      <c r="L116" s="18">
        <f>IF(ISNUMBER(J116), $B118 * K116, "")</f>
        <v>31779.661016949151</v>
      </c>
      <c r="M116" s="31">
        <v>57.9</v>
      </c>
      <c r="N116" s="32">
        <f t="shared" si="61"/>
        <v>0.22669491525423718</v>
      </c>
      <c r="O116" s="18">
        <f>IF(ISNUMBER(M116), $B118 * N116, "")</f>
        <v>34004.237288135577</v>
      </c>
      <c r="Q116" s="135"/>
      <c r="R116" s="136"/>
      <c r="S116" s="137"/>
    </row>
    <row r="117" spans="1:19" ht="17.25" thickBot="1">
      <c r="A117" s="114" t="s">
        <v>64</v>
      </c>
      <c r="B117" s="115">
        <v>13.4</v>
      </c>
      <c r="C117" s="72">
        <v>3.8759689899999998E-2</v>
      </c>
      <c r="D117" s="24">
        <v>13.7</v>
      </c>
      <c r="E117" s="25">
        <f t="shared" si="58"/>
        <v>2.2388059701492456E-2</v>
      </c>
      <c r="F117" s="94">
        <f>IF(ISNUMBER(D117), $B118 * E117, "")</f>
        <v>3358.2089552238685</v>
      </c>
      <c r="G117" s="92">
        <v>13.5</v>
      </c>
      <c r="H117" s="25">
        <f t="shared" si="59"/>
        <v>7.4626865671641521E-3</v>
      </c>
      <c r="I117" s="93">
        <f>IF(ISNUMBER(G117), $B118 * H117, "")</f>
        <v>1119.4029850746228</v>
      </c>
      <c r="J117" s="24">
        <v>13.4</v>
      </c>
      <c r="K117" s="25">
        <f t="shared" si="60"/>
        <v>0</v>
      </c>
      <c r="L117" s="94">
        <f>IF(ISNUMBER(J117), $B118 * K117, "")</f>
        <v>0</v>
      </c>
      <c r="M117" s="92">
        <v>14.3</v>
      </c>
      <c r="N117" s="25">
        <f t="shared" si="61"/>
        <v>6.7164179104477639E-2</v>
      </c>
      <c r="O117" s="94">
        <f>IF(ISNUMBER(M117), $B118 * N117, "")</f>
        <v>10074.626865671646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8.7123450870429886E-2</v>
      </c>
      <c r="F118" s="28">
        <f>SUM(F98:F117)</f>
        <v>261370.35261128959</v>
      </c>
      <c r="G118" s="26" t="s">
        <v>258</v>
      </c>
      <c r="H118" s="27">
        <f>IF(COUNT(H98:H117), SUM(H98:H117) / COUNT(H98:H117), 0)</f>
        <v>4.3789087637708092E-2</v>
      </c>
      <c r="I118" s="28">
        <f>SUM(I98:I117)</f>
        <v>131367.26291312426</v>
      </c>
      <c r="J118" s="26" t="s">
        <v>258</v>
      </c>
      <c r="K118" s="27">
        <f>IF(COUNT(K98:K117), SUM(K98:K117) / COUNT(K98:K117), 0)</f>
        <v>5.6905862683585016E-2</v>
      </c>
      <c r="L118" s="28">
        <f>SUM(L98:L117)</f>
        <v>170717.58805075509</v>
      </c>
      <c r="M118" s="26" t="s">
        <v>258</v>
      </c>
      <c r="N118" s="27">
        <f>IF(COUNT(N98:N117), SUM(N98:N117) / COUNT(N98:N117), 0)</f>
        <v>9.2827634220406421E-2</v>
      </c>
      <c r="O118" s="28">
        <f>SUM(O98:O117)</f>
        <v>278482.90266121924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2023-03-14(화) 오전 00:00</v>
      </c>
      <c r="C123" s="198"/>
      <c r="D123" s="170" t="str">
        <f>TEXT($G$1, "[$-ko-KR]yyyy-mm-dd(ddd) ") &amp; "오후 14:00"</f>
        <v>2023-03-14(화) 오후 14:00</v>
      </c>
      <c r="E123" s="171"/>
      <c r="F123" s="172"/>
      <c r="G123" s="170" t="str">
        <f>TEXT($G$1, "[$-ko-KR]yyyy-mm-dd(ddd) ") &amp; "오후 19:00"</f>
        <v>2023-03-14(화) 오후 19:00</v>
      </c>
      <c r="H123" s="171"/>
      <c r="I123" s="172"/>
      <c r="J123" s="170" t="str">
        <f>TEXT($G$1, "[$-ko-KR]yyyy-mm-dd(ddd) ") &amp; "오후 21:00"</f>
        <v>2023-03-14(화) 오후 21:00</v>
      </c>
      <c r="K123" s="171"/>
      <c r="L123" s="172"/>
      <c r="M123" s="170" t="str">
        <f>TEXT($G$1+1, "[$-ko-KR]yyyy-mm-dd(ddd) ") &amp; "오전 00:00"</f>
        <v>2023-03-15(수)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71</v>
      </c>
      <c r="B125" s="108">
        <v>13.2</v>
      </c>
      <c r="C125" s="69">
        <v>3.125E-2</v>
      </c>
      <c r="D125" s="13">
        <v>13.9</v>
      </c>
      <c r="E125" s="14">
        <f>IF(ISNUMBER(D125), (D125 - $B125) / $B125, "")</f>
        <v>5.3030303030303115E-2</v>
      </c>
      <c r="F125" s="16">
        <f>IF(ISNUMBER(D125), $B145 * E125, "")</f>
        <v>7954.5454545454677</v>
      </c>
      <c r="G125" s="29">
        <v>13.4</v>
      </c>
      <c r="H125" s="14">
        <f>IF(ISNUMBER(G125), (G125 - $B125) / $B125, "")</f>
        <v>1.5151515151515233E-2</v>
      </c>
      <c r="I125" s="90">
        <f>IF(ISNUMBER(G125), $B145 * H125, "")</f>
        <v>2272.7272727272848</v>
      </c>
      <c r="J125" s="13">
        <v>13.6</v>
      </c>
      <c r="K125" s="14">
        <f>IF(ISNUMBER(J125), (J125 - $B125) / $B125, "")</f>
        <v>3.0303030303030332E-2</v>
      </c>
      <c r="L125" s="16">
        <f>IF(ISNUMBER(J125), $B145 * K125, "")</f>
        <v>4545.4545454545496</v>
      </c>
      <c r="M125" s="29">
        <v>14.5</v>
      </c>
      <c r="N125" s="14">
        <f>IF(ISNUMBER(M125), (M125 - $B125) / $B125, "")</f>
        <v>9.848484848484855E-2</v>
      </c>
      <c r="O125" s="16">
        <f>IF(ISNUMBER(M125), $B145 * N125, "")</f>
        <v>14772.727272727283</v>
      </c>
      <c r="Q125" s="156"/>
      <c r="R125" s="156"/>
      <c r="S125" s="156"/>
    </row>
    <row r="126" spans="1:19" ht="17.25" thickBot="1">
      <c r="A126" s="109" t="s">
        <v>126</v>
      </c>
      <c r="B126" s="110">
        <v>33.4</v>
      </c>
      <c r="C126" s="70">
        <v>3.0864197499999999E-2</v>
      </c>
      <c r="D126" s="15">
        <v>35</v>
      </c>
      <c r="E126" s="32">
        <f t="shared" ref="E126:E129" si="62">IF(ISNUMBER(D126), (D126 - $B126) / $B126, "")</f>
        <v>4.7904191616766512E-2</v>
      </c>
      <c r="F126" s="18">
        <f>IF(ISNUMBER(D126), $B145 * E126, "")</f>
        <v>7185.6287425149767</v>
      </c>
      <c r="G126" s="31">
        <v>34.299999999999997</v>
      </c>
      <c r="H126" s="32">
        <f t="shared" ref="H126:H129" si="63">IF(ISNUMBER(G126), (G126 - $B126) / $B126, "")</f>
        <v>2.6946107784431097E-2</v>
      </c>
      <c r="I126" s="91">
        <f>IF(ISNUMBER(G126), $B145 * H126, "")</f>
        <v>4041.9161676646645</v>
      </c>
      <c r="J126" s="15">
        <v>34.9</v>
      </c>
      <c r="K126" s="32">
        <f t="shared" ref="K126:K129" si="64">IF(ISNUMBER(J126), (J126 - $B126) / $B126, "")</f>
        <v>4.4910179640718563E-2</v>
      </c>
      <c r="L126" s="18">
        <f>IF(ISNUMBER(J126), $B145 * K126, "")</f>
        <v>6736.5269461077842</v>
      </c>
      <c r="M126" s="31">
        <v>38</v>
      </c>
      <c r="N126" s="32">
        <f t="shared" ref="N126:N129" si="65">IF(ISNUMBER(M126), (M126 - $B126) / $B126, "")</f>
        <v>0.13772455089820365</v>
      </c>
      <c r="O126" s="18">
        <f>IF(ISNUMBER(M126), $B145 * N126, "")</f>
        <v>20658.682634730547</v>
      </c>
      <c r="Q126" s="156"/>
      <c r="R126" s="156"/>
      <c r="S126" s="156"/>
    </row>
    <row r="127" spans="1:19" ht="17.25" thickBot="1">
      <c r="A127" s="109" t="s">
        <v>155</v>
      </c>
      <c r="B127" s="110">
        <v>33.6</v>
      </c>
      <c r="C127" s="70">
        <v>3.06748466E-2</v>
      </c>
      <c r="D127" s="15">
        <v>35</v>
      </c>
      <c r="E127" s="32">
        <f t="shared" si="62"/>
        <v>4.1666666666666623E-2</v>
      </c>
      <c r="F127" s="18">
        <f>IF(ISNUMBER(D127), $B145 * E127, "")</f>
        <v>6249.9999999999936</v>
      </c>
      <c r="G127" s="31">
        <v>34</v>
      </c>
      <c r="H127" s="32">
        <f t="shared" si="63"/>
        <v>1.1904761904761862E-2</v>
      </c>
      <c r="I127" s="91">
        <f>IF(ISNUMBER(G127), $B145 * H127, "")</f>
        <v>1785.7142857142794</v>
      </c>
      <c r="J127" s="15">
        <v>34.5</v>
      </c>
      <c r="K127" s="32">
        <f t="shared" si="64"/>
        <v>2.6785714285714243E-2</v>
      </c>
      <c r="L127" s="18">
        <f>IF(ISNUMBER(J127), $B145 * K127, "")</f>
        <v>4017.8571428571363</v>
      </c>
      <c r="M127" s="31">
        <v>35.700000000000003</v>
      </c>
      <c r="N127" s="32">
        <f t="shared" si="65"/>
        <v>6.2500000000000042E-2</v>
      </c>
      <c r="O127" s="18">
        <f>IF(ISNUMBER(M127), $B145 * N127, "")</f>
        <v>9375.0000000000055</v>
      </c>
      <c r="Q127" s="146"/>
      <c r="R127" s="146"/>
      <c r="S127" s="146"/>
    </row>
    <row r="128" spans="1:19" ht="17.25" thickBot="1">
      <c r="A128" s="109" t="s">
        <v>338</v>
      </c>
      <c r="B128" s="110">
        <v>3.9300000000000002E-2</v>
      </c>
      <c r="C128" s="70">
        <v>2.8795811500000001E-2</v>
      </c>
      <c r="D128" s="15">
        <v>4.1200000000000001E-2</v>
      </c>
      <c r="E128" s="32">
        <f t="shared" si="62"/>
        <v>4.8346055979643733E-2</v>
      </c>
      <c r="F128" s="18">
        <f>IF(ISNUMBER(D128), $B145 * E128, "")</f>
        <v>7251.9083969465601</v>
      </c>
      <c r="G128" s="31">
        <v>3.9699999999999999E-2</v>
      </c>
      <c r="H128" s="32">
        <f t="shared" si="63"/>
        <v>1.0178117048345994E-2</v>
      </c>
      <c r="I128" s="91">
        <f>IF(ISNUMBER(G128), $B145 * H128, "")</f>
        <v>1526.7175572518991</v>
      </c>
      <c r="J128" s="15">
        <v>4.0099999999999997E-2</v>
      </c>
      <c r="K128" s="32">
        <f t="shared" si="64"/>
        <v>2.0356234096691989E-2</v>
      </c>
      <c r="L128" s="18">
        <f>IF(ISNUMBER(J128), $B145 * K128, "")</f>
        <v>3053.4351145037981</v>
      </c>
      <c r="M128" s="31">
        <v>4.2200000000000001E-2</v>
      </c>
      <c r="N128" s="32">
        <f t="shared" si="65"/>
        <v>7.3791348600508899E-2</v>
      </c>
      <c r="O128" s="18">
        <f>IF(ISNUMBER(M128), $B145 * N128, "")</f>
        <v>11068.702290076335</v>
      </c>
      <c r="Q128" s="146"/>
      <c r="R128" s="146"/>
      <c r="S128" s="146"/>
    </row>
    <row r="129" spans="1:19" ht="17.25" thickBot="1">
      <c r="A129" s="111" t="s">
        <v>118</v>
      </c>
      <c r="B129" s="112">
        <v>7.61</v>
      </c>
      <c r="C129" s="71">
        <v>2.6990553300000001E-2</v>
      </c>
      <c r="D129" s="20">
        <v>7.97</v>
      </c>
      <c r="E129" s="21">
        <f t="shared" si="62"/>
        <v>4.7306176084099795E-2</v>
      </c>
      <c r="F129" s="22">
        <f>IF(ISNUMBER(D129), $B145 * E129, "")</f>
        <v>7095.9264126149692</v>
      </c>
      <c r="G129" s="30">
        <v>7.68</v>
      </c>
      <c r="H129" s="21">
        <f t="shared" si="63"/>
        <v>9.1984231274637833E-3</v>
      </c>
      <c r="I129" s="95">
        <f>IF(ISNUMBER(G129), $B145 * H129, "")</f>
        <v>1379.7634691195674</v>
      </c>
      <c r="J129" s="20">
        <v>7.82</v>
      </c>
      <c r="K129" s="21">
        <f t="shared" si="64"/>
        <v>2.7595269382391586E-2</v>
      </c>
      <c r="L129" s="22">
        <f>IF(ISNUMBER(J129), $B145 * K129, "")</f>
        <v>4139.2904073587379</v>
      </c>
      <c r="M129" s="30">
        <v>8.25</v>
      </c>
      <c r="N129" s="21">
        <f t="shared" si="65"/>
        <v>8.4099868593955282E-2</v>
      </c>
      <c r="O129" s="22">
        <f>IF(ISNUMBER(M129), $B145 * N129, "")</f>
        <v>12614.980289093292</v>
      </c>
      <c r="Q129" s="146"/>
      <c r="R129" s="146"/>
      <c r="S129" s="146"/>
    </row>
    <row r="130" spans="1:19" ht="17.25" thickBot="1">
      <c r="A130" s="109" t="s">
        <v>217</v>
      </c>
      <c r="B130" s="113">
        <v>87.6</v>
      </c>
      <c r="C130" s="73">
        <v>2.6963657700000001E-2</v>
      </c>
      <c r="D130" s="96">
        <v>94.1</v>
      </c>
      <c r="E130" s="97">
        <f>IF(ISNUMBER(D130), (D130 - $B130) / $B130, "")</f>
        <v>7.4200913242009142E-2</v>
      </c>
      <c r="F130" s="98">
        <f>IF(ISNUMBER(D130), $B145 * E130, "")</f>
        <v>11130.136986301372</v>
      </c>
      <c r="G130" s="99">
        <v>90.8</v>
      </c>
      <c r="H130" s="97">
        <f>IF(ISNUMBER(G130), (G130 - $B130) / $B130, "")</f>
        <v>3.6529680365296836E-2</v>
      </c>
      <c r="I130" s="100">
        <f>IF(ISNUMBER(G130), $B145 * H130, "")</f>
        <v>5479.4520547945258</v>
      </c>
      <c r="J130" s="96">
        <v>91.1</v>
      </c>
      <c r="K130" s="97">
        <f>IF(ISNUMBER(J130), (J130 - $B130) / $B130, "")</f>
        <v>3.9954337899543384E-2</v>
      </c>
      <c r="L130" s="98">
        <f>IF(ISNUMBER(J130), $B145 * K130, "")</f>
        <v>5993.1506849315074</v>
      </c>
      <c r="M130" s="99">
        <v>95</v>
      </c>
      <c r="N130" s="97">
        <f>IF(ISNUMBER(M130), (M130 - $B130) / $B130, "")</f>
        <v>8.4474885844748923E-2</v>
      </c>
      <c r="O130" s="98">
        <f>IF(ISNUMBER(M130), $B145 * N130, "")</f>
        <v>12671.232876712338</v>
      </c>
      <c r="Q130" s="146"/>
      <c r="R130" s="146"/>
      <c r="S130" s="146"/>
    </row>
    <row r="131" spans="1:19" ht="17.25" thickBot="1">
      <c r="A131" s="109" t="s">
        <v>323</v>
      </c>
      <c r="B131" s="110">
        <v>92.3</v>
      </c>
      <c r="C131" s="70">
        <v>2.5555555600000002E-2</v>
      </c>
      <c r="D131" s="15">
        <v>94.7</v>
      </c>
      <c r="E131" s="32">
        <f t="shared" ref="E131:E134" si="66">IF(ISNUMBER(D131), (D131 - $B131) / $B131, "")</f>
        <v>2.6002166847237333E-2</v>
      </c>
      <c r="F131" s="18">
        <f>IF(ISNUMBER(D131), $B145 * E131, "")</f>
        <v>3900.3250270855997</v>
      </c>
      <c r="G131" s="31">
        <v>92.9</v>
      </c>
      <c r="H131" s="32">
        <f t="shared" ref="H131:H134" si="67">IF(ISNUMBER(G131), (G131 - $B131) / $B131, "")</f>
        <v>6.5005417118094103E-3</v>
      </c>
      <c r="I131" s="91">
        <f>IF(ISNUMBER(G131), $B145 * H131, "")</f>
        <v>975.08125677141152</v>
      </c>
      <c r="J131" s="15">
        <v>94.9</v>
      </c>
      <c r="K131" s="32">
        <f t="shared" ref="K131:K134" si="68">IF(ISNUMBER(J131), (J131 - $B131) / $B131, "")</f>
        <v>2.8169014084507137E-2</v>
      </c>
      <c r="L131" s="18">
        <f>IF(ISNUMBER(J131), $B145 * K131, "")</f>
        <v>4225.3521126760706</v>
      </c>
      <c r="M131" s="31">
        <v>97.8</v>
      </c>
      <c r="N131" s="32">
        <f t="shared" ref="N131:N134" si="69">IF(ISNUMBER(M131), (M131 - $B131) / $B131, "")</f>
        <v>5.9588299024918745E-2</v>
      </c>
      <c r="O131" s="18">
        <f>IF(ISNUMBER(M131), $B145 * N131, "")</f>
        <v>8938.2448537378114</v>
      </c>
      <c r="Q131" s="146"/>
      <c r="R131" s="146"/>
      <c r="S131" s="146"/>
    </row>
    <row r="132" spans="1:19" ht="17.25" thickBot="1">
      <c r="A132" s="109" t="s">
        <v>221</v>
      </c>
      <c r="B132" s="110">
        <v>24.1</v>
      </c>
      <c r="C132" s="70">
        <v>2.5531914900000001E-2</v>
      </c>
      <c r="D132" s="15">
        <v>25.5</v>
      </c>
      <c r="E132" s="32">
        <f t="shared" si="66"/>
        <v>5.8091286307053881E-2</v>
      </c>
      <c r="F132" s="18">
        <f>IF(ISNUMBER(D132), $B145 * E132, "")</f>
        <v>8713.6929460580814</v>
      </c>
      <c r="G132" s="31">
        <v>24.7</v>
      </c>
      <c r="H132" s="32">
        <f t="shared" si="67"/>
        <v>2.4896265560165887E-2</v>
      </c>
      <c r="I132" s="91">
        <f>IF(ISNUMBER(G132), $B145 * H132, "")</f>
        <v>3734.4398340248831</v>
      </c>
      <c r="J132" s="15">
        <v>25</v>
      </c>
      <c r="K132" s="32">
        <f t="shared" si="68"/>
        <v>3.7344398340248899E-2</v>
      </c>
      <c r="L132" s="18">
        <f>IF(ISNUMBER(J132), $B145 * K132, "")</f>
        <v>5601.6597510373349</v>
      </c>
      <c r="M132" s="31">
        <v>26.1</v>
      </c>
      <c r="N132" s="32">
        <f t="shared" si="69"/>
        <v>8.2987551867219914E-2</v>
      </c>
      <c r="O132" s="18">
        <f>IF(ISNUMBER(M132), $B145 * N132, "")</f>
        <v>12448.132780082988</v>
      </c>
      <c r="Q132" s="146"/>
      <c r="R132" s="146"/>
      <c r="S132" s="146"/>
    </row>
    <row r="133" spans="1:19" ht="17.25" thickBot="1">
      <c r="A133" s="109" t="s">
        <v>107</v>
      </c>
      <c r="B133" s="110">
        <v>45.7</v>
      </c>
      <c r="C133" s="70">
        <v>2.46636771E-2</v>
      </c>
      <c r="D133" s="15">
        <v>50.8</v>
      </c>
      <c r="E133" s="32">
        <f t="shared" si="66"/>
        <v>0.11159737417943094</v>
      </c>
      <c r="F133" s="18">
        <f>IF(ISNUMBER(D133), $B145 * E133, "")</f>
        <v>16739.606126914641</v>
      </c>
      <c r="G133" s="31">
        <v>48.8</v>
      </c>
      <c r="H133" s="32">
        <f t="shared" si="67"/>
        <v>6.7833698030634451E-2</v>
      </c>
      <c r="I133" s="91">
        <f>IF(ISNUMBER(G133), $B145 * H133, "")</f>
        <v>10175.054704595168</v>
      </c>
      <c r="J133" s="15">
        <v>49.9</v>
      </c>
      <c r="K133" s="32">
        <f t="shared" si="68"/>
        <v>9.1903719912472551E-2</v>
      </c>
      <c r="L133" s="18">
        <f>IF(ISNUMBER(J133), $B145 * K133, "")</f>
        <v>13785.557986870883</v>
      </c>
      <c r="M133" s="31">
        <v>51</v>
      </c>
      <c r="N133" s="32">
        <f t="shared" si="69"/>
        <v>0.11597374179431065</v>
      </c>
      <c r="O133" s="18">
        <f>IF(ISNUMBER(M133), $B145 * N133, "")</f>
        <v>17396.061269146598</v>
      </c>
      <c r="Q133" s="33"/>
      <c r="R133" s="33"/>
    </row>
    <row r="134" spans="1:19" ht="17.25" thickBot="1">
      <c r="A134" s="114" t="s">
        <v>181</v>
      </c>
      <c r="B134" s="115">
        <v>5.23</v>
      </c>
      <c r="C134" s="72">
        <v>2.3483365900000001E-2</v>
      </c>
      <c r="D134" s="24">
        <v>5.47</v>
      </c>
      <c r="E134" s="25">
        <f t="shared" si="66"/>
        <v>4.5889101338431992E-2</v>
      </c>
      <c r="F134" s="94">
        <f>IF(ISNUMBER(D134), $B145 * E134, "")</f>
        <v>6883.3652007647988</v>
      </c>
      <c r="G134" s="92">
        <v>5.26</v>
      </c>
      <c r="H134" s="25">
        <f t="shared" si="67"/>
        <v>5.7361376673038924E-3</v>
      </c>
      <c r="I134" s="93">
        <f>IF(ISNUMBER(G134), $B145 * H134, "")</f>
        <v>860.42065009558382</v>
      </c>
      <c r="J134" s="24">
        <v>5.35</v>
      </c>
      <c r="K134" s="25">
        <f t="shared" si="68"/>
        <v>2.2944550669215909E-2</v>
      </c>
      <c r="L134" s="94">
        <f>IF(ISNUMBER(J134), $B145 * K134, "")</f>
        <v>3441.6826003823862</v>
      </c>
      <c r="M134" s="92">
        <v>5.59</v>
      </c>
      <c r="N134" s="25">
        <f t="shared" si="69"/>
        <v>6.8833652007648072E-2</v>
      </c>
      <c r="O134" s="94">
        <f>IF(ISNUMBER(M134), $B145 * N134, "")</f>
        <v>10325.047801147211</v>
      </c>
      <c r="Q134" s="147"/>
      <c r="R134" s="148"/>
      <c r="S134" s="149"/>
    </row>
    <row r="135" spans="1:19">
      <c r="A135" s="107" t="s">
        <v>195</v>
      </c>
      <c r="B135" s="108">
        <v>8.1999999999999993</v>
      </c>
      <c r="C135" s="69">
        <v>1.9900497499999999E-2</v>
      </c>
      <c r="D135" s="13">
        <v>8.73</v>
      </c>
      <c r="E135" s="14">
        <f>IF(ISNUMBER(D135), (D135 - $B135) / $B135, "")</f>
        <v>6.4634146341463555E-2</v>
      </c>
      <c r="F135" s="16">
        <f>IF(ISNUMBER(D135), $B145 * E135, "")</f>
        <v>9695.121951219533</v>
      </c>
      <c r="G135" s="29">
        <v>8.33</v>
      </c>
      <c r="H135" s="14">
        <f>IF(ISNUMBER(G135), (G135 - $B135) / $B135, "")</f>
        <v>1.5853658536585463E-2</v>
      </c>
      <c r="I135" s="90">
        <f>IF(ISNUMBER(G135), $B145 * H135, "")</f>
        <v>2378.0487804878194</v>
      </c>
      <c r="J135" s="13">
        <v>8.43</v>
      </c>
      <c r="K135" s="14">
        <f>IF(ISNUMBER(J135), (J135 - $B135) / $B135, "")</f>
        <v>2.8048780487804934E-2</v>
      </c>
      <c r="L135" s="16">
        <f>IF(ISNUMBER(J135), $B145 * K135, "")</f>
        <v>4207.3170731707405</v>
      </c>
      <c r="M135" s="29">
        <v>8.86</v>
      </c>
      <c r="N135" s="14">
        <f>IF(ISNUMBER(M135), (M135 - $B135) / $B135, "")</f>
        <v>8.048780487804881E-2</v>
      </c>
      <c r="O135" s="16">
        <f>IF(ISNUMBER(M135), $B145 * N135, "")</f>
        <v>12073.170731707321</v>
      </c>
      <c r="Q135" s="150"/>
      <c r="R135" s="151"/>
      <c r="S135" s="152"/>
    </row>
    <row r="136" spans="1:19" ht="17.25" thickBot="1">
      <c r="A136" s="109" t="s">
        <v>320</v>
      </c>
      <c r="B136" s="110">
        <v>5.7</v>
      </c>
      <c r="C136" s="70">
        <v>1.9677996400000002E-2</v>
      </c>
      <c r="D136" s="15">
        <v>6.1</v>
      </c>
      <c r="E136" s="32">
        <f t="shared" ref="E136:E139" si="70">IF(ISNUMBER(D136), (D136 - $B136) / $B136, "")</f>
        <v>7.0175438596491127E-2</v>
      </c>
      <c r="F136" s="18">
        <f>IF(ISNUMBER(D136), $B145 * E136, "")</f>
        <v>10526.315789473669</v>
      </c>
      <c r="G136" s="31">
        <v>5.86</v>
      </c>
      <c r="H136" s="32">
        <f t="shared" ref="H136:H139" si="71">IF(ISNUMBER(G136), (G136 - $B136) / $B136, "")</f>
        <v>2.8070175438596516E-2</v>
      </c>
      <c r="I136" s="91">
        <f>IF(ISNUMBER(G136), $B145 * H136, "")</f>
        <v>4210.5263157894778</v>
      </c>
      <c r="J136" s="15">
        <v>5.92</v>
      </c>
      <c r="K136" s="32">
        <f t="shared" ref="K136:K139" si="72">IF(ISNUMBER(J136), (J136 - $B136) / $B136, "")</f>
        <v>3.8596491228070129E-2</v>
      </c>
      <c r="L136" s="18">
        <f>IF(ISNUMBER(J136), $B145 * K136, "")</f>
        <v>5789.4736842105194</v>
      </c>
      <c r="M136" s="31">
        <v>6.22</v>
      </c>
      <c r="N136" s="32">
        <f t="shared" ref="N136:N139" si="73">IF(ISNUMBER(M136), (M136 - $B136) / $B136, "")</f>
        <v>9.1228070175438519E-2</v>
      </c>
      <c r="O136" s="18">
        <f>IF(ISNUMBER(M136), $B145 * N136, "")</f>
        <v>13684.210526315777</v>
      </c>
      <c r="Q136" s="153"/>
      <c r="R136" s="154"/>
      <c r="S136" s="155"/>
    </row>
    <row r="137" spans="1:19" ht="17.25" thickBot="1">
      <c r="A137" s="109" t="s">
        <v>193</v>
      </c>
      <c r="B137" s="110">
        <v>22.1</v>
      </c>
      <c r="C137" s="70">
        <v>1.84331797E-2</v>
      </c>
      <c r="D137" s="15">
        <v>23.2</v>
      </c>
      <c r="E137" s="32">
        <f t="shared" si="70"/>
        <v>4.9773755656108497E-2</v>
      </c>
      <c r="F137" s="18">
        <f>IF(ISNUMBER(D137), $B145 * E137, "")</f>
        <v>7466.0633484162745</v>
      </c>
      <c r="G137" s="31">
        <v>22.4</v>
      </c>
      <c r="H137" s="32">
        <f t="shared" si="71"/>
        <v>1.3574660633484033E-2</v>
      </c>
      <c r="I137" s="91">
        <f>IF(ISNUMBER(G137), $B145 * H137, "")</f>
        <v>2036.199095022605</v>
      </c>
      <c r="J137" s="15">
        <v>22.6</v>
      </c>
      <c r="K137" s="32">
        <f t="shared" si="72"/>
        <v>2.2624434389140271E-2</v>
      </c>
      <c r="L137" s="18">
        <f>IF(ISNUMBER(J137), $B145 * K137, "")</f>
        <v>3393.6651583710404</v>
      </c>
      <c r="M137" s="31">
        <v>23.7</v>
      </c>
      <c r="N137" s="32">
        <f t="shared" si="73"/>
        <v>7.2398190045248764E-2</v>
      </c>
      <c r="O137" s="18">
        <f>IF(ISNUMBER(M137), $B145 * N137, "")</f>
        <v>10859.728506787314</v>
      </c>
      <c r="Q137" s="146"/>
      <c r="R137" s="146"/>
      <c r="S137" s="146"/>
    </row>
    <row r="138" spans="1:19" ht="17.25" thickBot="1">
      <c r="A138" s="109" t="s">
        <v>332</v>
      </c>
      <c r="B138" s="110">
        <v>7.93</v>
      </c>
      <c r="C138" s="70">
        <v>1.6666666699999999E-2</v>
      </c>
      <c r="D138" s="15">
        <v>8.3000000000000007</v>
      </c>
      <c r="E138" s="32">
        <f t="shared" si="70"/>
        <v>4.6658259773014001E-2</v>
      </c>
      <c r="F138" s="18">
        <f>IF(ISNUMBER(D138), $B145 * E138, "")</f>
        <v>6998.7389659521004</v>
      </c>
      <c r="G138" s="31">
        <v>8.02</v>
      </c>
      <c r="H138" s="32">
        <f t="shared" si="71"/>
        <v>1.1349306431273626E-2</v>
      </c>
      <c r="I138" s="91">
        <f>IF(ISNUMBER(G138), $B145 * H138, "")</f>
        <v>1702.3959646910439</v>
      </c>
      <c r="J138" s="15">
        <v>8.15</v>
      </c>
      <c r="K138" s="32">
        <f t="shared" si="72"/>
        <v>2.7742749054224546E-2</v>
      </c>
      <c r="L138" s="18">
        <f>IF(ISNUMBER(J138), $B145 * K138, "")</f>
        <v>4161.4123581336817</v>
      </c>
      <c r="M138" s="31">
        <v>8.52</v>
      </c>
      <c r="N138" s="32">
        <f t="shared" si="73"/>
        <v>7.4401008827238324E-2</v>
      </c>
      <c r="O138" s="18">
        <f>IF(ISNUMBER(M138), $B145 * N138, "")</f>
        <v>11160.151324085749</v>
      </c>
      <c r="Q138" s="156"/>
      <c r="R138" s="156"/>
      <c r="S138" s="156"/>
    </row>
    <row r="139" spans="1:19" ht="17.25" thickBot="1">
      <c r="A139" s="111" t="s">
        <v>132</v>
      </c>
      <c r="B139" s="112">
        <v>67.3</v>
      </c>
      <c r="C139" s="71">
        <v>1.6616314199999999E-2</v>
      </c>
      <c r="D139" s="20">
        <v>72.8</v>
      </c>
      <c r="E139" s="21">
        <f t="shared" si="70"/>
        <v>8.1723625557206539E-2</v>
      </c>
      <c r="F139" s="22">
        <f>IF(ISNUMBER(D139), $B145 * E139, "")</f>
        <v>12258.543833580981</v>
      </c>
      <c r="G139" s="30">
        <v>73</v>
      </c>
      <c r="H139" s="21">
        <f t="shared" si="71"/>
        <v>8.4695393759286822E-2</v>
      </c>
      <c r="I139" s="95">
        <f>IF(ISNUMBER(G139), $B145 * H139, "")</f>
        <v>12704.309063893023</v>
      </c>
      <c r="J139" s="20">
        <v>74.599999999999994</v>
      </c>
      <c r="K139" s="21">
        <f t="shared" si="72"/>
        <v>0.10846953937592864</v>
      </c>
      <c r="L139" s="22">
        <f>IF(ISNUMBER(J139), $B145 * K139, "")</f>
        <v>16270.430906389296</v>
      </c>
      <c r="M139" s="30">
        <v>76.400000000000006</v>
      </c>
      <c r="N139" s="21">
        <f t="shared" si="73"/>
        <v>0.13521545319465095</v>
      </c>
      <c r="O139" s="22">
        <f>IF(ISNUMBER(M139), $B145 * N139, "")</f>
        <v>20282.317979197644</v>
      </c>
      <c r="Q139" s="156"/>
      <c r="R139" s="156"/>
      <c r="S139" s="156"/>
    </row>
    <row r="140" spans="1:19" ht="17.25" thickBot="1">
      <c r="A140" s="109" t="s">
        <v>317</v>
      </c>
      <c r="B140" s="113">
        <v>1.4500000000000001E-2</v>
      </c>
      <c r="C140" s="73">
        <v>1.3986014E-2</v>
      </c>
      <c r="D140" s="96">
        <v>1.46E-2</v>
      </c>
      <c r="E140" s="97">
        <f>IF(ISNUMBER(D140), (D140 - $B140) / $B140, "")</f>
        <v>6.8965517241378893E-3</v>
      </c>
      <c r="F140" s="98">
        <f>IF(ISNUMBER(D140), $B145 * E140, "")</f>
        <v>1034.4827586206834</v>
      </c>
      <c r="G140" s="99">
        <v>1.43E-2</v>
      </c>
      <c r="H140" s="97">
        <f>IF(ISNUMBER(G140), (G140 - $B140) / $B140, "")</f>
        <v>-1.3793103448275898E-2</v>
      </c>
      <c r="I140" s="100">
        <f>IF(ISNUMBER(G140), $B145 * H140, "")</f>
        <v>-2068.9655172413845</v>
      </c>
      <c r="J140" s="96">
        <v>1.4500000000000001E-2</v>
      </c>
      <c r="K140" s="97">
        <f>IF(ISNUMBER(J140), (J140 - $B140) / $B140, "")</f>
        <v>0</v>
      </c>
      <c r="L140" s="98">
        <f>IF(ISNUMBER(J140), $B145 * K140, "")</f>
        <v>0</v>
      </c>
      <c r="M140" s="99">
        <v>1.52E-2</v>
      </c>
      <c r="N140" s="97">
        <f>IF(ISNUMBER(M140), (M140 - $B140) / $B140, "")</f>
        <v>4.8275862068965461E-2</v>
      </c>
      <c r="O140" s="98">
        <f>IF(ISNUMBER(M140), $B145 * N140, "")</f>
        <v>7241.3793103448188</v>
      </c>
      <c r="Q140" s="146"/>
      <c r="R140" s="146"/>
      <c r="S140" s="146"/>
    </row>
    <row r="141" spans="1:19" ht="17.25" thickBot="1">
      <c r="A141" s="109" t="s">
        <v>56</v>
      </c>
      <c r="B141" s="110">
        <v>48.6</v>
      </c>
      <c r="C141" s="70">
        <v>1.2500000000000001E-2</v>
      </c>
      <c r="D141" s="15">
        <v>51.6</v>
      </c>
      <c r="E141" s="32">
        <f t="shared" ref="E141:E144" si="74">IF(ISNUMBER(D141), (D141 - $B141) / $B141, "")</f>
        <v>6.1728395061728392E-2</v>
      </c>
      <c r="F141" s="18">
        <f>IF(ISNUMBER(D141), $B145 * E141, "")</f>
        <v>9259.2592592592591</v>
      </c>
      <c r="G141" s="31">
        <v>49.8</v>
      </c>
      <c r="H141" s="32">
        <f t="shared" ref="H141:H144" si="75">IF(ISNUMBER(G141), (G141 - $B141) / $B141, "")</f>
        <v>2.469135802469127E-2</v>
      </c>
      <c r="I141" s="91">
        <f>IF(ISNUMBER(G141), $B145 * H141, "")</f>
        <v>3703.7037037036903</v>
      </c>
      <c r="J141" s="15">
        <v>50.3</v>
      </c>
      <c r="K141" s="32">
        <f t="shared" ref="K141:K144" si="76">IF(ISNUMBER(J141), (J141 - $B141) / $B141, "")</f>
        <v>3.4979423868312667E-2</v>
      </c>
      <c r="L141" s="18">
        <f>IF(ISNUMBER(J141), $B145 * K141, "")</f>
        <v>5246.9135802469</v>
      </c>
      <c r="M141" s="31">
        <v>52.6</v>
      </c>
      <c r="N141" s="32">
        <f t="shared" ref="N141:N144" si="77">IF(ISNUMBER(M141), (M141 - $B141) / $B141, "")</f>
        <v>8.2304526748971193E-2</v>
      </c>
      <c r="O141" s="18">
        <f>IF(ISNUMBER(M141), $B145 * N141, "")</f>
        <v>12345.679012345679</v>
      </c>
      <c r="Q141" s="146"/>
      <c r="R141" s="146"/>
      <c r="S141" s="146"/>
    </row>
    <row r="142" spans="1:19" ht="17.25" thickBot="1">
      <c r="A142" s="109" t="s">
        <v>124</v>
      </c>
      <c r="B142" s="110">
        <v>39.9</v>
      </c>
      <c r="C142" s="70">
        <v>1.0126582300000001E-2</v>
      </c>
      <c r="D142" s="15">
        <v>42.8</v>
      </c>
      <c r="E142" s="32">
        <f t="shared" si="74"/>
        <v>7.2681704260651597E-2</v>
      </c>
      <c r="F142" s="18">
        <f>IF(ISNUMBER(D142), $B145 * E142, "")</f>
        <v>10902.255639097739</v>
      </c>
      <c r="G142" s="31">
        <v>41.5</v>
      </c>
      <c r="H142" s="32">
        <f t="shared" si="75"/>
        <v>4.0100250626566455E-2</v>
      </c>
      <c r="I142" s="91">
        <f>IF(ISNUMBER(G142), $B145 * H142, "")</f>
        <v>6015.0375939849682</v>
      </c>
      <c r="J142" s="15">
        <v>42.3</v>
      </c>
      <c r="K142" s="32">
        <f t="shared" si="76"/>
        <v>6.0150375939849593E-2</v>
      </c>
      <c r="L142" s="18">
        <f>IF(ISNUMBER(J142), $B145 * K142, "")</f>
        <v>9022.5563909774392</v>
      </c>
      <c r="M142" s="31">
        <v>44.3</v>
      </c>
      <c r="N142" s="32">
        <f t="shared" si="77"/>
        <v>0.11027568922305761</v>
      </c>
      <c r="O142" s="18">
        <f>IF(ISNUMBER(M142), $B145 * N142, "")</f>
        <v>16541.353383458641</v>
      </c>
      <c r="Q142" s="146"/>
      <c r="R142" s="146"/>
      <c r="S142" s="146"/>
    </row>
    <row r="143" spans="1:19">
      <c r="A143" s="109" t="s">
        <v>253</v>
      </c>
      <c r="B143" s="110">
        <v>94.5</v>
      </c>
      <c r="C143" s="70">
        <v>9.6153846000000005E-3</v>
      </c>
      <c r="D143" s="15">
        <v>95.5</v>
      </c>
      <c r="E143" s="32">
        <f t="shared" si="74"/>
        <v>1.0582010582010581E-2</v>
      </c>
      <c r="F143" s="18">
        <f>IF(ISNUMBER(D143), $B145 * E143, "")</f>
        <v>1587.3015873015872</v>
      </c>
      <c r="G143" s="31">
        <v>94.1</v>
      </c>
      <c r="H143" s="32">
        <f t="shared" si="75"/>
        <v>-4.2328042328042929E-3</v>
      </c>
      <c r="I143" s="91">
        <f>IF(ISNUMBER(G143), $B145 * H143, "")</f>
        <v>-634.92063492064392</v>
      </c>
      <c r="J143" s="15">
        <v>95.2</v>
      </c>
      <c r="K143" s="32">
        <f t="shared" si="76"/>
        <v>7.4074074074074372E-3</v>
      </c>
      <c r="L143" s="18">
        <f>IF(ISNUMBER(J143), $B145 * K143, "")</f>
        <v>1111.1111111111156</v>
      </c>
      <c r="M143" s="31">
        <v>101</v>
      </c>
      <c r="N143" s="32">
        <f t="shared" si="77"/>
        <v>6.8783068783068779E-2</v>
      </c>
      <c r="O143" s="18">
        <f>IF(ISNUMBER(M143), $B145 * N143, "")</f>
        <v>10317.460317460316</v>
      </c>
      <c r="Q143" s="135"/>
      <c r="R143" s="136"/>
      <c r="S143" s="137"/>
    </row>
    <row r="144" spans="1:19" ht="17.25" thickBot="1">
      <c r="A144" s="114" t="s">
        <v>335</v>
      </c>
      <c r="B144" s="115">
        <v>82.5</v>
      </c>
      <c r="C144" s="72">
        <v>6.0975609999999996E-3</v>
      </c>
      <c r="D144" s="24">
        <v>85.4</v>
      </c>
      <c r="E144" s="25">
        <f t="shared" si="74"/>
        <v>3.5151515151515218E-2</v>
      </c>
      <c r="F144" s="94">
        <f>IF(ISNUMBER(D144), $B145 * E144, "")</f>
        <v>5272.727272727283</v>
      </c>
      <c r="G144" s="92">
        <v>83.5</v>
      </c>
      <c r="H144" s="25">
        <f t="shared" si="75"/>
        <v>1.2121212121212121E-2</v>
      </c>
      <c r="I144" s="93">
        <f>IF(ISNUMBER(G144), $B145 * H144, "")</f>
        <v>1818.1818181818182</v>
      </c>
      <c r="J144" s="24">
        <v>83.7</v>
      </c>
      <c r="K144" s="25">
        <f t="shared" si="76"/>
        <v>1.454545454545458E-2</v>
      </c>
      <c r="L144" s="94">
        <f>IF(ISNUMBER(J144), $B145 * K144, "")</f>
        <v>2181.818181818187</v>
      </c>
      <c r="M144" s="92">
        <v>88.2</v>
      </c>
      <c r="N144" s="25">
        <f t="shared" si="77"/>
        <v>6.9090909090909119E-2</v>
      </c>
      <c r="O144" s="94">
        <f>IF(ISNUMBER(M144), $B145 * N144, "")</f>
        <v>10363.636363636368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5.2701981899798508E-2</v>
      </c>
      <c r="F145" s="28">
        <f>SUM(F125:F144)</f>
        <v>158105.94569939561</v>
      </c>
      <c r="G145" s="26" t="s">
        <v>258</v>
      </c>
      <c r="H145" s="27">
        <f>IF(COUNT(H125:H144), SUM(H125:H144) / COUNT(H125:H144), 0)</f>
        <v>2.1365267812117231E-2</v>
      </c>
      <c r="I145" s="28">
        <f>SUM(I125:I144)</f>
        <v>64095.803436351693</v>
      </c>
      <c r="J145" s="26" t="s">
        <v>258</v>
      </c>
      <c r="K145" s="27">
        <f>IF(COUNT(K125:K144), SUM(K125:K144) / COUNT(K125:K144), 0)</f>
        <v>3.5641555245536367E-2</v>
      </c>
      <c r="L145" s="28">
        <f>SUM(L125:L144)</f>
        <v>106924.66573660909</v>
      </c>
      <c r="M145" s="26" t="s">
        <v>258</v>
      </c>
      <c r="N145" s="27">
        <f>IF(COUNT(N125:N144), SUM(N125:N144) / COUNT(N125:N144), 0)</f>
        <v>8.504596650759802E-2</v>
      </c>
      <c r="O145" s="28">
        <f>SUM(O125:O144)</f>
        <v>255137.899522794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2023-03-14(화) 오전 00:00</v>
      </c>
      <c r="C150" s="198"/>
      <c r="D150" s="170" t="str">
        <f>TEXT($G$1, "[$-ko-KR]yyyy-mm-dd(ddd) ") &amp; "오후 14:00"</f>
        <v>2023-03-14(화) 오후 14:00</v>
      </c>
      <c r="E150" s="171"/>
      <c r="F150" s="172"/>
      <c r="G150" s="170" t="str">
        <f>TEXT($G$1, "[$-ko-KR]yyyy-mm-dd(ddd) ") &amp; "오후 19:00"</f>
        <v>2023-03-14(화) 오후 19:00</v>
      </c>
      <c r="H150" s="171"/>
      <c r="I150" s="172"/>
      <c r="J150" s="170" t="str">
        <f>TEXT($G$1, "[$-ko-KR]yyyy-mm-dd(ddd) ") &amp; "오후 21:00"</f>
        <v>2023-03-14(화) 오후 21:00</v>
      </c>
      <c r="K150" s="171"/>
      <c r="L150" s="172"/>
      <c r="M150" s="170" t="str">
        <f>TEXT($G$1+1, "[$-ko-KR]yyyy-mm-dd(ddd) ") &amp; "오전 00:00"</f>
        <v>2023-03-15(수)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111</v>
      </c>
      <c r="B152" s="108">
        <v>795</v>
      </c>
      <c r="C152" s="69">
        <v>2.1850899699999999E-2</v>
      </c>
      <c r="D152" s="13">
        <v>815</v>
      </c>
      <c r="E152" s="14">
        <f>IF(ISNUMBER(D152), (D152 - $B152) / $B152, "")</f>
        <v>2.5157232704402517E-2</v>
      </c>
      <c r="F152" s="16">
        <f>IF(ISNUMBER(D152), $B172 * E152, "")</f>
        <v>3773.5849056603774</v>
      </c>
      <c r="G152" s="29">
        <v>793</v>
      </c>
      <c r="H152" s="14">
        <f>IF(ISNUMBER(G152), (G152 - $B152) / $B152, "")</f>
        <v>-2.5157232704402514E-3</v>
      </c>
      <c r="I152" s="90">
        <f>IF(ISNUMBER(G152), $B172 * H152, "")</f>
        <v>-377.35849056603774</v>
      </c>
      <c r="J152" s="13">
        <v>802</v>
      </c>
      <c r="K152" s="14">
        <f>IF(ISNUMBER(J152), (J152 - $B152) / $B152, "")</f>
        <v>8.8050314465408803E-3</v>
      </c>
      <c r="L152" s="16">
        <f>IF(ISNUMBER(J152), $B172 * K152, "")</f>
        <v>1320.7547169811321</v>
      </c>
      <c r="M152" s="29">
        <v>857</v>
      </c>
      <c r="N152" s="14">
        <f>IF(ISNUMBER(M152), (M152 - $B152) / $B152, "")</f>
        <v>7.7987421383647795E-2</v>
      </c>
      <c r="O152" s="16">
        <f>IF(ISNUMBER(M152), $B172 * N152, "")</f>
        <v>11698.113207547169</v>
      </c>
      <c r="Q152" s="156"/>
      <c r="R152" s="156"/>
      <c r="S152" s="156"/>
    </row>
    <row r="153" spans="1:19" ht="17.25" thickBot="1">
      <c r="A153" s="109" t="s">
        <v>103</v>
      </c>
      <c r="B153" s="110">
        <v>289</v>
      </c>
      <c r="C153" s="70">
        <v>2.1201413400000001E-2</v>
      </c>
      <c r="D153" s="15">
        <v>301</v>
      </c>
      <c r="E153" s="32">
        <f t="shared" ref="E153:E156" si="78">IF(ISNUMBER(D153), (D153 - $B153) / $B153, "")</f>
        <v>4.1522491349480967E-2</v>
      </c>
      <c r="F153" s="18">
        <f>IF(ISNUMBER(D153), $B172 * E153, "")</f>
        <v>6228.3737024221446</v>
      </c>
      <c r="G153" s="31">
        <v>292</v>
      </c>
      <c r="H153" s="32">
        <f t="shared" ref="H153:H156" si="79">IF(ISNUMBER(G153), (G153 - $B153) / $B153, "")</f>
        <v>1.0380622837370242E-2</v>
      </c>
      <c r="I153" s="91">
        <f>IF(ISNUMBER(G153), $B172 * H153, "")</f>
        <v>1557.0934256055361</v>
      </c>
      <c r="J153" s="15">
        <v>294</v>
      </c>
      <c r="K153" s="32">
        <f t="shared" ref="K153:K156" si="80">IF(ISNUMBER(J153), (J153 - $B153) / $B153, "")</f>
        <v>1.7301038062283738E-2</v>
      </c>
      <c r="L153" s="18">
        <f>IF(ISNUMBER(J153), $B172 * K153, "")</f>
        <v>2595.1557093425608</v>
      </c>
      <c r="M153" s="31">
        <v>310</v>
      </c>
      <c r="N153" s="32">
        <f t="shared" ref="N153:N156" si="81">IF(ISNUMBER(M153), (M153 - $B153) / $B153, "")</f>
        <v>7.2664359861591699E-2</v>
      </c>
      <c r="O153" s="18">
        <f>IF(ISNUMBER(M153), $B172 * N153, "")</f>
        <v>10899.653979238754</v>
      </c>
      <c r="Q153" s="156"/>
      <c r="R153" s="156"/>
      <c r="S153" s="156"/>
    </row>
    <row r="154" spans="1:19" ht="17.25" thickBot="1">
      <c r="A154" s="109" t="s">
        <v>199</v>
      </c>
      <c r="B154" s="110">
        <v>341</v>
      </c>
      <c r="C154" s="70">
        <v>2.0958083799999999E-2</v>
      </c>
      <c r="D154" s="15">
        <v>356</v>
      </c>
      <c r="E154" s="32">
        <f t="shared" si="78"/>
        <v>4.398826979472141E-2</v>
      </c>
      <c r="F154" s="18">
        <f>IF(ISNUMBER(D154), $B172 * E154, "")</f>
        <v>6598.2404692082118</v>
      </c>
      <c r="G154" s="31">
        <v>345</v>
      </c>
      <c r="H154" s="32">
        <f t="shared" si="79"/>
        <v>1.1730205278592375E-2</v>
      </c>
      <c r="I154" s="91">
        <f>IF(ISNUMBER(G154), $B172 * H154, "")</f>
        <v>1759.5307917888563</v>
      </c>
      <c r="J154" s="15">
        <v>349</v>
      </c>
      <c r="K154" s="32">
        <f t="shared" si="80"/>
        <v>2.3460410557184751E-2</v>
      </c>
      <c r="L154" s="18">
        <f>IF(ISNUMBER(J154), $B172 * K154, "")</f>
        <v>3519.0615835777126</v>
      </c>
      <c r="M154" s="31">
        <v>363</v>
      </c>
      <c r="N154" s="32">
        <f t="shared" si="81"/>
        <v>6.4516129032258063E-2</v>
      </c>
      <c r="O154" s="18">
        <f>IF(ISNUMBER(M154), $B172 * N154, "")</f>
        <v>9677.4193548387102</v>
      </c>
      <c r="Q154" s="146"/>
      <c r="R154" s="146"/>
      <c r="S154" s="146"/>
    </row>
    <row r="155" spans="1:19" ht="17.25" thickBot="1">
      <c r="A155" s="109" t="s">
        <v>153</v>
      </c>
      <c r="B155" s="110">
        <v>449</v>
      </c>
      <c r="C155" s="70">
        <v>2.0454545500000001E-2</v>
      </c>
      <c r="D155" s="15">
        <v>474</v>
      </c>
      <c r="E155" s="32">
        <f t="shared" si="78"/>
        <v>5.5679287305122498E-2</v>
      </c>
      <c r="F155" s="18">
        <f>IF(ISNUMBER(D155), $B172 * E155, "")</f>
        <v>8351.8930957683751</v>
      </c>
      <c r="G155" s="31">
        <v>459</v>
      </c>
      <c r="H155" s="32">
        <f t="shared" si="79"/>
        <v>2.2271714922048998E-2</v>
      </c>
      <c r="I155" s="91">
        <f>IF(ISNUMBER(G155), $B172 * H155, "")</f>
        <v>3340.7572383073498</v>
      </c>
      <c r="J155" s="15">
        <v>464</v>
      </c>
      <c r="K155" s="32">
        <f t="shared" si="80"/>
        <v>3.34075723830735E-2</v>
      </c>
      <c r="L155" s="18">
        <f>IF(ISNUMBER(J155), $B172 * K155, "")</f>
        <v>5011.1358574610249</v>
      </c>
      <c r="M155" s="31">
        <v>491</v>
      </c>
      <c r="N155" s="32">
        <f t="shared" si="81"/>
        <v>9.3541202672605794E-2</v>
      </c>
      <c r="O155" s="18">
        <f>IF(ISNUMBER(M155), $B172 * N155, "")</f>
        <v>14031.180400890869</v>
      </c>
      <c r="Q155" s="146"/>
      <c r="R155" s="146"/>
      <c r="S155" s="146"/>
    </row>
    <row r="156" spans="1:19" ht="17.25" thickBot="1">
      <c r="A156" s="111" t="s">
        <v>85</v>
      </c>
      <c r="B156" s="112">
        <v>155</v>
      </c>
      <c r="C156" s="71">
        <v>1.9736842099999999E-2</v>
      </c>
      <c r="D156" s="20">
        <v>156</v>
      </c>
      <c r="E156" s="21">
        <f t="shared" si="78"/>
        <v>6.4516129032258064E-3</v>
      </c>
      <c r="F156" s="22">
        <f>IF(ISNUMBER(D156), $B172 * E156, "")</f>
        <v>967.74193548387098</v>
      </c>
      <c r="G156" s="30">
        <v>154</v>
      </c>
      <c r="H156" s="21">
        <f t="shared" si="79"/>
        <v>-6.4516129032258064E-3</v>
      </c>
      <c r="I156" s="95">
        <f>IF(ISNUMBER(G156), $B172 * H156, "")</f>
        <v>-967.74193548387098</v>
      </c>
      <c r="J156" s="20">
        <v>154</v>
      </c>
      <c r="K156" s="21">
        <f t="shared" si="80"/>
        <v>-6.4516129032258064E-3</v>
      </c>
      <c r="L156" s="22">
        <f>IF(ISNUMBER(J156), $B172 * K156, "")</f>
        <v>-967.74193548387098</v>
      </c>
      <c r="M156" s="30">
        <v>162</v>
      </c>
      <c r="N156" s="21">
        <f t="shared" si="81"/>
        <v>4.5161290322580643E-2</v>
      </c>
      <c r="O156" s="22">
        <f>IF(ISNUMBER(M156), $B172 * N156, "")</f>
        <v>6774.1935483870966</v>
      </c>
      <c r="Q156" s="146"/>
      <c r="R156" s="146"/>
      <c r="S156" s="146"/>
    </row>
    <row r="157" spans="1:19" ht="17.25" thickBot="1">
      <c r="A157" s="109" t="s">
        <v>215</v>
      </c>
      <c r="B157" s="113">
        <v>471</v>
      </c>
      <c r="C157" s="73">
        <v>1.9480519500000001E-2</v>
      </c>
      <c r="D157" s="96">
        <v>534</v>
      </c>
      <c r="E157" s="97">
        <f>IF(ISNUMBER(D157), (D157 - $B157) / $B157, "")</f>
        <v>0.13375796178343949</v>
      </c>
      <c r="F157" s="98">
        <f>IF(ISNUMBER(D157), $B172 * E157, "")</f>
        <v>20063.694267515923</v>
      </c>
      <c r="G157" s="99">
        <v>505</v>
      </c>
      <c r="H157" s="97">
        <f>IF(ISNUMBER(G157), (G157 - $B157) / $B157, "")</f>
        <v>7.2186836518046707E-2</v>
      </c>
      <c r="I157" s="100">
        <f>IF(ISNUMBER(G157), $B172 * H157, "")</f>
        <v>10828.025477707006</v>
      </c>
      <c r="J157" s="96">
        <v>516</v>
      </c>
      <c r="K157" s="97">
        <f>IF(ISNUMBER(J157), (J157 - $B157) / $B157, "")</f>
        <v>9.5541401273885357E-2</v>
      </c>
      <c r="L157" s="98">
        <f>IF(ISNUMBER(J157), $B172 * K157, "")</f>
        <v>14331.210191082804</v>
      </c>
      <c r="M157" s="99">
        <v>528</v>
      </c>
      <c r="N157" s="97">
        <f>IF(ISNUMBER(M157), (M157 - $B157) / $B157, "")</f>
        <v>0.12101910828025478</v>
      </c>
      <c r="O157" s="98">
        <f>IF(ISNUMBER(M157), $B172 * N157, "")</f>
        <v>18152.866242038217</v>
      </c>
      <c r="Q157" s="146"/>
      <c r="R157" s="146"/>
      <c r="S157" s="146"/>
    </row>
    <row r="158" spans="1:19" ht="17.25" thickBot="1">
      <c r="A158" s="109" t="s">
        <v>235</v>
      </c>
      <c r="B158" s="110">
        <v>661</v>
      </c>
      <c r="C158" s="70">
        <v>1.8489984599999999E-2</v>
      </c>
      <c r="D158" s="15">
        <v>700</v>
      </c>
      <c r="E158" s="32">
        <f t="shared" ref="E158:E161" si="82">IF(ISNUMBER(D158), (D158 - $B158) / $B158, "")</f>
        <v>5.9001512859304085E-2</v>
      </c>
      <c r="F158" s="18">
        <f>IF(ISNUMBER(D158), $B172 * E158, "")</f>
        <v>8850.2269288956122</v>
      </c>
      <c r="G158" s="31">
        <v>683</v>
      </c>
      <c r="H158" s="32">
        <f t="shared" ref="H158:H161" si="83">IF(ISNUMBER(G158), (G158 - $B158) / $B158, "")</f>
        <v>3.3282904689863842E-2</v>
      </c>
      <c r="I158" s="91">
        <f>IF(ISNUMBER(G158), $B172 * H158, "")</f>
        <v>4992.4357034795767</v>
      </c>
      <c r="J158" s="15">
        <v>689</v>
      </c>
      <c r="K158" s="32">
        <f t="shared" ref="K158:K161" si="84">IF(ISNUMBER(J158), (J158 - $B158) / $B158, "")</f>
        <v>4.2360060514372161E-2</v>
      </c>
      <c r="L158" s="18">
        <f>IF(ISNUMBER(J158), $B172 * K158, "")</f>
        <v>6354.0090771558243</v>
      </c>
      <c r="M158" s="31">
        <v>715</v>
      </c>
      <c r="N158" s="32">
        <f t="shared" ref="N158:N161" si="85">IF(ISNUMBER(M158), (M158 - $B158) / $B158, "")</f>
        <v>8.169440242057488E-2</v>
      </c>
      <c r="O158" s="18">
        <f>IF(ISNUMBER(M158), $B172 * N158, "")</f>
        <v>12254.160363086232</v>
      </c>
      <c r="Q158" s="146"/>
      <c r="R158" s="146"/>
      <c r="S158" s="146"/>
    </row>
    <row r="159" spans="1:19" ht="17.25" thickBot="1">
      <c r="A159" s="109" t="s">
        <v>51</v>
      </c>
      <c r="B159" s="110">
        <v>111</v>
      </c>
      <c r="C159" s="70">
        <v>1.83486239E-2</v>
      </c>
      <c r="D159" s="15">
        <v>112</v>
      </c>
      <c r="E159" s="32">
        <f t="shared" si="82"/>
        <v>9.0090090090090089E-3</v>
      </c>
      <c r="F159" s="18">
        <f>IF(ISNUMBER(D159), $B172 * E159, "")</f>
        <v>1351.3513513513512</v>
      </c>
      <c r="G159" s="31">
        <v>110</v>
      </c>
      <c r="H159" s="32">
        <f t="shared" si="83"/>
        <v>-9.0090090090090089E-3</v>
      </c>
      <c r="I159" s="91">
        <f>IF(ISNUMBER(G159), $B172 * H159, "")</f>
        <v>-1351.3513513513512</v>
      </c>
      <c r="J159" s="15">
        <v>111</v>
      </c>
      <c r="K159" s="32">
        <f t="shared" si="84"/>
        <v>0</v>
      </c>
      <c r="L159" s="18">
        <f>IF(ISNUMBER(J159), $B172 * K159, "")</f>
        <v>0</v>
      </c>
      <c r="M159" s="31">
        <v>115</v>
      </c>
      <c r="N159" s="32">
        <f t="shared" si="85"/>
        <v>3.6036036036036036E-2</v>
      </c>
      <c r="O159" s="18">
        <f>IF(ISNUMBER(M159), $B172 * N159, "")</f>
        <v>5405.405405405405</v>
      </c>
      <c r="Q159" s="146"/>
      <c r="R159" s="146"/>
      <c r="S159" s="146"/>
    </row>
    <row r="160" spans="1:19" ht="17.25" thickBot="1">
      <c r="A160" s="109" t="s">
        <v>241</v>
      </c>
      <c r="B160" s="110">
        <v>114</v>
      </c>
      <c r="C160" s="70">
        <v>1.7857142900000001E-2</v>
      </c>
      <c r="D160" s="15">
        <v>120</v>
      </c>
      <c r="E160" s="32">
        <f t="shared" si="82"/>
        <v>5.2631578947368418E-2</v>
      </c>
      <c r="F160" s="18">
        <f>IF(ISNUMBER(D160), $B172 * E160, "")</f>
        <v>7894.7368421052624</v>
      </c>
      <c r="G160" s="31">
        <v>116</v>
      </c>
      <c r="H160" s="32">
        <f t="shared" si="83"/>
        <v>1.7543859649122806E-2</v>
      </c>
      <c r="I160" s="91">
        <f>IF(ISNUMBER(G160), $B172 * H160, "")</f>
        <v>2631.5789473684208</v>
      </c>
      <c r="J160" s="15">
        <v>118</v>
      </c>
      <c r="K160" s="32">
        <f t="shared" si="84"/>
        <v>3.5087719298245612E-2</v>
      </c>
      <c r="L160" s="18">
        <f>IF(ISNUMBER(J160), $B172 * K160, "")</f>
        <v>5263.1578947368416</v>
      </c>
      <c r="M160" s="31">
        <v>123</v>
      </c>
      <c r="N160" s="32">
        <f t="shared" si="85"/>
        <v>7.8947368421052627E-2</v>
      </c>
      <c r="O160" s="18">
        <f>IF(ISNUMBER(M160), $B172 * N160, "")</f>
        <v>11842.105263157893</v>
      </c>
      <c r="Q160" s="33"/>
      <c r="R160" s="33"/>
    </row>
    <row r="161" spans="1:19" ht="17.25" thickBot="1">
      <c r="A161" s="114" t="s">
        <v>239</v>
      </c>
      <c r="B161" s="115">
        <v>517</v>
      </c>
      <c r="C161" s="72">
        <v>1.77165354E-2</v>
      </c>
      <c r="D161" s="24">
        <v>551</v>
      </c>
      <c r="E161" s="25">
        <f t="shared" si="82"/>
        <v>6.5764023210831718E-2</v>
      </c>
      <c r="F161" s="94">
        <f>IF(ISNUMBER(D161), $B172 * E161, "")</f>
        <v>9864.6034816247575</v>
      </c>
      <c r="G161" s="92">
        <v>536</v>
      </c>
      <c r="H161" s="25">
        <f t="shared" si="83"/>
        <v>3.6750483558994199E-2</v>
      </c>
      <c r="I161" s="93">
        <f>IF(ISNUMBER(G161), $B172 * H161, "")</f>
        <v>5512.5725338491302</v>
      </c>
      <c r="J161" s="24">
        <v>547</v>
      </c>
      <c r="K161" s="25">
        <f t="shared" si="84"/>
        <v>5.8027079303675046E-2</v>
      </c>
      <c r="L161" s="94">
        <f>IF(ISNUMBER(J161), $B172 * K161, "")</f>
        <v>8704.0618955512564</v>
      </c>
      <c r="M161" s="92">
        <v>565</v>
      </c>
      <c r="N161" s="25">
        <f t="shared" si="85"/>
        <v>9.2843326885880081E-2</v>
      </c>
      <c r="O161" s="94">
        <f>IF(ISNUMBER(M161), $B172 * N161, "")</f>
        <v>13926.499032882011</v>
      </c>
      <c r="Q161" s="147"/>
      <c r="R161" s="148"/>
      <c r="S161" s="149"/>
    </row>
    <row r="162" spans="1:19">
      <c r="A162" s="107" t="s">
        <v>66</v>
      </c>
      <c r="B162" s="108">
        <v>874</v>
      </c>
      <c r="C162" s="69">
        <v>1.7462165299999999E-2</v>
      </c>
      <c r="D162" s="13">
        <v>939</v>
      </c>
      <c r="E162" s="14">
        <f>IF(ISNUMBER(D162), (D162 - $B162) / $B162, "")</f>
        <v>7.4370709382151026E-2</v>
      </c>
      <c r="F162" s="16">
        <f>IF(ISNUMBER(D162), $B172 * E162, "")</f>
        <v>11155.606407322653</v>
      </c>
      <c r="G162" s="29">
        <v>909</v>
      </c>
      <c r="H162" s="14">
        <f>IF(ISNUMBER(G162), (G162 - $B162) / $B162, "")</f>
        <v>4.0045766590389019E-2</v>
      </c>
      <c r="I162" s="90">
        <f>IF(ISNUMBER(G162), $B172 * H162, "")</f>
        <v>6006.8649885583527</v>
      </c>
      <c r="J162" s="13">
        <v>918</v>
      </c>
      <c r="K162" s="14">
        <f>IF(ISNUMBER(J162), (J162 - $B162) / $B162, "")</f>
        <v>5.0343249427917618E-2</v>
      </c>
      <c r="L162" s="16">
        <f>IF(ISNUMBER(J162), $B172 * K162, "")</f>
        <v>7551.4874141876426</v>
      </c>
      <c r="M162" s="29">
        <v>958</v>
      </c>
      <c r="N162" s="14">
        <f>IF(ISNUMBER(M162), (M162 - $B162) / $B162, "")</f>
        <v>9.6109839816933634E-2</v>
      </c>
      <c r="O162" s="16">
        <f>IF(ISNUMBER(M162), $B172 * N162, "")</f>
        <v>14416.475972540045</v>
      </c>
      <c r="Q162" s="150"/>
      <c r="R162" s="151"/>
      <c r="S162" s="152"/>
    </row>
    <row r="163" spans="1:19" ht="17.25" thickBot="1">
      <c r="A163" s="109" t="s">
        <v>176</v>
      </c>
      <c r="B163" s="110">
        <v>361</v>
      </c>
      <c r="C163" s="70">
        <v>1.6901408499999999E-2</v>
      </c>
      <c r="D163" s="15">
        <v>379</v>
      </c>
      <c r="E163" s="32">
        <f t="shared" ref="E163:E166" si="86">IF(ISNUMBER(D163), (D163 - $B163) / $B163, "")</f>
        <v>4.9861495844875349E-2</v>
      </c>
      <c r="F163" s="18">
        <f>IF(ISNUMBER(D163), $B172 * E163, "")</f>
        <v>7479.2243767313021</v>
      </c>
      <c r="G163" s="31">
        <v>368</v>
      </c>
      <c r="H163" s="32">
        <f t="shared" ref="H163:H166" si="87">IF(ISNUMBER(G163), (G163 - $B163) / $B163, "")</f>
        <v>1.9390581717451522E-2</v>
      </c>
      <c r="I163" s="91">
        <f>IF(ISNUMBER(G163), $B172 * H163, "")</f>
        <v>2908.5872576177285</v>
      </c>
      <c r="J163" s="15">
        <v>373</v>
      </c>
      <c r="K163" s="32">
        <f t="shared" ref="K163:K166" si="88">IF(ISNUMBER(J163), (J163 - $B163) / $B163, "")</f>
        <v>3.3240997229916899E-2</v>
      </c>
      <c r="L163" s="18">
        <f>IF(ISNUMBER(J163), $B172 * K163, "")</f>
        <v>4986.1495844875353</v>
      </c>
      <c r="M163" s="31">
        <v>387</v>
      </c>
      <c r="N163" s="32">
        <f t="shared" ref="N163:N166" si="89">IF(ISNUMBER(M163), (M163 - $B163) / $B163, "")</f>
        <v>7.2022160664819951E-2</v>
      </c>
      <c r="O163" s="18">
        <f>IF(ISNUMBER(M163), $B172 * N163, "")</f>
        <v>10803.324099722993</v>
      </c>
      <c r="Q163" s="153"/>
      <c r="R163" s="154"/>
      <c r="S163" s="155"/>
    </row>
    <row r="164" spans="1:19" ht="17.25" thickBot="1">
      <c r="A164" s="109" t="s">
        <v>340</v>
      </c>
      <c r="B164" s="110">
        <v>774</v>
      </c>
      <c r="C164" s="70">
        <v>1.5748031499999999E-2</v>
      </c>
      <c r="D164" s="15">
        <v>811</v>
      </c>
      <c r="E164" s="32">
        <f t="shared" si="86"/>
        <v>4.7803617571059429E-2</v>
      </c>
      <c r="F164" s="18">
        <f>IF(ISNUMBER(D164), $B172 * E164, "")</f>
        <v>7170.5426356589142</v>
      </c>
      <c r="G164" s="31">
        <v>782</v>
      </c>
      <c r="H164" s="32">
        <f t="shared" si="87"/>
        <v>1.0335917312661499E-2</v>
      </c>
      <c r="I164" s="91">
        <f>IF(ISNUMBER(G164), $B172 * H164, "")</f>
        <v>1550.3875968992249</v>
      </c>
      <c r="J164" s="15">
        <v>792</v>
      </c>
      <c r="K164" s="32">
        <f t="shared" si="88"/>
        <v>2.3255813953488372E-2</v>
      </c>
      <c r="L164" s="18">
        <f>IF(ISNUMBER(J164), $B172 * K164, "")</f>
        <v>3488.3720930232557</v>
      </c>
      <c r="M164" s="31">
        <v>844</v>
      </c>
      <c r="N164" s="32">
        <f t="shared" si="89"/>
        <v>9.0439276485788117E-2</v>
      </c>
      <c r="O164" s="18">
        <f>IF(ISNUMBER(M164), $B172 * N164, "")</f>
        <v>13565.891472868218</v>
      </c>
      <c r="Q164" s="146"/>
      <c r="R164" s="146"/>
      <c r="S164" s="146"/>
    </row>
    <row r="165" spans="1:19" ht="17.25" thickBot="1">
      <c r="A165" s="109" t="s">
        <v>205</v>
      </c>
      <c r="B165" s="110">
        <v>134</v>
      </c>
      <c r="C165" s="70">
        <v>1.51515152E-2</v>
      </c>
      <c r="D165" s="15">
        <v>139</v>
      </c>
      <c r="E165" s="32">
        <f t="shared" si="86"/>
        <v>3.7313432835820892E-2</v>
      </c>
      <c r="F165" s="18">
        <f>IF(ISNUMBER(D165), $B172 * E165, "")</f>
        <v>5597.0149253731342</v>
      </c>
      <c r="G165" s="31">
        <v>135</v>
      </c>
      <c r="H165" s="32">
        <f t="shared" si="87"/>
        <v>7.462686567164179E-3</v>
      </c>
      <c r="I165" s="91">
        <f>IF(ISNUMBER(G165), $B172 * H165, "")</f>
        <v>1119.4029850746269</v>
      </c>
      <c r="J165" s="15">
        <v>138</v>
      </c>
      <c r="K165" s="32">
        <f t="shared" si="88"/>
        <v>2.9850746268656716E-2</v>
      </c>
      <c r="L165" s="18">
        <f>IF(ISNUMBER(J165), $B172 * K165, "")</f>
        <v>4477.6119402985078</v>
      </c>
      <c r="M165" s="31">
        <v>142</v>
      </c>
      <c r="N165" s="32">
        <f t="shared" si="89"/>
        <v>5.9701492537313432E-2</v>
      </c>
      <c r="O165" s="18">
        <f>IF(ISNUMBER(M165), $B172 * N165, "")</f>
        <v>8955.2238805970155</v>
      </c>
      <c r="Q165" s="156"/>
      <c r="R165" s="156"/>
      <c r="S165" s="156"/>
    </row>
    <row r="166" spans="1:19" ht="17.25" thickBot="1">
      <c r="A166" s="111" t="s">
        <v>346</v>
      </c>
      <c r="B166" s="112">
        <v>271</v>
      </c>
      <c r="C166" s="71">
        <v>1.49812734E-2</v>
      </c>
      <c r="D166" s="20">
        <v>279</v>
      </c>
      <c r="E166" s="21">
        <f t="shared" si="86"/>
        <v>2.9520295202952029E-2</v>
      </c>
      <c r="F166" s="22">
        <f>IF(ISNUMBER(D166), $B172 * E166, "")</f>
        <v>4428.0442804428039</v>
      </c>
      <c r="G166" s="30">
        <v>272</v>
      </c>
      <c r="H166" s="21">
        <f t="shared" si="87"/>
        <v>3.6900369003690036E-3</v>
      </c>
      <c r="I166" s="95">
        <f>IF(ISNUMBER(G166), $B172 * H166, "")</f>
        <v>553.50553505535049</v>
      </c>
      <c r="J166" s="20">
        <v>274</v>
      </c>
      <c r="K166" s="21">
        <f t="shared" si="88"/>
        <v>1.107011070110701E-2</v>
      </c>
      <c r="L166" s="22">
        <f>IF(ISNUMBER(J166), $B172 * K166, "")</f>
        <v>1660.5166051660515</v>
      </c>
      <c r="M166" s="30">
        <v>291</v>
      </c>
      <c r="N166" s="21">
        <f t="shared" si="89"/>
        <v>7.3800738007380073E-2</v>
      </c>
      <c r="O166" s="22">
        <f>IF(ISNUMBER(M166), $B172 * N166, "")</f>
        <v>11070.110701107011</v>
      </c>
      <c r="Q166" s="156"/>
      <c r="R166" s="156"/>
      <c r="S166" s="156"/>
    </row>
    <row r="167" spans="1:19" ht="17.25" thickBot="1">
      <c r="A167" s="109" t="s">
        <v>101</v>
      </c>
      <c r="B167" s="113">
        <v>276</v>
      </c>
      <c r="C167" s="73">
        <v>1.47058824E-2</v>
      </c>
      <c r="D167" s="96">
        <v>284</v>
      </c>
      <c r="E167" s="97">
        <f>IF(ISNUMBER(D167), (D167 - $B167) / $B167, "")</f>
        <v>2.8985507246376812E-2</v>
      </c>
      <c r="F167" s="98">
        <f>IF(ISNUMBER(D167), $B172 * E167, "")</f>
        <v>4347.826086956522</v>
      </c>
      <c r="G167" s="99">
        <v>280</v>
      </c>
      <c r="H167" s="97">
        <f>IF(ISNUMBER(G167), (G167 - $B167) / $B167, "")</f>
        <v>1.4492753623188406E-2</v>
      </c>
      <c r="I167" s="100">
        <f>IF(ISNUMBER(G167), $B172 * H167, "")</f>
        <v>2173.913043478261</v>
      </c>
      <c r="J167" s="96">
        <v>281</v>
      </c>
      <c r="K167" s="97">
        <f>IF(ISNUMBER(J167), (J167 - $B167) / $B167, "")</f>
        <v>1.8115942028985508E-2</v>
      </c>
      <c r="L167" s="98">
        <f>IF(ISNUMBER(J167), $B172 * K167, "")</f>
        <v>2717.391304347826</v>
      </c>
      <c r="M167" s="99">
        <v>292</v>
      </c>
      <c r="N167" s="97">
        <f>IF(ISNUMBER(M167), (M167 - $B167) / $B167, "")</f>
        <v>5.7971014492753624E-2</v>
      </c>
      <c r="O167" s="98">
        <f>IF(ISNUMBER(M167), $B172 * N167, "")</f>
        <v>8695.652173913044</v>
      </c>
      <c r="Q167" s="146"/>
      <c r="R167" s="146"/>
      <c r="S167" s="146"/>
    </row>
    <row r="168" spans="1:19" ht="17.25" thickBot="1">
      <c r="A168" s="109" t="s">
        <v>352</v>
      </c>
      <c r="B168" s="110">
        <v>243</v>
      </c>
      <c r="C168" s="70">
        <v>8.2987552000000006E-3</v>
      </c>
      <c r="D168" s="15">
        <v>254</v>
      </c>
      <c r="E168" s="32">
        <f t="shared" ref="E168:E171" si="90">IF(ISNUMBER(D168), (D168 - $B168) / $B168, "")</f>
        <v>4.5267489711934158E-2</v>
      </c>
      <c r="F168" s="18">
        <f>IF(ISNUMBER(D168), $B172 * E168, "")</f>
        <v>6790.1234567901238</v>
      </c>
      <c r="G168" s="31">
        <v>251</v>
      </c>
      <c r="H168" s="32">
        <f t="shared" ref="H168:H171" si="91">IF(ISNUMBER(G168), (G168 - $B168) / $B168, "")</f>
        <v>3.292181069958848E-2</v>
      </c>
      <c r="I168" s="91">
        <f>IF(ISNUMBER(G168), $B172 * H168, "")</f>
        <v>4938.2716049382716</v>
      </c>
      <c r="J168" s="15">
        <v>253</v>
      </c>
      <c r="K168" s="32">
        <f t="shared" ref="K168:K171" si="92">IF(ISNUMBER(J168), (J168 - $B168) / $B168, "")</f>
        <v>4.1152263374485597E-2</v>
      </c>
      <c r="L168" s="18">
        <f>IF(ISNUMBER(J168), $B172 * K168, "")</f>
        <v>6172.8395061728397</v>
      </c>
      <c r="M168" s="31">
        <v>255</v>
      </c>
      <c r="N168" s="32">
        <f t="shared" ref="N168:N171" si="93">IF(ISNUMBER(M168), (M168 - $B168) / $B168, "")</f>
        <v>4.9382716049382713E-2</v>
      </c>
      <c r="O168" s="18">
        <f>IF(ISNUMBER(M168), $B172 * N168, "")</f>
        <v>7407.4074074074069</v>
      </c>
      <c r="Q168" s="146"/>
      <c r="R168" s="146"/>
      <c r="S168" s="146"/>
    </row>
    <row r="169" spans="1:19" ht="17.25" thickBot="1">
      <c r="A169" s="109" t="s">
        <v>187</v>
      </c>
      <c r="B169" s="110">
        <v>915</v>
      </c>
      <c r="C169" s="70">
        <v>5.4945055E-3</v>
      </c>
      <c r="D169" s="15">
        <v>957</v>
      </c>
      <c r="E169" s="32">
        <f t="shared" si="90"/>
        <v>4.5901639344262293E-2</v>
      </c>
      <c r="F169" s="18">
        <f>IF(ISNUMBER(D169), $B172 * E169, "")</f>
        <v>6885.2459016393441</v>
      </c>
      <c r="G169" s="31">
        <v>924</v>
      </c>
      <c r="H169" s="32">
        <f t="shared" si="91"/>
        <v>9.8360655737704927E-3</v>
      </c>
      <c r="I169" s="91">
        <f>IF(ISNUMBER(G169), $B172 * H169, "")</f>
        <v>1475.4098360655739</v>
      </c>
      <c r="J169" s="15">
        <v>936</v>
      </c>
      <c r="K169" s="32">
        <f t="shared" si="92"/>
        <v>2.2950819672131147E-2</v>
      </c>
      <c r="L169" s="18">
        <f>IF(ISNUMBER(J169), $B172 * K169, "")</f>
        <v>3442.622950819672</v>
      </c>
      <c r="M169" s="31">
        <v>995</v>
      </c>
      <c r="N169" s="32">
        <f t="shared" si="93"/>
        <v>8.7431693989071038E-2</v>
      </c>
      <c r="O169" s="18">
        <f>IF(ISNUMBER(M169), $B172 * N169, "")</f>
        <v>13114.754098360656</v>
      </c>
      <c r="Q169" s="146"/>
      <c r="R169" s="146"/>
      <c r="S169" s="146"/>
    </row>
    <row r="170" spans="1:19">
      <c r="A170" s="109" t="s">
        <v>157</v>
      </c>
      <c r="B170" s="110">
        <v>427</v>
      </c>
      <c r="C170" s="70">
        <v>2.3474177999999999E-3</v>
      </c>
      <c r="D170" s="15">
        <v>454</v>
      </c>
      <c r="E170" s="32">
        <f t="shared" si="90"/>
        <v>6.323185011709602E-2</v>
      </c>
      <c r="F170" s="18">
        <f>IF(ISNUMBER(D170), $B172 * E170, "")</f>
        <v>9484.7775175644038</v>
      </c>
      <c r="G170" s="31">
        <v>451</v>
      </c>
      <c r="H170" s="32">
        <f t="shared" si="91"/>
        <v>5.6206088992974239E-2</v>
      </c>
      <c r="I170" s="91">
        <f>IF(ISNUMBER(G170), $B172 * H170, "")</f>
        <v>8430.9133489461365</v>
      </c>
      <c r="J170" s="15">
        <v>454</v>
      </c>
      <c r="K170" s="32">
        <f t="shared" si="92"/>
        <v>6.323185011709602E-2</v>
      </c>
      <c r="L170" s="18">
        <f>IF(ISNUMBER(J170), $B172 * K170, "")</f>
        <v>9484.7775175644038</v>
      </c>
      <c r="M170" s="31">
        <v>460</v>
      </c>
      <c r="N170" s="32">
        <f t="shared" si="93"/>
        <v>7.7283372365339581E-2</v>
      </c>
      <c r="O170" s="18">
        <f>IF(ISNUMBER(M170), $B172 * N170, "")</f>
        <v>11592.505854800937</v>
      </c>
      <c r="Q170" s="135"/>
      <c r="R170" s="136"/>
      <c r="S170" s="137"/>
    </row>
    <row r="171" spans="1:19" ht="17.25" thickBot="1">
      <c r="A171" s="114" t="s">
        <v>89</v>
      </c>
      <c r="B171" s="115">
        <v>491</v>
      </c>
      <c r="C171" s="72">
        <v>-6.0728745000000004E-3</v>
      </c>
      <c r="D171" s="24">
        <v>489</v>
      </c>
      <c r="E171" s="25">
        <f t="shared" si="90"/>
        <v>-4.0733197556008143E-3</v>
      </c>
      <c r="F171" s="94">
        <f>IF(ISNUMBER(D171), $B172 * E171, "")</f>
        <v>-610.99796334012217</v>
      </c>
      <c r="G171" s="92">
        <v>483</v>
      </c>
      <c r="H171" s="25">
        <f t="shared" si="91"/>
        <v>-1.6293279022403257E-2</v>
      </c>
      <c r="I171" s="93">
        <f>IF(ISNUMBER(G171), $B172 * H171, "")</f>
        <v>-2443.9918533604887</v>
      </c>
      <c r="J171" s="24">
        <v>485</v>
      </c>
      <c r="K171" s="25">
        <f t="shared" si="92"/>
        <v>-1.2219959266802444E-2</v>
      </c>
      <c r="L171" s="94">
        <f>IF(ISNUMBER(J171), $B172 * K171, "")</f>
        <v>-1832.9938900203665</v>
      </c>
      <c r="M171" s="92">
        <v>500</v>
      </c>
      <c r="N171" s="25">
        <f t="shared" si="93"/>
        <v>1.8329938900203666E-2</v>
      </c>
      <c r="O171" s="94">
        <f>IF(ISNUMBER(M171), $B172 * N171, "")</f>
        <v>2749.49083503055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4.5557284868391661E-2</v>
      </c>
      <c r="F172" s="28">
        <f>SUM(F152:F171)</f>
        <v>136671.85460517497</v>
      </c>
      <c r="G172" s="26" t="s">
        <v>258</v>
      </c>
      <c r="H172" s="27">
        <f>IF(COUNT(H152:H171), SUM(H152:H171) / COUNT(H152:H171), 0)</f>
        <v>1.8212935561325888E-2</v>
      </c>
      <c r="I172" s="28">
        <f>SUM(I152:I171)</f>
        <v>54638.806683977666</v>
      </c>
      <c r="J172" s="26" t="s">
        <v>258</v>
      </c>
      <c r="K172" s="27">
        <f>IF(COUNT(K152:K171), SUM(K152:K171) / COUNT(K152:K171), 0)</f>
        <v>2.9426526672150888E-2</v>
      </c>
      <c r="L172" s="28">
        <f>SUM(L152:L171)</f>
        <v>88279.58001645263</v>
      </c>
      <c r="M172" s="26" t="s">
        <v>258</v>
      </c>
      <c r="N172" s="27">
        <f>IF(COUNT(N152:N171), SUM(N152:N171) / COUNT(N152:N171), 0)</f>
        <v>7.2344144431273419E-2</v>
      </c>
      <c r="O172" s="28">
        <f>SUM(O152:O171)</f>
        <v>217032.43329382027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2023-03-14(화) 오전 00:00</v>
      </c>
      <c r="C177" s="198"/>
      <c r="D177" s="170" t="str">
        <f>TEXT($G$1, "[$-ko-KR]yyyy-mm-dd(ddd) ") &amp; "오후 14:00"</f>
        <v>2023-03-14(화) 오후 14:00</v>
      </c>
      <c r="E177" s="171"/>
      <c r="F177" s="172"/>
      <c r="G177" s="170" t="str">
        <f>TEXT($G$1, "[$-ko-KR]yyyy-mm-dd(ddd) ") &amp; "오후 19:00"</f>
        <v>2023-03-14(화) 오후 19:00</v>
      </c>
      <c r="H177" s="171"/>
      <c r="I177" s="172"/>
      <c r="J177" s="170" t="str">
        <f>TEXT($G$1, "[$-ko-KR]yyyy-mm-dd(ddd) ") &amp; "오후 21:00"</f>
        <v>2023-03-14(화) 오후 21:00</v>
      </c>
      <c r="K177" s="171"/>
      <c r="L177" s="172"/>
      <c r="M177" s="170" t="str">
        <f>TEXT($G$1+1, "[$-ko-KR]yyyy-mm-dd(ddd) ") &amp; "오전 00:00"</f>
        <v>2023-03-15(수)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346</v>
      </c>
      <c r="B179" s="108">
        <v>271</v>
      </c>
      <c r="C179" s="69">
        <v>1.49812734E-2</v>
      </c>
      <c r="D179" s="13">
        <v>279</v>
      </c>
      <c r="E179" s="14">
        <f>IF(ISNUMBER(D179), (D179 - $B179) / $B179, "")</f>
        <v>2.9520295202952029E-2</v>
      </c>
      <c r="F179" s="16">
        <f>IF(ISNUMBER(D179), $B199 * E179, "")</f>
        <v>4428.0442804428039</v>
      </c>
      <c r="G179" s="29">
        <v>272</v>
      </c>
      <c r="H179" s="14">
        <f>IF(ISNUMBER(G179), (G179 - $B179) / $B179, "")</f>
        <v>3.6900369003690036E-3</v>
      </c>
      <c r="I179" s="90">
        <f>IF(ISNUMBER(G179), $B199 * H179, "")</f>
        <v>553.50553505535049</v>
      </c>
      <c r="J179" s="13">
        <v>274</v>
      </c>
      <c r="K179" s="14">
        <f>IF(ISNUMBER(J179), (J179 - $B179) / $B179, "")</f>
        <v>1.107011070110701E-2</v>
      </c>
      <c r="L179" s="16">
        <f>IF(ISNUMBER(J179), $B199 * K179, "")</f>
        <v>1660.5166051660515</v>
      </c>
      <c r="M179" s="29">
        <v>291</v>
      </c>
      <c r="N179" s="14">
        <f>IF(ISNUMBER(M179), (M179 - $B179) / $B179, "")</f>
        <v>7.3800738007380073E-2</v>
      </c>
      <c r="O179" s="16">
        <f>IF(ISNUMBER(M179), $B199 * N179, "")</f>
        <v>11070.110701107011</v>
      </c>
      <c r="Q179" s="156"/>
      <c r="R179" s="156"/>
      <c r="S179" s="156"/>
    </row>
    <row r="180" spans="1:19" ht="17.25" thickBot="1">
      <c r="A180" s="109" t="s">
        <v>101</v>
      </c>
      <c r="B180" s="110">
        <v>276</v>
      </c>
      <c r="C180" s="70">
        <v>1.47058824E-2</v>
      </c>
      <c r="D180" s="15">
        <v>284</v>
      </c>
      <c r="E180" s="32">
        <f t="shared" ref="E180:E183" si="94">IF(ISNUMBER(D180), (D180 - $B180) / $B180, "")</f>
        <v>2.8985507246376812E-2</v>
      </c>
      <c r="F180" s="18">
        <f>IF(ISNUMBER(D180), $B199 * E180, "")</f>
        <v>4347.826086956522</v>
      </c>
      <c r="G180" s="31">
        <v>280</v>
      </c>
      <c r="H180" s="32">
        <f t="shared" ref="H180:H183" si="95">IF(ISNUMBER(G180), (G180 - $B180) / $B180, "")</f>
        <v>1.4492753623188406E-2</v>
      </c>
      <c r="I180" s="91">
        <f>IF(ISNUMBER(G180), $B199 * H180, "")</f>
        <v>2173.913043478261</v>
      </c>
      <c r="J180" s="15">
        <v>281</v>
      </c>
      <c r="K180" s="32">
        <f t="shared" ref="K180:K183" si="96">IF(ISNUMBER(J180), (J180 - $B180) / $B180, "")</f>
        <v>1.8115942028985508E-2</v>
      </c>
      <c r="L180" s="18">
        <f>IF(ISNUMBER(J180), $B199 * K180, "")</f>
        <v>2717.391304347826</v>
      </c>
      <c r="M180" s="31">
        <v>292</v>
      </c>
      <c r="N180" s="32">
        <f t="shared" ref="N180:N183" si="97">IF(ISNUMBER(M180), (M180 - $B180) / $B180, "")</f>
        <v>5.7971014492753624E-2</v>
      </c>
      <c r="O180" s="18">
        <f>IF(ISNUMBER(M180), $B199 * N180, "")</f>
        <v>8695.652173913044</v>
      </c>
      <c r="Q180" s="156"/>
      <c r="R180" s="156"/>
      <c r="S180" s="156"/>
    </row>
    <row r="181" spans="1:19" ht="17.25" thickBot="1">
      <c r="A181" s="109" t="s">
        <v>344</v>
      </c>
      <c r="B181" s="110">
        <v>16000</v>
      </c>
      <c r="C181" s="70">
        <v>1.4584654400000001E-2</v>
      </c>
      <c r="D181" s="15">
        <v>16460</v>
      </c>
      <c r="E181" s="32">
        <f t="shared" si="94"/>
        <v>2.8750000000000001E-2</v>
      </c>
      <c r="F181" s="18">
        <f>IF(ISNUMBER(D181), $B199 * E181, "")</f>
        <v>4312.5</v>
      </c>
      <c r="G181" s="31">
        <v>16090</v>
      </c>
      <c r="H181" s="32">
        <f t="shared" si="95"/>
        <v>5.6249999999999998E-3</v>
      </c>
      <c r="I181" s="91">
        <f>IF(ISNUMBER(G181), $B199 * H181, "")</f>
        <v>843.75</v>
      </c>
      <c r="J181" s="15">
        <v>16210</v>
      </c>
      <c r="K181" s="32">
        <f t="shared" si="96"/>
        <v>1.3125E-2</v>
      </c>
      <c r="L181" s="18">
        <f>IF(ISNUMBER(J181), $B199 * K181, "")</f>
        <v>1968.75</v>
      </c>
      <c r="M181" s="31">
        <v>18660</v>
      </c>
      <c r="N181" s="32">
        <f t="shared" si="97"/>
        <v>0.16625000000000001</v>
      </c>
      <c r="O181" s="18">
        <f>IF(ISNUMBER(M181), $B199 * N181, "")</f>
        <v>24937.5</v>
      </c>
      <c r="Q181" s="146"/>
      <c r="R181" s="146"/>
      <c r="S181" s="146"/>
    </row>
    <row r="182" spans="1:19" ht="17.25" thickBot="1">
      <c r="A182" s="109" t="s">
        <v>317</v>
      </c>
      <c r="B182" s="110">
        <v>1.4500000000000001E-2</v>
      </c>
      <c r="C182" s="70">
        <v>1.3986014E-2</v>
      </c>
      <c r="D182" s="15">
        <v>1.46E-2</v>
      </c>
      <c r="E182" s="32">
        <f t="shared" si="94"/>
        <v>6.8965517241378893E-3</v>
      </c>
      <c r="F182" s="18">
        <f>IF(ISNUMBER(D182), $B199 * E182, "")</f>
        <v>1034.4827586206834</v>
      </c>
      <c r="G182" s="31">
        <v>1.43E-2</v>
      </c>
      <c r="H182" s="32">
        <f t="shared" si="95"/>
        <v>-1.3793103448275898E-2</v>
      </c>
      <c r="I182" s="91">
        <f>IF(ISNUMBER(G182), $B199 * H182, "")</f>
        <v>-2068.9655172413845</v>
      </c>
      <c r="J182" s="15">
        <v>1.4500000000000001E-2</v>
      </c>
      <c r="K182" s="32">
        <f t="shared" si="96"/>
        <v>0</v>
      </c>
      <c r="L182" s="18">
        <f>IF(ISNUMBER(J182), $B199 * K182, "")</f>
        <v>0</v>
      </c>
      <c r="M182" s="31">
        <v>1.52E-2</v>
      </c>
      <c r="N182" s="32">
        <f t="shared" si="97"/>
        <v>4.8275862068965461E-2</v>
      </c>
      <c r="O182" s="18">
        <f>IF(ISNUMBER(M182), $B199 * N182, "")</f>
        <v>7241.3793103448188</v>
      </c>
      <c r="Q182" s="146"/>
      <c r="R182" s="146"/>
      <c r="S182" s="146"/>
    </row>
    <row r="183" spans="1:19" ht="17.25" thickBot="1">
      <c r="A183" s="111" t="s">
        <v>322</v>
      </c>
      <c r="B183" s="112">
        <v>1545</v>
      </c>
      <c r="C183" s="71">
        <v>1.3114754100000001E-2</v>
      </c>
      <c r="D183" s="20">
        <v>1555</v>
      </c>
      <c r="E183" s="21">
        <f t="shared" si="94"/>
        <v>6.4724919093851136E-3</v>
      </c>
      <c r="F183" s="22">
        <f>IF(ISNUMBER(D183), $B199 * E183, "")</f>
        <v>970.87378640776706</v>
      </c>
      <c r="G183" s="30">
        <v>1510</v>
      </c>
      <c r="H183" s="21">
        <f t="shared" si="95"/>
        <v>-2.2653721682847898E-2</v>
      </c>
      <c r="I183" s="95">
        <f>IF(ISNUMBER(G183), $B199 * H183, "")</f>
        <v>-3398.0582524271845</v>
      </c>
      <c r="J183" s="20">
        <v>1525</v>
      </c>
      <c r="K183" s="21">
        <f t="shared" si="96"/>
        <v>-1.2944983818770227E-2</v>
      </c>
      <c r="L183" s="22">
        <f>IF(ISNUMBER(J183), $B199 * K183, "")</f>
        <v>-1941.7475728155341</v>
      </c>
      <c r="M183" s="30">
        <v>1615</v>
      </c>
      <c r="N183" s="21">
        <f t="shared" si="97"/>
        <v>4.5307443365695796E-2</v>
      </c>
      <c r="O183" s="22">
        <f>IF(ISNUMBER(M183), $B199 * N183, "")</f>
        <v>6796.1165048543689</v>
      </c>
      <c r="Q183" s="146"/>
      <c r="R183" s="146"/>
      <c r="S183" s="146"/>
    </row>
    <row r="184" spans="1:19" ht="17.25" thickBot="1">
      <c r="A184" s="109" t="s">
        <v>56</v>
      </c>
      <c r="B184" s="113">
        <v>48.6</v>
      </c>
      <c r="C184" s="73">
        <v>1.2500000000000001E-2</v>
      </c>
      <c r="D184" s="96">
        <v>51.6</v>
      </c>
      <c r="E184" s="97">
        <f>IF(ISNUMBER(D184), (D184 - $B184) / $B184, "")</f>
        <v>6.1728395061728392E-2</v>
      </c>
      <c r="F184" s="98">
        <f>IF(ISNUMBER(D184), $B199 * E184, "")</f>
        <v>9259.2592592592591</v>
      </c>
      <c r="G184" s="99">
        <v>49.8</v>
      </c>
      <c r="H184" s="97">
        <f>IF(ISNUMBER(G184), (G184 - $B184) / $B184, "")</f>
        <v>2.469135802469127E-2</v>
      </c>
      <c r="I184" s="100">
        <f>IF(ISNUMBER(G184), $B199 * H184, "")</f>
        <v>3703.7037037036903</v>
      </c>
      <c r="J184" s="96">
        <v>50.3</v>
      </c>
      <c r="K184" s="97">
        <f>IF(ISNUMBER(J184), (J184 - $B184) / $B184, "")</f>
        <v>3.4979423868312667E-2</v>
      </c>
      <c r="L184" s="98">
        <f>IF(ISNUMBER(J184), $B199 * K184, "")</f>
        <v>5246.9135802469</v>
      </c>
      <c r="M184" s="99">
        <v>52.6</v>
      </c>
      <c r="N184" s="97">
        <f>IF(ISNUMBER(M184), (M184 - $B184) / $B184, "")</f>
        <v>8.2304526748971193E-2</v>
      </c>
      <c r="O184" s="98">
        <f>IF(ISNUMBER(M184), $B199 * N184, "")</f>
        <v>12345.679012345679</v>
      </c>
      <c r="Q184" s="146"/>
      <c r="R184" s="146"/>
      <c r="S184" s="146"/>
    </row>
    <row r="185" spans="1:19" ht="17.25" thickBot="1">
      <c r="A185" s="109" t="s">
        <v>128</v>
      </c>
      <c r="B185" s="110">
        <v>7905</v>
      </c>
      <c r="C185" s="70">
        <v>1.15163148E-2</v>
      </c>
      <c r="D185" s="15">
        <v>8090</v>
      </c>
      <c r="E185" s="32">
        <f t="shared" ref="E185:E188" si="98">IF(ISNUMBER(D185), (D185 - $B185) / $B185, "")</f>
        <v>2.3402909550917141E-2</v>
      </c>
      <c r="F185" s="18">
        <f>IF(ISNUMBER(D185), $B199 * E185, "")</f>
        <v>3510.4364326375712</v>
      </c>
      <c r="G185" s="31">
        <v>8010</v>
      </c>
      <c r="H185" s="32">
        <f t="shared" ref="H185:H188" si="99">IF(ISNUMBER(G185), (G185 - $B185) / $B185, "")</f>
        <v>1.3282732447817837E-2</v>
      </c>
      <c r="I185" s="91">
        <f>IF(ISNUMBER(G185), $B199 * H185, "")</f>
        <v>1992.4098671726756</v>
      </c>
      <c r="J185" s="15">
        <v>8020</v>
      </c>
      <c r="K185" s="32">
        <f t="shared" ref="K185:K188" si="100">IF(ISNUMBER(J185), (J185 - $B185) / $B185, "")</f>
        <v>1.4547754585705249E-2</v>
      </c>
      <c r="L185" s="18">
        <f>IF(ISNUMBER(J185), $B199 * K185, "")</f>
        <v>2182.1631878557873</v>
      </c>
      <c r="M185" s="31">
        <v>8450</v>
      </c>
      <c r="N185" s="32">
        <f t="shared" ref="N185:N188" si="101">IF(ISNUMBER(M185), (M185 - $B185) / $B185, "")</f>
        <v>6.8943706514864006E-2</v>
      </c>
      <c r="O185" s="18">
        <f>IF(ISNUMBER(M185), $B199 * N185, "")</f>
        <v>10341.5559772296</v>
      </c>
      <c r="Q185" s="146"/>
      <c r="R185" s="146"/>
      <c r="S185" s="146"/>
    </row>
    <row r="186" spans="1:19" ht="17.25" thickBot="1">
      <c r="A186" s="109" t="s">
        <v>174</v>
      </c>
      <c r="B186" s="110">
        <v>16900</v>
      </c>
      <c r="C186" s="70">
        <v>1.01613867E-2</v>
      </c>
      <c r="D186" s="15">
        <v>17590</v>
      </c>
      <c r="E186" s="32">
        <f t="shared" si="98"/>
        <v>4.0828402366863907E-2</v>
      </c>
      <c r="F186" s="18">
        <f>IF(ISNUMBER(D186), $B199 * E186, "")</f>
        <v>6124.2603550295862</v>
      </c>
      <c r="G186" s="31">
        <v>17110</v>
      </c>
      <c r="H186" s="32">
        <f t="shared" si="99"/>
        <v>1.242603550295858E-2</v>
      </c>
      <c r="I186" s="91">
        <f>IF(ISNUMBER(G186), $B199 * H186, "")</f>
        <v>1863.905325443787</v>
      </c>
      <c r="J186" s="15">
        <v>17320</v>
      </c>
      <c r="K186" s="32">
        <f t="shared" si="100"/>
        <v>2.4852071005917159E-2</v>
      </c>
      <c r="L186" s="18">
        <f>IF(ISNUMBER(J186), $B199 * K186, "")</f>
        <v>3727.810650887574</v>
      </c>
      <c r="M186" s="31">
        <v>18140</v>
      </c>
      <c r="N186" s="32">
        <f t="shared" si="101"/>
        <v>7.3372781065088752E-2</v>
      </c>
      <c r="O186" s="18">
        <f>IF(ISNUMBER(M186), $B199 * N186, "")</f>
        <v>11005.917159763312</v>
      </c>
      <c r="Q186" s="146"/>
      <c r="R186" s="146"/>
      <c r="S186" s="146"/>
    </row>
    <row r="187" spans="1:19" ht="17.25" thickBot="1">
      <c r="A187" s="109" t="s">
        <v>124</v>
      </c>
      <c r="B187" s="110">
        <v>39.9</v>
      </c>
      <c r="C187" s="70">
        <v>1.0126582300000001E-2</v>
      </c>
      <c r="D187" s="15">
        <v>42.8</v>
      </c>
      <c r="E187" s="32">
        <f t="shared" si="98"/>
        <v>7.2681704260651597E-2</v>
      </c>
      <c r="F187" s="18">
        <f>IF(ISNUMBER(D187), $B199 * E187, "")</f>
        <v>10902.255639097739</v>
      </c>
      <c r="G187" s="31">
        <v>41.5</v>
      </c>
      <c r="H187" s="32">
        <f t="shared" si="99"/>
        <v>4.0100250626566455E-2</v>
      </c>
      <c r="I187" s="91">
        <f>IF(ISNUMBER(G187), $B199 * H187, "")</f>
        <v>6015.0375939849682</v>
      </c>
      <c r="J187" s="15">
        <v>42.3</v>
      </c>
      <c r="K187" s="32">
        <f t="shared" si="100"/>
        <v>6.0150375939849593E-2</v>
      </c>
      <c r="L187" s="18">
        <f>IF(ISNUMBER(J187), $B199 * K187, "")</f>
        <v>9022.5563909774392</v>
      </c>
      <c r="M187" s="31">
        <v>44.3</v>
      </c>
      <c r="N187" s="32">
        <f t="shared" si="101"/>
        <v>0.11027568922305761</v>
      </c>
      <c r="O187" s="18">
        <f>IF(ISNUMBER(M187), $B199 * N187, "")</f>
        <v>16541.353383458641</v>
      </c>
      <c r="Q187" s="33"/>
      <c r="R187" s="33"/>
    </row>
    <row r="188" spans="1:19" ht="17.25" thickBot="1">
      <c r="A188" s="114" t="s">
        <v>73</v>
      </c>
      <c r="B188" s="115">
        <v>15690</v>
      </c>
      <c r="C188" s="72">
        <v>9.6525097000000008E-3</v>
      </c>
      <c r="D188" s="24">
        <v>15830</v>
      </c>
      <c r="E188" s="25">
        <f t="shared" si="98"/>
        <v>8.9228808158062466E-3</v>
      </c>
      <c r="F188" s="94">
        <f>IF(ISNUMBER(D188), $B199 * E188, "")</f>
        <v>1338.4321223709369</v>
      </c>
      <c r="G188" s="92">
        <v>15880</v>
      </c>
      <c r="H188" s="25">
        <f t="shared" si="99"/>
        <v>1.2109623964308477E-2</v>
      </c>
      <c r="I188" s="93">
        <f>IF(ISNUMBER(G188), $B199 * H188, "")</f>
        <v>1816.4435946462715</v>
      </c>
      <c r="J188" s="24">
        <v>15860</v>
      </c>
      <c r="K188" s="25">
        <f t="shared" si="100"/>
        <v>1.0834926704907584E-2</v>
      </c>
      <c r="L188" s="94">
        <f>IF(ISNUMBER(J188), $B199 * K188, "")</f>
        <v>1625.2390057361376</v>
      </c>
      <c r="M188" s="92">
        <v>16670</v>
      </c>
      <c r="N188" s="25">
        <f t="shared" si="101"/>
        <v>6.2460165710643722E-2</v>
      </c>
      <c r="O188" s="94">
        <f>IF(ISNUMBER(M188), $B199 * N188, "")</f>
        <v>9369.0248565965576</v>
      </c>
      <c r="Q188" s="147"/>
      <c r="R188" s="148"/>
      <c r="S188" s="149"/>
    </row>
    <row r="189" spans="1:19">
      <c r="A189" s="107" t="s">
        <v>253</v>
      </c>
      <c r="B189" s="108">
        <v>94.5</v>
      </c>
      <c r="C189" s="69">
        <v>9.6153846000000005E-3</v>
      </c>
      <c r="D189" s="13">
        <v>95.5</v>
      </c>
      <c r="E189" s="14">
        <f>IF(ISNUMBER(D189), (D189 - $B189) / $B189, "")</f>
        <v>1.0582010582010581E-2</v>
      </c>
      <c r="F189" s="16">
        <f>IF(ISNUMBER(D189), $B199 * E189, "")</f>
        <v>1587.3015873015872</v>
      </c>
      <c r="G189" s="29">
        <v>94.1</v>
      </c>
      <c r="H189" s="14">
        <f>IF(ISNUMBER(G189), (G189 - $B189) / $B189, "")</f>
        <v>-4.2328042328042929E-3</v>
      </c>
      <c r="I189" s="90">
        <f>IF(ISNUMBER(G189), $B199 * H189, "")</f>
        <v>-634.92063492064392</v>
      </c>
      <c r="J189" s="13">
        <v>95.2</v>
      </c>
      <c r="K189" s="14">
        <f>IF(ISNUMBER(J189), (J189 - $B189) / $B189, "")</f>
        <v>7.4074074074074372E-3</v>
      </c>
      <c r="L189" s="16">
        <f>IF(ISNUMBER(J189), $B199 * K189, "")</f>
        <v>1111.1111111111156</v>
      </c>
      <c r="M189" s="29">
        <v>101</v>
      </c>
      <c r="N189" s="14">
        <f>IF(ISNUMBER(M189), (M189 - $B189) / $B189, "")</f>
        <v>6.8783068783068779E-2</v>
      </c>
      <c r="O189" s="16">
        <f>IF(ISNUMBER(M189), $B199 * N189, "")</f>
        <v>10317.460317460316</v>
      </c>
      <c r="Q189" s="150"/>
      <c r="R189" s="151"/>
      <c r="S189" s="152"/>
    </row>
    <row r="190" spans="1:19" ht="17.25" thickBot="1">
      <c r="A190" s="109" t="s">
        <v>352</v>
      </c>
      <c r="B190" s="110">
        <v>243</v>
      </c>
      <c r="C190" s="70">
        <v>8.2987552000000006E-3</v>
      </c>
      <c r="D190" s="15">
        <v>254</v>
      </c>
      <c r="E190" s="32">
        <f t="shared" ref="E190:E193" si="102">IF(ISNUMBER(D190), (D190 - $B190) / $B190, "")</f>
        <v>4.5267489711934158E-2</v>
      </c>
      <c r="F190" s="18">
        <f>IF(ISNUMBER(D190), $B199 * E190, "")</f>
        <v>6790.1234567901238</v>
      </c>
      <c r="G190" s="31">
        <v>251</v>
      </c>
      <c r="H190" s="32">
        <f t="shared" ref="H190:H193" si="103">IF(ISNUMBER(G190), (G190 - $B190) / $B190, "")</f>
        <v>3.292181069958848E-2</v>
      </c>
      <c r="I190" s="91">
        <f>IF(ISNUMBER(G190), $B199 * H190, "")</f>
        <v>4938.2716049382716</v>
      </c>
      <c r="J190" s="15">
        <v>253</v>
      </c>
      <c r="K190" s="32">
        <f t="shared" ref="K190:K193" si="104">IF(ISNUMBER(J190), (J190 - $B190) / $B190, "")</f>
        <v>4.1152263374485597E-2</v>
      </c>
      <c r="L190" s="18">
        <f>IF(ISNUMBER(J190), $B199 * K190, "")</f>
        <v>6172.8395061728397</v>
      </c>
      <c r="M190" s="31">
        <v>255</v>
      </c>
      <c r="N190" s="32">
        <f t="shared" ref="N190:N193" si="105">IF(ISNUMBER(M190), (M190 - $B190) / $B190, "")</f>
        <v>4.9382716049382713E-2</v>
      </c>
      <c r="O190" s="18">
        <f>IF(ISNUMBER(M190), $B199 * N190, "")</f>
        <v>7407.4074074074069</v>
      </c>
      <c r="Q190" s="153"/>
      <c r="R190" s="154"/>
      <c r="S190" s="155"/>
    </row>
    <row r="191" spans="1:19" ht="17.25" thickBot="1">
      <c r="A191" s="109" t="s">
        <v>331</v>
      </c>
      <c r="B191" s="110">
        <v>27000</v>
      </c>
      <c r="C191" s="70">
        <v>7.4626865999999998E-3</v>
      </c>
      <c r="D191" s="15">
        <v>26940</v>
      </c>
      <c r="E191" s="32">
        <f t="shared" si="102"/>
        <v>-2.2222222222222222E-3</v>
      </c>
      <c r="F191" s="18">
        <f>IF(ISNUMBER(D191), $B199 * E191, "")</f>
        <v>-333.33333333333331</v>
      </c>
      <c r="G191" s="31">
        <v>26240</v>
      </c>
      <c r="H191" s="32">
        <f t="shared" si="103"/>
        <v>-2.8148148148148148E-2</v>
      </c>
      <c r="I191" s="91">
        <f>IF(ISNUMBER(G191), $B199 * H191, "")</f>
        <v>-4222.2222222222226</v>
      </c>
      <c r="J191" s="15">
        <v>26510</v>
      </c>
      <c r="K191" s="32">
        <f t="shared" si="104"/>
        <v>-1.8148148148148149E-2</v>
      </c>
      <c r="L191" s="18">
        <f>IF(ISNUMBER(J191), $B199 * K191, "")</f>
        <v>-2722.2222222222226</v>
      </c>
      <c r="M191" s="31">
        <v>28400</v>
      </c>
      <c r="N191" s="32">
        <f t="shared" si="105"/>
        <v>5.185185185185185E-2</v>
      </c>
      <c r="O191" s="18">
        <f>IF(ISNUMBER(M191), $B199 * N191, "")</f>
        <v>7777.7777777777774</v>
      </c>
      <c r="Q191" s="146"/>
      <c r="R191" s="146"/>
      <c r="S191" s="146"/>
    </row>
    <row r="192" spans="1:19" ht="17.25" thickBot="1">
      <c r="A192" s="109" t="s">
        <v>83</v>
      </c>
      <c r="B192" s="110">
        <v>1405</v>
      </c>
      <c r="C192" s="70">
        <v>7.1684588000000002E-3</v>
      </c>
      <c r="D192" s="15">
        <v>1425</v>
      </c>
      <c r="E192" s="32">
        <f t="shared" si="102"/>
        <v>1.4234875444839857E-2</v>
      </c>
      <c r="F192" s="18">
        <f>IF(ISNUMBER(D192), $B199 * E192, "")</f>
        <v>2135.2313167259786</v>
      </c>
      <c r="G192" s="31">
        <v>1390</v>
      </c>
      <c r="H192" s="32">
        <f t="shared" si="103"/>
        <v>-1.0676156583629894E-2</v>
      </c>
      <c r="I192" s="91">
        <f>IF(ISNUMBER(G192), $B199 * H192, "")</f>
        <v>-1601.423487544484</v>
      </c>
      <c r="J192" s="15">
        <v>1395</v>
      </c>
      <c r="K192" s="32">
        <f t="shared" si="104"/>
        <v>-7.1174377224199285E-3</v>
      </c>
      <c r="L192" s="18">
        <f>IF(ISNUMBER(J192), $B199 * K192, "")</f>
        <v>-1067.6156583629893</v>
      </c>
      <c r="M192" s="31">
        <v>1465</v>
      </c>
      <c r="N192" s="32">
        <f t="shared" si="105"/>
        <v>4.2704626334519574E-2</v>
      </c>
      <c r="O192" s="18">
        <f>IF(ISNUMBER(M192), $B199 * N192, "")</f>
        <v>6405.6939501779361</v>
      </c>
      <c r="Q192" s="156"/>
      <c r="R192" s="156"/>
      <c r="S192" s="156"/>
    </row>
    <row r="193" spans="1:19" ht="17.25" thickBot="1">
      <c r="A193" s="111" t="s">
        <v>335</v>
      </c>
      <c r="B193" s="112">
        <v>82.5</v>
      </c>
      <c r="C193" s="71">
        <v>6.0975609999999996E-3</v>
      </c>
      <c r="D193" s="20">
        <v>85.4</v>
      </c>
      <c r="E193" s="21">
        <f t="shared" si="102"/>
        <v>3.5151515151515218E-2</v>
      </c>
      <c r="F193" s="22">
        <f>IF(ISNUMBER(D193), $B199 * E193, "")</f>
        <v>5272.727272727283</v>
      </c>
      <c r="G193" s="30">
        <v>83.5</v>
      </c>
      <c r="H193" s="21">
        <f t="shared" si="103"/>
        <v>1.2121212121212121E-2</v>
      </c>
      <c r="I193" s="95">
        <f>IF(ISNUMBER(G193), $B199 * H193, "")</f>
        <v>1818.1818181818182</v>
      </c>
      <c r="J193" s="20">
        <v>83.7</v>
      </c>
      <c r="K193" s="21">
        <f t="shared" si="104"/>
        <v>1.454545454545458E-2</v>
      </c>
      <c r="L193" s="22">
        <f>IF(ISNUMBER(J193), $B199 * K193, "")</f>
        <v>2181.818181818187</v>
      </c>
      <c r="M193" s="30">
        <v>88.2</v>
      </c>
      <c r="N193" s="21">
        <f t="shared" si="105"/>
        <v>6.9090909090909119E-2</v>
      </c>
      <c r="O193" s="22">
        <f>IF(ISNUMBER(M193), $B199 * N193, "")</f>
        <v>10363.636363636368</v>
      </c>
      <c r="Q193" s="156"/>
      <c r="R193" s="156"/>
      <c r="S193" s="156"/>
    </row>
    <row r="194" spans="1:19" ht="17.25" thickBot="1">
      <c r="A194" s="109" t="s">
        <v>187</v>
      </c>
      <c r="B194" s="113">
        <v>915</v>
      </c>
      <c r="C194" s="73">
        <v>5.4945055E-3</v>
      </c>
      <c r="D194" s="96">
        <v>957</v>
      </c>
      <c r="E194" s="97">
        <f>IF(ISNUMBER(D194), (D194 - $B194) / $B194, "")</f>
        <v>4.5901639344262293E-2</v>
      </c>
      <c r="F194" s="98">
        <f>IF(ISNUMBER(D194), $B199 * E194, "")</f>
        <v>6885.2459016393441</v>
      </c>
      <c r="G194" s="99">
        <v>924</v>
      </c>
      <c r="H194" s="97">
        <f>IF(ISNUMBER(G194), (G194 - $B194) / $B194, "")</f>
        <v>9.8360655737704927E-3</v>
      </c>
      <c r="I194" s="100">
        <f>IF(ISNUMBER(G194), $B199 * H194, "")</f>
        <v>1475.4098360655739</v>
      </c>
      <c r="J194" s="96">
        <v>936</v>
      </c>
      <c r="K194" s="97">
        <f>IF(ISNUMBER(J194), (J194 - $B194) / $B194, "")</f>
        <v>2.2950819672131147E-2</v>
      </c>
      <c r="L194" s="98">
        <f>IF(ISNUMBER(J194), $B199 * K194, "")</f>
        <v>3442.622950819672</v>
      </c>
      <c r="M194" s="99">
        <v>995</v>
      </c>
      <c r="N194" s="97">
        <f>IF(ISNUMBER(M194), (M194 - $B194) / $B194, "")</f>
        <v>8.7431693989071038E-2</v>
      </c>
      <c r="O194" s="98">
        <f>IF(ISNUMBER(M194), $B199 * N194, "")</f>
        <v>13114.754098360656</v>
      </c>
      <c r="Q194" s="146"/>
      <c r="R194" s="146"/>
      <c r="S194" s="146"/>
    </row>
    <row r="195" spans="1:19" ht="17.25" thickBot="1">
      <c r="A195" s="109" t="s">
        <v>163</v>
      </c>
      <c r="B195" s="110">
        <v>10530</v>
      </c>
      <c r="C195" s="70">
        <v>3.8131554000000001E-3</v>
      </c>
      <c r="D195" s="15">
        <v>11380</v>
      </c>
      <c r="E195" s="32">
        <f t="shared" ref="E195:E198" si="106">IF(ISNUMBER(D195), (D195 - $B195) / $B195, "")</f>
        <v>8.0721747388414061E-2</v>
      </c>
      <c r="F195" s="18">
        <f>IF(ISNUMBER(D195), $B199 * E195, "")</f>
        <v>12108.26210826211</v>
      </c>
      <c r="G195" s="31">
        <v>10770</v>
      </c>
      <c r="H195" s="32">
        <f t="shared" ref="H195:H198" si="107">IF(ISNUMBER(G195), (G195 - $B195) / $B195, "")</f>
        <v>2.2792022792022793E-2</v>
      </c>
      <c r="I195" s="91">
        <f>IF(ISNUMBER(G195), $B199 * H195, "")</f>
        <v>3418.8034188034189</v>
      </c>
      <c r="J195" s="15">
        <v>10910</v>
      </c>
      <c r="K195" s="32">
        <f t="shared" ref="K195:K198" si="108">IF(ISNUMBER(J195), (J195 - $B195) / $B195, "")</f>
        <v>3.6087369420702751E-2</v>
      </c>
      <c r="L195" s="18">
        <f>IF(ISNUMBER(J195), $B199 * K195, "")</f>
        <v>5413.1054131054125</v>
      </c>
      <c r="M195" s="31">
        <v>11400</v>
      </c>
      <c r="N195" s="32">
        <f t="shared" ref="N195:N198" si="109">IF(ISNUMBER(M195), (M195 - $B195) / $B195, "")</f>
        <v>8.2621082621082614E-2</v>
      </c>
      <c r="O195" s="18">
        <f>IF(ISNUMBER(M195), $B199 * N195, "")</f>
        <v>12393.162393162393</v>
      </c>
      <c r="Q195" s="146"/>
      <c r="R195" s="146"/>
      <c r="S195" s="146"/>
    </row>
    <row r="196" spans="1:19" ht="17.25" thickBot="1">
      <c r="A196" s="109" t="s">
        <v>157</v>
      </c>
      <c r="B196" s="110">
        <v>427</v>
      </c>
      <c r="C196" s="70">
        <v>2.3474177999999999E-3</v>
      </c>
      <c r="D196" s="15">
        <v>454</v>
      </c>
      <c r="E196" s="32">
        <f t="shared" si="106"/>
        <v>6.323185011709602E-2</v>
      </c>
      <c r="F196" s="18">
        <f>IF(ISNUMBER(D196), $B199 * E196, "")</f>
        <v>9484.7775175644038</v>
      </c>
      <c r="G196" s="31">
        <v>451</v>
      </c>
      <c r="H196" s="32">
        <f t="shared" si="107"/>
        <v>5.6206088992974239E-2</v>
      </c>
      <c r="I196" s="91">
        <f>IF(ISNUMBER(G196), $B199 * H196, "")</f>
        <v>8430.9133489461365</v>
      </c>
      <c r="J196" s="15">
        <v>454</v>
      </c>
      <c r="K196" s="32">
        <f t="shared" si="108"/>
        <v>6.323185011709602E-2</v>
      </c>
      <c r="L196" s="18">
        <f>IF(ISNUMBER(J196), $B199 * K196, "")</f>
        <v>9484.7775175644038</v>
      </c>
      <c r="M196" s="31">
        <v>460</v>
      </c>
      <c r="N196" s="32">
        <f t="shared" si="109"/>
        <v>7.7283372365339581E-2</v>
      </c>
      <c r="O196" s="18">
        <f>IF(ISNUMBER(M196), $B199 * N196, "")</f>
        <v>11592.505854800937</v>
      </c>
      <c r="Q196" s="146"/>
      <c r="R196" s="146"/>
      <c r="S196" s="146"/>
    </row>
    <row r="197" spans="1:19">
      <c r="A197" s="109" t="s">
        <v>348</v>
      </c>
      <c r="B197" s="110">
        <v>21520</v>
      </c>
      <c r="C197" s="70">
        <v>2.3288308999999999E-3</v>
      </c>
      <c r="D197" s="15">
        <v>21660</v>
      </c>
      <c r="E197" s="32">
        <f t="shared" si="106"/>
        <v>6.5055762081784388E-3</v>
      </c>
      <c r="F197" s="18">
        <f>IF(ISNUMBER(D197), $B199 * E197, "")</f>
        <v>975.83643122676585</v>
      </c>
      <c r="G197" s="31">
        <v>21480</v>
      </c>
      <c r="H197" s="32">
        <f t="shared" si="107"/>
        <v>-1.8587360594795538E-3</v>
      </c>
      <c r="I197" s="91">
        <f>IF(ISNUMBER(G197), $B199 * H197, "")</f>
        <v>-278.81040892193306</v>
      </c>
      <c r="J197" s="15">
        <v>21510</v>
      </c>
      <c r="K197" s="32">
        <f t="shared" si="108"/>
        <v>-4.6468401486988845E-4</v>
      </c>
      <c r="L197" s="18">
        <f>IF(ISNUMBER(J197), $B199 * K197, "")</f>
        <v>-69.702602230483265</v>
      </c>
      <c r="M197" s="31">
        <v>22990</v>
      </c>
      <c r="N197" s="32">
        <f t="shared" si="109"/>
        <v>6.8308550185873604E-2</v>
      </c>
      <c r="O197" s="18">
        <f>IF(ISNUMBER(M197), $B199 * N197, "")</f>
        <v>10246.282527881041</v>
      </c>
      <c r="Q197" s="135"/>
      <c r="R197" s="136"/>
      <c r="S197" s="137"/>
    </row>
    <row r="198" spans="1:19" ht="17.25" thickBot="1">
      <c r="A198" s="114" t="s">
        <v>89</v>
      </c>
      <c r="B198" s="115">
        <v>491</v>
      </c>
      <c r="C198" s="72">
        <v>-6.0728745000000004E-3</v>
      </c>
      <c r="D198" s="24">
        <v>489</v>
      </c>
      <c r="E198" s="25">
        <f t="shared" si="106"/>
        <v>-4.0733197556008143E-3</v>
      </c>
      <c r="F198" s="94">
        <f>IF(ISNUMBER(D198), $B199 * E198, "")</f>
        <v>-610.99796334012217</v>
      </c>
      <c r="G198" s="92">
        <v>483</v>
      </c>
      <c r="H198" s="25">
        <f t="shared" si="107"/>
        <v>-1.6293279022403257E-2</v>
      </c>
      <c r="I198" s="93">
        <f>IF(ISNUMBER(G198), $B199 * H198, "")</f>
        <v>-2443.9918533604887</v>
      </c>
      <c r="J198" s="24">
        <v>485</v>
      </c>
      <c r="K198" s="25">
        <f t="shared" si="108"/>
        <v>-1.2219959266802444E-2</v>
      </c>
      <c r="L198" s="94">
        <f>IF(ISNUMBER(J198), $B199 * K198, "")</f>
        <v>-1832.9938900203665</v>
      </c>
      <c r="M198" s="92">
        <v>500</v>
      </c>
      <c r="N198" s="25">
        <f t="shared" si="109"/>
        <v>1.8329938900203666E-2</v>
      </c>
      <c r="O198" s="94">
        <f>IF(ISNUMBER(M198), $B199 * N198, "")</f>
        <v>2749.49083503055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3.0174515005462338E-2</v>
      </c>
      <c r="F199" s="28">
        <f>SUM(F179:F198)</f>
        <v>90523.545016386997</v>
      </c>
      <c r="G199" s="26" t="s">
        <v>258</v>
      </c>
      <c r="H199" s="27">
        <f>IF(COUNT(H179:H198), SUM(H179:H198) / COUNT(H179:H198), 0)</f>
        <v>8.1319521045939598E-3</v>
      </c>
      <c r="I199" s="28">
        <f>SUM(I179:I198)</f>
        <v>24395.856313781878</v>
      </c>
      <c r="J199" s="26" t="s">
        <v>258</v>
      </c>
      <c r="K199" s="27">
        <f>IF(COUNT(K179:K198), SUM(K179:K198) / COUNT(K179:K198), 0)</f>
        <v>1.6107777820052582E-2</v>
      </c>
      <c r="L199" s="28">
        <f>SUM(L179:L198)</f>
        <v>48323.333460157752</v>
      </c>
      <c r="M199" s="26" t="s">
        <v>258</v>
      </c>
      <c r="N199" s="27">
        <f>IF(COUNT(N179:N198), SUM(N179:N198) / COUNT(N179:N198), 0)</f>
        <v>7.0237486868436144E-2</v>
      </c>
      <c r="O199" s="28">
        <f>SUM(O179:O198)</f>
        <v>210712.46060530838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175E-9AAF-48CC-9BB6-7F3C679DA780}">
  <sheetPr codeName="Sheet1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45000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-38,263 KRW (-1.28%)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-76,935 KRW (-2.56%)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-85,232 KRW (-2.84%)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-49,747 KRW (-1.66%)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2023-03-15(수) 오전 00:00</v>
      </c>
      <c r="C15" s="196"/>
      <c r="D15" s="170" t="str">
        <f>TEXT($G$1, "[$-ko-KR]yyyy-mm-dd(ddd) ") &amp; "오후 14:00"</f>
        <v>2023-03-15(수) 오후 14:00</v>
      </c>
      <c r="E15" s="171"/>
      <c r="F15" s="172"/>
      <c r="G15" s="170" t="str">
        <f>TEXT($G$1, "[$-ko-KR]yyyy-mm-dd(ddd) ") &amp; "오후 19:00"</f>
        <v>2023-03-15(수) 오후 19:00</v>
      </c>
      <c r="H15" s="171"/>
      <c r="I15" s="172"/>
      <c r="J15" s="170" t="str">
        <f>TEXT($G$1, "[$-ko-KR]yyyy-mm-dd(ddd) ") &amp; "오후 21:00"</f>
        <v>2023-03-15(수) 오후 21:00</v>
      </c>
      <c r="K15" s="171"/>
      <c r="L15" s="172"/>
      <c r="M15" s="170" t="str">
        <f>TEXT($G$1+1, "[$-ko-KR]yyyy-mm-dd(ddd) ") &amp; "오전 00:00"</f>
        <v>2023-03-16(목)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2023-03-15(수) 오전 00:00</v>
      </c>
      <c r="C42" s="198"/>
      <c r="D42" s="170" t="str">
        <f>TEXT($G$1, "[$-ko-KR]yyyy-mm-dd(ddd) ") &amp; "오후 14:00"</f>
        <v>2023-03-15(수) 오후 14:00</v>
      </c>
      <c r="E42" s="171"/>
      <c r="F42" s="172"/>
      <c r="G42" s="170" t="str">
        <f>TEXT($G$1, "[$-ko-KR]yyyy-mm-dd(ddd) ") &amp; "오후 19:00"</f>
        <v>2023-03-15(수) 오후 19:00</v>
      </c>
      <c r="H42" s="171"/>
      <c r="I42" s="172"/>
      <c r="J42" s="170" t="str">
        <f>TEXT($G$1, "[$-ko-KR]yyyy-mm-dd(ddd) ") &amp; "오후 21:00"</f>
        <v>2023-03-15(수) 오후 21:00</v>
      </c>
      <c r="K42" s="171"/>
      <c r="L42" s="172"/>
      <c r="M42" s="170" t="str">
        <f>TEXT($G$1+1, "[$-ko-KR]yyyy-mm-dd(ddd) ") &amp; "오전 00:00"</f>
        <v>2023-03-16(목)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334</v>
      </c>
      <c r="B44" s="108">
        <v>57.9</v>
      </c>
      <c r="C44" s="69">
        <v>0.20124481329999999</v>
      </c>
      <c r="D44" s="13">
        <v>59.8</v>
      </c>
      <c r="E44" s="14">
        <f>IF(ISNUMBER(D44), (D44 - $B44) / $B44, "")</f>
        <v>3.2815198618307402E-2</v>
      </c>
      <c r="F44" s="16">
        <f>IF(ISNUMBER(D44), $B64 * E44, "")</f>
        <v>4922.2797927461106</v>
      </c>
      <c r="G44" s="29">
        <v>57.3</v>
      </c>
      <c r="H44" s="14">
        <f>IF(ISNUMBER(G44), (G44 - $B44) / $B44, "")</f>
        <v>-1.0362694300518159E-2</v>
      </c>
      <c r="I44" s="90">
        <f>IF(ISNUMBER(G44), $B64 * H44, "")</f>
        <v>-1554.4041450777238</v>
      </c>
      <c r="J44" s="13">
        <v>56.7</v>
      </c>
      <c r="K44" s="14">
        <f>IF(ISNUMBER(J44), (J44 - $B44) / $B44, "")</f>
        <v>-2.0725388601036197E-2</v>
      </c>
      <c r="L44" s="16">
        <f>IF(ISNUMBER(J44), $B64 * K44, "")</f>
        <v>-3108.8082901554294</v>
      </c>
      <c r="M44" s="29">
        <v>55.6</v>
      </c>
      <c r="N44" s="14">
        <f>IF(ISNUMBER(M44), (M44 - $B44) / $B44, "")</f>
        <v>-3.9723661485319466E-2</v>
      </c>
      <c r="O44" s="16">
        <f>IF(ISNUMBER(M44), $B64 * N44, "")</f>
        <v>-5958.5492227979203</v>
      </c>
      <c r="Q44" s="156"/>
      <c r="R44" s="156"/>
      <c r="S44" s="156"/>
    </row>
    <row r="45" spans="1:19" ht="17.25" customHeight="1" thickBot="1">
      <c r="A45" s="109" t="s">
        <v>126</v>
      </c>
      <c r="B45" s="110">
        <v>38</v>
      </c>
      <c r="C45" s="70">
        <v>0.1046511628</v>
      </c>
      <c r="D45" s="15">
        <v>38.299999999999997</v>
      </c>
      <c r="E45" s="32">
        <f t="shared" ref="E45:E48" si="14">IF(ISNUMBER(D45), (D45 - $B45) / $B45, "")</f>
        <v>7.8947368421051888E-3</v>
      </c>
      <c r="F45" s="18">
        <f>IF(ISNUMBER(D45), $B64 * E45, "")</f>
        <v>1184.2105263157782</v>
      </c>
      <c r="G45" s="31">
        <v>38</v>
      </c>
      <c r="H45" s="32">
        <f t="shared" ref="H45:H48" si="15">IF(ISNUMBER(G45), (G45 - $B45) / $B45, "")</f>
        <v>0</v>
      </c>
      <c r="I45" s="91">
        <f>IF(ISNUMBER(G45), $B64 * H45, "")</f>
        <v>0</v>
      </c>
      <c r="J45" s="15">
        <v>37.9</v>
      </c>
      <c r="K45" s="32">
        <f t="shared" ref="K45:K48" si="16">IF(ISNUMBER(J45), (J45 - $B45) / $B45, "")</f>
        <v>-2.6315789473684583E-3</v>
      </c>
      <c r="L45" s="18">
        <f>IF(ISNUMBER(J45), $B64 * K45, "")</f>
        <v>-394.73684210526875</v>
      </c>
      <c r="M45" s="31">
        <v>37.4</v>
      </c>
      <c r="N45" s="32">
        <f t="shared" ref="N45:N48" si="17">IF(ISNUMBER(M45), (M45 - $B45) / $B45, "")</f>
        <v>-1.5789473684210565E-2</v>
      </c>
      <c r="O45" s="18">
        <f>IF(ISNUMBER(M45), $B64 * N45, "")</f>
        <v>-2368.4210526315846</v>
      </c>
      <c r="Q45" s="156"/>
      <c r="R45" s="156"/>
      <c r="S45" s="156"/>
    </row>
    <row r="46" spans="1:19" ht="17.25" customHeight="1" thickBot="1">
      <c r="A46" s="109" t="s">
        <v>191</v>
      </c>
      <c r="B46" s="110">
        <v>99.8</v>
      </c>
      <c r="C46" s="70">
        <v>9.30996714E-2</v>
      </c>
      <c r="D46" s="15">
        <v>99.9</v>
      </c>
      <c r="E46" s="32">
        <f t="shared" si="14"/>
        <v>1.0020040080161176E-3</v>
      </c>
      <c r="F46" s="18">
        <f>IF(ISNUMBER(D46), $B64 * E46, "")</f>
        <v>150.30060120241765</v>
      </c>
      <c r="G46" s="31">
        <v>96.6</v>
      </c>
      <c r="H46" s="32">
        <f t="shared" si="15"/>
        <v>-3.2064128256513058E-2</v>
      </c>
      <c r="I46" s="91">
        <f>IF(ISNUMBER(G46), $B64 * H46, "")</f>
        <v>-4809.6192384769583</v>
      </c>
      <c r="J46" s="15">
        <v>95.9</v>
      </c>
      <c r="K46" s="32">
        <f t="shared" si="16"/>
        <v>-3.9078156312625165E-2</v>
      </c>
      <c r="L46" s="18">
        <f>IF(ISNUMBER(J46), $B64 * K46, "")</f>
        <v>-5861.723446893775</v>
      </c>
      <c r="M46" s="31">
        <v>95</v>
      </c>
      <c r="N46" s="32">
        <f t="shared" si="17"/>
        <v>-4.8096192384769511E-2</v>
      </c>
      <c r="O46" s="18">
        <f>IF(ISNUMBER(M46), $B64 * N46, "")</f>
        <v>-7214.4288577154266</v>
      </c>
      <c r="Q46" s="146"/>
      <c r="R46" s="146"/>
      <c r="S46" s="146"/>
    </row>
    <row r="47" spans="1:19" ht="17.25" customHeight="1" thickBot="1">
      <c r="A47" s="109" t="s">
        <v>132</v>
      </c>
      <c r="B47" s="110">
        <v>76.400000000000006</v>
      </c>
      <c r="C47" s="70">
        <v>7.7574048000000007E-2</v>
      </c>
      <c r="D47" s="15">
        <v>76.7</v>
      </c>
      <c r="E47" s="32">
        <f t="shared" si="14"/>
        <v>3.9267015706805908E-3</v>
      </c>
      <c r="F47" s="18">
        <f>IF(ISNUMBER(D47), $B64 * E47, "")</f>
        <v>589.00523560208865</v>
      </c>
      <c r="G47" s="31">
        <v>75.599999999999994</v>
      </c>
      <c r="H47" s="32">
        <f t="shared" si="15"/>
        <v>-1.0471204188481823E-2</v>
      </c>
      <c r="I47" s="91">
        <f>IF(ISNUMBER(G47), $B64 * H47, "")</f>
        <v>-1570.6806282722735</v>
      </c>
      <c r="J47" s="15">
        <v>75.400000000000006</v>
      </c>
      <c r="K47" s="32">
        <f t="shared" si="16"/>
        <v>-1.3089005235602092E-2</v>
      </c>
      <c r="L47" s="18">
        <f>IF(ISNUMBER(J47), $B64 * K47, "")</f>
        <v>-1963.3507853403139</v>
      </c>
      <c r="M47" s="31">
        <v>74.8</v>
      </c>
      <c r="N47" s="32">
        <f t="shared" si="17"/>
        <v>-2.094240837696346E-2</v>
      </c>
      <c r="O47" s="18">
        <f>IF(ISNUMBER(M47), $B64 * N47, "")</f>
        <v>-3141.3612565445192</v>
      </c>
      <c r="Q47" s="146"/>
      <c r="R47" s="146"/>
      <c r="S47" s="146"/>
    </row>
    <row r="48" spans="1:19" ht="17.25" customHeight="1" thickBot="1">
      <c r="A48" s="111" t="s">
        <v>124</v>
      </c>
      <c r="B48" s="112">
        <v>44.3</v>
      </c>
      <c r="C48" s="71">
        <v>6.7469879499999996E-2</v>
      </c>
      <c r="D48" s="20">
        <v>43.9</v>
      </c>
      <c r="E48" s="21">
        <f t="shared" si="14"/>
        <v>-9.0293453724604646E-3</v>
      </c>
      <c r="F48" s="22">
        <f>IF(ISNUMBER(D48), $B64 * E48, "")</f>
        <v>-1354.4018058690697</v>
      </c>
      <c r="G48" s="30">
        <v>44.8</v>
      </c>
      <c r="H48" s="21">
        <f t="shared" si="15"/>
        <v>1.1286681715575621E-2</v>
      </c>
      <c r="I48" s="95">
        <f>IF(ISNUMBER(G48), $B64 * H48, "")</f>
        <v>1693.0022573363431</v>
      </c>
      <c r="J48" s="20">
        <v>44.3</v>
      </c>
      <c r="K48" s="21">
        <f t="shared" si="16"/>
        <v>0</v>
      </c>
      <c r="L48" s="22">
        <f>IF(ISNUMBER(J48), $B64 * K48, "")</f>
        <v>0</v>
      </c>
      <c r="M48" s="30">
        <v>43.7</v>
      </c>
      <c r="N48" s="21">
        <f t="shared" si="17"/>
        <v>-1.3544018058690618E-2</v>
      </c>
      <c r="O48" s="22">
        <f>IF(ISNUMBER(M48), $B64 * N48, "")</f>
        <v>-2031.6027088035928</v>
      </c>
      <c r="Q48" s="146"/>
      <c r="R48" s="146"/>
      <c r="S48" s="146"/>
    </row>
    <row r="49" spans="1:19" ht="17.25" customHeight="1" thickBot="1">
      <c r="A49" s="109" t="s">
        <v>107</v>
      </c>
      <c r="B49" s="113">
        <v>51</v>
      </c>
      <c r="C49" s="73">
        <v>6.6945606699999993E-2</v>
      </c>
      <c r="D49" s="96">
        <v>50.5</v>
      </c>
      <c r="E49" s="97">
        <f>IF(ISNUMBER(D49), (D49 - $B49) / $B49, "")</f>
        <v>-9.8039215686274508E-3</v>
      </c>
      <c r="F49" s="98">
        <f>IF(ISNUMBER(D49), $B64 * E49, "")</f>
        <v>-1470.5882352941176</v>
      </c>
      <c r="G49" s="99">
        <v>50.2</v>
      </c>
      <c r="H49" s="97">
        <f>IF(ISNUMBER(G49), (G49 - $B49) / $B49, "")</f>
        <v>-1.5686274509803866E-2</v>
      </c>
      <c r="I49" s="100">
        <f>IF(ISNUMBER(G49), $B64 * H49, "")</f>
        <v>-2352.9411764705801</v>
      </c>
      <c r="J49" s="96">
        <v>49.9</v>
      </c>
      <c r="K49" s="97">
        <f>IF(ISNUMBER(J49), (J49 - $B49) / $B49, "")</f>
        <v>-2.156862745098042E-2</v>
      </c>
      <c r="L49" s="98">
        <f>IF(ISNUMBER(J49), $B64 * K49, "")</f>
        <v>-3235.2941176470631</v>
      </c>
      <c r="M49" s="99">
        <v>49.2</v>
      </c>
      <c r="N49" s="97">
        <f>IF(ISNUMBER(M49), (M49 - $B49) / $B49, "")</f>
        <v>-3.5294117647058768E-2</v>
      </c>
      <c r="O49" s="98">
        <f>IF(ISNUMBER(M49), $B64 * N49, "")</f>
        <v>-5294.1176470588152</v>
      </c>
      <c r="Q49" s="146"/>
      <c r="R49" s="146"/>
      <c r="S49" s="146"/>
    </row>
    <row r="50" spans="1:19" ht="17.25" customHeight="1" thickBot="1">
      <c r="A50" s="109" t="s">
        <v>71</v>
      </c>
      <c r="B50" s="110">
        <v>14.5</v>
      </c>
      <c r="C50" s="70">
        <v>6.6176470599999995E-2</v>
      </c>
      <c r="D50" s="15">
        <v>14.6</v>
      </c>
      <c r="E50" s="32">
        <f t="shared" ref="E50:E53" si="18">IF(ISNUMBER(D50), (D50 - $B50) / $B50, "")</f>
        <v>6.8965517241379067E-3</v>
      </c>
      <c r="F50" s="18">
        <f>IF(ISNUMBER(D50), $B64 * E50, "")</f>
        <v>1034.4827586206859</v>
      </c>
      <c r="G50" s="31">
        <v>14.5</v>
      </c>
      <c r="H50" s="32">
        <f t="shared" ref="H50:H53" si="19">IF(ISNUMBER(G50), (G50 - $B50) / $B50, "")</f>
        <v>0</v>
      </c>
      <c r="I50" s="91">
        <f>IF(ISNUMBER(G50), $B64 * H50, "")</f>
        <v>0</v>
      </c>
      <c r="J50" s="15">
        <v>14.4</v>
      </c>
      <c r="K50" s="32">
        <f t="shared" ref="K50:K53" si="20">IF(ISNUMBER(J50), (J50 - $B50) / $B50, "")</f>
        <v>-6.8965517241379067E-3</v>
      </c>
      <c r="L50" s="18">
        <f>IF(ISNUMBER(J50), $B64 * K50, "")</f>
        <v>-1034.4827586206859</v>
      </c>
      <c r="M50" s="31">
        <v>14.3</v>
      </c>
      <c r="N50" s="32">
        <f t="shared" ref="N50:N53" si="21">IF(ISNUMBER(M50), (M50 - $B50) / $B50, "")</f>
        <v>-1.3793103448275813E-2</v>
      </c>
      <c r="O50" s="18">
        <f>IF(ISNUMBER(M50), $B64 * N50, "")</f>
        <v>-2068.9655172413718</v>
      </c>
      <c r="Q50" s="146"/>
      <c r="R50" s="146"/>
      <c r="S50" s="146"/>
    </row>
    <row r="51" spans="1:19" ht="17.25" customHeight="1" thickBot="1">
      <c r="A51" s="109" t="s">
        <v>227</v>
      </c>
      <c r="B51" s="110">
        <v>64.900000000000006</v>
      </c>
      <c r="C51" s="70">
        <v>6.2193126000000001E-2</v>
      </c>
      <c r="D51" s="15">
        <v>65.8</v>
      </c>
      <c r="E51" s="32">
        <f t="shared" si="18"/>
        <v>1.3867488443759497E-2</v>
      </c>
      <c r="F51" s="18">
        <f>IF(ISNUMBER(D51), $B64 * E51, "")</f>
        <v>2080.1232665639245</v>
      </c>
      <c r="G51" s="31">
        <v>65</v>
      </c>
      <c r="H51" s="32">
        <f t="shared" si="19"/>
        <v>1.5408320493065378E-3</v>
      </c>
      <c r="I51" s="91">
        <f>IF(ISNUMBER(G51), $B64 * H51, "")</f>
        <v>231.12480739598067</v>
      </c>
      <c r="J51" s="15">
        <v>65.2</v>
      </c>
      <c r="K51" s="32">
        <f t="shared" si="20"/>
        <v>4.6224961479198329E-3</v>
      </c>
      <c r="L51" s="18">
        <f>IF(ISNUMBER(J51), $B64 * K51, "")</f>
        <v>693.37442218797491</v>
      </c>
      <c r="M51" s="31">
        <v>64.599999999999994</v>
      </c>
      <c r="N51" s="32">
        <f t="shared" si="21"/>
        <v>-4.6224961479200515E-3</v>
      </c>
      <c r="O51" s="18">
        <f>IF(ISNUMBER(M51), $B64 * N51, "")</f>
        <v>-693.37442218800777</v>
      </c>
      <c r="Q51" s="146"/>
      <c r="R51" s="146"/>
      <c r="S51" s="146"/>
    </row>
    <row r="52" spans="1:19" ht="17.25" customHeight="1" thickBot="1">
      <c r="A52" s="109" t="s">
        <v>138</v>
      </c>
      <c r="B52" s="110">
        <v>47.5</v>
      </c>
      <c r="C52" s="70">
        <v>5.5555555600000001E-2</v>
      </c>
      <c r="D52" s="15">
        <v>48.1</v>
      </c>
      <c r="E52" s="32">
        <f t="shared" si="18"/>
        <v>1.263157894736845E-2</v>
      </c>
      <c r="F52" s="18">
        <f>IF(ISNUMBER(D52), $B64 * E52, "")</f>
        <v>1894.7368421052674</v>
      </c>
      <c r="G52" s="31">
        <v>47.3</v>
      </c>
      <c r="H52" s="32">
        <f t="shared" si="19"/>
        <v>-4.2105263157895334E-3</v>
      </c>
      <c r="I52" s="91">
        <f>IF(ISNUMBER(G52), $B64 * H52, "")</f>
        <v>-631.57894736843002</v>
      </c>
      <c r="J52" s="15">
        <v>47</v>
      </c>
      <c r="K52" s="32">
        <f t="shared" si="20"/>
        <v>-1.0526315789473684E-2</v>
      </c>
      <c r="L52" s="18">
        <f>IF(ISNUMBER(J52), $B64 * K52, "")</f>
        <v>-1578.9473684210525</v>
      </c>
      <c r="M52" s="31">
        <v>46.1</v>
      </c>
      <c r="N52" s="32">
        <f t="shared" si="21"/>
        <v>-2.9473684210526287E-2</v>
      </c>
      <c r="O52" s="18">
        <f>IF(ISNUMBER(M52), $B64 * N52, "")</f>
        <v>-4421.052631578943</v>
      </c>
      <c r="Q52" s="33"/>
      <c r="R52" s="33"/>
    </row>
    <row r="53" spans="1:19" ht="17.25" customHeight="1" thickBot="1">
      <c r="A53" s="114" t="s">
        <v>122</v>
      </c>
      <c r="B53" s="115">
        <v>32.299999999999997</v>
      </c>
      <c r="C53" s="72">
        <v>5.2117263800000001E-2</v>
      </c>
      <c r="D53" s="24">
        <v>31.7</v>
      </c>
      <c r="E53" s="25">
        <f t="shared" si="18"/>
        <v>-1.8575851393188791E-2</v>
      </c>
      <c r="F53" s="94">
        <f>IF(ISNUMBER(D53), $B64 * E53, "")</f>
        <v>-2786.3777089783189</v>
      </c>
      <c r="G53" s="92">
        <v>31.5</v>
      </c>
      <c r="H53" s="25">
        <f t="shared" si="19"/>
        <v>-2.4767801857585054E-2</v>
      </c>
      <c r="I53" s="93">
        <f>IF(ISNUMBER(G53), $B64 * H53, "")</f>
        <v>-3715.1702786377582</v>
      </c>
      <c r="J53" s="24">
        <v>31.3</v>
      </c>
      <c r="K53" s="25">
        <f t="shared" si="20"/>
        <v>-3.0959752321981317E-2</v>
      </c>
      <c r="L53" s="94">
        <f>IF(ISNUMBER(J53), $B64 * K53, "")</f>
        <v>-4643.9628482971975</v>
      </c>
      <c r="M53" s="92">
        <v>30.8</v>
      </c>
      <c r="N53" s="25">
        <f t="shared" si="21"/>
        <v>-4.6439628482972027E-2</v>
      </c>
      <c r="O53" s="94">
        <f>IF(ISNUMBER(M53), $B64 * N53, "")</f>
        <v>-6965.944272445804</v>
      </c>
      <c r="Q53" s="147"/>
      <c r="R53" s="148"/>
      <c r="S53" s="149"/>
    </row>
    <row r="54" spans="1:19" ht="17.25" customHeight="1">
      <c r="A54" s="107" t="s">
        <v>64</v>
      </c>
      <c r="B54" s="108">
        <v>14.3</v>
      </c>
      <c r="C54" s="69">
        <v>5.14705882E-2</v>
      </c>
      <c r="D54" s="13">
        <v>14.1</v>
      </c>
      <c r="E54" s="14">
        <f>IF(ISNUMBER(D54), (D54 - $B54) / $B54, "")</f>
        <v>-1.3986013986014061E-2</v>
      </c>
      <c r="F54" s="16">
        <f>IF(ISNUMBER(D54), $B64 * E54, "")</f>
        <v>-2097.9020979021093</v>
      </c>
      <c r="G54" s="29">
        <v>14</v>
      </c>
      <c r="H54" s="14">
        <f>IF(ISNUMBER(G54), (G54 - $B54) / $B54, "")</f>
        <v>-2.0979020979021028E-2</v>
      </c>
      <c r="I54" s="90">
        <f>IF(ISNUMBER(G54), $B64 * H54, "")</f>
        <v>-3146.8531468531542</v>
      </c>
      <c r="J54" s="13">
        <v>13.8</v>
      </c>
      <c r="K54" s="14">
        <f>IF(ISNUMBER(J54), (J54 - $B54) / $B54, "")</f>
        <v>-3.4965034965034961E-2</v>
      </c>
      <c r="L54" s="16">
        <f>IF(ISNUMBER(J54), $B64 * K54, "")</f>
        <v>-5244.7552447552443</v>
      </c>
      <c r="M54" s="29">
        <v>13.6</v>
      </c>
      <c r="N54" s="14">
        <f>IF(ISNUMBER(M54), (M54 - $B54) / $B54, "")</f>
        <v>-4.8951048951049021E-2</v>
      </c>
      <c r="O54" s="16">
        <f>IF(ISNUMBER(M54), $B64 * N54, "")</f>
        <v>-7342.6573426573532</v>
      </c>
      <c r="Q54" s="150"/>
      <c r="R54" s="151"/>
      <c r="S54" s="152"/>
    </row>
    <row r="55" spans="1:19" ht="17.25" customHeight="1" thickBot="1">
      <c r="A55" s="109" t="s">
        <v>317</v>
      </c>
      <c r="B55" s="110">
        <v>1.52E-2</v>
      </c>
      <c r="C55" s="70">
        <v>4.8275862099999997E-2</v>
      </c>
      <c r="D55" s="15">
        <v>1.49E-2</v>
      </c>
      <c r="E55" s="32">
        <f t="shared" ref="E55:E58" si="22">IF(ISNUMBER(D55), (D55 - $B55) / $B55, "")</f>
        <v>-1.9736842105263153E-2</v>
      </c>
      <c r="F55" s="18">
        <f>IF(ISNUMBER(D55), $B64 * E55, "")</f>
        <v>-2960.5263157894728</v>
      </c>
      <c r="G55" s="31">
        <v>1.47E-2</v>
      </c>
      <c r="H55" s="32">
        <f t="shared" ref="H55:H58" si="23">IF(ISNUMBER(G55), (G55 - $B55) / $B55, "")</f>
        <v>-3.2894736842105289E-2</v>
      </c>
      <c r="I55" s="91">
        <f>IF(ISNUMBER(G55), $B64 * H55, "")</f>
        <v>-4934.2105263157937</v>
      </c>
      <c r="J55" s="15">
        <v>1.46E-2</v>
      </c>
      <c r="K55" s="32">
        <f t="shared" ref="K55:K58" si="24">IF(ISNUMBER(J55), (J55 - $B55) / $B55, "")</f>
        <v>-3.9473684210526307E-2</v>
      </c>
      <c r="L55" s="18">
        <f>IF(ISNUMBER(J55), $B64 * K55, "")</f>
        <v>-5921.0526315789457</v>
      </c>
      <c r="M55" s="31">
        <v>1.44E-2</v>
      </c>
      <c r="N55" s="32">
        <f t="shared" ref="N55:N58" si="25">IF(ISNUMBER(M55), (M55 - $B55) / $B55, "")</f>
        <v>-5.2631578947368446E-2</v>
      </c>
      <c r="O55" s="18">
        <f>IF(ISNUMBER(M55), $B64 * N55, "")</f>
        <v>-7894.736842105267</v>
      </c>
      <c r="Q55" s="153"/>
      <c r="R55" s="154"/>
      <c r="S55" s="155"/>
    </row>
    <row r="56" spans="1:19" ht="17.25" customHeight="1" thickBot="1">
      <c r="A56" s="109" t="s">
        <v>141</v>
      </c>
      <c r="B56" s="110">
        <v>5.45</v>
      </c>
      <c r="C56" s="70">
        <v>4.8076923100000002E-2</v>
      </c>
      <c r="D56" s="15">
        <v>5.63</v>
      </c>
      <c r="E56" s="32">
        <f t="shared" si="22"/>
        <v>3.3027522935779763E-2</v>
      </c>
      <c r="F56" s="18">
        <f>IF(ISNUMBER(D56), $B64 * E56, "")</f>
        <v>4954.1284403669642</v>
      </c>
      <c r="G56" s="31">
        <v>5.77</v>
      </c>
      <c r="H56" s="32">
        <f t="shared" si="23"/>
        <v>5.8715596330275115E-2</v>
      </c>
      <c r="I56" s="91">
        <f>IF(ISNUMBER(G56), $B64 * H56, "")</f>
        <v>8807.3394495412667</v>
      </c>
      <c r="J56" s="15">
        <v>5.69</v>
      </c>
      <c r="K56" s="32">
        <f t="shared" si="24"/>
        <v>4.4036697247706459E-2</v>
      </c>
      <c r="L56" s="18">
        <f>IF(ISNUMBER(J56), $B64 * K56, "")</f>
        <v>6605.5045871559687</v>
      </c>
      <c r="M56" s="31">
        <v>5.58</v>
      </c>
      <c r="N56" s="32">
        <f t="shared" si="25"/>
        <v>2.3853211009174292E-2</v>
      </c>
      <c r="O56" s="18">
        <f>IF(ISNUMBER(M56), $B64 * N56, "")</f>
        <v>3577.9816513761439</v>
      </c>
      <c r="Q56" s="146"/>
      <c r="R56" s="146"/>
      <c r="S56" s="146"/>
    </row>
    <row r="57" spans="1:19" ht="17.25" customHeight="1" thickBot="1">
      <c r="A57" s="109" t="s">
        <v>207</v>
      </c>
      <c r="B57" s="110">
        <v>99.8</v>
      </c>
      <c r="C57" s="70">
        <v>4.7219307500000002E-2</v>
      </c>
      <c r="D57" s="15">
        <v>101</v>
      </c>
      <c r="E57" s="32">
        <f t="shared" si="22"/>
        <v>1.2024048096192414E-2</v>
      </c>
      <c r="F57" s="18">
        <f>IF(ISNUMBER(D57), $B64 * E57, "")</f>
        <v>1803.6072144288621</v>
      </c>
      <c r="G57" s="31">
        <v>97.8</v>
      </c>
      <c r="H57" s="32">
        <f t="shared" si="23"/>
        <v>-2.004008016032064E-2</v>
      </c>
      <c r="I57" s="91">
        <f>IF(ISNUMBER(G57), $B64 * H57, "")</f>
        <v>-3006.012024048096</v>
      </c>
      <c r="J57" s="15">
        <v>97.5</v>
      </c>
      <c r="K57" s="32">
        <f t="shared" si="24"/>
        <v>-2.3046092184368708E-2</v>
      </c>
      <c r="L57" s="18">
        <f>IF(ISNUMBER(J57), $B64 * K57, "")</f>
        <v>-3456.9138276553062</v>
      </c>
      <c r="M57" s="31">
        <v>96.9</v>
      </c>
      <c r="N57" s="32">
        <f t="shared" si="25"/>
        <v>-2.9058116232464844E-2</v>
      </c>
      <c r="O57" s="18">
        <f>IF(ISNUMBER(M57), $B64 * N57, "")</f>
        <v>-4358.7174348697263</v>
      </c>
      <c r="Q57" s="156"/>
      <c r="R57" s="156"/>
      <c r="S57" s="156"/>
    </row>
    <row r="58" spans="1:19" ht="17.25" customHeight="1" thickBot="1">
      <c r="A58" s="111" t="s">
        <v>338</v>
      </c>
      <c r="B58" s="112">
        <v>4.2200000000000001E-2</v>
      </c>
      <c r="C58" s="71">
        <v>4.7146401999999997E-2</v>
      </c>
      <c r="D58" s="20">
        <v>4.1799999999999997E-2</v>
      </c>
      <c r="E58" s="21">
        <f t="shared" si="22"/>
        <v>-9.4786729857820971E-3</v>
      </c>
      <c r="F58" s="22">
        <f>IF(ISNUMBER(D58), $B64 * E58, "")</f>
        <v>-1421.8009478673146</v>
      </c>
      <c r="G58" s="30">
        <v>4.19E-2</v>
      </c>
      <c r="H58" s="21">
        <f t="shared" si="23"/>
        <v>-7.1090047393365316E-3</v>
      </c>
      <c r="I58" s="95">
        <f>IF(ISNUMBER(G58), $B64 * H58, "")</f>
        <v>-1066.3507109004797</v>
      </c>
      <c r="J58" s="20">
        <v>4.1399999999999999E-2</v>
      </c>
      <c r="K58" s="21">
        <f t="shared" si="24"/>
        <v>-1.8957345971564031E-2</v>
      </c>
      <c r="L58" s="22">
        <f>IF(ISNUMBER(J58), $B64 * K58, "")</f>
        <v>-2843.6018957346046</v>
      </c>
      <c r="M58" s="30">
        <v>4.1000000000000002E-2</v>
      </c>
      <c r="N58" s="21">
        <f t="shared" si="25"/>
        <v>-2.8436018957345963E-2</v>
      </c>
      <c r="O58" s="22">
        <f>IF(ISNUMBER(M58), $B64 * N58, "")</f>
        <v>-4265.4028436018943</v>
      </c>
      <c r="Q58" s="156"/>
      <c r="R58" s="156"/>
      <c r="S58" s="156"/>
    </row>
    <row r="59" spans="1:19" ht="17.25" customHeight="1" thickBot="1">
      <c r="A59" s="109" t="s">
        <v>56</v>
      </c>
      <c r="B59" s="113">
        <v>52.6</v>
      </c>
      <c r="C59" s="73">
        <v>4.5725646100000003E-2</v>
      </c>
      <c r="D59" s="96">
        <v>53.2</v>
      </c>
      <c r="E59" s="97">
        <f>IF(ISNUMBER(D59), (D59 - $B59) / $B59, "")</f>
        <v>1.1406844106463905E-2</v>
      </c>
      <c r="F59" s="98">
        <f>IF(ISNUMBER(D59), $B64 * E59, "")</f>
        <v>1711.0266159695857</v>
      </c>
      <c r="G59" s="99">
        <v>52.8</v>
      </c>
      <c r="H59" s="97">
        <f>IF(ISNUMBER(G59), (G59 - $B59) / $B59, "")</f>
        <v>3.8022813688212117E-3</v>
      </c>
      <c r="I59" s="100">
        <f>IF(ISNUMBER(G59), $B64 * H59, "")</f>
        <v>570.3422053231817</v>
      </c>
      <c r="J59" s="96">
        <v>52.1</v>
      </c>
      <c r="K59" s="97">
        <f>IF(ISNUMBER(J59), (J59 - $B59) / $B59, "")</f>
        <v>-9.5057034220532317E-3</v>
      </c>
      <c r="L59" s="98">
        <f>IF(ISNUMBER(J59), $B64 * K59, "")</f>
        <v>-1425.8555133079847</v>
      </c>
      <c r="M59" s="99">
        <v>51.5</v>
      </c>
      <c r="N59" s="97">
        <f>IF(ISNUMBER(M59), (M59 - $B59) / $B59, "")</f>
        <v>-2.0912547528517136E-2</v>
      </c>
      <c r="O59" s="98">
        <f>IF(ISNUMBER(M59), $B64 * N59, "")</f>
        <v>-3136.8821292775706</v>
      </c>
      <c r="Q59" s="146"/>
      <c r="R59" s="146"/>
      <c r="S59" s="146"/>
    </row>
    <row r="60" spans="1:19" ht="17.25" customHeight="1" thickBot="1">
      <c r="A60" s="109" t="s">
        <v>118</v>
      </c>
      <c r="B60" s="110">
        <v>8.25</v>
      </c>
      <c r="C60" s="70">
        <v>4.5627376400000003E-2</v>
      </c>
      <c r="D60" s="15">
        <v>8.24</v>
      </c>
      <c r="E60" s="32">
        <f t="shared" ref="E60:E63" si="26">IF(ISNUMBER(D60), (D60 - $B60) / $B60, "")</f>
        <v>-1.2121212121211863E-3</v>
      </c>
      <c r="F60" s="18">
        <f>IF(ISNUMBER(D60), $B64 * E60, "")</f>
        <v>-181.81818181817795</v>
      </c>
      <c r="G60" s="31">
        <v>8.31</v>
      </c>
      <c r="H60" s="32">
        <f t="shared" ref="H60:H63" si="27">IF(ISNUMBER(G60), (G60 - $B60) / $B60, "")</f>
        <v>7.2727272727273334E-3</v>
      </c>
      <c r="I60" s="91">
        <f>IF(ISNUMBER(G60), $B64 * H60, "")</f>
        <v>1090.9090909091001</v>
      </c>
      <c r="J60" s="15">
        <v>8.18</v>
      </c>
      <c r="K60" s="32">
        <f t="shared" ref="K60:K63" si="28">IF(ISNUMBER(J60), (J60 - $B60) / $B60, "")</f>
        <v>-8.4848484848485187E-3</v>
      </c>
      <c r="L60" s="18">
        <f>IF(ISNUMBER(J60), $B64 * K60, "")</f>
        <v>-1272.7272727272778</v>
      </c>
      <c r="M60" s="31">
        <v>8.1</v>
      </c>
      <c r="N60" s="32">
        <f t="shared" ref="N60:N63" si="29">IF(ISNUMBER(M60), (M60 - $B60) / $B60, "")</f>
        <v>-1.8181818181818226E-2</v>
      </c>
      <c r="O60" s="18">
        <f>IF(ISNUMBER(M60), $B64 * N60, "")</f>
        <v>-2727.2727272727338</v>
      </c>
      <c r="Q60" s="146"/>
      <c r="R60" s="146"/>
      <c r="S60" s="146"/>
    </row>
    <row r="61" spans="1:19" ht="17.25" customHeight="1" thickBot="1">
      <c r="A61" s="109" t="s">
        <v>323</v>
      </c>
      <c r="B61" s="110">
        <v>97.8</v>
      </c>
      <c r="C61" s="70">
        <v>4.2643923200000003E-2</v>
      </c>
      <c r="D61" s="15">
        <v>95.8</v>
      </c>
      <c r="E61" s="32">
        <f t="shared" si="26"/>
        <v>-2.0449897750511249E-2</v>
      </c>
      <c r="F61" s="18">
        <f>IF(ISNUMBER(D61), $B64 * E61, "")</f>
        <v>-3067.4846625766872</v>
      </c>
      <c r="G61" s="31">
        <v>95.3</v>
      </c>
      <c r="H61" s="32">
        <f t="shared" si="27"/>
        <v>-2.556237218813906E-2</v>
      </c>
      <c r="I61" s="91">
        <f>IF(ISNUMBER(G61), $B64 * H61, "")</f>
        <v>-3834.3558282208592</v>
      </c>
      <c r="J61" s="15">
        <v>94.5</v>
      </c>
      <c r="K61" s="32">
        <f t="shared" si="28"/>
        <v>-3.374233128834353E-2</v>
      </c>
      <c r="L61" s="18">
        <f>IF(ISNUMBER(J61), $B64 * K61, "")</f>
        <v>-5061.3496932515291</v>
      </c>
      <c r="M61" s="31">
        <v>94.3</v>
      </c>
      <c r="N61" s="32">
        <f t="shared" si="29"/>
        <v>-3.5787321063394682E-2</v>
      </c>
      <c r="O61" s="18">
        <f>IF(ISNUMBER(M61), $B64 * N61, "")</f>
        <v>-5368.0981595092026</v>
      </c>
      <c r="Q61" s="146"/>
      <c r="R61" s="146"/>
      <c r="S61" s="146"/>
    </row>
    <row r="62" spans="1:19" ht="17.25" customHeight="1">
      <c r="A62" s="109" t="s">
        <v>155</v>
      </c>
      <c r="B62" s="110">
        <v>35.700000000000003</v>
      </c>
      <c r="C62" s="70">
        <v>4.08163265E-2</v>
      </c>
      <c r="D62" s="15">
        <v>36.299999999999997</v>
      </c>
      <c r="E62" s="32">
        <f t="shared" si="26"/>
        <v>1.680672268907547E-2</v>
      </c>
      <c r="F62" s="18">
        <f>IF(ISNUMBER(D62), $B64 * E62, "")</f>
        <v>2521.0084033613207</v>
      </c>
      <c r="G62" s="31">
        <v>36.1</v>
      </c>
      <c r="H62" s="32">
        <f t="shared" si="27"/>
        <v>1.1204481792717045E-2</v>
      </c>
      <c r="I62" s="91">
        <f>IF(ISNUMBER(G62), $B64 * H62, "")</f>
        <v>1680.6722689075568</v>
      </c>
      <c r="J62" s="15">
        <v>36.1</v>
      </c>
      <c r="K62" s="32">
        <f t="shared" si="28"/>
        <v>1.1204481792717045E-2</v>
      </c>
      <c r="L62" s="18">
        <f>IF(ISNUMBER(J62), $B64 * K62, "")</f>
        <v>1680.6722689075568</v>
      </c>
      <c r="M62" s="31">
        <v>35.5</v>
      </c>
      <c r="N62" s="32">
        <f t="shared" si="29"/>
        <v>-5.6022408963586224E-3</v>
      </c>
      <c r="O62" s="18">
        <f>IF(ISNUMBER(M62), $B64 * N62, "")</f>
        <v>-840.33613445379331</v>
      </c>
      <c r="Q62" s="135"/>
      <c r="R62" s="136"/>
      <c r="S62" s="137"/>
    </row>
    <row r="63" spans="1:19" ht="17.25" customHeight="1" thickBot="1">
      <c r="A63" s="114" t="s">
        <v>217</v>
      </c>
      <c r="B63" s="115">
        <v>95</v>
      </c>
      <c r="C63" s="72">
        <v>4.0525739300000002E-2</v>
      </c>
      <c r="D63" s="24">
        <v>94.2</v>
      </c>
      <c r="E63" s="25">
        <f t="shared" si="26"/>
        <v>-8.4210526315789177E-3</v>
      </c>
      <c r="F63" s="94">
        <f>IF(ISNUMBER(D63), $B64 * E63, "")</f>
        <v>-1263.1578947368378</v>
      </c>
      <c r="G63" s="92">
        <v>93.5</v>
      </c>
      <c r="H63" s="25">
        <f t="shared" si="27"/>
        <v>-1.5789473684210527E-2</v>
      </c>
      <c r="I63" s="93">
        <f>IF(ISNUMBER(G63), $B64 * H63, "")</f>
        <v>-2368.4210526315792</v>
      </c>
      <c r="J63" s="24">
        <v>93</v>
      </c>
      <c r="K63" s="25">
        <f t="shared" si="28"/>
        <v>-2.1052631578947368E-2</v>
      </c>
      <c r="L63" s="94">
        <f>IF(ISNUMBER(J63), $B64 * K63, "")</f>
        <v>-3157.894736842105</v>
      </c>
      <c r="M63" s="92">
        <v>92.2</v>
      </c>
      <c r="N63" s="25">
        <f t="shared" si="29"/>
        <v>-2.9473684210526287E-2</v>
      </c>
      <c r="O63" s="94">
        <f>IF(ISNUMBER(M63), $B64 * N63, "")</f>
        <v>-4421.052631578943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2.0802839488169673E-3</v>
      </c>
      <c r="F64" s="28">
        <f>SUM(F44:F63)</f>
        <v>6240.8518464508998</v>
      </c>
      <c r="G64" s="26" t="s">
        <v>258</v>
      </c>
      <c r="H64" s="27">
        <f>IF(COUNT(H44:H63), SUM(H44:H63) / COUNT(H44:H63), 0)</f>
        <v>-6.3057358746200862E-3</v>
      </c>
      <c r="I64" s="28">
        <f>SUM(I44:I63)</f>
        <v>-18917.207623860257</v>
      </c>
      <c r="J64" s="26" t="s">
        <v>258</v>
      </c>
      <c r="K64" s="27">
        <f>IF(COUNT(K44:K63), SUM(K44:K63) / COUNT(K44:K63), 0)</f>
        <v>-1.3741968665027429E-2</v>
      </c>
      <c r="L64" s="28">
        <f>SUM(L44:L63)</f>
        <v>-41225.905995082285</v>
      </c>
      <c r="M64" s="26" t="s">
        <v>258</v>
      </c>
      <c r="N64" s="27">
        <f>IF(COUNT(N44:N63), SUM(N44:N63) / COUNT(N44:N63), 0)</f>
        <v>-2.5644997394318775E-2</v>
      </c>
      <c r="O64" s="28">
        <f>SUM(O44:O63)</f>
        <v>-76934.992182956325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2023-03-15(수) 오전 00:00</v>
      </c>
      <c r="C69" s="198"/>
      <c r="D69" s="170" t="str">
        <f>TEXT($G$1, "[$-ko-KR]yyyy-mm-dd(ddd) ") &amp; "오후 14:00"</f>
        <v>2023-03-15(수) 오후 14:00</v>
      </c>
      <c r="E69" s="171"/>
      <c r="F69" s="172"/>
      <c r="G69" s="170" t="str">
        <f>TEXT($G$1, "[$-ko-KR]yyyy-mm-dd(ddd) ") &amp; "오후 19:00"</f>
        <v>2023-03-15(수) 오후 19:00</v>
      </c>
      <c r="H69" s="171"/>
      <c r="I69" s="172"/>
      <c r="J69" s="170" t="str">
        <f>TEXT($G$1, "[$-ko-KR]yyyy-mm-dd(ddd) ") &amp; "오후 21:00"</f>
        <v>2023-03-15(수) 오후 21:00</v>
      </c>
      <c r="K69" s="171"/>
      <c r="L69" s="172"/>
      <c r="M69" s="170" t="str">
        <f>TEXT($G$1+1, "[$-ko-KR]yyyy-mm-dd(ddd) ") &amp; "오전 00:00"</f>
        <v>2023-03-16(목)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68</v>
      </c>
      <c r="B71" s="108">
        <v>584</v>
      </c>
      <c r="C71" s="69">
        <v>0.10396975429999999</v>
      </c>
      <c r="D71" s="13">
        <v>584</v>
      </c>
      <c r="E71" s="14">
        <f>IF(ISNUMBER(D71), (D71 - $B71) / $B71, "")</f>
        <v>0</v>
      </c>
      <c r="F71" s="16">
        <f>IF(ISNUMBER(D71), $B91 * E71, "")</f>
        <v>0</v>
      </c>
      <c r="G71" s="29">
        <v>574</v>
      </c>
      <c r="H71" s="14">
        <f>IF(ISNUMBER(G71), (G71 - $B71) / $B71, "")</f>
        <v>-1.7123287671232876E-2</v>
      </c>
      <c r="I71" s="90">
        <f>IF(ISNUMBER(G71), $B91 * H71, "")</f>
        <v>-2568.4931506849312</v>
      </c>
      <c r="J71" s="13">
        <v>570</v>
      </c>
      <c r="K71" s="14">
        <f>IF(ISNUMBER(J71), (J71 - $B71) / $B71, "")</f>
        <v>-2.3972602739726026E-2</v>
      </c>
      <c r="L71" s="16">
        <f>IF(ISNUMBER(J71), $B91 * K71, "")</f>
        <v>-3595.8904109589039</v>
      </c>
      <c r="M71" s="29">
        <v>564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156"/>
      <c r="R71" s="156"/>
      <c r="S71" s="156"/>
    </row>
    <row r="72" spans="1:19" ht="17.25" thickBot="1">
      <c r="A72" s="109" t="s">
        <v>327</v>
      </c>
      <c r="B72" s="110">
        <v>517</v>
      </c>
      <c r="C72" s="70">
        <v>8.3857442300000001E-2</v>
      </c>
      <c r="D72" s="15">
        <v>547</v>
      </c>
      <c r="E72" s="32">
        <f t="shared" ref="E72:E75" si="30">IF(ISNUMBER(D72), (D72 - $B72) / $B72, "")</f>
        <v>5.8027079303675046E-2</v>
      </c>
      <c r="F72" s="18">
        <f>IF(ISNUMBER(D72), $B91 * E72, "")</f>
        <v>8704.0618955512564</v>
      </c>
      <c r="G72" s="31">
        <v>530</v>
      </c>
      <c r="H72" s="32">
        <f t="shared" ref="H72:H75" si="31">IF(ISNUMBER(G72), (G72 - $B72) / $B72, "")</f>
        <v>2.5145067698259187E-2</v>
      </c>
      <c r="I72" s="91">
        <f>IF(ISNUMBER(G72), $B91 * H72, "")</f>
        <v>3771.7601547388781</v>
      </c>
      <c r="J72" s="15">
        <v>528</v>
      </c>
      <c r="K72" s="32">
        <f t="shared" ref="K72:K75" si="32">IF(ISNUMBER(J72), (J72 - $B72) / $B72, "")</f>
        <v>2.1276595744680851E-2</v>
      </c>
      <c r="L72" s="18">
        <f>IF(ISNUMBER(J72), $B91 * K72, "")</f>
        <v>3191.4893617021276</v>
      </c>
      <c r="M72" s="31">
        <v>521</v>
      </c>
      <c r="N72" s="32">
        <f t="shared" ref="N72:N75" si="33">IF(ISNUMBER(M72), (M72 - $B72) / $B72, "")</f>
        <v>7.7369439071566732E-3</v>
      </c>
      <c r="O72" s="18">
        <f>IF(ISNUMBER(M72), $B91 * N72, "")</f>
        <v>1160.5415860735009</v>
      </c>
      <c r="Q72" s="156"/>
      <c r="R72" s="156"/>
      <c r="S72" s="156"/>
    </row>
    <row r="73" spans="1:19" ht="17.25" thickBot="1">
      <c r="A73" s="109" t="s">
        <v>183</v>
      </c>
      <c r="B73" s="110">
        <v>169</v>
      </c>
      <c r="C73" s="70">
        <v>6.28930818E-2</v>
      </c>
      <c r="D73" s="15">
        <v>168</v>
      </c>
      <c r="E73" s="32">
        <f t="shared" si="30"/>
        <v>-5.9171597633136093E-3</v>
      </c>
      <c r="F73" s="18">
        <f>IF(ISNUMBER(D73), $B91 * E73, "")</f>
        <v>-887.5739644970414</v>
      </c>
      <c r="G73" s="31">
        <v>166</v>
      </c>
      <c r="H73" s="32">
        <f t="shared" si="31"/>
        <v>-1.7751479289940829E-2</v>
      </c>
      <c r="I73" s="91">
        <f>IF(ISNUMBER(G73), $B91 * H73, "")</f>
        <v>-2662.7218934911243</v>
      </c>
      <c r="J73" s="15">
        <v>165</v>
      </c>
      <c r="K73" s="32">
        <f t="shared" si="32"/>
        <v>-2.3668639053254437E-2</v>
      </c>
      <c r="L73" s="18">
        <f>IF(ISNUMBER(J73), $B91 * K73, "")</f>
        <v>-3550.2958579881656</v>
      </c>
      <c r="M73" s="31">
        <v>164</v>
      </c>
      <c r="N73" s="32">
        <f t="shared" si="33"/>
        <v>-2.9585798816568046E-2</v>
      </c>
      <c r="O73" s="18">
        <f>IF(ISNUMBER(M73), $B91 * N73, "")</f>
        <v>-4437.8698224852069</v>
      </c>
      <c r="Q73" s="146"/>
      <c r="R73" s="146"/>
      <c r="S73" s="146"/>
    </row>
    <row r="74" spans="1:19" ht="17.25" thickBot="1">
      <c r="A74" s="109" t="s">
        <v>336</v>
      </c>
      <c r="B74" s="110">
        <v>376</v>
      </c>
      <c r="C74" s="70">
        <v>6.2146892699999998E-2</v>
      </c>
      <c r="D74" s="15">
        <v>377</v>
      </c>
      <c r="E74" s="32">
        <f t="shared" si="30"/>
        <v>2.6595744680851063E-3</v>
      </c>
      <c r="F74" s="18">
        <f>IF(ISNUMBER(D74), $B91 * E74, "")</f>
        <v>398.93617021276594</v>
      </c>
      <c r="G74" s="31">
        <v>373</v>
      </c>
      <c r="H74" s="32">
        <f t="shared" si="31"/>
        <v>-7.9787234042553185E-3</v>
      </c>
      <c r="I74" s="91">
        <f>IF(ISNUMBER(G74), $B91 * H74, "")</f>
        <v>-1196.8085106382978</v>
      </c>
      <c r="J74" s="15">
        <v>371</v>
      </c>
      <c r="K74" s="32">
        <f t="shared" si="32"/>
        <v>-1.3297872340425532E-2</v>
      </c>
      <c r="L74" s="18">
        <f>IF(ISNUMBER(J74), $B91 * K74, "")</f>
        <v>-1994.6808510638298</v>
      </c>
      <c r="M74" s="31">
        <v>367</v>
      </c>
      <c r="N74" s="32">
        <f t="shared" si="33"/>
        <v>-2.3936170212765957E-2</v>
      </c>
      <c r="O74" s="18">
        <f>IF(ISNUMBER(M74), $B91 * N74, "")</f>
        <v>-3590.4255319148938</v>
      </c>
      <c r="Q74" s="146"/>
      <c r="R74" s="146"/>
      <c r="S74" s="146"/>
    </row>
    <row r="75" spans="1:19" ht="17.25" thickBot="1">
      <c r="A75" s="111" t="s">
        <v>60</v>
      </c>
      <c r="B75" s="112">
        <v>832</v>
      </c>
      <c r="C75" s="71">
        <v>6.1224489799999997E-2</v>
      </c>
      <c r="D75" s="20">
        <v>809</v>
      </c>
      <c r="E75" s="21">
        <f t="shared" si="30"/>
        <v>-2.7644230769230768E-2</v>
      </c>
      <c r="F75" s="22">
        <f>IF(ISNUMBER(D75), $B91 * E75, "")</f>
        <v>-4146.6346153846152</v>
      </c>
      <c r="G75" s="30">
        <v>799</v>
      </c>
      <c r="H75" s="21">
        <f t="shared" si="31"/>
        <v>-3.9663461538461536E-2</v>
      </c>
      <c r="I75" s="95">
        <f>IF(ISNUMBER(G75), $B91 * H75, "")</f>
        <v>-5949.5192307692305</v>
      </c>
      <c r="J75" s="20">
        <v>792</v>
      </c>
      <c r="K75" s="21">
        <f t="shared" si="32"/>
        <v>-4.807692307692308E-2</v>
      </c>
      <c r="L75" s="22">
        <f>IF(ISNUMBER(J75), $B91 * K75, "")</f>
        <v>-7211.5384615384619</v>
      </c>
      <c r="M75" s="30">
        <v>783</v>
      </c>
      <c r="N75" s="21">
        <f t="shared" si="33"/>
        <v>-5.8894230769230768E-2</v>
      </c>
      <c r="O75" s="22">
        <f>IF(ISNUMBER(M75), $B91 * N75, "")</f>
        <v>-8834.1346153846152</v>
      </c>
      <c r="Q75" s="146"/>
      <c r="R75" s="146"/>
      <c r="S75" s="146"/>
    </row>
    <row r="76" spans="1:19" ht="17.25" thickBot="1">
      <c r="A76" s="109" t="s">
        <v>215</v>
      </c>
      <c r="B76" s="113">
        <v>528</v>
      </c>
      <c r="C76" s="73">
        <v>5.8116232499999997E-2</v>
      </c>
      <c r="D76" s="96">
        <v>530</v>
      </c>
      <c r="E76" s="97">
        <f>IF(ISNUMBER(D76), (D76 - $B76) / $B76, "")</f>
        <v>3.787878787878788E-3</v>
      </c>
      <c r="F76" s="98">
        <f>IF(ISNUMBER(D76), $B91 * E76, "")</f>
        <v>568.18181818181824</v>
      </c>
      <c r="G76" s="99">
        <v>526</v>
      </c>
      <c r="H76" s="97">
        <f>IF(ISNUMBER(G76), (G76 - $B76) / $B76, "")</f>
        <v>-3.787878787878788E-3</v>
      </c>
      <c r="I76" s="100">
        <f>IF(ISNUMBER(G76), $B91 * H76, "")</f>
        <v>-568.18181818181824</v>
      </c>
      <c r="J76" s="96">
        <v>523</v>
      </c>
      <c r="K76" s="97">
        <f>IF(ISNUMBER(J76), (J76 - $B76) / $B76, "")</f>
        <v>-9.46969696969697E-3</v>
      </c>
      <c r="L76" s="98">
        <f>IF(ISNUMBER(J76), $B91 * K76, "")</f>
        <v>-1420.4545454545455</v>
      </c>
      <c r="M76" s="99">
        <v>520</v>
      </c>
      <c r="N76" s="97">
        <f>IF(ISNUMBER(M76), (M76 - $B76) / $B76, "")</f>
        <v>-1.5151515151515152E-2</v>
      </c>
      <c r="O76" s="98">
        <f>IF(ISNUMBER(M76), $B91 * N76, "")</f>
        <v>-2272.727272727273</v>
      </c>
      <c r="Q76" s="146"/>
      <c r="R76" s="146"/>
      <c r="S76" s="146"/>
    </row>
    <row r="77" spans="1:19" ht="17.25" thickBot="1">
      <c r="A77" s="109" t="s">
        <v>111</v>
      </c>
      <c r="B77" s="110">
        <v>857</v>
      </c>
      <c r="C77" s="70">
        <v>5.5418719200000001E-2</v>
      </c>
      <c r="D77" s="15">
        <v>849</v>
      </c>
      <c r="E77" s="32">
        <f t="shared" ref="E77:E80" si="34">IF(ISNUMBER(D77), (D77 - $B77) / $B77, "")</f>
        <v>-9.3348891481913644E-3</v>
      </c>
      <c r="F77" s="18">
        <f>IF(ISNUMBER(D77), $B91 * E77, "")</f>
        <v>-1400.2333722287046</v>
      </c>
      <c r="G77" s="31">
        <v>839</v>
      </c>
      <c r="H77" s="32">
        <f t="shared" ref="H77:H80" si="35">IF(ISNUMBER(G77), (G77 - $B77) / $B77, "")</f>
        <v>-2.1003500583430573E-2</v>
      </c>
      <c r="I77" s="91">
        <f>IF(ISNUMBER(G77), $B91 * H77, "")</f>
        <v>-3150.5250875145857</v>
      </c>
      <c r="J77" s="15">
        <v>833</v>
      </c>
      <c r="K77" s="32">
        <f t="shared" ref="K77:K80" si="36">IF(ISNUMBER(J77), (J77 - $B77) / $B77, "")</f>
        <v>-2.8004667444574097E-2</v>
      </c>
      <c r="L77" s="18">
        <f>IF(ISNUMBER(J77), $B91 * K77, "")</f>
        <v>-4200.7001166861146</v>
      </c>
      <c r="M77" s="31">
        <v>823</v>
      </c>
      <c r="N77" s="32">
        <f t="shared" ref="N77:N80" si="37">IF(ISNUMBER(M77), (M77 - $B77) / $B77, "")</f>
        <v>-3.9673278879813305E-2</v>
      </c>
      <c r="O77" s="18">
        <f>IF(ISNUMBER(M77), $B91 * N77, "")</f>
        <v>-5950.9918319719955</v>
      </c>
      <c r="Q77" s="146"/>
      <c r="R77" s="146"/>
      <c r="S77" s="146"/>
    </row>
    <row r="78" spans="1:19" ht="17.25" thickBot="1">
      <c r="A78" s="109" t="s">
        <v>253</v>
      </c>
      <c r="B78" s="110">
        <v>101</v>
      </c>
      <c r="C78" s="70">
        <v>5.53814002E-2</v>
      </c>
      <c r="D78" s="15">
        <v>99</v>
      </c>
      <c r="E78" s="32">
        <f t="shared" si="34"/>
        <v>-1.9801980198019802E-2</v>
      </c>
      <c r="F78" s="18">
        <f>IF(ISNUMBER(D78), $B91 * E78, "")</f>
        <v>-2970.2970297029701</v>
      </c>
      <c r="G78" s="31">
        <v>97.9</v>
      </c>
      <c r="H78" s="32">
        <f t="shared" si="35"/>
        <v>-3.0693069306930637E-2</v>
      </c>
      <c r="I78" s="91">
        <f>IF(ISNUMBER(G78), $B91 * H78, "")</f>
        <v>-4603.9603960395953</v>
      </c>
      <c r="J78" s="15">
        <v>97.4</v>
      </c>
      <c r="K78" s="32">
        <f t="shared" si="36"/>
        <v>-3.5643564356435585E-2</v>
      </c>
      <c r="L78" s="18">
        <f>IF(ISNUMBER(J78), $B91 * K78, "")</f>
        <v>-5346.5346534653381</v>
      </c>
      <c r="M78" s="31">
        <v>96</v>
      </c>
      <c r="N78" s="32">
        <f t="shared" si="37"/>
        <v>-4.9504950495049507E-2</v>
      </c>
      <c r="O78" s="18">
        <f>IF(ISNUMBER(M78), $B91 * N78, "")</f>
        <v>-7425.742574257426</v>
      </c>
      <c r="Q78" s="146"/>
      <c r="R78" s="146"/>
      <c r="S78" s="146"/>
    </row>
    <row r="79" spans="1:19" ht="17.25" thickBot="1">
      <c r="A79" s="109" t="s">
        <v>81</v>
      </c>
      <c r="B79" s="110">
        <v>477</v>
      </c>
      <c r="C79" s="70">
        <v>5.5309734499999999E-2</v>
      </c>
      <c r="D79" s="15">
        <v>453</v>
      </c>
      <c r="E79" s="32">
        <f t="shared" si="34"/>
        <v>-5.0314465408805034E-2</v>
      </c>
      <c r="F79" s="18">
        <f>IF(ISNUMBER(D79), $B91 * E79, "")</f>
        <v>-7547.1698113207549</v>
      </c>
      <c r="G79" s="31">
        <v>449</v>
      </c>
      <c r="H79" s="32">
        <f t="shared" si="35"/>
        <v>-5.8700209643605873E-2</v>
      </c>
      <c r="I79" s="91">
        <f>IF(ISNUMBER(G79), $B91 * H79, "")</f>
        <v>-8805.031446540881</v>
      </c>
      <c r="J79" s="15">
        <v>449</v>
      </c>
      <c r="K79" s="32">
        <f t="shared" si="36"/>
        <v>-5.8700209643605873E-2</v>
      </c>
      <c r="L79" s="18">
        <f>IF(ISNUMBER(J79), $B91 * K79, "")</f>
        <v>-8805.031446540881</v>
      </c>
      <c r="M79" s="31">
        <v>444</v>
      </c>
      <c r="N79" s="32">
        <f t="shared" si="37"/>
        <v>-6.9182389937106917E-2</v>
      </c>
      <c r="O79" s="18">
        <f>IF(ISNUMBER(M79), $B91 * N79, "")</f>
        <v>-10377.358490566037</v>
      </c>
      <c r="Q79" s="33"/>
      <c r="R79" s="33"/>
    </row>
    <row r="80" spans="1:19" ht="17.25" thickBot="1">
      <c r="A80" s="114" t="s">
        <v>340</v>
      </c>
      <c r="B80" s="115">
        <v>844</v>
      </c>
      <c r="C80" s="72">
        <v>5.1058530499999998E-2</v>
      </c>
      <c r="D80" s="24">
        <v>851</v>
      </c>
      <c r="E80" s="25">
        <f t="shared" si="34"/>
        <v>8.2938388625592423E-3</v>
      </c>
      <c r="F80" s="94">
        <f>IF(ISNUMBER(D80), $B91 * E80, "")</f>
        <v>1244.0758293838865</v>
      </c>
      <c r="G80" s="92">
        <v>846</v>
      </c>
      <c r="H80" s="25">
        <f t="shared" si="35"/>
        <v>2.3696682464454978E-3</v>
      </c>
      <c r="I80" s="93">
        <f>IF(ISNUMBER(G80), $B91 * H80, "")</f>
        <v>355.45023696682466</v>
      </c>
      <c r="J80" s="24">
        <v>839</v>
      </c>
      <c r="K80" s="25">
        <f t="shared" si="36"/>
        <v>-5.9241706161137437E-3</v>
      </c>
      <c r="L80" s="94">
        <f>IF(ISNUMBER(J80), $B91 * K80, "")</f>
        <v>-888.62559241706151</v>
      </c>
      <c r="M80" s="92">
        <v>831</v>
      </c>
      <c r="N80" s="25">
        <f t="shared" si="37"/>
        <v>-1.5402843601895734E-2</v>
      </c>
      <c r="O80" s="94">
        <f>IF(ISNUMBER(M80), $B91 * N80, "")</f>
        <v>-2310.4265402843603</v>
      </c>
      <c r="Q80" s="147"/>
      <c r="R80" s="148"/>
      <c r="S80" s="149"/>
    </row>
    <row r="81" spans="1:19">
      <c r="A81" s="107" t="s">
        <v>79</v>
      </c>
      <c r="B81" s="108">
        <v>330</v>
      </c>
      <c r="C81" s="69">
        <v>5.0955413999999997E-2</v>
      </c>
      <c r="D81" s="13">
        <v>330</v>
      </c>
      <c r="E81" s="14">
        <f>IF(ISNUMBER(D81), (D81 - $B81) / $B81, "")</f>
        <v>0</v>
      </c>
      <c r="F81" s="16">
        <f>IF(ISNUMBER(D81), $B91 * E81, "")</f>
        <v>0</v>
      </c>
      <c r="G81" s="29">
        <v>325</v>
      </c>
      <c r="H81" s="14">
        <f>IF(ISNUMBER(G81), (G81 - $B81) / $B81, "")</f>
        <v>-1.5151515151515152E-2</v>
      </c>
      <c r="I81" s="90">
        <f>IF(ISNUMBER(G81), $B91 * H81, "")</f>
        <v>-2272.727272727273</v>
      </c>
      <c r="J81" s="13">
        <v>322</v>
      </c>
      <c r="K81" s="14">
        <f>IF(ISNUMBER(J81), (J81 - $B81) / $B81, "")</f>
        <v>-2.4242424242424242E-2</v>
      </c>
      <c r="L81" s="16">
        <f>IF(ISNUMBER(J81), $B91 * K81, "")</f>
        <v>-3636.3636363636365</v>
      </c>
      <c r="M81" s="29">
        <v>319</v>
      </c>
      <c r="N81" s="14">
        <f>IF(ISNUMBER(M81), (M81 - $B81) / $B81, "")</f>
        <v>-3.3333333333333333E-2</v>
      </c>
      <c r="O81" s="16">
        <f>IF(ISNUMBER(M81), $B91 * N81, "")</f>
        <v>-5000</v>
      </c>
      <c r="Q81" s="150"/>
      <c r="R81" s="151"/>
      <c r="S81" s="152"/>
    </row>
    <row r="82" spans="1:19" ht="17.25" thickBot="1">
      <c r="A82" s="109" t="s">
        <v>153</v>
      </c>
      <c r="B82" s="110">
        <v>491</v>
      </c>
      <c r="C82" s="70">
        <v>4.9145299099999998E-2</v>
      </c>
      <c r="D82" s="15">
        <v>490</v>
      </c>
      <c r="E82" s="32">
        <f t="shared" ref="E82:E85" si="38">IF(ISNUMBER(D82), (D82 - $B82) / $B82, "")</f>
        <v>-2.0366598778004071E-3</v>
      </c>
      <c r="F82" s="18">
        <f>IF(ISNUMBER(D82), $B91 * E82, "")</f>
        <v>-305.49898167006108</v>
      </c>
      <c r="G82" s="31">
        <v>484</v>
      </c>
      <c r="H82" s="32">
        <f t="shared" ref="H82:H85" si="39">IF(ISNUMBER(G82), (G82 - $B82) / $B82, "")</f>
        <v>-1.4256619144602852E-2</v>
      </c>
      <c r="I82" s="91">
        <f>IF(ISNUMBER(G82), $B91 * H82, "")</f>
        <v>-2138.4928716904278</v>
      </c>
      <c r="J82" s="15">
        <v>481</v>
      </c>
      <c r="K82" s="32">
        <f t="shared" ref="K82:K85" si="40">IF(ISNUMBER(J82), (J82 - $B82) / $B82, "")</f>
        <v>-2.0366598778004074E-2</v>
      </c>
      <c r="L82" s="18">
        <f>IF(ISNUMBER(J82), $B91 * K82, "")</f>
        <v>-3054.9898167006113</v>
      </c>
      <c r="M82" s="31">
        <v>474</v>
      </c>
      <c r="N82" s="32">
        <f t="shared" ref="N82:N85" si="41">IF(ISNUMBER(M82), (M82 - $B82) / $B82, "")</f>
        <v>-3.4623217922606926E-2</v>
      </c>
      <c r="O82" s="18">
        <f>IF(ISNUMBER(M82), $B91 * N82, "")</f>
        <v>-5193.4826883910391</v>
      </c>
      <c r="Q82" s="153"/>
      <c r="R82" s="154"/>
      <c r="S82" s="155"/>
    </row>
    <row r="83" spans="1:19" ht="17.25" thickBot="1">
      <c r="A83" s="109" t="s">
        <v>319</v>
      </c>
      <c r="B83" s="110">
        <v>221</v>
      </c>
      <c r="C83" s="70">
        <v>4.7393364899999998E-2</v>
      </c>
      <c r="D83" s="15">
        <v>222</v>
      </c>
      <c r="E83" s="32">
        <f t="shared" si="38"/>
        <v>4.5248868778280547E-3</v>
      </c>
      <c r="F83" s="18">
        <f>IF(ISNUMBER(D83), $B91 * E83, "")</f>
        <v>678.73303167420818</v>
      </c>
      <c r="G83" s="31">
        <v>221</v>
      </c>
      <c r="H83" s="32">
        <f t="shared" si="39"/>
        <v>0</v>
      </c>
      <c r="I83" s="91">
        <f>IF(ISNUMBER(G83), $B91 * H83, "")</f>
        <v>0</v>
      </c>
      <c r="J83" s="15">
        <v>220</v>
      </c>
      <c r="K83" s="32">
        <f t="shared" si="40"/>
        <v>-4.5248868778280547E-3</v>
      </c>
      <c r="L83" s="18">
        <f>IF(ISNUMBER(J83), $B91 * K83, "")</f>
        <v>-678.73303167420818</v>
      </c>
      <c r="M83" s="31">
        <v>218</v>
      </c>
      <c r="N83" s="32">
        <f t="shared" si="41"/>
        <v>-1.3574660633484163E-2</v>
      </c>
      <c r="O83" s="18">
        <f>IF(ISNUMBER(M83), $B91 * N83, "")</f>
        <v>-2036.1990950226245</v>
      </c>
      <c r="Q83" s="146"/>
      <c r="R83" s="146"/>
      <c r="S83" s="146"/>
    </row>
    <row r="84" spans="1:19" ht="17.25" thickBot="1">
      <c r="A84" s="109" t="s">
        <v>130</v>
      </c>
      <c r="B84" s="110">
        <v>973</v>
      </c>
      <c r="C84" s="70">
        <v>4.7362755700000002E-2</v>
      </c>
      <c r="D84" s="15">
        <v>971</v>
      </c>
      <c r="E84" s="32">
        <f t="shared" si="38"/>
        <v>-2.0554984583761563E-3</v>
      </c>
      <c r="F84" s="18">
        <f>IF(ISNUMBER(D84), $B91 * E84, "")</f>
        <v>-308.32476875642345</v>
      </c>
      <c r="G84" s="31">
        <v>962</v>
      </c>
      <c r="H84" s="32">
        <f t="shared" si="39"/>
        <v>-1.1305241521068859E-2</v>
      </c>
      <c r="I84" s="91">
        <f>IF(ISNUMBER(G84), $B91 * H84, "")</f>
        <v>-1695.7862281603288</v>
      </c>
      <c r="J84" s="15">
        <v>957</v>
      </c>
      <c r="K84" s="32">
        <f t="shared" si="40"/>
        <v>-1.644398766700925E-2</v>
      </c>
      <c r="L84" s="18">
        <f>IF(ISNUMBER(J84), $B91 * K84, "")</f>
        <v>-2466.5981500513876</v>
      </c>
      <c r="M84" s="31">
        <v>944</v>
      </c>
      <c r="N84" s="32">
        <f t="shared" si="41"/>
        <v>-2.9804727646454265E-2</v>
      </c>
      <c r="O84" s="18">
        <f>IF(ISNUMBER(M84), $B91 * N84, "")</f>
        <v>-4470.70914696814</v>
      </c>
      <c r="Q84" s="156"/>
      <c r="R84" s="156"/>
      <c r="S84" s="156"/>
    </row>
    <row r="85" spans="1:19" ht="17.25" thickBot="1">
      <c r="A85" s="111" t="s">
        <v>103</v>
      </c>
      <c r="B85" s="112">
        <v>310</v>
      </c>
      <c r="C85" s="71">
        <v>4.7297297299999999E-2</v>
      </c>
      <c r="D85" s="20">
        <v>313</v>
      </c>
      <c r="E85" s="21">
        <f t="shared" si="38"/>
        <v>9.6774193548387101E-3</v>
      </c>
      <c r="F85" s="22">
        <f>IF(ISNUMBER(D85), $B91 * E85, "")</f>
        <v>1451.6129032258066</v>
      </c>
      <c r="G85" s="30">
        <v>309</v>
      </c>
      <c r="H85" s="21">
        <f t="shared" si="39"/>
        <v>-3.2258064516129032E-3</v>
      </c>
      <c r="I85" s="95">
        <f>IF(ISNUMBER(G85), $B91 * H85, "")</f>
        <v>-483.87096774193549</v>
      </c>
      <c r="J85" s="20">
        <v>306</v>
      </c>
      <c r="K85" s="21">
        <f t="shared" si="40"/>
        <v>-1.2903225806451613E-2</v>
      </c>
      <c r="L85" s="22">
        <f>IF(ISNUMBER(J85), $B91 * K85, "")</f>
        <v>-1935.483870967742</v>
      </c>
      <c r="M85" s="30">
        <v>304</v>
      </c>
      <c r="N85" s="21">
        <f t="shared" si="41"/>
        <v>-1.935483870967742E-2</v>
      </c>
      <c r="O85" s="22">
        <f>IF(ISNUMBER(M85), $B91 * N85, "")</f>
        <v>-2903.2258064516132</v>
      </c>
      <c r="Q85" s="156"/>
      <c r="R85" s="156"/>
      <c r="S85" s="156"/>
    </row>
    <row r="86" spans="1:19" ht="17.25" thickBot="1">
      <c r="A86" s="109" t="s">
        <v>149</v>
      </c>
      <c r="B86" s="113">
        <v>559</v>
      </c>
      <c r="C86" s="73">
        <v>4.68164794E-2</v>
      </c>
      <c r="D86" s="96">
        <v>572</v>
      </c>
      <c r="E86" s="97">
        <f>IF(ISNUMBER(D86), (D86 - $B86) / $B86, "")</f>
        <v>2.3255813953488372E-2</v>
      </c>
      <c r="F86" s="98">
        <f>IF(ISNUMBER(D86), $B91 * E86, "")</f>
        <v>3488.3720930232557</v>
      </c>
      <c r="G86" s="99">
        <v>562</v>
      </c>
      <c r="H86" s="97">
        <f>IF(ISNUMBER(G86), (G86 - $B86) / $B86, "")</f>
        <v>5.3667262969588547E-3</v>
      </c>
      <c r="I86" s="100">
        <f>IF(ISNUMBER(G86), $B91 * H86, "")</f>
        <v>805.00894454382819</v>
      </c>
      <c r="J86" s="96">
        <v>556</v>
      </c>
      <c r="K86" s="97">
        <f>IF(ISNUMBER(J86), (J86 - $B86) / $B86, "")</f>
        <v>-5.3667262969588547E-3</v>
      </c>
      <c r="L86" s="98">
        <f>IF(ISNUMBER(J86), $B91 * K86, "")</f>
        <v>-805.00894454382819</v>
      </c>
      <c r="M86" s="99">
        <v>555</v>
      </c>
      <c r="N86" s="97">
        <f>IF(ISNUMBER(M86), (M86 - $B86) / $B86, "")</f>
        <v>-7.1556350626118068E-3</v>
      </c>
      <c r="O86" s="98">
        <f>IF(ISNUMBER(M86), $B91 * N86, "")</f>
        <v>-1073.3452593917709</v>
      </c>
      <c r="Q86" s="146"/>
      <c r="R86" s="146"/>
      <c r="S86" s="146"/>
    </row>
    <row r="87" spans="1:19" ht="17.25" thickBot="1">
      <c r="A87" s="109" t="s">
        <v>105</v>
      </c>
      <c r="B87" s="110">
        <v>289</v>
      </c>
      <c r="C87" s="70">
        <v>4.3321299600000002E-2</v>
      </c>
      <c r="D87" s="15">
        <v>290</v>
      </c>
      <c r="E87" s="32">
        <f t="shared" ref="E87:E90" si="42">IF(ISNUMBER(D87), (D87 - $B87) / $B87, "")</f>
        <v>3.4602076124567475E-3</v>
      </c>
      <c r="F87" s="18">
        <f>IF(ISNUMBER(D87), $B91 * E87, "")</f>
        <v>519.03114186851212</v>
      </c>
      <c r="G87" s="31">
        <v>292</v>
      </c>
      <c r="H87" s="32">
        <f t="shared" ref="H87:H90" si="43">IF(ISNUMBER(G87), (G87 - $B87) / $B87, "")</f>
        <v>1.0380622837370242E-2</v>
      </c>
      <c r="I87" s="91">
        <f>IF(ISNUMBER(G87), $B91 * H87, "")</f>
        <v>1557.0934256055361</v>
      </c>
      <c r="J87" s="15">
        <v>287</v>
      </c>
      <c r="K87" s="32">
        <f t="shared" ref="K87:K90" si="44">IF(ISNUMBER(J87), (J87 - $B87) / $B87, "")</f>
        <v>-6.920415224913495E-3</v>
      </c>
      <c r="L87" s="18">
        <f>IF(ISNUMBER(J87), $B91 * K87, "")</f>
        <v>-1038.0622837370242</v>
      </c>
      <c r="M87" s="31">
        <v>285</v>
      </c>
      <c r="N87" s="32">
        <f t="shared" ref="N87:N90" si="45">IF(ISNUMBER(M87), (M87 - $B87) / $B87, "")</f>
        <v>-1.384083044982699E-2</v>
      </c>
      <c r="O87" s="18">
        <f>IF(ISNUMBER(M87), $B91 * N87, "")</f>
        <v>-2076.1245674740485</v>
      </c>
      <c r="Q87" s="146"/>
      <c r="R87" s="146"/>
      <c r="S87" s="146"/>
    </row>
    <row r="88" spans="1:19" ht="17.25" thickBot="1">
      <c r="A88" s="109" t="s">
        <v>346</v>
      </c>
      <c r="B88" s="110">
        <v>291</v>
      </c>
      <c r="C88" s="70">
        <v>4.3010752700000002E-2</v>
      </c>
      <c r="D88" s="15">
        <v>293</v>
      </c>
      <c r="E88" s="32">
        <f t="shared" si="42"/>
        <v>6.8728522336769758E-3</v>
      </c>
      <c r="F88" s="18">
        <f>IF(ISNUMBER(D88), $B91 * E88, "")</f>
        <v>1030.9278350515465</v>
      </c>
      <c r="G88" s="31">
        <v>291</v>
      </c>
      <c r="H88" s="32">
        <f t="shared" si="43"/>
        <v>0</v>
      </c>
      <c r="I88" s="91">
        <f>IF(ISNUMBER(G88), $B91 * H88, "")</f>
        <v>0</v>
      </c>
      <c r="J88" s="15">
        <v>288</v>
      </c>
      <c r="K88" s="32">
        <f t="shared" si="44"/>
        <v>-1.0309278350515464E-2</v>
      </c>
      <c r="L88" s="18">
        <f>IF(ISNUMBER(J88), $B91 * K88, "")</f>
        <v>-1546.3917525773195</v>
      </c>
      <c r="M88" s="31">
        <v>283</v>
      </c>
      <c r="N88" s="32">
        <f t="shared" si="45"/>
        <v>-2.7491408934707903E-2</v>
      </c>
      <c r="O88" s="18">
        <f>IF(ISNUMBER(M88), $B91 * N88, "")</f>
        <v>-4123.7113402061859</v>
      </c>
      <c r="Q88" s="146"/>
      <c r="R88" s="146"/>
      <c r="S88" s="146"/>
    </row>
    <row r="89" spans="1:19">
      <c r="A89" s="109" t="s">
        <v>187</v>
      </c>
      <c r="B89" s="110">
        <v>995</v>
      </c>
      <c r="C89" s="70">
        <v>4.2976939200000001E-2</v>
      </c>
      <c r="D89" s="15">
        <v>993</v>
      </c>
      <c r="E89" s="32">
        <f t="shared" si="42"/>
        <v>-2.0100502512562816E-3</v>
      </c>
      <c r="F89" s="18">
        <f>IF(ISNUMBER(D89), $B91 * E89, "")</f>
        <v>-301.50753768844226</v>
      </c>
      <c r="G89" s="31">
        <v>986</v>
      </c>
      <c r="H89" s="32">
        <f t="shared" si="43"/>
        <v>-9.0452261306532659E-3</v>
      </c>
      <c r="I89" s="91">
        <f>IF(ISNUMBER(G89), $B91 * H89, "")</f>
        <v>-1356.7839195979898</v>
      </c>
      <c r="J89" s="15">
        <v>984</v>
      </c>
      <c r="K89" s="32">
        <f t="shared" si="44"/>
        <v>-1.1055276381909548E-2</v>
      </c>
      <c r="L89" s="18">
        <f>IF(ISNUMBER(J89), $B91 * K89, "")</f>
        <v>-1658.2914572864322</v>
      </c>
      <c r="M89" s="31">
        <v>975</v>
      </c>
      <c r="N89" s="32">
        <f t="shared" si="45"/>
        <v>-2.0100502512562814E-2</v>
      </c>
      <c r="O89" s="18">
        <f>IF(ISNUMBER(M89), $B91 * N89, "")</f>
        <v>-3015.075376884422</v>
      </c>
      <c r="Q89" s="135"/>
      <c r="R89" s="136"/>
      <c r="S89" s="137"/>
    </row>
    <row r="90" spans="1:19" ht="17.25" thickBot="1">
      <c r="A90" s="114" t="s">
        <v>120</v>
      </c>
      <c r="B90" s="115">
        <v>146</v>
      </c>
      <c r="C90" s="72">
        <v>4.2857142899999999E-2</v>
      </c>
      <c r="D90" s="24">
        <v>142</v>
      </c>
      <c r="E90" s="25">
        <f t="shared" si="42"/>
        <v>-2.7397260273972601E-2</v>
      </c>
      <c r="F90" s="94">
        <f>IF(ISNUMBER(D90), $B91 * E90, "")</f>
        <v>-4109.58904109589</v>
      </c>
      <c r="G90" s="92">
        <v>142</v>
      </c>
      <c r="H90" s="25">
        <f t="shared" si="43"/>
        <v>-2.7397260273972601E-2</v>
      </c>
      <c r="I90" s="93">
        <f>IF(ISNUMBER(G90), $B91 * H90, "")</f>
        <v>-4109.58904109589</v>
      </c>
      <c r="J90" s="24">
        <v>141</v>
      </c>
      <c r="K90" s="25">
        <f t="shared" si="44"/>
        <v>-3.4246575342465752E-2</v>
      </c>
      <c r="L90" s="94">
        <f>IF(ISNUMBER(J90), $B91 * K90, "")</f>
        <v>-5136.9863013698623</v>
      </c>
      <c r="M90" s="92">
        <v>140</v>
      </c>
      <c r="N90" s="25">
        <f t="shared" si="45"/>
        <v>-4.1095890410958902E-2</v>
      </c>
      <c r="O90" s="94">
        <f>IF(ISNUMBER(M90), $B91 * N90, "")</f>
        <v>-6164.3835616438355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-1.2976321347239496E-3</v>
      </c>
      <c r="F91" s="28">
        <f>SUM(F71:F90)</f>
        <v>-3892.8964041718477</v>
      </c>
      <c r="G91" s="26" t="s">
        <v>258</v>
      </c>
      <c r="H91" s="27">
        <f>IF(COUNT(H71:H90), SUM(H71:H90) / COUNT(H71:H90), 0)</f>
        <v>-1.1691059691006412E-2</v>
      </c>
      <c r="I91" s="28">
        <f>SUM(I71:I90)</f>
        <v>-35073.179073019244</v>
      </c>
      <c r="J91" s="26" t="s">
        <v>258</v>
      </c>
      <c r="K91" s="27">
        <f>IF(COUNT(K71:K90), SUM(K71:K90) / COUNT(K71:K90), 0)</f>
        <v>-1.8593057273227742E-2</v>
      </c>
      <c r="L91" s="28">
        <f>SUM(L71:L90)</f>
        <v>-55779.17181968323</v>
      </c>
      <c r="M91" s="26" t="s">
        <v>258</v>
      </c>
      <c r="N91" s="27">
        <f>IF(COUNT(N71:N90), SUM(N71:N90) / COUNT(N71:N90), 0)</f>
        <v>-2.841079274577395E-2</v>
      </c>
      <c r="O91" s="28">
        <f>SUM(O71:O90)</f>
        <v>-85232.378237321827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2023-03-15(수) 오전 00:00</v>
      </c>
      <c r="C96" s="198"/>
      <c r="D96" s="170" t="str">
        <f>TEXT($G$1, "[$-ko-KR]yyyy-mm-dd(ddd) ") &amp; "오후 14:00"</f>
        <v>2023-03-15(수) 오후 14:00</v>
      </c>
      <c r="E96" s="171"/>
      <c r="F96" s="172"/>
      <c r="G96" s="170" t="str">
        <f>TEXT($G$1, "[$-ko-KR]yyyy-mm-dd(ddd) ") &amp; "오후 19:00"</f>
        <v>2023-03-15(수) 오후 19:00</v>
      </c>
      <c r="H96" s="171"/>
      <c r="I96" s="172"/>
      <c r="J96" s="170" t="str">
        <f>TEXT($G$1, "[$-ko-KR]yyyy-mm-dd(ddd) ") &amp; "오후 21:00"</f>
        <v>2023-03-15(수) 오후 21:00</v>
      </c>
      <c r="K96" s="171"/>
      <c r="L96" s="172"/>
      <c r="M96" s="170" t="str">
        <f>TEXT($G$1+1, "[$-ko-KR]yyyy-mm-dd(ddd) ") &amp; "오전 00:00"</f>
        <v>2023-03-16(목)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334</v>
      </c>
      <c r="B98" s="108">
        <v>57.9</v>
      </c>
      <c r="C98" s="69">
        <v>0.20124481329999999</v>
      </c>
      <c r="D98" s="13">
        <v>59.8</v>
      </c>
      <c r="E98" s="14">
        <f>IF(ISNUMBER(D98), (D98 - $B98) / $B98, "")</f>
        <v>3.2815198618307402E-2</v>
      </c>
      <c r="F98" s="16">
        <f>IF(ISNUMBER(D98), $B118 * E98, "")</f>
        <v>4922.2797927461106</v>
      </c>
      <c r="G98" s="29">
        <v>57.3</v>
      </c>
      <c r="H98" s="14">
        <f>IF(ISNUMBER(G98), (G98 - $B98) / $B98, "")</f>
        <v>-1.0362694300518159E-2</v>
      </c>
      <c r="I98" s="90">
        <f>IF(ISNUMBER(G98), $B118 * H98, "")</f>
        <v>-1554.4041450777238</v>
      </c>
      <c r="J98" s="13">
        <v>56.7</v>
      </c>
      <c r="K98" s="14">
        <f>IF(ISNUMBER(J98), (J98 - $B98) / $B98, "")</f>
        <v>-2.0725388601036197E-2</v>
      </c>
      <c r="L98" s="16">
        <f>IF(ISNUMBER(J98), $B118 * K98, "")</f>
        <v>-3108.8082901554294</v>
      </c>
      <c r="M98" s="29">
        <v>55.6</v>
      </c>
      <c r="N98" s="14">
        <f>IF(ISNUMBER(M98), (M98 - $B98) / $B98, "")</f>
        <v>-3.9723661485319466E-2</v>
      </c>
      <c r="O98" s="16">
        <f>IF(ISNUMBER(M98), $B118 * N98, "")</f>
        <v>-5958.5492227979203</v>
      </c>
      <c r="Q98" s="156"/>
      <c r="R98" s="156"/>
      <c r="S98" s="156"/>
    </row>
    <row r="99" spans="1:19" ht="17.25" thickBot="1">
      <c r="A99" s="109" t="s">
        <v>344</v>
      </c>
      <c r="B99" s="110">
        <v>18660</v>
      </c>
      <c r="C99" s="70">
        <v>0.1518518519</v>
      </c>
      <c r="D99" s="15">
        <v>18270</v>
      </c>
      <c r="E99" s="32">
        <f t="shared" ref="E99:E102" si="46">IF(ISNUMBER(D99), (D99 - $B99) / $B99, "")</f>
        <v>-2.0900321543408359E-2</v>
      </c>
      <c r="F99" s="18">
        <f>IF(ISNUMBER(D99), $B118 * E99, "")</f>
        <v>-3135.048231511254</v>
      </c>
      <c r="G99" s="31">
        <v>17830</v>
      </c>
      <c r="H99" s="32">
        <f t="shared" ref="H99:H102" si="47">IF(ISNUMBER(G99), (G99 - $B99) / $B99, "")</f>
        <v>-4.4480171489817789E-2</v>
      </c>
      <c r="I99" s="91">
        <f>IF(ISNUMBER(G99), $B118 * H99, "")</f>
        <v>-6672.0257234726687</v>
      </c>
      <c r="J99" s="15">
        <v>17920</v>
      </c>
      <c r="K99" s="32">
        <f t="shared" ref="K99:K102" si="48">IF(ISNUMBER(J99), (J99 - $B99) / $B99, "")</f>
        <v>-3.965702036441586E-2</v>
      </c>
      <c r="L99" s="18">
        <f>IF(ISNUMBER(J99), $B118 * K99, "")</f>
        <v>-5948.5530546623786</v>
      </c>
      <c r="M99" s="31">
        <v>17500</v>
      </c>
      <c r="N99" s="32">
        <f t="shared" ref="N99:N102" si="49">IF(ISNUMBER(M99), (M99 - $B99) / $B99, "")</f>
        <v>-6.2165058949624867E-2</v>
      </c>
      <c r="O99" s="18">
        <f>IF(ISNUMBER(M99), $B118 * N99, "")</f>
        <v>-9324.7588424437308</v>
      </c>
      <c r="Q99" s="156"/>
      <c r="R99" s="156"/>
      <c r="S99" s="156"/>
    </row>
    <row r="100" spans="1:19" ht="17.25" thickBot="1">
      <c r="A100" s="109" t="s">
        <v>354</v>
      </c>
      <c r="B100" s="110">
        <v>4825</v>
      </c>
      <c r="C100" s="70">
        <v>0.12733644860000001</v>
      </c>
      <c r="D100" s="15">
        <v>4700</v>
      </c>
      <c r="E100" s="32">
        <f t="shared" si="46"/>
        <v>-2.5906735751295335E-2</v>
      </c>
      <c r="F100" s="18">
        <f>IF(ISNUMBER(D100), $B118 * E100, "")</f>
        <v>-3886.0103626943001</v>
      </c>
      <c r="G100" s="31">
        <v>4750</v>
      </c>
      <c r="H100" s="32">
        <f t="shared" si="47"/>
        <v>-1.5544041450777202E-2</v>
      </c>
      <c r="I100" s="91">
        <f>IF(ISNUMBER(G100), $B118 * H100, "")</f>
        <v>-2331.6062176165801</v>
      </c>
      <c r="J100" s="15">
        <v>5325</v>
      </c>
      <c r="K100" s="32">
        <f t="shared" si="48"/>
        <v>0.10362694300518134</v>
      </c>
      <c r="L100" s="18">
        <f>IF(ISNUMBER(J100), $B118 * K100, "")</f>
        <v>15544.0414507772</v>
      </c>
      <c r="M100" s="31">
        <v>5345</v>
      </c>
      <c r="N100" s="32">
        <f t="shared" si="49"/>
        <v>0.10777202072538861</v>
      </c>
      <c r="O100" s="18">
        <f>IF(ISNUMBER(M100), $B118 * N100, "")</f>
        <v>16165.803108808292</v>
      </c>
      <c r="Q100" s="146"/>
      <c r="R100" s="146"/>
      <c r="S100" s="146"/>
    </row>
    <row r="101" spans="1:19" ht="17.25" thickBot="1">
      <c r="A101" s="109" t="s">
        <v>126</v>
      </c>
      <c r="B101" s="110">
        <v>38</v>
      </c>
      <c r="C101" s="70">
        <v>0.1046511628</v>
      </c>
      <c r="D101" s="15">
        <v>38.299999999999997</v>
      </c>
      <c r="E101" s="32">
        <f t="shared" si="46"/>
        <v>7.8947368421051888E-3</v>
      </c>
      <c r="F101" s="18">
        <f>IF(ISNUMBER(D101), $B118 * E101, "")</f>
        <v>1184.2105263157782</v>
      </c>
      <c r="G101" s="31">
        <v>38</v>
      </c>
      <c r="H101" s="32">
        <f t="shared" si="47"/>
        <v>0</v>
      </c>
      <c r="I101" s="91">
        <f>IF(ISNUMBER(G101), $B118 * H101, "")</f>
        <v>0</v>
      </c>
      <c r="J101" s="15">
        <v>37.9</v>
      </c>
      <c r="K101" s="32">
        <f t="shared" si="48"/>
        <v>-2.6315789473684583E-3</v>
      </c>
      <c r="L101" s="18">
        <f>IF(ISNUMBER(J101), $B118 * K101, "")</f>
        <v>-394.73684210526875</v>
      </c>
      <c r="M101" s="31">
        <v>37.4</v>
      </c>
      <c r="N101" s="32">
        <f t="shared" si="49"/>
        <v>-1.5789473684210565E-2</v>
      </c>
      <c r="O101" s="18">
        <f>IF(ISNUMBER(M101), $B118 * N101, "")</f>
        <v>-2368.4210526315846</v>
      </c>
      <c r="Q101" s="146"/>
      <c r="R101" s="146"/>
      <c r="S101" s="146"/>
    </row>
    <row r="102" spans="1:19" ht="17.25" thickBot="1">
      <c r="A102" s="111" t="s">
        <v>68</v>
      </c>
      <c r="B102" s="112">
        <v>584</v>
      </c>
      <c r="C102" s="71">
        <v>0.10396975429999999</v>
      </c>
      <c r="D102" s="20">
        <v>584</v>
      </c>
      <c r="E102" s="21">
        <f t="shared" si="46"/>
        <v>0</v>
      </c>
      <c r="F102" s="22">
        <f>IF(ISNUMBER(D102), $B118 * E102, "")</f>
        <v>0</v>
      </c>
      <c r="G102" s="30">
        <v>574</v>
      </c>
      <c r="H102" s="21">
        <f t="shared" si="47"/>
        <v>-1.7123287671232876E-2</v>
      </c>
      <c r="I102" s="95">
        <f>IF(ISNUMBER(G102), $B118 * H102, "")</f>
        <v>-2568.4931506849312</v>
      </c>
      <c r="J102" s="20">
        <v>570</v>
      </c>
      <c r="K102" s="21">
        <f t="shared" si="48"/>
        <v>-2.3972602739726026E-2</v>
      </c>
      <c r="L102" s="22">
        <f>IF(ISNUMBER(J102), $B118 * K102, "")</f>
        <v>-3595.8904109589039</v>
      </c>
      <c r="M102" s="30">
        <v>564</v>
      </c>
      <c r="N102" s="21">
        <f t="shared" si="49"/>
        <v>-3.4246575342465752E-2</v>
      </c>
      <c r="O102" s="22">
        <f>IF(ISNUMBER(M102), $B118 * N102, "")</f>
        <v>-5136.9863013698623</v>
      </c>
      <c r="Q102" s="146"/>
      <c r="R102" s="146"/>
      <c r="S102" s="146"/>
    </row>
    <row r="103" spans="1:19" ht="17.25" thickBot="1">
      <c r="A103" s="109" t="s">
        <v>191</v>
      </c>
      <c r="B103" s="113">
        <v>99.8</v>
      </c>
      <c r="C103" s="73">
        <v>9.30996714E-2</v>
      </c>
      <c r="D103" s="96">
        <v>99.9</v>
      </c>
      <c r="E103" s="97">
        <f>IF(ISNUMBER(D103), (D103 - $B103) / $B103, "")</f>
        <v>1.0020040080161176E-3</v>
      </c>
      <c r="F103" s="98">
        <f>IF(ISNUMBER(D103), $B118 * E103, "")</f>
        <v>150.30060120241765</v>
      </c>
      <c r="G103" s="99">
        <v>96.6</v>
      </c>
      <c r="H103" s="97">
        <f>IF(ISNUMBER(G103), (G103 - $B103) / $B103, "")</f>
        <v>-3.2064128256513058E-2</v>
      </c>
      <c r="I103" s="100">
        <f>IF(ISNUMBER(G103), $B118 * H103, "")</f>
        <v>-4809.6192384769583</v>
      </c>
      <c r="J103" s="96">
        <v>95.9</v>
      </c>
      <c r="K103" s="97">
        <f>IF(ISNUMBER(J103), (J103 - $B103) / $B103, "")</f>
        <v>-3.9078156312625165E-2</v>
      </c>
      <c r="L103" s="98">
        <f>IF(ISNUMBER(J103), $B118 * K103, "")</f>
        <v>-5861.723446893775</v>
      </c>
      <c r="M103" s="99">
        <v>95</v>
      </c>
      <c r="N103" s="97">
        <f>IF(ISNUMBER(M103), (M103 - $B103) / $B103, "")</f>
        <v>-4.8096192384769511E-2</v>
      </c>
      <c r="O103" s="98">
        <f>IF(ISNUMBER(M103), $B118 * N103, "")</f>
        <v>-7214.4288577154266</v>
      </c>
      <c r="Q103" s="146"/>
      <c r="R103" s="146"/>
      <c r="S103" s="146"/>
    </row>
    <row r="104" spans="1:19" ht="17.25" thickBot="1">
      <c r="A104" s="109" t="s">
        <v>95</v>
      </c>
      <c r="B104" s="110">
        <v>1560</v>
      </c>
      <c r="C104" s="70">
        <v>9.0909090900000003E-2</v>
      </c>
      <c r="D104" s="15">
        <v>1605</v>
      </c>
      <c r="E104" s="32">
        <f t="shared" ref="E104:E107" si="50">IF(ISNUMBER(D104), (D104 - $B104) / $B104, "")</f>
        <v>2.8846153846153848E-2</v>
      </c>
      <c r="F104" s="18">
        <f>IF(ISNUMBER(D104), $B118 * E104, "")</f>
        <v>4326.9230769230771</v>
      </c>
      <c r="G104" s="31">
        <v>1595</v>
      </c>
      <c r="H104" s="32">
        <f t="shared" ref="H104:H107" si="51">IF(ISNUMBER(G104), (G104 - $B104) / $B104, "")</f>
        <v>2.2435897435897436E-2</v>
      </c>
      <c r="I104" s="91">
        <f>IF(ISNUMBER(G104), $B118 * H104, "")</f>
        <v>3365.3846153846152</v>
      </c>
      <c r="J104" s="15">
        <v>1585</v>
      </c>
      <c r="K104" s="32">
        <f t="shared" ref="K104:K107" si="52">IF(ISNUMBER(J104), (J104 - $B104) / $B104, "")</f>
        <v>1.6025641025641024E-2</v>
      </c>
      <c r="L104" s="18">
        <f>IF(ISNUMBER(J104), $B118 * K104, "")</f>
        <v>2403.8461538461538</v>
      </c>
      <c r="M104" s="31">
        <v>1590</v>
      </c>
      <c r="N104" s="32">
        <f t="shared" ref="N104:N107" si="53">IF(ISNUMBER(M104), (M104 - $B104) / $B104, "")</f>
        <v>1.9230769230769232E-2</v>
      </c>
      <c r="O104" s="18">
        <f>IF(ISNUMBER(M104), $B118 * N104, "")</f>
        <v>2884.6153846153848</v>
      </c>
      <c r="Q104" s="146"/>
      <c r="R104" s="146"/>
      <c r="S104" s="146"/>
    </row>
    <row r="105" spans="1:19" ht="17.25" thickBot="1">
      <c r="A105" s="109" t="s">
        <v>327</v>
      </c>
      <c r="B105" s="110">
        <v>517</v>
      </c>
      <c r="C105" s="70">
        <v>8.3857442300000001E-2</v>
      </c>
      <c r="D105" s="15">
        <v>547</v>
      </c>
      <c r="E105" s="32">
        <f t="shared" si="50"/>
        <v>5.8027079303675046E-2</v>
      </c>
      <c r="F105" s="18">
        <f>IF(ISNUMBER(D105), $B118 * E105, "")</f>
        <v>8704.0618955512564</v>
      </c>
      <c r="G105" s="31">
        <v>530</v>
      </c>
      <c r="H105" s="32">
        <f t="shared" si="51"/>
        <v>2.5145067698259187E-2</v>
      </c>
      <c r="I105" s="91">
        <f>IF(ISNUMBER(G105), $B118 * H105, "")</f>
        <v>3771.7601547388781</v>
      </c>
      <c r="J105" s="15">
        <v>528</v>
      </c>
      <c r="K105" s="32">
        <f t="shared" si="52"/>
        <v>2.1276595744680851E-2</v>
      </c>
      <c r="L105" s="18">
        <f>IF(ISNUMBER(J105), $B118 * K105, "")</f>
        <v>3191.4893617021276</v>
      </c>
      <c r="M105" s="31">
        <v>521</v>
      </c>
      <c r="N105" s="32">
        <f t="shared" si="53"/>
        <v>7.7369439071566732E-3</v>
      </c>
      <c r="O105" s="18">
        <f>IF(ISNUMBER(M105), $B118 * N105, "")</f>
        <v>1160.5415860735009</v>
      </c>
      <c r="Q105" s="146"/>
      <c r="R105" s="146"/>
      <c r="S105" s="146"/>
    </row>
    <row r="106" spans="1:19" ht="17.25" thickBot="1">
      <c r="A106" s="109" t="s">
        <v>161</v>
      </c>
      <c r="B106" s="110">
        <v>1135</v>
      </c>
      <c r="C106" s="70">
        <v>8.0952381000000004E-2</v>
      </c>
      <c r="D106" s="15">
        <v>1390</v>
      </c>
      <c r="E106" s="32">
        <f t="shared" si="50"/>
        <v>0.22466960352422907</v>
      </c>
      <c r="F106" s="18">
        <f>IF(ISNUMBER(D106), $B118 * E106, "")</f>
        <v>33700.440528634361</v>
      </c>
      <c r="G106" s="31">
        <v>1360</v>
      </c>
      <c r="H106" s="32">
        <f t="shared" si="51"/>
        <v>0.19823788546255505</v>
      </c>
      <c r="I106" s="91">
        <f>IF(ISNUMBER(G106), $B118 * H106, "")</f>
        <v>29735.682819383259</v>
      </c>
      <c r="J106" s="15">
        <v>1320</v>
      </c>
      <c r="K106" s="32">
        <f t="shared" si="52"/>
        <v>0.16299559471365638</v>
      </c>
      <c r="L106" s="18">
        <f>IF(ISNUMBER(J106), $B118 * K106, "")</f>
        <v>24449.339207048455</v>
      </c>
      <c r="M106" s="31">
        <v>1230</v>
      </c>
      <c r="N106" s="32">
        <f t="shared" si="53"/>
        <v>8.3700440528634359E-2</v>
      </c>
      <c r="O106" s="18">
        <f>IF(ISNUMBER(M106), $B118 * N106, "")</f>
        <v>12555.066079295153</v>
      </c>
      <c r="Q106" s="33"/>
      <c r="R106" s="33"/>
    </row>
    <row r="107" spans="1:19" ht="17.25" thickBot="1">
      <c r="A107" s="114" t="s">
        <v>132</v>
      </c>
      <c r="B107" s="115">
        <v>76.400000000000006</v>
      </c>
      <c r="C107" s="72">
        <v>7.7574048000000007E-2</v>
      </c>
      <c r="D107" s="24">
        <v>76.7</v>
      </c>
      <c r="E107" s="25">
        <f t="shared" si="50"/>
        <v>3.9267015706805908E-3</v>
      </c>
      <c r="F107" s="94">
        <f>IF(ISNUMBER(D107), $B118 * E107, "")</f>
        <v>589.00523560208865</v>
      </c>
      <c r="G107" s="92">
        <v>75.599999999999994</v>
      </c>
      <c r="H107" s="25">
        <f t="shared" si="51"/>
        <v>-1.0471204188481823E-2</v>
      </c>
      <c r="I107" s="93">
        <f>IF(ISNUMBER(G107), $B118 * H107, "")</f>
        <v>-1570.6806282722735</v>
      </c>
      <c r="J107" s="24">
        <v>75.400000000000006</v>
      </c>
      <c r="K107" s="25">
        <f t="shared" si="52"/>
        <v>-1.3089005235602092E-2</v>
      </c>
      <c r="L107" s="94">
        <f>IF(ISNUMBER(J107), $B118 * K107, "")</f>
        <v>-1963.3507853403139</v>
      </c>
      <c r="M107" s="92">
        <v>74.8</v>
      </c>
      <c r="N107" s="25">
        <f t="shared" si="53"/>
        <v>-2.094240837696346E-2</v>
      </c>
      <c r="O107" s="94">
        <f>IF(ISNUMBER(M107), $B118 * N107, "")</f>
        <v>-3141.3612565445192</v>
      </c>
      <c r="Q107" s="147"/>
      <c r="R107" s="148"/>
      <c r="S107" s="149"/>
    </row>
    <row r="108" spans="1:19">
      <c r="A108" s="107" t="s">
        <v>124</v>
      </c>
      <c r="B108" s="108">
        <v>44.3</v>
      </c>
      <c r="C108" s="69">
        <v>6.7469879499999996E-2</v>
      </c>
      <c r="D108" s="13">
        <v>43.9</v>
      </c>
      <c r="E108" s="14">
        <f>IF(ISNUMBER(D108), (D108 - $B108) / $B108, "")</f>
        <v>-9.0293453724604646E-3</v>
      </c>
      <c r="F108" s="16">
        <f>IF(ISNUMBER(D108), $B118 * E108, "")</f>
        <v>-1354.4018058690697</v>
      </c>
      <c r="G108" s="29">
        <v>44.8</v>
      </c>
      <c r="H108" s="14">
        <f>IF(ISNUMBER(G108), (G108 - $B108) / $B108, "")</f>
        <v>1.1286681715575621E-2</v>
      </c>
      <c r="I108" s="90">
        <f>IF(ISNUMBER(G108), $B118 * H108, "")</f>
        <v>1693.0022573363431</v>
      </c>
      <c r="J108" s="13">
        <v>44.3</v>
      </c>
      <c r="K108" s="14">
        <f>IF(ISNUMBER(J108), (J108 - $B108) / $B108, "")</f>
        <v>0</v>
      </c>
      <c r="L108" s="16">
        <f>IF(ISNUMBER(J108), $B118 * K108, "")</f>
        <v>0</v>
      </c>
      <c r="M108" s="29">
        <v>43.7</v>
      </c>
      <c r="N108" s="14">
        <f>IF(ISNUMBER(M108), (M108 - $B108) / $B108, "")</f>
        <v>-1.3544018058690618E-2</v>
      </c>
      <c r="O108" s="16">
        <f>IF(ISNUMBER(M108), $B118 * N108, "")</f>
        <v>-2031.6027088035928</v>
      </c>
      <c r="Q108" s="150"/>
      <c r="R108" s="151"/>
      <c r="S108" s="152"/>
    </row>
    <row r="109" spans="1:19" ht="17.25" thickBot="1">
      <c r="A109" s="109" t="s">
        <v>107</v>
      </c>
      <c r="B109" s="110">
        <v>51</v>
      </c>
      <c r="C109" s="70">
        <v>6.6945606699999993E-2</v>
      </c>
      <c r="D109" s="15">
        <v>50.5</v>
      </c>
      <c r="E109" s="32">
        <f t="shared" ref="E109:E112" si="54">IF(ISNUMBER(D109), (D109 - $B109) / $B109, "")</f>
        <v>-9.8039215686274508E-3</v>
      </c>
      <c r="F109" s="18">
        <f>IF(ISNUMBER(D109), $B118 * E109, "")</f>
        <v>-1470.5882352941176</v>
      </c>
      <c r="G109" s="31">
        <v>50.2</v>
      </c>
      <c r="H109" s="32">
        <f t="shared" ref="H109:H112" si="55">IF(ISNUMBER(G109), (G109 - $B109) / $B109, "")</f>
        <v>-1.5686274509803866E-2</v>
      </c>
      <c r="I109" s="91">
        <f>IF(ISNUMBER(G109), $B118 * H109, "")</f>
        <v>-2352.9411764705801</v>
      </c>
      <c r="J109" s="15">
        <v>49.9</v>
      </c>
      <c r="K109" s="32">
        <f t="shared" ref="K109:K112" si="56">IF(ISNUMBER(J109), (J109 - $B109) / $B109, "")</f>
        <v>-2.156862745098042E-2</v>
      </c>
      <c r="L109" s="18">
        <f>IF(ISNUMBER(J109), $B118 * K109, "")</f>
        <v>-3235.2941176470631</v>
      </c>
      <c r="M109" s="31">
        <v>49.2</v>
      </c>
      <c r="N109" s="32">
        <f t="shared" ref="N109:N112" si="57">IF(ISNUMBER(M109), (M109 - $B109) / $B109, "")</f>
        <v>-3.5294117647058768E-2</v>
      </c>
      <c r="O109" s="18">
        <f>IF(ISNUMBER(M109), $B118 * N109, "")</f>
        <v>-5294.1176470588152</v>
      </c>
      <c r="Q109" s="153"/>
      <c r="R109" s="154"/>
      <c r="S109" s="155"/>
    </row>
    <row r="110" spans="1:19" ht="17.25" thickBot="1">
      <c r="A110" s="109" t="s">
        <v>134</v>
      </c>
      <c r="B110" s="110">
        <v>2005</v>
      </c>
      <c r="C110" s="70">
        <v>6.6489361699999999E-2</v>
      </c>
      <c r="D110" s="15">
        <v>2000</v>
      </c>
      <c r="E110" s="32">
        <f t="shared" si="54"/>
        <v>-2.4937655860349127E-3</v>
      </c>
      <c r="F110" s="18">
        <f>IF(ISNUMBER(D110), $B118 * E110, "")</f>
        <v>-374.06483790523691</v>
      </c>
      <c r="G110" s="31">
        <v>1985</v>
      </c>
      <c r="H110" s="32">
        <f t="shared" si="55"/>
        <v>-9.9750623441396506E-3</v>
      </c>
      <c r="I110" s="91">
        <f>IF(ISNUMBER(G110), $B118 * H110, "")</f>
        <v>-1496.2593516209477</v>
      </c>
      <c r="J110" s="15">
        <v>1970</v>
      </c>
      <c r="K110" s="32">
        <f t="shared" si="56"/>
        <v>-1.7456359102244388E-2</v>
      </c>
      <c r="L110" s="18">
        <f>IF(ISNUMBER(J110), $B118 * K110, "")</f>
        <v>-2618.4538653366581</v>
      </c>
      <c r="M110" s="31">
        <v>1940</v>
      </c>
      <c r="N110" s="32">
        <f t="shared" si="57"/>
        <v>-3.2418952618453865E-2</v>
      </c>
      <c r="O110" s="18">
        <f>IF(ISNUMBER(M110), $B118 * N110, "")</f>
        <v>-4862.8428927680798</v>
      </c>
      <c r="Q110" s="146"/>
      <c r="R110" s="146"/>
      <c r="S110" s="146"/>
    </row>
    <row r="111" spans="1:19" ht="17.25" thickBot="1">
      <c r="A111" s="109" t="s">
        <v>49</v>
      </c>
      <c r="B111" s="110">
        <v>33781000</v>
      </c>
      <c r="C111" s="70">
        <v>6.6454097700000006E-2</v>
      </c>
      <c r="D111" s="15">
        <v>32591000</v>
      </c>
      <c r="E111" s="32">
        <f t="shared" si="54"/>
        <v>-3.5226902696782213E-2</v>
      </c>
      <c r="F111" s="18">
        <f>IF(ISNUMBER(D111), $B118 * E111, "")</f>
        <v>-5284.0354045173317</v>
      </c>
      <c r="G111" s="31">
        <v>32407000</v>
      </c>
      <c r="H111" s="32">
        <f t="shared" si="55"/>
        <v>-4.0673751517125011E-2</v>
      </c>
      <c r="I111" s="91">
        <f>IF(ISNUMBER(G111), $B118 * H111, "")</f>
        <v>-6101.0627275687511</v>
      </c>
      <c r="J111" s="15">
        <v>32851000</v>
      </c>
      <c r="K111" s="32">
        <f t="shared" si="56"/>
        <v>-2.7530268494123915E-2</v>
      </c>
      <c r="L111" s="18">
        <f>IF(ISNUMBER(J111), $B118 * K111, "")</f>
        <v>-4129.5402741185871</v>
      </c>
      <c r="M111" s="31">
        <v>32992000</v>
      </c>
      <c r="N111" s="32">
        <f t="shared" si="57"/>
        <v>-2.3356324561143837E-2</v>
      </c>
      <c r="O111" s="18">
        <f>IF(ISNUMBER(M111), $B118 * N111, "")</f>
        <v>-3503.4486841715757</v>
      </c>
      <c r="Q111" s="156"/>
      <c r="R111" s="156"/>
      <c r="S111" s="156"/>
    </row>
    <row r="112" spans="1:19" ht="17.25" thickBot="1">
      <c r="A112" s="111" t="s">
        <v>71</v>
      </c>
      <c r="B112" s="112">
        <v>14.5</v>
      </c>
      <c r="C112" s="71">
        <v>6.6176470599999995E-2</v>
      </c>
      <c r="D112" s="20">
        <v>14.6</v>
      </c>
      <c r="E112" s="21">
        <f t="shared" si="54"/>
        <v>6.8965517241379067E-3</v>
      </c>
      <c r="F112" s="22">
        <f>IF(ISNUMBER(D112), $B118 * E112, "")</f>
        <v>1034.4827586206859</v>
      </c>
      <c r="G112" s="30">
        <v>14.5</v>
      </c>
      <c r="H112" s="21">
        <f t="shared" si="55"/>
        <v>0</v>
      </c>
      <c r="I112" s="95">
        <f>IF(ISNUMBER(G112), $B118 * H112, "")</f>
        <v>0</v>
      </c>
      <c r="J112" s="20">
        <v>14.4</v>
      </c>
      <c r="K112" s="21">
        <f t="shared" si="56"/>
        <v>-6.8965517241379067E-3</v>
      </c>
      <c r="L112" s="22">
        <f>IF(ISNUMBER(J112), $B118 * K112, "")</f>
        <v>-1034.4827586206859</v>
      </c>
      <c r="M112" s="30">
        <v>14.3</v>
      </c>
      <c r="N112" s="21">
        <f t="shared" si="57"/>
        <v>-1.3793103448275813E-2</v>
      </c>
      <c r="O112" s="22">
        <f>IF(ISNUMBER(M112), $B118 * N112, "")</f>
        <v>-2068.9655172413718</v>
      </c>
      <c r="Q112" s="156"/>
      <c r="R112" s="156"/>
      <c r="S112" s="156"/>
    </row>
    <row r="113" spans="1:19" ht="17.25" thickBot="1">
      <c r="A113" s="109" t="s">
        <v>189</v>
      </c>
      <c r="B113" s="113">
        <v>1380</v>
      </c>
      <c r="C113" s="73">
        <v>6.5637065600000002E-2</v>
      </c>
      <c r="D113" s="96">
        <v>1390</v>
      </c>
      <c r="E113" s="97">
        <f>IF(ISNUMBER(D113), (D113 - $B113) / $B113, "")</f>
        <v>7.246376811594203E-3</v>
      </c>
      <c r="F113" s="98">
        <f>IF(ISNUMBER(D113), $B118 * E113, "")</f>
        <v>1086.9565217391305</v>
      </c>
      <c r="G113" s="99">
        <v>1370</v>
      </c>
      <c r="H113" s="97">
        <f>IF(ISNUMBER(G113), (G113 - $B113) / $B113, "")</f>
        <v>-7.246376811594203E-3</v>
      </c>
      <c r="I113" s="100">
        <f>IF(ISNUMBER(G113), $B118 * H113, "")</f>
        <v>-1086.9565217391305</v>
      </c>
      <c r="J113" s="96">
        <v>1355</v>
      </c>
      <c r="K113" s="97">
        <f>IF(ISNUMBER(J113), (J113 - $B113) / $B113, "")</f>
        <v>-1.8115942028985508E-2</v>
      </c>
      <c r="L113" s="98">
        <f>IF(ISNUMBER(J113), $B118 * K113, "")</f>
        <v>-2717.391304347826</v>
      </c>
      <c r="M113" s="99">
        <v>1355</v>
      </c>
      <c r="N113" s="97">
        <f>IF(ISNUMBER(M113), (M113 - $B113) / $B113, "")</f>
        <v>-1.8115942028985508E-2</v>
      </c>
      <c r="O113" s="98">
        <f>IF(ISNUMBER(M113), $B118 * N113, "")</f>
        <v>-2717.391304347826</v>
      </c>
      <c r="Q113" s="146"/>
      <c r="R113" s="146"/>
      <c r="S113" s="146"/>
    </row>
    <row r="114" spans="1:19" ht="17.25" thickBot="1">
      <c r="A114" s="109" t="s">
        <v>350</v>
      </c>
      <c r="B114" s="110">
        <v>2850</v>
      </c>
      <c r="C114" s="70">
        <v>6.3432835800000004E-2</v>
      </c>
      <c r="D114" s="15">
        <v>2805</v>
      </c>
      <c r="E114" s="32">
        <f t="shared" ref="E114:E117" si="58">IF(ISNUMBER(D114), (D114 - $B114) / $B114, "")</f>
        <v>-1.5789473684210527E-2</v>
      </c>
      <c r="F114" s="18">
        <f>IF(ISNUMBER(D114), $B118 * E114, "")</f>
        <v>-2368.4210526315792</v>
      </c>
      <c r="G114" s="31">
        <v>2765</v>
      </c>
      <c r="H114" s="32">
        <f t="shared" ref="H114:H117" si="59">IF(ISNUMBER(G114), (G114 - $B114) / $B114, "")</f>
        <v>-2.9824561403508771E-2</v>
      </c>
      <c r="I114" s="91">
        <f>IF(ISNUMBER(G114), $B118 * H114, "")</f>
        <v>-4473.6842105263158</v>
      </c>
      <c r="J114" s="15">
        <v>2735</v>
      </c>
      <c r="K114" s="32">
        <f t="shared" ref="K114:K117" si="60">IF(ISNUMBER(J114), (J114 - $B114) / $B114, "")</f>
        <v>-4.0350877192982457E-2</v>
      </c>
      <c r="L114" s="18">
        <f>IF(ISNUMBER(J114), $B118 * K114, "")</f>
        <v>-6052.6315789473683</v>
      </c>
      <c r="M114" s="31">
        <v>2685</v>
      </c>
      <c r="N114" s="32">
        <f t="shared" ref="N114:N117" si="61">IF(ISNUMBER(M114), (M114 - $B114) / $B114, "")</f>
        <v>-5.7894736842105263E-2</v>
      </c>
      <c r="O114" s="18">
        <f>IF(ISNUMBER(M114), $B118 * N114, "")</f>
        <v>-8684.21052631579</v>
      </c>
      <c r="Q114" s="146"/>
      <c r="R114" s="146"/>
      <c r="S114" s="146"/>
    </row>
    <row r="115" spans="1:19" ht="17.25" thickBot="1">
      <c r="A115" s="109" t="s">
        <v>183</v>
      </c>
      <c r="B115" s="110">
        <v>169</v>
      </c>
      <c r="C115" s="70">
        <v>6.28930818E-2</v>
      </c>
      <c r="D115" s="15">
        <v>168</v>
      </c>
      <c r="E115" s="32">
        <f t="shared" si="58"/>
        <v>-5.9171597633136093E-3</v>
      </c>
      <c r="F115" s="18">
        <f>IF(ISNUMBER(D115), $B118 * E115, "")</f>
        <v>-887.5739644970414</v>
      </c>
      <c r="G115" s="31">
        <v>166</v>
      </c>
      <c r="H115" s="32">
        <f t="shared" si="59"/>
        <v>-1.7751479289940829E-2</v>
      </c>
      <c r="I115" s="91">
        <f>IF(ISNUMBER(G115), $B118 * H115, "")</f>
        <v>-2662.7218934911243</v>
      </c>
      <c r="J115" s="15">
        <v>165</v>
      </c>
      <c r="K115" s="32">
        <f t="shared" si="60"/>
        <v>-2.3668639053254437E-2</v>
      </c>
      <c r="L115" s="18">
        <f>IF(ISNUMBER(J115), $B118 * K115, "")</f>
        <v>-3550.2958579881656</v>
      </c>
      <c r="M115" s="31">
        <v>164</v>
      </c>
      <c r="N115" s="32">
        <f t="shared" si="61"/>
        <v>-2.9585798816568046E-2</v>
      </c>
      <c r="O115" s="18">
        <f>IF(ISNUMBER(M115), $B118 * N115, "")</f>
        <v>-4437.8698224852069</v>
      </c>
      <c r="Q115" s="146"/>
      <c r="R115" s="146"/>
      <c r="S115" s="146"/>
    </row>
    <row r="116" spans="1:19">
      <c r="A116" s="109" t="s">
        <v>227</v>
      </c>
      <c r="B116" s="110">
        <v>64.900000000000006</v>
      </c>
      <c r="C116" s="70">
        <v>6.2193126000000001E-2</v>
      </c>
      <c r="D116" s="15">
        <v>65.8</v>
      </c>
      <c r="E116" s="32">
        <f t="shared" si="58"/>
        <v>1.3867488443759497E-2</v>
      </c>
      <c r="F116" s="18">
        <f>IF(ISNUMBER(D116), $B118 * E116, "")</f>
        <v>2080.1232665639245</v>
      </c>
      <c r="G116" s="31">
        <v>65</v>
      </c>
      <c r="H116" s="32">
        <f t="shared" si="59"/>
        <v>1.5408320493065378E-3</v>
      </c>
      <c r="I116" s="91">
        <f>IF(ISNUMBER(G116), $B118 * H116, "")</f>
        <v>231.12480739598067</v>
      </c>
      <c r="J116" s="15">
        <v>65.2</v>
      </c>
      <c r="K116" s="32">
        <f t="shared" si="60"/>
        <v>4.6224961479198329E-3</v>
      </c>
      <c r="L116" s="18">
        <f>IF(ISNUMBER(J116), $B118 * K116, "")</f>
        <v>693.37442218797491</v>
      </c>
      <c r="M116" s="31">
        <v>64.599999999999994</v>
      </c>
      <c r="N116" s="32">
        <f t="shared" si="61"/>
        <v>-4.6224961479200515E-3</v>
      </c>
      <c r="O116" s="18">
        <f>IF(ISNUMBER(M116), $B118 * N116, "")</f>
        <v>-693.37442218800777</v>
      </c>
      <c r="Q116" s="135"/>
      <c r="R116" s="136"/>
      <c r="S116" s="137"/>
    </row>
    <row r="117" spans="1:19" ht="17.25" thickBot="1">
      <c r="A117" s="114" t="s">
        <v>336</v>
      </c>
      <c r="B117" s="115">
        <v>376</v>
      </c>
      <c r="C117" s="72">
        <v>6.2146892699999998E-2</v>
      </c>
      <c r="D117" s="24">
        <v>377</v>
      </c>
      <c r="E117" s="25">
        <f t="shared" si="58"/>
        <v>2.6595744680851063E-3</v>
      </c>
      <c r="F117" s="94">
        <f>IF(ISNUMBER(D117), $B118 * E117, "")</f>
        <v>398.93617021276594</v>
      </c>
      <c r="G117" s="92">
        <v>373</v>
      </c>
      <c r="H117" s="25">
        <f t="shared" si="59"/>
        <v>-7.9787234042553185E-3</v>
      </c>
      <c r="I117" s="93">
        <f>IF(ISNUMBER(G117), $B118 * H117, "")</f>
        <v>-1196.8085106382978</v>
      </c>
      <c r="J117" s="24">
        <v>371</v>
      </c>
      <c r="K117" s="25">
        <f t="shared" si="60"/>
        <v>-1.3297872340425532E-2</v>
      </c>
      <c r="L117" s="94">
        <f>IF(ISNUMBER(J117), $B118 * K117, "")</f>
        <v>-1994.6808510638298</v>
      </c>
      <c r="M117" s="92">
        <v>367</v>
      </c>
      <c r="N117" s="25">
        <f t="shared" si="61"/>
        <v>-2.3936170212765957E-2</v>
      </c>
      <c r="O117" s="94">
        <f>IF(ISNUMBER(M117), $B118 * N117, "")</f>
        <v>-3590.4255319148938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1.3139192159730553E-2</v>
      </c>
      <c r="F118" s="28">
        <f>SUM(F98:F117)</f>
        <v>39417.576479191666</v>
      </c>
      <c r="G118" s="26" t="s">
        <v>258</v>
      </c>
      <c r="H118" s="27">
        <f>IF(COUNT(H98:H117), SUM(H98:H117) / COUNT(H98:H117), 0)</f>
        <v>-2.6769613805736761E-5</v>
      </c>
      <c r="I118" s="28">
        <f>SUM(I98:I117)</f>
        <v>-80.308841417203212</v>
      </c>
      <c r="J118" s="26" t="s">
        <v>258</v>
      </c>
      <c r="K118" s="27">
        <f>IF(COUNT(K98:K117), SUM(K98:K117) / COUNT(K98:K117), 0)</f>
        <v>2.5419052458553697E-5</v>
      </c>
      <c r="L118" s="28">
        <f>SUM(L98:L117)</f>
        <v>76.257157375659972</v>
      </c>
      <c r="M118" s="26" t="s">
        <v>258</v>
      </c>
      <c r="N118" s="27">
        <f>IF(COUNT(N98:N117), SUM(N98:N117) / COUNT(N98:N117), 0)</f>
        <v>-1.275424281066862E-2</v>
      </c>
      <c r="O118" s="28">
        <f>SUM(O98:O117)</f>
        <v>-38262.728432005868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2023-03-15(수) 오전 00:00</v>
      </c>
      <c r="C123" s="198"/>
      <c r="D123" s="170" t="str">
        <f>TEXT($G$1, "[$-ko-KR]yyyy-mm-dd(ddd) ") &amp; "오후 14:00"</f>
        <v>2023-03-15(수) 오후 14:00</v>
      </c>
      <c r="E123" s="171"/>
      <c r="F123" s="172"/>
      <c r="G123" s="170" t="str">
        <f>TEXT($G$1, "[$-ko-KR]yyyy-mm-dd(ddd) ") &amp; "오후 19:00"</f>
        <v>2023-03-15(수) 오후 19:00</v>
      </c>
      <c r="H123" s="171"/>
      <c r="I123" s="172"/>
      <c r="J123" s="170" t="str">
        <f>TEXT($G$1, "[$-ko-KR]yyyy-mm-dd(ddd) ") &amp; "오후 21:00"</f>
        <v>2023-03-15(수) 오후 21:00</v>
      </c>
      <c r="K123" s="171"/>
      <c r="L123" s="172"/>
      <c r="M123" s="170" t="str">
        <f>TEXT($G$1+1, "[$-ko-KR]yyyy-mm-dd(ddd) ") &amp; "오전 00:00"</f>
        <v>2023-03-16(목)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338</v>
      </c>
      <c r="B125" s="108">
        <v>4.2200000000000001E-2</v>
      </c>
      <c r="C125" s="69">
        <v>4.7146401999999997E-2</v>
      </c>
      <c r="D125" s="13">
        <v>4.1799999999999997E-2</v>
      </c>
      <c r="E125" s="14">
        <f>IF(ISNUMBER(D125), (D125 - $B125) / $B125, "")</f>
        <v>-9.4786729857820971E-3</v>
      </c>
      <c r="F125" s="16">
        <f>IF(ISNUMBER(D125), $B145 * E125, "")</f>
        <v>-1421.8009478673146</v>
      </c>
      <c r="G125" s="29">
        <v>4.19E-2</v>
      </c>
      <c r="H125" s="14">
        <f>IF(ISNUMBER(G125), (G125 - $B125) / $B125, "")</f>
        <v>-7.1090047393365316E-3</v>
      </c>
      <c r="I125" s="90">
        <f>IF(ISNUMBER(G125), $B145 * H125, "")</f>
        <v>-1066.3507109004797</v>
      </c>
      <c r="J125" s="13">
        <v>4.1399999999999999E-2</v>
      </c>
      <c r="K125" s="14">
        <f>IF(ISNUMBER(J125), (J125 - $B125) / $B125, "")</f>
        <v>-1.8957345971564031E-2</v>
      </c>
      <c r="L125" s="16">
        <f>IF(ISNUMBER(J125), $B145 * K125, "")</f>
        <v>-2843.6018957346046</v>
      </c>
      <c r="M125" s="29">
        <v>4.1000000000000002E-2</v>
      </c>
      <c r="N125" s="14">
        <f>IF(ISNUMBER(M125), (M125 - $B125) / $B125, "")</f>
        <v>-2.8436018957345963E-2</v>
      </c>
      <c r="O125" s="16">
        <f>IF(ISNUMBER(M125), $B145 * N125, "")</f>
        <v>-4265.4028436018943</v>
      </c>
      <c r="Q125" s="156"/>
      <c r="R125" s="156"/>
      <c r="S125" s="156"/>
    </row>
    <row r="126" spans="1:19" ht="17.25" thickBot="1">
      <c r="A126" s="109" t="s">
        <v>56</v>
      </c>
      <c r="B126" s="110">
        <v>52.6</v>
      </c>
      <c r="C126" s="70">
        <v>4.5725646100000003E-2</v>
      </c>
      <c r="D126" s="15">
        <v>53.2</v>
      </c>
      <c r="E126" s="32">
        <f t="shared" ref="E126:E129" si="62">IF(ISNUMBER(D126), (D126 - $B126) / $B126, "")</f>
        <v>1.1406844106463905E-2</v>
      </c>
      <c r="F126" s="18">
        <f>IF(ISNUMBER(D126), $B145 * E126, "")</f>
        <v>1711.0266159695857</v>
      </c>
      <c r="G126" s="31">
        <v>52.8</v>
      </c>
      <c r="H126" s="32">
        <f t="shared" ref="H126:H129" si="63">IF(ISNUMBER(G126), (G126 - $B126) / $B126, "")</f>
        <v>3.8022813688212117E-3</v>
      </c>
      <c r="I126" s="91">
        <f>IF(ISNUMBER(G126), $B145 * H126, "")</f>
        <v>570.3422053231817</v>
      </c>
      <c r="J126" s="15">
        <v>52.1</v>
      </c>
      <c r="K126" s="32">
        <f t="shared" ref="K126:K129" si="64">IF(ISNUMBER(J126), (J126 - $B126) / $B126, "")</f>
        <v>-9.5057034220532317E-3</v>
      </c>
      <c r="L126" s="18">
        <f>IF(ISNUMBER(J126), $B145 * K126, "")</f>
        <v>-1425.8555133079847</v>
      </c>
      <c r="M126" s="31">
        <v>51.5</v>
      </c>
      <c r="N126" s="32">
        <f t="shared" ref="N126:N129" si="65">IF(ISNUMBER(M126), (M126 - $B126) / $B126, "")</f>
        <v>-2.0912547528517136E-2</v>
      </c>
      <c r="O126" s="18">
        <f>IF(ISNUMBER(M126), $B145 * N126, "")</f>
        <v>-3136.8821292775706</v>
      </c>
      <c r="Q126" s="156"/>
      <c r="R126" s="156"/>
      <c r="S126" s="156"/>
    </row>
    <row r="127" spans="1:19" ht="17.25" thickBot="1">
      <c r="A127" s="109" t="s">
        <v>118</v>
      </c>
      <c r="B127" s="110">
        <v>8.25</v>
      </c>
      <c r="C127" s="70">
        <v>4.5627376400000003E-2</v>
      </c>
      <c r="D127" s="15">
        <v>8.24</v>
      </c>
      <c r="E127" s="32">
        <f t="shared" si="62"/>
        <v>-1.2121212121211863E-3</v>
      </c>
      <c r="F127" s="18">
        <f>IF(ISNUMBER(D127), $B145 * E127, "")</f>
        <v>-181.81818181817795</v>
      </c>
      <c r="G127" s="31">
        <v>8.31</v>
      </c>
      <c r="H127" s="32">
        <f t="shared" si="63"/>
        <v>7.2727272727273334E-3</v>
      </c>
      <c r="I127" s="91">
        <f>IF(ISNUMBER(G127), $B145 * H127, "")</f>
        <v>1090.9090909091001</v>
      </c>
      <c r="J127" s="15">
        <v>8.18</v>
      </c>
      <c r="K127" s="32">
        <f t="shared" si="64"/>
        <v>-8.4848484848485187E-3</v>
      </c>
      <c r="L127" s="18">
        <f>IF(ISNUMBER(J127), $B145 * K127, "")</f>
        <v>-1272.7272727272778</v>
      </c>
      <c r="M127" s="31">
        <v>8.1</v>
      </c>
      <c r="N127" s="32">
        <f t="shared" si="65"/>
        <v>-1.8181818181818226E-2</v>
      </c>
      <c r="O127" s="18">
        <f>IF(ISNUMBER(M127), $B145 * N127, "")</f>
        <v>-2727.2727272727338</v>
      </c>
      <c r="Q127" s="146"/>
      <c r="R127" s="146"/>
      <c r="S127" s="146"/>
    </row>
    <row r="128" spans="1:19" ht="17.25" thickBot="1">
      <c r="A128" s="109" t="s">
        <v>323</v>
      </c>
      <c r="B128" s="110">
        <v>97.8</v>
      </c>
      <c r="C128" s="70">
        <v>4.2643923200000003E-2</v>
      </c>
      <c r="D128" s="15">
        <v>95.8</v>
      </c>
      <c r="E128" s="32">
        <f t="shared" si="62"/>
        <v>-2.0449897750511249E-2</v>
      </c>
      <c r="F128" s="18">
        <f>IF(ISNUMBER(D128), $B145 * E128, "")</f>
        <v>-3067.4846625766872</v>
      </c>
      <c r="G128" s="31">
        <v>95.3</v>
      </c>
      <c r="H128" s="32">
        <f t="shared" si="63"/>
        <v>-2.556237218813906E-2</v>
      </c>
      <c r="I128" s="91">
        <f>IF(ISNUMBER(G128), $B145 * H128, "")</f>
        <v>-3834.3558282208592</v>
      </c>
      <c r="J128" s="15">
        <v>94.5</v>
      </c>
      <c r="K128" s="32">
        <f t="shared" si="64"/>
        <v>-3.374233128834353E-2</v>
      </c>
      <c r="L128" s="18">
        <f>IF(ISNUMBER(J128), $B145 * K128, "")</f>
        <v>-5061.3496932515291</v>
      </c>
      <c r="M128" s="31">
        <v>94.3</v>
      </c>
      <c r="N128" s="32">
        <f t="shared" si="65"/>
        <v>-3.5787321063394682E-2</v>
      </c>
      <c r="O128" s="18">
        <f>IF(ISNUMBER(M128), $B145 * N128, "")</f>
        <v>-5368.0981595092026</v>
      </c>
      <c r="Q128" s="146"/>
      <c r="R128" s="146"/>
      <c r="S128" s="146"/>
    </row>
    <row r="129" spans="1:19" ht="17.25" thickBot="1">
      <c r="A129" s="111" t="s">
        <v>155</v>
      </c>
      <c r="B129" s="112">
        <v>35.700000000000003</v>
      </c>
      <c r="C129" s="71">
        <v>4.08163265E-2</v>
      </c>
      <c r="D129" s="20">
        <v>36.299999999999997</v>
      </c>
      <c r="E129" s="21">
        <f t="shared" si="62"/>
        <v>1.680672268907547E-2</v>
      </c>
      <c r="F129" s="22">
        <f>IF(ISNUMBER(D129), $B145 * E129, "")</f>
        <v>2521.0084033613207</v>
      </c>
      <c r="G129" s="30">
        <v>36.1</v>
      </c>
      <c r="H129" s="21">
        <f t="shared" si="63"/>
        <v>1.1204481792717045E-2</v>
      </c>
      <c r="I129" s="95">
        <f>IF(ISNUMBER(G129), $B145 * H129, "")</f>
        <v>1680.6722689075568</v>
      </c>
      <c r="J129" s="20">
        <v>36.1</v>
      </c>
      <c r="K129" s="21">
        <f t="shared" si="64"/>
        <v>1.1204481792717045E-2</v>
      </c>
      <c r="L129" s="22">
        <f>IF(ISNUMBER(J129), $B145 * K129, "")</f>
        <v>1680.6722689075568</v>
      </c>
      <c r="M129" s="30">
        <v>35.5</v>
      </c>
      <c r="N129" s="21">
        <f t="shared" si="65"/>
        <v>-5.6022408963586224E-3</v>
      </c>
      <c r="O129" s="22">
        <f>IF(ISNUMBER(M129), $B145 * N129, "")</f>
        <v>-840.33613445379331</v>
      </c>
      <c r="Q129" s="146"/>
      <c r="R129" s="146"/>
      <c r="S129" s="146"/>
    </row>
    <row r="130" spans="1:19" ht="17.25" thickBot="1">
      <c r="A130" s="109" t="s">
        <v>217</v>
      </c>
      <c r="B130" s="113">
        <v>95</v>
      </c>
      <c r="C130" s="73">
        <v>4.0525739300000002E-2</v>
      </c>
      <c r="D130" s="96">
        <v>94.2</v>
      </c>
      <c r="E130" s="97">
        <f>IF(ISNUMBER(D130), (D130 - $B130) / $B130, "")</f>
        <v>-8.4210526315789177E-3</v>
      </c>
      <c r="F130" s="98">
        <f>IF(ISNUMBER(D130), $B145 * E130, "")</f>
        <v>-1263.1578947368378</v>
      </c>
      <c r="G130" s="99">
        <v>93.5</v>
      </c>
      <c r="H130" s="97">
        <f>IF(ISNUMBER(G130), (G130 - $B130) / $B130, "")</f>
        <v>-1.5789473684210527E-2</v>
      </c>
      <c r="I130" s="100">
        <f>IF(ISNUMBER(G130), $B145 * H130, "")</f>
        <v>-2368.4210526315792</v>
      </c>
      <c r="J130" s="96">
        <v>93</v>
      </c>
      <c r="K130" s="97">
        <f>IF(ISNUMBER(J130), (J130 - $B130) / $B130, "")</f>
        <v>-2.1052631578947368E-2</v>
      </c>
      <c r="L130" s="98">
        <f>IF(ISNUMBER(J130), $B145 * K130, "")</f>
        <v>-3157.894736842105</v>
      </c>
      <c r="M130" s="99">
        <v>92.2</v>
      </c>
      <c r="N130" s="97">
        <f>IF(ISNUMBER(M130), (M130 - $B130) / $B130, "")</f>
        <v>-2.9473684210526287E-2</v>
      </c>
      <c r="O130" s="98">
        <f>IF(ISNUMBER(M130), $B145 * N130, "")</f>
        <v>-4421.052631578943</v>
      </c>
      <c r="Q130" s="146"/>
      <c r="R130" s="146"/>
      <c r="S130" s="146"/>
    </row>
    <row r="131" spans="1:19" ht="17.25" thickBot="1">
      <c r="A131" s="109" t="s">
        <v>193</v>
      </c>
      <c r="B131" s="110">
        <v>23.7</v>
      </c>
      <c r="C131" s="70">
        <v>3.9473684199999998E-2</v>
      </c>
      <c r="D131" s="15">
        <v>23.4</v>
      </c>
      <c r="E131" s="32">
        <f t="shared" ref="E131:E134" si="66">IF(ISNUMBER(D131), (D131 - $B131) / $B131, "")</f>
        <v>-1.2658227848101297E-2</v>
      </c>
      <c r="F131" s="18">
        <f>IF(ISNUMBER(D131), $B145 * E131, "")</f>
        <v>-1898.7341772151944</v>
      </c>
      <c r="G131" s="31">
        <v>23.3</v>
      </c>
      <c r="H131" s="32">
        <f t="shared" ref="H131:H134" si="67">IF(ISNUMBER(G131), (G131 - $B131) / $B131, "")</f>
        <v>-1.6877637130801627E-2</v>
      </c>
      <c r="I131" s="91">
        <f>IF(ISNUMBER(G131), $B145 * H131, "")</f>
        <v>-2531.6455696202443</v>
      </c>
      <c r="J131" s="15">
        <v>23.2</v>
      </c>
      <c r="K131" s="32">
        <f t="shared" ref="K131:K134" si="68">IF(ISNUMBER(J131), (J131 - $B131) / $B131, "")</f>
        <v>-2.1097046413502109E-2</v>
      </c>
      <c r="L131" s="18">
        <f>IF(ISNUMBER(J131), $B145 * K131, "")</f>
        <v>-3164.5569620253164</v>
      </c>
      <c r="M131" s="31">
        <v>23</v>
      </c>
      <c r="N131" s="32">
        <f t="shared" ref="N131:N134" si="69">IF(ISNUMBER(M131), (M131 - $B131) / $B131, "")</f>
        <v>-2.9535864978902926E-2</v>
      </c>
      <c r="O131" s="18">
        <f>IF(ISNUMBER(M131), $B145 * N131, "")</f>
        <v>-4430.3797468354387</v>
      </c>
      <c r="Q131" s="146"/>
      <c r="R131" s="146"/>
      <c r="S131" s="146"/>
    </row>
    <row r="132" spans="1:19" ht="17.25" thickBot="1">
      <c r="A132" s="109" t="s">
        <v>335</v>
      </c>
      <c r="B132" s="110">
        <v>88.2</v>
      </c>
      <c r="C132" s="70">
        <v>3.7647058800000001E-2</v>
      </c>
      <c r="D132" s="15">
        <v>87.8</v>
      </c>
      <c r="E132" s="32">
        <f t="shared" si="66"/>
        <v>-4.5351473922903137E-3</v>
      </c>
      <c r="F132" s="18">
        <f>IF(ISNUMBER(D132), $B145 * E132, "")</f>
        <v>-680.27210884354702</v>
      </c>
      <c r="G132" s="31">
        <v>86.5</v>
      </c>
      <c r="H132" s="32">
        <f t="shared" si="67"/>
        <v>-1.9274376417233591E-2</v>
      </c>
      <c r="I132" s="91">
        <f>IF(ISNUMBER(G132), $B145 * H132, "")</f>
        <v>-2891.1564625850388</v>
      </c>
      <c r="J132" s="15">
        <v>86</v>
      </c>
      <c r="K132" s="32">
        <f t="shared" si="68"/>
        <v>-2.4943310657596404E-2</v>
      </c>
      <c r="L132" s="18">
        <f>IF(ISNUMBER(J132), $B145 * K132, "")</f>
        <v>-3741.4965986394604</v>
      </c>
      <c r="M132" s="31">
        <v>84.2</v>
      </c>
      <c r="N132" s="32">
        <f t="shared" si="69"/>
        <v>-4.5351473922902494E-2</v>
      </c>
      <c r="O132" s="18">
        <f>IF(ISNUMBER(M132), $B145 * N132, "")</f>
        <v>-6802.7210884353744</v>
      </c>
      <c r="Q132" s="146"/>
      <c r="R132" s="146"/>
      <c r="S132" s="146"/>
    </row>
    <row r="133" spans="1:19" ht="17.25" thickBot="1">
      <c r="A133" s="109" t="s">
        <v>221</v>
      </c>
      <c r="B133" s="110">
        <v>26.1</v>
      </c>
      <c r="C133" s="70">
        <v>3.5714285700000001E-2</v>
      </c>
      <c r="D133" s="15">
        <v>26</v>
      </c>
      <c r="E133" s="32">
        <f t="shared" si="66"/>
        <v>-3.8314176245211272E-3</v>
      </c>
      <c r="F133" s="18">
        <f>IF(ISNUMBER(D133), $B145 * E133, "")</f>
        <v>-574.71264367816912</v>
      </c>
      <c r="G133" s="31">
        <v>26</v>
      </c>
      <c r="H133" s="32">
        <f t="shared" si="67"/>
        <v>-3.8314176245211272E-3</v>
      </c>
      <c r="I133" s="91">
        <f>IF(ISNUMBER(G133), $B145 * H133, "")</f>
        <v>-574.71264367816912</v>
      </c>
      <c r="J133" s="15">
        <v>25.8</v>
      </c>
      <c r="K133" s="32">
        <f t="shared" si="68"/>
        <v>-1.1494252873563244E-2</v>
      </c>
      <c r="L133" s="18">
        <f>IF(ISNUMBER(J133), $B145 * K133, "")</f>
        <v>-1724.1379310344867</v>
      </c>
      <c r="M133" s="31">
        <v>25.7</v>
      </c>
      <c r="N133" s="32">
        <f t="shared" si="69"/>
        <v>-1.5325670498084372E-2</v>
      </c>
      <c r="O133" s="18">
        <f>IF(ISNUMBER(M133), $B145 * N133, "")</f>
        <v>-2298.850574712656</v>
      </c>
      <c r="Q133" s="33"/>
      <c r="R133" s="33"/>
    </row>
    <row r="134" spans="1:19" ht="17.25" thickBot="1">
      <c r="A134" s="114" t="s">
        <v>195</v>
      </c>
      <c r="B134" s="115">
        <v>8.86</v>
      </c>
      <c r="C134" s="72">
        <v>3.5046728999999999E-2</v>
      </c>
      <c r="D134" s="24">
        <v>9.44</v>
      </c>
      <c r="E134" s="25">
        <f t="shared" si="66"/>
        <v>6.5462753950338612E-2</v>
      </c>
      <c r="F134" s="94">
        <f>IF(ISNUMBER(D134), $B145 * E134, "")</f>
        <v>9819.4130925507925</v>
      </c>
      <c r="G134" s="92">
        <v>9.42</v>
      </c>
      <c r="H134" s="25">
        <f t="shared" si="67"/>
        <v>6.3205417607223535E-2</v>
      </c>
      <c r="I134" s="93">
        <f>IF(ISNUMBER(G134), $B145 * H134, "")</f>
        <v>9480.8126410835303</v>
      </c>
      <c r="J134" s="24">
        <v>9.16</v>
      </c>
      <c r="K134" s="25">
        <f t="shared" si="68"/>
        <v>3.3860045146726941E-2</v>
      </c>
      <c r="L134" s="94">
        <f>IF(ISNUMBER(J134), $B145 * K134, "")</f>
        <v>5079.006772009041</v>
      </c>
      <c r="M134" s="92">
        <v>9.02</v>
      </c>
      <c r="N134" s="25">
        <f t="shared" si="69"/>
        <v>1.8058690744921009E-2</v>
      </c>
      <c r="O134" s="94">
        <f>IF(ISNUMBER(M134), $B145 * N134, "")</f>
        <v>2708.8036117381512</v>
      </c>
      <c r="Q134" s="147"/>
      <c r="R134" s="148"/>
      <c r="S134" s="149"/>
    </row>
    <row r="135" spans="1:19">
      <c r="A135" s="107" t="s">
        <v>237</v>
      </c>
      <c r="B135" s="108">
        <v>35.799999999999997</v>
      </c>
      <c r="C135" s="69">
        <v>3.4682080900000002E-2</v>
      </c>
      <c r="D135" s="13">
        <v>35.700000000000003</v>
      </c>
      <c r="E135" s="14">
        <f>IF(ISNUMBER(D135), (D135 - $B135) / $B135, "")</f>
        <v>-2.7932960893853162E-3</v>
      </c>
      <c r="F135" s="16">
        <f>IF(ISNUMBER(D135), $B145 * E135, "")</f>
        <v>-418.99441340779742</v>
      </c>
      <c r="G135" s="29">
        <v>35.299999999999997</v>
      </c>
      <c r="H135" s="14">
        <f>IF(ISNUMBER(G135), (G135 - $B135) / $B135, "")</f>
        <v>-1.3966480446927375E-2</v>
      </c>
      <c r="I135" s="90">
        <f>IF(ISNUMBER(G135), $B145 * H135, "")</f>
        <v>-2094.9720670391062</v>
      </c>
      <c r="J135" s="13">
        <v>35.4</v>
      </c>
      <c r="K135" s="14">
        <f>IF(ISNUMBER(J135), (J135 - $B135) / $B135, "")</f>
        <v>-1.117318435754186E-2</v>
      </c>
      <c r="L135" s="16">
        <f>IF(ISNUMBER(J135), $B145 * K135, "")</f>
        <v>-1675.9776536312791</v>
      </c>
      <c r="M135" s="29">
        <v>35.299999999999997</v>
      </c>
      <c r="N135" s="14">
        <f>IF(ISNUMBER(M135), (M135 - $B135) / $B135, "")</f>
        <v>-1.3966480446927375E-2</v>
      </c>
      <c r="O135" s="16">
        <f>IF(ISNUMBER(M135), $B145 * N135, "")</f>
        <v>-2094.9720670391062</v>
      </c>
      <c r="Q135" s="150"/>
      <c r="R135" s="151"/>
      <c r="S135" s="152"/>
    </row>
    <row r="136" spans="1:19" ht="17.25" thickBot="1">
      <c r="A136" s="109" t="s">
        <v>203</v>
      </c>
      <c r="B136" s="110">
        <v>4.5</v>
      </c>
      <c r="C136" s="70">
        <v>3.4482758600000003E-2</v>
      </c>
      <c r="D136" s="15">
        <v>4.5199999999999996</v>
      </c>
      <c r="E136" s="32">
        <f t="shared" ref="E136:E139" si="70">IF(ISNUMBER(D136), (D136 - $B136) / $B136, "")</f>
        <v>4.4444444444443499E-3</v>
      </c>
      <c r="F136" s="18">
        <f>IF(ISNUMBER(D136), $B145 * E136, "")</f>
        <v>666.66666666665253</v>
      </c>
      <c r="G136" s="31">
        <v>4.5999999999999996</v>
      </c>
      <c r="H136" s="32">
        <f t="shared" ref="H136:H139" si="71">IF(ISNUMBER(G136), (G136 - $B136) / $B136, "")</f>
        <v>2.2222222222222143E-2</v>
      </c>
      <c r="I136" s="91">
        <f>IF(ISNUMBER(G136), $B145 * H136, "")</f>
        <v>3333.3333333333217</v>
      </c>
      <c r="J136" s="15">
        <v>4.5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4.46</v>
      </c>
      <c r="N136" s="32">
        <f t="shared" ref="N136:N139" si="73">IF(ISNUMBER(M136), (M136 - $B136) / $B136, "")</f>
        <v>-8.8888888888888976E-3</v>
      </c>
      <c r="O136" s="18">
        <f>IF(ISNUMBER(M136), $B145 * N136, "")</f>
        <v>-1333.3333333333346</v>
      </c>
      <c r="Q136" s="153"/>
      <c r="R136" s="154"/>
      <c r="S136" s="155"/>
    </row>
    <row r="137" spans="1:19" ht="17.25" thickBot="1">
      <c r="A137" s="109" t="s">
        <v>332</v>
      </c>
      <c r="B137" s="110">
        <v>8.52</v>
      </c>
      <c r="C137" s="70">
        <v>3.1476997600000001E-2</v>
      </c>
      <c r="D137" s="15">
        <v>9.1300000000000008</v>
      </c>
      <c r="E137" s="32">
        <f t="shared" si="70"/>
        <v>7.1596244131455544E-2</v>
      </c>
      <c r="F137" s="18">
        <f>IF(ISNUMBER(D137), $B145 * E137, "")</f>
        <v>10739.436619718332</v>
      </c>
      <c r="G137" s="31">
        <v>10</v>
      </c>
      <c r="H137" s="32">
        <f t="shared" si="71"/>
        <v>0.17370892018779349</v>
      </c>
      <c r="I137" s="91">
        <f>IF(ISNUMBER(G137), $B145 * H137, "")</f>
        <v>26056.338028169022</v>
      </c>
      <c r="J137" s="15">
        <v>9.65</v>
      </c>
      <c r="K137" s="32">
        <f t="shared" si="72"/>
        <v>0.13262910798122077</v>
      </c>
      <c r="L137" s="18">
        <f>IF(ISNUMBER(J137), $B145 * K137, "")</f>
        <v>19894.366197183113</v>
      </c>
      <c r="M137" s="31">
        <v>9.66</v>
      </c>
      <c r="N137" s="32">
        <f t="shared" si="73"/>
        <v>0.13380281690140852</v>
      </c>
      <c r="O137" s="18">
        <f>IF(ISNUMBER(M137), $B145 * N137, "")</f>
        <v>20070.422535211277</v>
      </c>
      <c r="Q137" s="146"/>
      <c r="R137" s="146"/>
      <c r="S137" s="146"/>
    </row>
    <row r="138" spans="1:19" ht="17.25" thickBot="1">
      <c r="A138" s="109" t="s">
        <v>181</v>
      </c>
      <c r="B138" s="110">
        <v>5.59</v>
      </c>
      <c r="C138" s="70">
        <v>3.1365313700000001E-2</v>
      </c>
      <c r="D138" s="15">
        <v>5.6</v>
      </c>
      <c r="E138" s="32">
        <f t="shared" si="70"/>
        <v>1.7889087656529135E-3</v>
      </c>
      <c r="F138" s="18">
        <f>IF(ISNUMBER(D138), $B145 * E138, "")</f>
        <v>268.33631484793705</v>
      </c>
      <c r="G138" s="31">
        <v>5.66</v>
      </c>
      <c r="H138" s="32">
        <f t="shared" si="71"/>
        <v>1.2522361359570713E-2</v>
      </c>
      <c r="I138" s="91">
        <f>IF(ISNUMBER(G138), $B145 * H138, "")</f>
        <v>1878.3542039356068</v>
      </c>
      <c r="J138" s="15">
        <v>5.55</v>
      </c>
      <c r="K138" s="32">
        <f t="shared" si="72"/>
        <v>-7.1556350626118129E-3</v>
      </c>
      <c r="L138" s="18">
        <f>IF(ISNUMBER(J138), $B145 * K138, "")</f>
        <v>-1073.3452593917718</v>
      </c>
      <c r="M138" s="31">
        <v>5.48</v>
      </c>
      <c r="N138" s="32">
        <f t="shared" si="73"/>
        <v>-1.9677996422182369E-2</v>
      </c>
      <c r="O138" s="18">
        <f>IF(ISNUMBER(M138), $B145 * N138, "")</f>
        <v>-2951.6994633273553</v>
      </c>
      <c r="Q138" s="156"/>
      <c r="R138" s="156"/>
      <c r="S138" s="156"/>
    </row>
    <row r="139" spans="1:19" ht="17.25" thickBot="1">
      <c r="A139" s="111" t="s">
        <v>320</v>
      </c>
      <c r="B139" s="112">
        <v>6.22</v>
      </c>
      <c r="C139" s="71">
        <v>2.98013245E-2</v>
      </c>
      <c r="D139" s="20">
        <v>6.25</v>
      </c>
      <c r="E139" s="21">
        <f t="shared" si="70"/>
        <v>4.8231511254019695E-3</v>
      </c>
      <c r="F139" s="22">
        <f>IF(ISNUMBER(D139), $B145 * E139, "")</f>
        <v>723.47266881029543</v>
      </c>
      <c r="G139" s="30">
        <v>6.27</v>
      </c>
      <c r="H139" s="21">
        <f t="shared" si="71"/>
        <v>8.0385852090031872E-3</v>
      </c>
      <c r="I139" s="95">
        <f>IF(ISNUMBER(G139), $B145 * H139, "")</f>
        <v>1205.7877813504781</v>
      </c>
      <c r="J139" s="20">
        <v>6.16</v>
      </c>
      <c r="K139" s="21">
        <f t="shared" si="72"/>
        <v>-9.6463022508037968E-3</v>
      </c>
      <c r="L139" s="22">
        <f>IF(ISNUMBER(J139), $B145 * K139, "")</f>
        <v>-1446.9453376205695</v>
      </c>
      <c r="M139" s="30">
        <v>6.13</v>
      </c>
      <c r="N139" s="21">
        <f t="shared" si="73"/>
        <v>-1.4469453376205766E-2</v>
      </c>
      <c r="O139" s="22">
        <f>IF(ISNUMBER(M139), $B145 * N139, "")</f>
        <v>-2170.4180064308648</v>
      </c>
      <c r="Q139" s="156"/>
      <c r="R139" s="156"/>
      <c r="S139" s="156"/>
    </row>
    <row r="140" spans="1:19" ht="17.25" thickBot="1">
      <c r="A140" s="109" t="s">
        <v>185</v>
      </c>
      <c r="B140" s="113">
        <v>43.3</v>
      </c>
      <c r="C140" s="73">
        <v>2.8503562900000001E-2</v>
      </c>
      <c r="D140" s="96">
        <v>43.9</v>
      </c>
      <c r="E140" s="97">
        <f>IF(ISNUMBER(D140), (D140 - $B140) / $B140, "")</f>
        <v>1.3856812933025438E-2</v>
      </c>
      <c r="F140" s="98">
        <f>IF(ISNUMBER(D140), $B145 * E140, "")</f>
        <v>2078.5219399538155</v>
      </c>
      <c r="G140" s="99">
        <v>43.4</v>
      </c>
      <c r="H140" s="97">
        <f>IF(ISNUMBER(G140), (G140 - $B140) / $B140, "")</f>
        <v>2.3094688221709336E-3</v>
      </c>
      <c r="I140" s="100">
        <f>IF(ISNUMBER(G140), $B145 * H140, "")</f>
        <v>346.42032332564003</v>
      </c>
      <c r="J140" s="96">
        <v>43</v>
      </c>
      <c r="K140" s="97">
        <f>IF(ISNUMBER(J140), (J140 - $B140) / $B140, "")</f>
        <v>-6.9284064665126365E-3</v>
      </c>
      <c r="L140" s="98">
        <f>IF(ISNUMBER(J140), $B145 * K140, "")</f>
        <v>-1039.2609699768955</v>
      </c>
      <c r="M140" s="99">
        <v>42.8</v>
      </c>
      <c r="N140" s="97">
        <f>IF(ISNUMBER(M140), (M140 - $B140) / $B140, "")</f>
        <v>-1.1547344110854504E-2</v>
      </c>
      <c r="O140" s="98">
        <f>IF(ISNUMBER(M140), $B145 * N140, "")</f>
        <v>-1732.1016166281756</v>
      </c>
      <c r="Q140" s="146"/>
      <c r="R140" s="146"/>
      <c r="S140" s="146"/>
    </row>
    <row r="141" spans="1:19" ht="17.25" thickBot="1">
      <c r="A141" s="109" t="s">
        <v>143</v>
      </c>
      <c r="B141" s="110">
        <v>6.42</v>
      </c>
      <c r="C141" s="70">
        <v>2.7199999999999998E-2</v>
      </c>
      <c r="D141" s="15">
        <v>6.62</v>
      </c>
      <c r="E141" s="32">
        <f t="shared" ref="E141:E144" si="74">IF(ISNUMBER(D141), (D141 - $B141) / $B141, "")</f>
        <v>3.1152647975077909E-2</v>
      </c>
      <c r="F141" s="18">
        <f>IF(ISNUMBER(D141), $B145 * E141, "")</f>
        <v>4672.8971962616861</v>
      </c>
      <c r="G141" s="31">
        <v>6.53</v>
      </c>
      <c r="H141" s="32">
        <f t="shared" ref="H141:H144" si="75">IF(ISNUMBER(G141), (G141 - $B141) / $B141, "")</f>
        <v>1.7133956386292885E-2</v>
      </c>
      <c r="I141" s="91">
        <f>IF(ISNUMBER(G141), $B145 * H141, "")</f>
        <v>2570.0934579439327</v>
      </c>
      <c r="J141" s="15">
        <v>6.4</v>
      </c>
      <c r="K141" s="32">
        <f t="shared" ref="K141:K144" si="76">IF(ISNUMBER(J141), (J141 - $B141) / $B141, "")</f>
        <v>-3.1152647975077217E-3</v>
      </c>
      <c r="L141" s="18">
        <f>IF(ISNUMBER(J141), $B145 * K141, "")</f>
        <v>-467.28971962615827</v>
      </c>
      <c r="M141" s="31">
        <v>6.28</v>
      </c>
      <c r="N141" s="32">
        <f t="shared" ref="N141:N144" si="77">IF(ISNUMBER(M141), (M141 - $B141) / $B141, "")</f>
        <v>-2.1806853582554468E-2</v>
      </c>
      <c r="O141" s="18">
        <f>IF(ISNUMBER(M141), $B145 * N141, "")</f>
        <v>-3271.0280373831702</v>
      </c>
      <c r="Q141" s="146"/>
      <c r="R141" s="146"/>
      <c r="S141" s="146"/>
    </row>
    <row r="142" spans="1:19" ht="17.25" thickBot="1">
      <c r="A142" s="109" t="s">
        <v>197</v>
      </c>
      <c r="B142" s="110">
        <v>12.4</v>
      </c>
      <c r="C142" s="70">
        <v>2.4793388400000001E-2</v>
      </c>
      <c r="D142" s="15">
        <v>12.8</v>
      </c>
      <c r="E142" s="32">
        <f t="shared" si="74"/>
        <v>3.2258064516129059E-2</v>
      </c>
      <c r="F142" s="18">
        <f>IF(ISNUMBER(D142), $B145 * E142, "")</f>
        <v>4838.7096774193587</v>
      </c>
      <c r="G142" s="31">
        <v>12.8</v>
      </c>
      <c r="H142" s="32">
        <f t="shared" si="75"/>
        <v>3.2258064516129059E-2</v>
      </c>
      <c r="I142" s="91">
        <f>IF(ISNUMBER(G142), $B145 * H142, "")</f>
        <v>4838.7096774193587</v>
      </c>
      <c r="J142" s="15">
        <v>12.9</v>
      </c>
      <c r="K142" s="32">
        <f t="shared" si="76"/>
        <v>4.0322580645161289E-2</v>
      </c>
      <c r="L142" s="18">
        <f>IF(ISNUMBER(J142), $B145 * K142, "")</f>
        <v>6048.3870967741932</v>
      </c>
      <c r="M142" s="31">
        <v>12.6</v>
      </c>
      <c r="N142" s="32">
        <f t="shared" si="77"/>
        <v>1.6129032258064457E-2</v>
      </c>
      <c r="O142" s="18">
        <f>IF(ISNUMBER(M142), $B145 * N142, "")</f>
        <v>2419.3548387096685</v>
      </c>
      <c r="Q142" s="146"/>
      <c r="R142" s="146"/>
      <c r="S142" s="146"/>
    </row>
    <row r="143" spans="1:19">
      <c r="A143" s="109" t="s">
        <v>145</v>
      </c>
      <c r="B143" s="110">
        <v>89.4</v>
      </c>
      <c r="C143" s="70">
        <v>1.36054422E-2</v>
      </c>
      <c r="D143" s="15">
        <v>88.1</v>
      </c>
      <c r="E143" s="32">
        <f t="shared" si="74"/>
        <v>-1.4541387024608627E-2</v>
      </c>
      <c r="F143" s="18">
        <f>IF(ISNUMBER(D143), $B145 * E143, "")</f>
        <v>-2181.208053691294</v>
      </c>
      <c r="G143" s="31">
        <v>87.9</v>
      </c>
      <c r="H143" s="32">
        <f t="shared" si="75"/>
        <v>-1.6778523489932886E-2</v>
      </c>
      <c r="I143" s="91">
        <f>IF(ISNUMBER(G143), $B145 * H143, "")</f>
        <v>-2516.7785234899329</v>
      </c>
      <c r="J143" s="15">
        <v>87.9</v>
      </c>
      <c r="K143" s="32">
        <f t="shared" si="76"/>
        <v>-1.6778523489932886E-2</v>
      </c>
      <c r="L143" s="18">
        <f>IF(ISNUMBER(J143), $B145 * K143, "")</f>
        <v>-2516.7785234899329</v>
      </c>
      <c r="M143" s="31">
        <v>87.7</v>
      </c>
      <c r="N143" s="32">
        <f t="shared" si="77"/>
        <v>-1.9015659955257301E-2</v>
      </c>
      <c r="O143" s="18">
        <f>IF(ISNUMBER(M143), $B145 * N143, "")</f>
        <v>-2852.348993288595</v>
      </c>
      <c r="Q143" s="135"/>
      <c r="R143" s="136"/>
      <c r="S143" s="137"/>
    </row>
    <row r="144" spans="1:19" ht="17.25" thickBot="1">
      <c r="A144" s="114" t="s">
        <v>97</v>
      </c>
      <c r="B144" s="115">
        <v>8.9999999999999998E-4</v>
      </c>
      <c r="C144" s="72">
        <v>0</v>
      </c>
      <c r="D144" s="24">
        <v>8.9999999999999998E-4</v>
      </c>
      <c r="E144" s="25">
        <f t="shared" si="74"/>
        <v>0</v>
      </c>
      <c r="F144" s="94">
        <f>IF(ISNUMBER(D144), $B145 * E144, "")</f>
        <v>0</v>
      </c>
      <c r="G144" s="92">
        <v>8.0000000000000004E-4</v>
      </c>
      <c r="H144" s="25">
        <f t="shared" si="75"/>
        <v>-0.11111111111111105</v>
      </c>
      <c r="I144" s="93">
        <f>IF(ISNUMBER(G144), $B145 * H144, "")</f>
        <v>-16666.666666666657</v>
      </c>
      <c r="J144" s="24">
        <v>8.9999999999999998E-4</v>
      </c>
      <c r="K144" s="25">
        <f t="shared" si="76"/>
        <v>0</v>
      </c>
      <c r="L144" s="94">
        <f>IF(ISNUMBER(J144), $B145 * K144, "")</f>
        <v>0</v>
      </c>
      <c r="M144" s="92">
        <v>8.9999999999999998E-4</v>
      </c>
      <c r="N144" s="25">
        <f t="shared" si="77"/>
        <v>0</v>
      </c>
      <c r="O144" s="94">
        <f>IF(ISNUMBER(M144), $B145 * N144, "")</f>
        <v>0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8.783768703908252E-3</v>
      </c>
      <c r="F145" s="28">
        <f>SUM(F125:F144)</f>
        <v>26351.306111724753</v>
      </c>
      <c r="G145" s="26" t="s">
        <v>258</v>
      </c>
      <c r="H145" s="27">
        <f>IF(COUNT(H125:H144), SUM(H125:H144) / COUNT(H125:H144), 0)</f>
        <v>6.1689044956228858E-3</v>
      </c>
      <c r="I145" s="28">
        <f>SUM(I125:I144)</f>
        <v>18506.713486868663</v>
      </c>
      <c r="J145" s="26" t="s">
        <v>258</v>
      </c>
      <c r="K145" s="27">
        <f>IF(COUNT(K125:K144), SUM(K125:K144) / COUNT(K125:K144), 0)</f>
        <v>6.970714225248446E-4</v>
      </c>
      <c r="L145" s="28">
        <f>SUM(L125:L144)</f>
        <v>2091.2142675745336</v>
      </c>
      <c r="M145" s="26" t="s">
        <v>258</v>
      </c>
      <c r="N145" s="27">
        <f>IF(COUNT(N125:N144), SUM(N125:N144) / COUNT(N125:N144), 0)</f>
        <v>-8.4994388558163707E-3</v>
      </c>
      <c r="O145" s="28">
        <f>SUM(O125:O144)</f>
        <v>-25498.316567449117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2023-03-15(수) 오전 00:00</v>
      </c>
      <c r="C150" s="198"/>
      <c r="D150" s="170" t="str">
        <f>TEXT($G$1, "[$-ko-KR]yyyy-mm-dd(ddd) ") &amp; "오후 14:00"</f>
        <v>2023-03-15(수) 오후 14:00</v>
      </c>
      <c r="E150" s="171"/>
      <c r="F150" s="172"/>
      <c r="G150" s="170" t="str">
        <f>TEXT($G$1, "[$-ko-KR]yyyy-mm-dd(ddd) ") &amp; "오후 19:00"</f>
        <v>2023-03-15(수) 오후 19:00</v>
      </c>
      <c r="H150" s="171"/>
      <c r="I150" s="172"/>
      <c r="J150" s="170" t="str">
        <f>TEXT($G$1, "[$-ko-KR]yyyy-mm-dd(ddd) ") &amp; "오후 21:00"</f>
        <v>2023-03-15(수) 오후 21:00</v>
      </c>
      <c r="K150" s="171"/>
      <c r="L150" s="172"/>
      <c r="M150" s="170" t="str">
        <f>TEXT($G$1+1, "[$-ko-KR]yyyy-mm-dd(ddd) ") &amp; "오전 00:00"</f>
        <v>2023-03-16(목)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235</v>
      </c>
      <c r="B152" s="108">
        <v>715</v>
      </c>
      <c r="C152" s="69">
        <v>3.9244186E-2</v>
      </c>
      <c r="D152" s="13">
        <v>714</v>
      </c>
      <c r="E152" s="14">
        <f>IF(ISNUMBER(D152), (D152 - $B152) / $B152, "")</f>
        <v>-1.3986013986013986E-3</v>
      </c>
      <c r="F152" s="16">
        <f>IF(ISNUMBER(D152), $B172 * E152, "")</f>
        <v>-209.79020979020979</v>
      </c>
      <c r="G152" s="29">
        <v>710</v>
      </c>
      <c r="H152" s="14">
        <f>IF(ISNUMBER(G152), (G152 - $B152) / $B152, "")</f>
        <v>-6.993006993006993E-3</v>
      </c>
      <c r="I152" s="90">
        <f>IF(ISNUMBER(G152), $B172 * H152, "")</f>
        <v>-1048.951048951049</v>
      </c>
      <c r="J152" s="13">
        <v>708</v>
      </c>
      <c r="K152" s="14">
        <f>IF(ISNUMBER(J152), (J152 - $B152) / $B152, "")</f>
        <v>-9.7902097902097911E-3</v>
      </c>
      <c r="L152" s="16">
        <f>IF(ISNUMBER(J152), $B172 * K152, "")</f>
        <v>-1468.5314685314686</v>
      </c>
      <c r="M152" s="29">
        <v>705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156"/>
      <c r="R152" s="156"/>
      <c r="S152" s="156"/>
    </row>
    <row r="153" spans="1:19" ht="17.25" thickBot="1">
      <c r="A153" s="109" t="s">
        <v>66</v>
      </c>
      <c r="B153" s="110">
        <v>958</v>
      </c>
      <c r="C153" s="70">
        <v>3.9045553099999998E-2</v>
      </c>
      <c r="D153" s="15">
        <v>958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956</v>
      </c>
      <c r="H153" s="32">
        <f t="shared" ref="H153:H156" si="79">IF(ISNUMBER(G153), (G153 - $B153) / $B153, "")</f>
        <v>-2.0876826722338203E-3</v>
      </c>
      <c r="I153" s="91">
        <f>IF(ISNUMBER(G153), $B172 * H153, "")</f>
        <v>-313.15240083507302</v>
      </c>
      <c r="J153" s="15">
        <v>955</v>
      </c>
      <c r="K153" s="32">
        <f t="shared" ref="K153:K156" si="80">IF(ISNUMBER(J153), (J153 - $B153) / $B153, "")</f>
        <v>-3.1315240083507308E-3</v>
      </c>
      <c r="L153" s="18">
        <f>IF(ISNUMBER(J153), $B172 * K153, "")</f>
        <v>-469.72860125260962</v>
      </c>
      <c r="M153" s="31">
        <v>950</v>
      </c>
      <c r="N153" s="32">
        <f t="shared" ref="N153:N156" si="81">IF(ISNUMBER(M153), (M153 - $B153) / $B153, "")</f>
        <v>-8.350730688935281E-3</v>
      </c>
      <c r="O153" s="18">
        <f>IF(ISNUMBER(M153), $B172 * N153, "")</f>
        <v>-1252.6096033402921</v>
      </c>
      <c r="Q153" s="156"/>
      <c r="R153" s="156"/>
      <c r="S153" s="156"/>
    </row>
    <row r="154" spans="1:19" ht="17.25" thickBot="1">
      <c r="A154" s="109" t="s">
        <v>229</v>
      </c>
      <c r="B154" s="110">
        <v>322</v>
      </c>
      <c r="C154" s="70">
        <v>3.8709677400000003E-2</v>
      </c>
      <c r="D154" s="15">
        <v>322</v>
      </c>
      <c r="E154" s="32">
        <f t="shared" si="78"/>
        <v>0</v>
      </c>
      <c r="F154" s="18">
        <f>IF(ISNUMBER(D154), $B172 * E154, "")</f>
        <v>0</v>
      </c>
      <c r="G154" s="31">
        <v>321</v>
      </c>
      <c r="H154" s="32">
        <f t="shared" si="79"/>
        <v>-3.105590062111801E-3</v>
      </c>
      <c r="I154" s="91">
        <f>IF(ISNUMBER(G154), $B172 * H154, "")</f>
        <v>-465.83850931677017</v>
      </c>
      <c r="J154" s="15">
        <v>320</v>
      </c>
      <c r="K154" s="32">
        <f t="shared" si="80"/>
        <v>-6.2111801242236021E-3</v>
      </c>
      <c r="L154" s="18">
        <f>IF(ISNUMBER(J154), $B172 * K154, "")</f>
        <v>-931.67701863354034</v>
      </c>
      <c r="M154" s="31">
        <v>317</v>
      </c>
      <c r="N154" s="32">
        <f t="shared" si="81"/>
        <v>-1.5527950310559006E-2</v>
      </c>
      <c r="O154" s="18">
        <f>IF(ISNUMBER(M154), $B172 * N154, "")</f>
        <v>-2329.1925465838508</v>
      </c>
      <c r="Q154" s="146"/>
      <c r="R154" s="146"/>
      <c r="S154" s="146"/>
    </row>
    <row r="155" spans="1:19" ht="17.25" thickBot="1">
      <c r="A155" s="109" t="s">
        <v>85</v>
      </c>
      <c r="B155" s="110">
        <v>162</v>
      </c>
      <c r="C155" s="70">
        <v>3.8461538500000003E-2</v>
      </c>
      <c r="D155" s="15">
        <v>161</v>
      </c>
      <c r="E155" s="32">
        <f t="shared" si="78"/>
        <v>-6.1728395061728392E-3</v>
      </c>
      <c r="F155" s="18">
        <f>IF(ISNUMBER(D155), $B172 * E155, "")</f>
        <v>-925.92592592592587</v>
      </c>
      <c r="G155" s="31">
        <v>160</v>
      </c>
      <c r="H155" s="32">
        <f t="shared" si="79"/>
        <v>-1.2345679012345678E-2</v>
      </c>
      <c r="I155" s="91">
        <f>IF(ISNUMBER(G155), $B172 * H155, "")</f>
        <v>-1851.8518518518517</v>
      </c>
      <c r="J155" s="15">
        <v>159</v>
      </c>
      <c r="K155" s="32">
        <f t="shared" si="80"/>
        <v>-1.8518518518518517E-2</v>
      </c>
      <c r="L155" s="18">
        <f>IF(ISNUMBER(J155), $B172 * K155, "")</f>
        <v>-2777.7777777777778</v>
      </c>
      <c r="M155" s="31">
        <v>158</v>
      </c>
      <c r="N155" s="32">
        <f t="shared" si="81"/>
        <v>-2.4691358024691357E-2</v>
      </c>
      <c r="O155" s="18">
        <f>IF(ISNUMBER(M155), $B172 * N155, "")</f>
        <v>-3703.7037037037035</v>
      </c>
      <c r="Q155" s="146"/>
      <c r="R155" s="146"/>
      <c r="S155" s="146"/>
    </row>
    <row r="156" spans="1:19" ht="17.25" thickBot="1">
      <c r="A156" s="111" t="s">
        <v>325</v>
      </c>
      <c r="B156" s="112">
        <v>684</v>
      </c>
      <c r="C156" s="71">
        <v>3.7936267099999997E-2</v>
      </c>
      <c r="D156" s="20">
        <v>700</v>
      </c>
      <c r="E156" s="21">
        <f t="shared" si="78"/>
        <v>2.3391812865497075E-2</v>
      </c>
      <c r="F156" s="22">
        <f>IF(ISNUMBER(D156), $B172 * E156, "")</f>
        <v>3508.7719298245611</v>
      </c>
      <c r="G156" s="30">
        <v>689</v>
      </c>
      <c r="H156" s="21">
        <f t="shared" si="79"/>
        <v>7.3099415204678359E-3</v>
      </c>
      <c r="I156" s="95">
        <f>IF(ISNUMBER(G156), $B172 * H156, "")</f>
        <v>1096.4912280701753</v>
      </c>
      <c r="J156" s="20">
        <v>686</v>
      </c>
      <c r="K156" s="21">
        <f t="shared" si="80"/>
        <v>2.9239766081871343E-3</v>
      </c>
      <c r="L156" s="22">
        <f>IF(ISNUMBER(J156), $B172 * K156, "")</f>
        <v>438.59649122807014</v>
      </c>
      <c r="M156" s="30">
        <v>680</v>
      </c>
      <c r="N156" s="21">
        <f t="shared" si="81"/>
        <v>-5.8479532163742687E-3</v>
      </c>
      <c r="O156" s="22">
        <f>IF(ISNUMBER(M156), $B172 * N156, "")</f>
        <v>-877.19298245614027</v>
      </c>
      <c r="Q156" s="146"/>
      <c r="R156" s="146"/>
      <c r="S156" s="146"/>
    </row>
    <row r="157" spans="1:19" ht="17.25" thickBot="1">
      <c r="A157" s="109" t="s">
        <v>209</v>
      </c>
      <c r="B157" s="113">
        <v>141</v>
      </c>
      <c r="C157" s="73">
        <v>3.67647059E-2</v>
      </c>
      <c r="D157" s="96">
        <v>140</v>
      </c>
      <c r="E157" s="97">
        <f>IF(ISNUMBER(D157), (D157 - $B157) / $B157, "")</f>
        <v>-7.0921985815602835E-3</v>
      </c>
      <c r="F157" s="98">
        <f>IF(ISNUMBER(D157), $B172 * E157, "")</f>
        <v>-1063.8297872340424</v>
      </c>
      <c r="G157" s="99">
        <v>139</v>
      </c>
      <c r="H157" s="97">
        <f>IF(ISNUMBER(G157), (G157 - $B157) / $B157, "")</f>
        <v>-1.4184397163120567E-2</v>
      </c>
      <c r="I157" s="100">
        <f>IF(ISNUMBER(G157), $B172 * H157, "")</f>
        <v>-2127.6595744680849</v>
      </c>
      <c r="J157" s="96">
        <v>138</v>
      </c>
      <c r="K157" s="97">
        <f>IF(ISNUMBER(J157), (J157 - $B157) / $B157, "")</f>
        <v>-2.1276595744680851E-2</v>
      </c>
      <c r="L157" s="98">
        <f>IF(ISNUMBER(J157), $B172 * K157, "")</f>
        <v>-3191.4893617021276</v>
      </c>
      <c r="M157" s="99">
        <v>137</v>
      </c>
      <c r="N157" s="97">
        <f>IF(ISNUMBER(M157), (M157 - $B157) / $B157, "")</f>
        <v>-2.8368794326241134E-2</v>
      </c>
      <c r="O157" s="98">
        <f>IF(ISNUMBER(M157), $B172 * N157, "")</f>
        <v>-4255.3191489361698</v>
      </c>
      <c r="Q157" s="146"/>
      <c r="R157" s="146"/>
      <c r="S157" s="146"/>
    </row>
    <row r="158" spans="1:19" ht="17.25" thickBot="1">
      <c r="A158" s="109" t="s">
        <v>239</v>
      </c>
      <c r="B158" s="110">
        <v>565</v>
      </c>
      <c r="C158" s="70">
        <v>3.6697247699999998E-2</v>
      </c>
      <c r="D158" s="15">
        <v>573</v>
      </c>
      <c r="E158" s="32">
        <f t="shared" ref="E158:E161" si="82">IF(ISNUMBER(D158), (D158 - $B158) / $B158, "")</f>
        <v>1.415929203539823E-2</v>
      </c>
      <c r="F158" s="18">
        <f>IF(ISNUMBER(D158), $B172 * E158, "")</f>
        <v>2123.8938053097345</v>
      </c>
      <c r="G158" s="31">
        <v>588</v>
      </c>
      <c r="H158" s="32">
        <f t="shared" ref="H158:H161" si="83">IF(ISNUMBER(G158), (G158 - $B158) / $B158, "")</f>
        <v>4.0707964601769911E-2</v>
      </c>
      <c r="I158" s="91">
        <f>IF(ISNUMBER(G158), $B172 * H158, "")</f>
        <v>6106.1946902654863</v>
      </c>
      <c r="J158" s="15">
        <v>614</v>
      </c>
      <c r="K158" s="32">
        <f t="shared" ref="K158:K161" si="84">IF(ISNUMBER(J158), (J158 - $B158) / $B158, "")</f>
        <v>8.6725663716814158E-2</v>
      </c>
      <c r="L158" s="18">
        <f>IF(ISNUMBER(J158), $B172 * K158, "")</f>
        <v>13008.849557522124</v>
      </c>
      <c r="M158" s="31">
        <v>600</v>
      </c>
      <c r="N158" s="32">
        <f t="shared" ref="N158:N161" si="85">IF(ISNUMBER(M158), (M158 - $B158) / $B158, "")</f>
        <v>6.1946902654867256E-2</v>
      </c>
      <c r="O158" s="18">
        <f>IF(ISNUMBER(M158), $B172 * N158, "")</f>
        <v>9292.0353982300876</v>
      </c>
      <c r="Q158" s="146"/>
      <c r="R158" s="146"/>
      <c r="S158" s="146"/>
    </row>
    <row r="159" spans="1:19" ht="17.25" thickBot="1">
      <c r="A159" s="109" t="s">
        <v>51</v>
      </c>
      <c r="B159" s="110">
        <v>115</v>
      </c>
      <c r="C159" s="70">
        <v>3.6036036E-2</v>
      </c>
      <c r="D159" s="15">
        <v>116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115</v>
      </c>
      <c r="H159" s="32">
        <f t="shared" si="83"/>
        <v>0</v>
      </c>
      <c r="I159" s="91">
        <f>IF(ISNUMBER(G159), $B172 * H159, "")</f>
        <v>0</v>
      </c>
      <c r="J159" s="15">
        <v>114</v>
      </c>
      <c r="K159" s="32">
        <f t="shared" si="84"/>
        <v>-8.6956521739130436E-3</v>
      </c>
      <c r="L159" s="18">
        <f>IF(ISNUMBER(J159), $B172 * K159, "")</f>
        <v>-1304.3478260869565</v>
      </c>
      <c r="M159" s="31">
        <v>113</v>
      </c>
      <c r="N159" s="32">
        <f t="shared" si="85"/>
        <v>-1.7391304347826087E-2</v>
      </c>
      <c r="O159" s="18">
        <f>IF(ISNUMBER(M159), $B172 * N159, "")</f>
        <v>-2608.695652173913</v>
      </c>
      <c r="Q159" s="146"/>
      <c r="R159" s="146"/>
      <c r="S159" s="146"/>
    </row>
    <row r="160" spans="1:19" ht="17.25" thickBot="1">
      <c r="A160" s="109" t="s">
        <v>201</v>
      </c>
      <c r="B160" s="110">
        <v>292</v>
      </c>
      <c r="C160" s="70">
        <v>3.5460992900000002E-2</v>
      </c>
      <c r="D160" s="15">
        <v>291</v>
      </c>
      <c r="E160" s="32">
        <f t="shared" si="82"/>
        <v>-3.4246575342465752E-3</v>
      </c>
      <c r="F160" s="18">
        <f>IF(ISNUMBER(D160), $B172 * E160, "")</f>
        <v>-513.69863013698625</v>
      </c>
      <c r="G160" s="31">
        <v>288</v>
      </c>
      <c r="H160" s="32">
        <f t="shared" si="83"/>
        <v>-1.3698630136986301E-2</v>
      </c>
      <c r="I160" s="91">
        <f>IF(ISNUMBER(G160), $B172 * H160, "")</f>
        <v>-2054.794520547945</v>
      </c>
      <c r="J160" s="15">
        <v>289</v>
      </c>
      <c r="K160" s="32">
        <f t="shared" si="84"/>
        <v>-1.0273972602739725E-2</v>
      </c>
      <c r="L160" s="18">
        <f>IF(ISNUMBER(J160), $B172 * K160, "")</f>
        <v>-1541.0958904109589</v>
      </c>
      <c r="M160" s="31">
        <v>284</v>
      </c>
      <c r="N160" s="32">
        <f t="shared" si="85"/>
        <v>-2.7397260273972601E-2</v>
      </c>
      <c r="O160" s="18">
        <f>IF(ISNUMBER(M160), $B172 * N160, "")</f>
        <v>-4109.58904109589</v>
      </c>
      <c r="Q160" s="33"/>
      <c r="R160" s="33"/>
    </row>
    <row r="161" spans="1:19" ht="17.25" thickBot="1">
      <c r="A161" s="114" t="s">
        <v>159</v>
      </c>
      <c r="B161" s="115">
        <v>245</v>
      </c>
      <c r="C161" s="72">
        <v>3.3755274299999999E-2</v>
      </c>
      <c r="D161" s="24">
        <v>244</v>
      </c>
      <c r="E161" s="25">
        <f t="shared" si="82"/>
        <v>-4.0816326530612249E-3</v>
      </c>
      <c r="F161" s="94">
        <f>IF(ISNUMBER(D161), $B172 * E161, "")</f>
        <v>-612.24489795918373</v>
      </c>
      <c r="G161" s="92">
        <v>241</v>
      </c>
      <c r="H161" s="25">
        <f t="shared" si="83"/>
        <v>-1.6326530612244899E-2</v>
      </c>
      <c r="I161" s="93">
        <f>IF(ISNUMBER(G161), $B172 * H161, "")</f>
        <v>-2448.9795918367349</v>
      </c>
      <c r="J161" s="24">
        <v>242</v>
      </c>
      <c r="K161" s="25">
        <f t="shared" si="84"/>
        <v>-1.2244897959183673E-2</v>
      </c>
      <c r="L161" s="94">
        <f>IF(ISNUMBER(J161), $B172 * K161, "")</f>
        <v>-1836.7346938775509</v>
      </c>
      <c r="M161" s="92">
        <v>238</v>
      </c>
      <c r="N161" s="25">
        <f t="shared" si="85"/>
        <v>-2.8571428571428571E-2</v>
      </c>
      <c r="O161" s="94">
        <f>IF(ISNUMBER(M161), $B172 * N161, "")</f>
        <v>-4285.7142857142853</v>
      </c>
      <c r="Q161" s="147"/>
      <c r="R161" s="148"/>
      <c r="S161" s="149"/>
    </row>
    <row r="162" spans="1:19">
      <c r="A162" s="107" t="s">
        <v>241</v>
      </c>
      <c r="B162" s="108">
        <v>123</v>
      </c>
      <c r="C162" s="69">
        <v>3.3613445399999997E-2</v>
      </c>
      <c r="D162" s="13">
        <v>122</v>
      </c>
      <c r="E162" s="14">
        <f>IF(ISNUMBER(D162), (D162 - $B162) / $B162, "")</f>
        <v>-8.130081300813009E-3</v>
      </c>
      <c r="F162" s="16">
        <f>IF(ISNUMBER(D162), $B172 * E162, "")</f>
        <v>-1219.5121951219514</v>
      </c>
      <c r="G162" s="29">
        <v>122</v>
      </c>
      <c r="H162" s="14">
        <f>IF(ISNUMBER(G162), (G162 - $B162) / $B162, "")</f>
        <v>-8.130081300813009E-3</v>
      </c>
      <c r="I162" s="90">
        <f>IF(ISNUMBER(G162), $B172 * H162, "")</f>
        <v>-1219.5121951219514</v>
      </c>
      <c r="J162" s="13">
        <v>122</v>
      </c>
      <c r="K162" s="14">
        <f>IF(ISNUMBER(J162), (J162 - $B162) / $B162, "")</f>
        <v>-8.130081300813009E-3</v>
      </c>
      <c r="L162" s="16">
        <f>IF(ISNUMBER(J162), $B172 * K162, "")</f>
        <v>-1219.5121951219514</v>
      </c>
      <c r="M162" s="29">
        <v>120</v>
      </c>
      <c r="N162" s="14">
        <f>IF(ISNUMBER(M162), (M162 - $B162) / $B162, "")</f>
        <v>-2.4390243902439025E-2</v>
      </c>
      <c r="O162" s="16">
        <f>IF(ISNUMBER(M162), $B172 * N162, "")</f>
        <v>-3658.5365853658536</v>
      </c>
      <c r="Q162" s="150"/>
      <c r="R162" s="151"/>
      <c r="S162" s="152"/>
    </row>
    <row r="163" spans="1:19" ht="17.25" thickBot="1">
      <c r="A163" s="109" t="s">
        <v>176</v>
      </c>
      <c r="B163" s="110">
        <v>387</v>
      </c>
      <c r="C163" s="70">
        <v>3.2000000000000001E-2</v>
      </c>
      <c r="D163" s="15">
        <v>386</v>
      </c>
      <c r="E163" s="32">
        <f t="shared" ref="E163:E166" si="86">IF(ISNUMBER(D163), (D163 - $B163) / $B163, "")</f>
        <v>-2.5839793281653748E-3</v>
      </c>
      <c r="F163" s="18">
        <f>IF(ISNUMBER(D163), $B172 * E163, "")</f>
        <v>-387.59689922480624</v>
      </c>
      <c r="G163" s="31">
        <v>385</v>
      </c>
      <c r="H163" s="32">
        <f t="shared" ref="H163:H166" si="87">IF(ISNUMBER(G163), (G163 - $B163) / $B163, "")</f>
        <v>-5.1679586563307496E-3</v>
      </c>
      <c r="I163" s="91">
        <f>IF(ISNUMBER(G163), $B172 * H163, "")</f>
        <v>-775.19379844961247</v>
      </c>
      <c r="J163" s="15">
        <v>383</v>
      </c>
      <c r="K163" s="32">
        <f t="shared" ref="K163:K166" si="88">IF(ISNUMBER(J163), (J163 - $B163) / $B163, "")</f>
        <v>-1.0335917312661499E-2</v>
      </c>
      <c r="L163" s="18">
        <f>IF(ISNUMBER(J163), $B172 * K163, "")</f>
        <v>-1550.3875968992249</v>
      </c>
      <c r="M163" s="31">
        <v>383</v>
      </c>
      <c r="N163" s="32">
        <f t="shared" ref="N163:N166" si="89">IF(ISNUMBER(M163), (M163 - $B163) / $B163, "")</f>
        <v>-1.0335917312661499E-2</v>
      </c>
      <c r="O163" s="18">
        <f>IF(ISNUMBER(M163), $B172 * N163, "")</f>
        <v>-1550.3875968992249</v>
      </c>
      <c r="Q163" s="153"/>
      <c r="R163" s="154"/>
      <c r="S163" s="155"/>
    </row>
    <row r="164" spans="1:19" ht="17.25" thickBot="1">
      <c r="A164" s="109" t="s">
        <v>205</v>
      </c>
      <c r="B164" s="110">
        <v>142</v>
      </c>
      <c r="C164" s="70">
        <v>2.89855072E-2</v>
      </c>
      <c r="D164" s="15">
        <v>141</v>
      </c>
      <c r="E164" s="32">
        <f t="shared" si="86"/>
        <v>-7.0422535211267607E-3</v>
      </c>
      <c r="F164" s="18">
        <f>IF(ISNUMBER(D164), $B172 * E164, "")</f>
        <v>-1056.338028169014</v>
      </c>
      <c r="G164" s="31">
        <v>140</v>
      </c>
      <c r="H164" s="32">
        <f t="shared" si="87"/>
        <v>-1.4084507042253521E-2</v>
      </c>
      <c r="I164" s="91">
        <f>IF(ISNUMBER(G164), $B172 * H164, "")</f>
        <v>-2112.676056338028</v>
      </c>
      <c r="J164" s="15">
        <v>140</v>
      </c>
      <c r="K164" s="32">
        <f t="shared" si="88"/>
        <v>-1.4084507042253521E-2</v>
      </c>
      <c r="L164" s="18">
        <f>IF(ISNUMBER(J164), $B172 * K164, "")</f>
        <v>-2112.676056338028</v>
      </c>
      <c r="M164" s="31">
        <v>139</v>
      </c>
      <c r="N164" s="32">
        <f t="shared" si="89"/>
        <v>-2.1126760563380281E-2</v>
      </c>
      <c r="O164" s="18">
        <f>IF(ISNUMBER(M164), $B172 * N164, "")</f>
        <v>-3169.0140845070423</v>
      </c>
      <c r="Q164" s="146"/>
      <c r="R164" s="146"/>
      <c r="S164" s="146"/>
    </row>
    <row r="165" spans="1:19" ht="17.25" thickBot="1">
      <c r="A165" s="109" t="s">
        <v>169</v>
      </c>
      <c r="B165" s="110">
        <v>290</v>
      </c>
      <c r="C165" s="70">
        <v>2.83687943E-2</v>
      </c>
      <c r="D165" s="15">
        <v>289</v>
      </c>
      <c r="E165" s="32">
        <f t="shared" si="86"/>
        <v>-3.4482758620689655E-3</v>
      </c>
      <c r="F165" s="18">
        <f>IF(ISNUMBER(D165), $B172 * E165, "")</f>
        <v>-517.24137931034477</v>
      </c>
      <c r="G165" s="31">
        <v>287</v>
      </c>
      <c r="H165" s="32">
        <f t="shared" si="87"/>
        <v>-1.0344827586206896E-2</v>
      </c>
      <c r="I165" s="91">
        <f>IF(ISNUMBER(G165), $B172 * H165, "")</f>
        <v>-1551.7241379310344</v>
      </c>
      <c r="J165" s="15">
        <v>287</v>
      </c>
      <c r="K165" s="32">
        <f t="shared" si="88"/>
        <v>-1.0344827586206896E-2</v>
      </c>
      <c r="L165" s="18">
        <f>IF(ISNUMBER(J165), $B172 * K165, "")</f>
        <v>-1551.7241379310344</v>
      </c>
      <c r="M165" s="31">
        <v>280</v>
      </c>
      <c r="N165" s="32">
        <f t="shared" si="89"/>
        <v>-3.4482758620689655E-2</v>
      </c>
      <c r="O165" s="18">
        <f>IF(ISNUMBER(M165), $B172 * N165, "")</f>
        <v>-5172.4137931034484</v>
      </c>
      <c r="Q165" s="156"/>
      <c r="R165" s="156"/>
      <c r="S165" s="156"/>
    </row>
    <row r="166" spans="1:19" ht="17.25" thickBot="1">
      <c r="A166" s="111" t="s">
        <v>199</v>
      </c>
      <c r="B166" s="112">
        <v>363</v>
      </c>
      <c r="C166" s="71">
        <v>2.8328611900000002E-2</v>
      </c>
      <c r="D166" s="20">
        <v>363</v>
      </c>
      <c r="E166" s="21">
        <f t="shared" si="86"/>
        <v>0</v>
      </c>
      <c r="F166" s="22">
        <f>IF(ISNUMBER(D166), $B172 * E166, "")</f>
        <v>0</v>
      </c>
      <c r="G166" s="30">
        <v>362</v>
      </c>
      <c r="H166" s="21">
        <f t="shared" si="87"/>
        <v>-2.7548209366391185E-3</v>
      </c>
      <c r="I166" s="95">
        <f>IF(ISNUMBER(G166), $B172 * H166, "")</f>
        <v>-413.22314049586777</v>
      </c>
      <c r="J166" s="20">
        <v>360</v>
      </c>
      <c r="K166" s="21">
        <f t="shared" si="88"/>
        <v>-8.2644628099173556E-3</v>
      </c>
      <c r="L166" s="22">
        <f>IF(ISNUMBER(J166), $B172 * K166, "")</f>
        <v>-1239.6694214876034</v>
      </c>
      <c r="M166" s="30">
        <v>356</v>
      </c>
      <c r="N166" s="21">
        <f t="shared" si="89"/>
        <v>-1.928374655647383E-2</v>
      </c>
      <c r="O166" s="22">
        <f>IF(ISNUMBER(M166), $B172 * N166, "")</f>
        <v>-2892.5619834710747</v>
      </c>
      <c r="Q166" s="156"/>
      <c r="R166" s="156"/>
      <c r="S166" s="156"/>
    </row>
    <row r="167" spans="1:19" ht="17.25" thickBot="1">
      <c r="A167" s="109" t="s">
        <v>101</v>
      </c>
      <c r="B167" s="113">
        <v>292</v>
      </c>
      <c r="C167" s="73">
        <v>2.8169014100000001E-2</v>
      </c>
      <c r="D167" s="96">
        <v>294</v>
      </c>
      <c r="E167" s="97">
        <f>IF(ISNUMBER(D167), (D167 - $B167) / $B167, "")</f>
        <v>6.8493150684931503E-3</v>
      </c>
      <c r="F167" s="98">
        <f>IF(ISNUMBER(D167), $B172 * E167, "")</f>
        <v>1027.3972602739725</v>
      </c>
      <c r="G167" s="99">
        <v>292</v>
      </c>
      <c r="H167" s="97">
        <f>IF(ISNUMBER(G167), (G167 - $B167) / $B167, "")</f>
        <v>0</v>
      </c>
      <c r="I167" s="100">
        <f>IF(ISNUMBER(G167), $B172 * H167, "")</f>
        <v>0</v>
      </c>
      <c r="J167" s="96">
        <v>289</v>
      </c>
      <c r="K167" s="97">
        <f>IF(ISNUMBER(J167), (J167 - $B167) / $B167, "")</f>
        <v>-1.0273972602739725E-2</v>
      </c>
      <c r="L167" s="98">
        <f>IF(ISNUMBER(J167), $B172 * K167, "")</f>
        <v>-1541.0958904109589</v>
      </c>
      <c r="M167" s="99">
        <v>284</v>
      </c>
      <c r="N167" s="97">
        <f>IF(ISNUMBER(M167), (M167 - $B167) / $B167, "")</f>
        <v>-2.7397260273972601E-2</v>
      </c>
      <c r="O167" s="98">
        <f>IF(ISNUMBER(M167), $B172 * N167, "")</f>
        <v>-4109.58904109589</v>
      </c>
      <c r="Q167" s="146"/>
      <c r="R167" s="146"/>
      <c r="S167" s="146"/>
    </row>
    <row r="168" spans="1:19" ht="17.25" thickBot="1">
      <c r="A168" s="109" t="s">
        <v>89</v>
      </c>
      <c r="B168" s="110">
        <v>500</v>
      </c>
      <c r="C168" s="70">
        <v>2.0408163300000001E-2</v>
      </c>
      <c r="D168" s="15">
        <v>493</v>
      </c>
      <c r="E168" s="32">
        <f t="shared" ref="E168:E171" si="90">IF(ISNUMBER(D168), (D168 - $B168) / $B168, "")</f>
        <v>-1.4E-2</v>
      </c>
      <c r="F168" s="18">
        <f>IF(ISNUMBER(D168), $B172 * E168, "")</f>
        <v>-2100</v>
      </c>
      <c r="G168" s="31">
        <v>489</v>
      </c>
      <c r="H168" s="32">
        <f t="shared" ref="H168:H171" si="91">IF(ISNUMBER(G168), (G168 - $B168) / $B168, "")</f>
        <v>-2.1999999999999999E-2</v>
      </c>
      <c r="I168" s="91">
        <f>IF(ISNUMBER(G168), $B172 * H168, "")</f>
        <v>-3300</v>
      </c>
      <c r="J168" s="15">
        <v>489</v>
      </c>
      <c r="K168" s="32">
        <f t="shared" ref="K168:K171" si="92">IF(ISNUMBER(J168), (J168 - $B168) / $B168, "")</f>
        <v>-2.1999999999999999E-2</v>
      </c>
      <c r="L168" s="18">
        <f>IF(ISNUMBER(J168), $B172 * K168, "")</f>
        <v>-3300</v>
      </c>
      <c r="M168" s="31">
        <v>486</v>
      </c>
      <c r="N168" s="32">
        <f t="shared" ref="N168:N171" si="93">IF(ISNUMBER(M168), (M168 - $B168) / $B168, "")</f>
        <v>-2.8000000000000001E-2</v>
      </c>
      <c r="O168" s="18">
        <f>IF(ISNUMBER(M168), $B172 * N168, "")</f>
        <v>-4200</v>
      </c>
      <c r="Q168" s="146"/>
      <c r="R168" s="146"/>
      <c r="S168" s="146"/>
    </row>
    <row r="169" spans="1:19" ht="17.25" thickBot="1">
      <c r="A169" s="109" t="s">
        <v>352</v>
      </c>
      <c r="B169" s="110">
        <v>255</v>
      </c>
      <c r="C169" s="70">
        <v>0.02</v>
      </c>
      <c r="D169" s="15">
        <v>255</v>
      </c>
      <c r="E169" s="32">
        <f t="shared" si="90"/>
        <v>0</v>
      </c>
      <c r="F169" s="18">
        <f>IF(ISNUMBER(D169), $B172 * E169, "")</f>
        <v>0</v>
      </c>
      <c r="G169" s="31">
        <v>247</v>
      </c>
      <c r="H169" s="32">
        <f t="shared" si="91"/>
        <v>-3.1372549019607843E-2</v>
      </c>
      <c r="I169" s="91">
        <f>IF(ISNUMBER(G169), $B172 * H169, "")</f>
        <v>-4705.8823529411766</v>
      </c>
      <c r="J169" s="15">
        <v>244</v>
      </c>
      <c r="K169" s="32">
        <f t="shared" si="92"/>
        <v>-4.3137254901960784E-2</v>
      </c>
      <c r="L169" s="18">
        <f>IF(ISNUMBER(J169), $B172 * K169, "")</f>
        <v>-6470.5882352941171</v>
      </c>
      <c r="M169" s="31">
        <v>244</v>
      </c>
      <c r="N169" s="32">
        <f t="shared" si="93"/>
        <v>-4.3137254901960784E-2</v>
      </c>
      <c r="O169" s="18">
        <f>IF(ISNUMBER(M169), $B172 * N169, "")</f>
        <v>-6470.5882352941171</v>
      </c>
      <c r="Q169" s="146"/>
      <c r="R169" s="146"/>
      <c r="S169" s="146"/>
    </row>
    <row r="170" spans="1:19">
      <c r="A170" s="109" t="s">
        <v>157</v>
      </c>
      <c r="B170" s="110">
        <v>460</v>
      </c>
      <c r="C170" s="70">
        <v>8.7719297999999998E-3</v>
      </c>
      <c r="D170" s="15">
        <v>457</v>
      </c>
      <c r="E170" s="32">
        <f t="shared" si="90"/>
        <v>-6.5217391304347823E-3</v>
      </c>
      <c r="F170" s="18">
        <f>IF(ISNUMBER(D170), $B172 * E170, "")</f>
        <v>-978.26086956521738</v>
      </c>
      <c r="G170" s="31">
        <v>444</v>
      </c>
      <c r="H170" s="32">
        <f t="shared" si="91"/>
        <v>-3.4782608695652174E-2</v>
      </c>
      <c r="I170" s="91">
        <f>IF(ISNUMBER(G170), $B172 * H170, "")</f>
        <v>-5217.391304347826</v>
      </c>
      <c r="J170" s="15">
        <v>447</v>
      </c>
      <c r="K170" s="32">
        <f t="shared" si="92"/>
        <v>-2.8260869565217391E-2</v>
      </c>
      <c r="L170" s="18">
        <f>IF(ISNUMBER(J170), $B172 * K170, "")</f>
        <v>-4239.130434782609</v>
      </c>
      <c r="M170" s="31">
        <v>436</v>
      </c>
      <c r="N170" s="32">
        <f t="shared" si="93"/>
        <v>-5.2173913043478258E-2</v>
      </c>
      <c r="O170" s="18">
        <f>IF(ISNUMBER(M170), $B172 * N170, "")</f>
        <v>-7826.086956521739</v>
      </c>
      <c r="Q170" s="135"/>
      <c r="R170" s="136"/>
      <c r="S170" s="137"/>
    </row>
    <row r="171" spans="1:19" ht="17.25" thickBot="1">
      <c r="A171" s="114" t="s">
        <v>225</v>
      </c>
      <c r="B171" s="115">
        <v>106</v>
      </c>
      <c r="C171" s="72">
        <v>-0.1239669421</v>
      </c>
      <c r="D171" s="24">
        <v>104</v>
      </c>
      <c r="E171" s="25">
        <f t="shared" si="90"/>
        <v>-1.8867924528301886E-2</v>
      </c>
      <c r="F171" s="94">
        <f>IF(ISNUMBER(D171), $B172 * E171, "")</f>
        <v>-2830.1886792452829</v>
      </c>
      <c r="G171" s="92">
        <v>98.9</v>
      </c>
      <c r="H171" s="25">
        <f t="shared" si="91"/>
        <v>-6.6981132075471642E-2</v>
      </c>
      <c r="I171" s="93">
        <f>IF(ISNUMBER(G171), $B172 * H171, "")</f>
        <v>-10047.169811320746</v>
      </c>
      <c r="J171" s="24">
        <v>98.6</v>
      </c>
      <c r="K171" s="25">
        <f t="shared" si="92"/>
        <v>-6.9811320754717035E-2</v>
      </c>
      <c r="L171" s="94">
        <f>IF(ISNUMBER(J171), $B172 * K171, "")</f>
        <v>-10471.698113207556</v>
      </c>
      <c r="M171" s="92">
        <v>98.3</v>
      </c>
      <c r="N171" s="25">
        <f t="shared" si="93"/>
        <v>-7.264150943396229E-2</v>
      </c>
      <c r="O171" s="94">
        <f>IF(ISNUMBER(M171), $B172 * N171, "")</f>
        <v>-10896.226415094343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-1.4834055600625802E-3</v>
      </c>
      <c r="F172" s="28">
        <f>SUM(F152:F171)</f>
        <v>-4450.2166801877411</v>
      </c>
      <c r="G172" s="26" t="s">
        <v>258</v>
      </c>
      <c r="H172" s="27">
        <f>IF(COUNT(H152:H171), SUM(H152:H171) / COUNT(H152:H171), 0)</f>
        <v>-1.0817104792139362E-2</v>
      </c>
      <c r="I172" s="28">
        <f>SUM(I152:I171)</f>
        <v>-32451.314376418086</v>
      </c>
      <c r="J172" s="26" t="s">
        <v>258</v>
      </c>
      <c r="K172" s="27">
        <f>IF(COUNT(K152:K171), SUM(K152:K171) / COUNT(K152:K171), 0)</f>
        <v>-1.1256806223665292E-2</v>
      </c>
      <c r="L172" s="28">
        <f>SUM(L152:L171)</f>
        <v>-33770.418670995874</v>
      </c>
      <c r="M172" s="26" t="s">
        <v>258</v>
      </c>
      <c r="N172" s="27">
        <f>IF(COUNT(N152:N171), SUM(N152:N171) / COUNT(N152:N171), 0)</f>
        <v>-2.2057762785009663E-2</v>
      </c>
      <c r="O172" s="28">
        <f>SUM(O152:O171)</f>
        <v>-66173.288355028984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2023-03-15(수) 오전 00:00</v>
      </c>
      <c r="C177" s="198"/>
      <c r="D177" s="170" t="str">
        <f>TEXT($G$1, "[$-ko-KR]yyyy-mm-dd(ddd) ") &amp; "오후 14:00"</f>
        <v>2023-03-15(수) 오후 14:00</v>
      </c>
      <c r="E177" s="171"/>
      <c r="F177" s="172"/>
      <c r="G177" s="170" t="str">
        <f>TEXT($G$1, "[$-ko-KR]yyyy-mm-dd(ddd) ") &amp; "오후 19:00"</f>
        <v>2023-03-15(수) 오후 19:00</v>
      </c>
      <c r="H177" s="171"/>
      <c r="I177" s="172"/>
      <c r="J177" s="170" t="str">
        <f>TEXT($G$1, "[$-ko-KR]yyyy-mm-dd(ddd) ") &amp; "오후 21:00"</f>
        <v>2023-03-15(수) 오후 21:00</v>
      </c>
      <c r="K177" s="171"/>
      <c r="L177" s="172"/>
      <c r="M177" s="170" t="str">
        <f>TEXT($G$1+1, "[$-ko-KR]yyyy-mm-dd(ddd) ") &amp; "오전 00:00"</f>
        <v>2023-03-16(목)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332</v>
      </c>
      <c r="B179" s="108">
        <v>8.52</v>
      </c>
      <c r="C179" s="69">
        <v>3.1476997600000001E-2</v>
      </c>
      <c r="D179" s="13">
        <v>9.1300000000000008</v>
      </c>
      <c r="E179" s="14">
        <f>IF(ISNUMBER(D179), (D179 - $B179) / $B179, "")</f>
        <v>7.1596244131455544E-2</v>
      </c>
      <c r="F179" s="16">
        <f>IF(ISNUMBER(D179), $B199 * E179, "")</f>
        <v>10739.436619718332</v>
      </c>
      <c r="G179" s="29">
        <v>10</v>
      </c>
      <c r="H179" s="14">
        <f>IF(ISNUMBER(G179), (G179 - $B179) / $B179, "")</f>
        <v>0.17370892018779349</v>
      </c>
      <c r="I179" s="90">
        <f>IF(ISNUMBER(G179), $B199 * H179, "")</f>
        <v>26056.338028169022</v>
      </c>
      <c r="J179" s="13">
        <v>9.65</v>
      </c>
      <c r="K179" s="14">
        <f>IF(ISNUMBER(J179), (J179 - $B179) / $B179, "")</f>
        <v>0.13262910798122077</v>
      </c>
      <c r="L179" s="16">
        <f>IF(ISNUMBER(J179), $B199 * K179, "")</f>
        <v>19894.366197183113</v>
      </c>
      <c r="M179" s="29">
        <v>9.66</v>
      </c>
      <c r="N179" s="14">
        <f>IF(ISNUMBER(M179), (M179 - $B179) / $B179, "")</f>
        <v>0.13380281690140852</v>
      </c>
      <c r="O179" s="16">
        <f>IF(ISNUMBER(M179), $B199 * N179, "")</f>
        <v>20070.422535211277</v>
      </c>
      <c r="Q179" s="156"/>
      <c r="R179" s="156"/>
      <c r="S179" s="156"/>
    </row>
    <row r="180" spans="1:19" ht="17.25" thickBot="1">
      <c r="A180" s="109" t="s">
        <v>181</v>
      </c>
      <c r="B180" s="110">
        <v>5.59</v>
      </c>
      <c r="C180" s="70">
        <v>3.1365313700000001E-2</v>
      </c>
      <c r="D180" s="15">
        <v>5.6</v>
      </c>
      <c r="E180" s="32">
        <f t="shared" ref="E180:E183" si="94">IF(ISNUMBER(D180), (D180 - $B180) / $B180, "")</f>
        <v>1.7889087656529135E-3</v>
      </c>
      <c r="F180" s="18">
        <f>IF(ISNUMBER(D180), $B199 * E180, "")</f>
        <v>268.33631484793705</v>
      </c>
      <c r="G180" s="31">
        <v>5.66</v>
      </c>
      <c r="H180" s="32">
        <f t="shared" ref="H180:H183" si="95">IF(ISNUMBER(G180), (G180 - $B180) / $B180, "")</f>
        <v>1.2522361359570713E-2</v>
      </c>
      <c r="I180" s="91">
        <f>IF(ISNUMBER(G180), $B199 * H180, "")</f>
        <v>1878.3542039356068</v>
      </c>
      <c r="J180" s="15">
        <v>5.55</v>
      </c>
      <c r="K180" s="32">
        <f t="shared" ref="K180:K183" si="96">IF(ISNUMBER(J180), (J180 - $B180) / $B180, "")</f>
        <v>-7.1556350626118129E-3</v>
      </c>
      <c r="L180" s="18">
        <f>IF(ISNUMBER(J180), $B199 * K180, "")</f>
        <v>-1073.3452593917718</v>
      </c>
      <c r="M180" s="31">
        <v>5.48</v>
      </c>
      <c r="N180" s="32">
        <f t="shared" ref="N180:N183" si="97">IF(ISNUMBER(M180), (M180 - $B180) / $B180, "")</f>
        <v>-1.9677996422182369E-2</v>
      </c>
      <c r="O180" s="18">
        <f>IF(ISNUMBER(M180), $B199 * N180, "")</f>
        <v>-2951.6994633273553</v>
      </c>
      <c r="Q180" s="156"/>
      <c r="R180" s="156"/>
      <c r="S180" s="156"/>
    </row>
    <row r="181" spans="1:19" ht="17.25" thickBot="1">
      <c r="A181" s="109" t="s">
        <v>174</v>
      </c>
      <c r="B181" s="110">
        <v>18140</v>
      </c>
      <c r="C181" s="70">
        <v>3.12677658E-2</v>
      </c>
      <c r="D181" s="15">
        <v>17970</v>
      </c>
      <c r="E181" s="32">
        <f t="shared" si="94"/>
        <v>-9.371554575523704E-3</v>
      </c>
      <c r="F181" s="18">
        <f>IF(ISNUMBER(D181), $B199 * E181, "")</f>
        <v>-1405.7331863285556</v>
      </c>
      <c r="G181" s="31">
        <v>18140</v>
      </c>
      <c r="H181" s="32">
        <f t="shared" si="95"/>
        <v>0</v>
      </c>
      <c r="I181" s="91">
        <f>IF(ISNUMBER(G181), $B199 * H181, "")</f>
        <v>0</v>
      </c>
      <c r="J181" s="15">
        <v>18090</v>
      </c>
      <c r="K181" s="32">
        <f t="shared" si="96"/>
        <v>-2.7563395810363835E-3</v>
      </c>
      <c r="L181" s="18">
        <f>IF(ISNUMBER(J181), $B199 * K181, "")</f>
        <v>-413.45093715545755</v>
      </c>
      <c r="M181" s="31">
        <v>17970</v>
      </c>
      <c r="N181" s="32">
        <f t="shared" si="97"/>
        <v>-9.371554575523704E-3</v>
      </c>
      <c r="O181" s="18">
        <f>IF(ISNUMBER(M181), $B199 * N181, "")</f>
        <v>-1405.7331863285556</v>
      </c>
      <c r="Q181" s="146"/>
      <c r="R181" s="146"/>
      <c r="S181" s="146"/>
    </row>
    <row r="182" spans="1:19" ht="17.25" thickBot="1">
      <c r="A182" s="109" t="s">
        <v>87</v>
      </c>
      <c r="B182" s="110">
        <v>48750</v>
      </c>
      <c r="C182" s="70">
        <v>3.0219780200000001E-2</v>
      </c>
      <c r="D182" s="15">
        <v>48530</v>
      </c>
      <c r="E182" s="32">
        <f t="shared" si="94"/>
        <v>-4.5128205128205125E-3</v>
      </c>
      <c r="F182" s="18">
        <f>IF(ISNUMBER(D182), $B199 * E182, "")</f>
        <v>-676.92307692307691</v>
      </c>
      <c r="G182" s="31">
        <v>48210</v>
      </c>
      <c r="H182" s="32">
        <f t="shared" si="95"/>
        <v>-1.1076923076923076E-2</v>
      </c>
      <c r="I182" s="91">
        <f>IF(ISNUMBER(G182), $B199 * H182, "")</f>
        <v>-1661.5384615384614</v>
      </c>
      <c r="J182" s="15">
        <v>48050</v>
      </c>
      <c r="K182" s="32">
        <f t="shared" si="96"/>
        <v>-1.4358974358974359E-2</v>
      </c>
      <c r="L182" s="18">
        <f>IF(ISNUMBER(J182), $B199 * K182, "")</f>
        <v>-2153.8461538461538</v>
      </c>
      <c r="M182" s="31">
        <v>47700</v>
      </c>
      <c r="N182" s="32">
        <f t="shared" si="97"/>
        <v>-2.1538461538461538E-2</v>
      </c>
      <c r="O182" s="18">
        <f>IF(ISNUMBER(M182), $B199 * N182, "")</f>
        <v>-3230.7692307692305</v>
      </c>
      <c r="Q182" s="146"/>
      <c r="R182" s="146"/>
      <c r="S182" s="146"/>
    </row>
    <row r="183" spans="1:19" ht="17.25" thickBot="1">
      <c r="A183" s="111" t="s">
        <v>136</v>
      </c>
      <c r="B183" s="112">
        <v>4275</v>
      </c>
      <c r="C183" s="71">
        <v>3.0120481899999999E-2</v>
      </c>
      <c r="D183" s="20">
        <v>4310</v>
      </c>
      <c r="E183" s="21">
        <f t="shared" si="94"/>
        <v>8.1871345029239772E-3</v>
      </c>
      <c r="F183" s="22">
        <f>IF(ISNUMBER(D183), $B199 * E183, "")</f>
        <v>1228.0701754385966</v>
      </c>
      <c r="G183" s="30">
        <v>4275</v>
      </c>
      <c r="H183" s="21">
        <f t="shared" si="95"/>
        <v>0</v>
      </c>
      <c r="I183" s="95">
        <f>IF(ISNUMBER(G183), $B199 * H183, "")</f>
        <v>0</v>
      </c>
      <c r="J183" s="20">
        <v>4235</v>
      </c>
      <c r="K183" s="21">
        <f t="shared" si="96"/>
        <v>-9.3567251461988306E-3</v>
      </c>
      <c r="L183" s="22">
        <f>IF(ISNUMBER(J183), $B199 * K183, "")</f>
        <v>-1403.5087719298247</v>
      </c>
      <c r="M183" s="30">
        <v>4205</v>
      </c>
      <c r="N183" s="21">
        <f t="shared" si="97"/>
        <v>-1.6374269005847954E-2</v>
      </c>
      <c r="O183" s="22">
        <f>IF(ISNUMBER(M183), $B199 * N183, "")</f>
        <v>-2456.1403508771932</v>
      </c>
      <c r="Q183" s="146"/>
      <c r="R183" s="146"/>
      <c r="S183" s="146"/>
    </row>
    <row r="184" spans="1:19" ht="17.25" thickBot="1">
      <c r="A184" s="109" t="s">
        <v>320</v>
      </c>
      <c r="B184" s="113">
        <v>6.22</v>
      </c>
      <c r="C184" s="73">
        <v>2.98013245E-2</v>
      </c>
      <c r="D184" s="96">
        <v>6.25</v>
      </c>
      <c r="E184" s="97">
        <f>IF(ISNUMBER(D184), (D184 - $B184) / $B184, "")</f>
        <v>4.8231511254019695E-3</v>
      </c>
      <c r="F184" s="98">
        <f>IF(ISNUMBER(D184), $B199 * E184, "")</f>
        <v>723.47266881029543</v>
      </c>
      <c r="G184" s="99">
        <v>6.27</v>
      </c>
      <c r="H184" s="97">
        <f>IF(ISNUMBER(G184), (G184 - $B184) / $B184, "")</f>
        <v>8.0385852090031872E-3</v>
      </c>
      <c r="I184" s="100">
        <f>IF(ISNUMBER(G184), $B199 * H184, "")</f>
        <v>1205.7877813504781</v>
      </c>
      <c r="J184" s="96">
        <v>6.16</v>
      </c>
      <c r="K184" s="97">
        <f>IF(ISNUMBER(J184), (J184 - $B184) / $B184, "")</f>
        <v>-9.6463022508037968E-3</v>
      </c>
      <c r="L184" s="98">
        <f>IF(ISNUMBER(J184), $B199 * K184, "")</f>
        <v>-1446.9453376205695</v>
      </c>
      <c r="M184" s="99">
        <v>6.13</v>
      </c>
      <c r="N184" s="97">
        <f>IF(ISNUMBER(M184), (M184 - $B184) / $B184, "")</f>
        <v>-1.4469453376205766E-2</v>
      </c>
      <c r="O184" s="98">
        <f>IF(ISNUMBER(M184), $B199 * N184, "")</f>
        <v>-2170.4180064308648</v>
      </c>
      <c r="Q184" s="146"/>
      <c r="R184" s="146"/>
      <c r="S184" s="146"/>
    </row>
    <row r="185" spans="1:19" ht="17.25" thickBot="1">
      <c r="A185" s="109" t="s">
        <v>205</v>
      </c>
      <c r="B185" s="110">
        <v>142</v>
      </c>
      <c r="C185" s="70">
        <v>2.89855072E-2</v>
      </c>
      <c r="D185" s="15">
        <v>141</v>
      </c>
      <c r="E185" s="32">
        <f t="shared" ref="E185:E188" si="98">IF(ISNUMBER(D185), (D185 - $B185) / $B185, "")</f>
        <v>-7.0422535211267607E-3</v>
      </c>
      <c r="F185" s="18">
        <f>IF(ISNUMBER(D185), $B199 * E185, "")</f>
        <v>-1056.338028169014</v>
      </c>
      <c r="G185" s="31">
        <v>140</v>
      </c>
      <c r="H185" s="32">
        <f t="shared" ref="H185:H188" si="99">IF(ISNUMBER(G185), (G185 - $B185) / $B185, "")</f>
        <v>-1.4084507042253521E-2</v>
      </c>
      <c r="I185" s="91">
        <f>IF(ISNUMBER(G185), $B199 * H185, "")</f>
        <v>-2112.676056338028</v>
      </c>
      <c r="J185" s="15">
        <v>140</v>
      </c>
      <c r="K185" s="32">
        <f t="shared" ref="K185:K188" si="100">IF(ISNUMBER(J185), (J185 - $B185) / $B185, "")</f>
        <v>-1.4084507042253521E-2</v>
      </c>
      <c r="L185" s="18">
        <f>IF(ISNUMBER(J185), $B199 * K185, "")</f>
        <v>-2112.676056338028</v>
      </c>
      <c r="M185" s="31">
        <v>139</v>
      </c>
      <c r="N185" s="32">
        <f t="shared" ref="N185:N188" si="101">IF(ISNUMBER(M185), (M185 - $B185) / $B185, "")</f>
        <v>-2.1126760563380281E-2</v>
      </c>
      <c r="O185" s="18">
        <f>IF(ISNUMBER(M185), $B199 * N185, "")</f>
        <v>-3169.0140845070423</v>
      </c>
      <c r="Q185" s="146"/>
      <c r="R185" s="146"/>
      <c r="S185" s="146"/>
    </row>
    <row r="186" spans="1:19" ht="17.25" thickBot="1">
      <c r="A186" s="109" t="s">
        <v>322</v>
      </c>
      <c r="B186" s="110">
        <v>1615</v>
      </c>
      <c r="C186" s="70">
        <v>2.8662420399999999E-2</v>
      </c>
      <c r="D186" s="15">
        <v>1585</v>
      </c>
      <c r="E186" s="32">
        <f t="shared" si="98"/>
        <v>-1.8575851393188854E-2</v>
      </c>
      <c r="F186" s="18">
        <f>IF(ISNUMBER(D186), $B199 * E186, "")</f>
        <v>-2786.377708978328</v>
      </c>
      <c r="G186" s="31">
        <v>1585</v>
      </c>
      <c r="H186" s="32">
        <f t="shared" si="99"/>
        <v>-1.8575851393188854E-2</v>
      </c>
      <c r="I186" s="91">
        <f>IF(ISNUMBER(G186), $B199 * H186, "")</f>
        <v>-2786.377708978328</v>
      </c>
      <c r="J186" s="15">
        <v>1570</v>
      </c>
      <c r="K186" s="32">
        <f t="shared" si="100"/>
        <v>-2.7863777089783281E-2</v>
      </c>
      <c r="L186" s="18">
        <f>IF(ISNUMBER(J186), $B199 * K186, "")</f>
        <v>-4179.5665634674924</v>
      </c>
      <c r="M186" s="31">
        <v>1535</v>
      </c>
      <c r="N186" s="32">
        <f t="shared" si="101"/>
        <v>-4.9535603715170282E-2</v>
      </c>
      <c r="O186" s="18">
        <f>IF(ISNUMBER(M186), $B199 * N186, "")</f>
        <v>-7430.3405572755419</v>
      </c>
      <c r="Q186" s="146"/>
      <c r="R186" s="146"/>
      <c r="S186" s="146"/>
    </row>
    <row r="187" spans="1:19" ht="17.25" thickBot="1">
      <c r="A187" s="109" t="s">
        <v>185</v>
      </c>
      <c r="B187" s="110">
        <v>43.3</v>
      </c>
      <c r="C187" s="70">
        <v>2.8503562900000001E-2</v>
      </c>
      <c r="D187" s="15">
        <v>43.9</v>
      </c>
      <c r="E187" s="32">
        <f t="shared" si="98"/>
        <v>1.3856812933025438E-2</v>
      </c>
      <c r="F187" s="18">
        <f>IF(ISNUMBER(D187), $B199 * E187, "")</f>
        <v>2078.5219399538155</v>
      </c>
      <c r="G187" s="31">
        <v>43.4</v>
      </c>
      <c r="H187" s="32">
        <f t="shared" si="99"/>
        <v>2.3094688221709336E-3</v>
      </c>
      <c r="I187" s="91">
        <f>IF(ISNUMBER(G187), $B199 * H187, "")</f>
        <v>346.42032332564003</v>
      </c>
      <c r="J187" s="15">
        <v>43</v>
      </c>
      <c r="K187" s="32">
        <f t="shared" si="100"/>
        <v>-6.9284064665126365E-3</v>
      </c>
      <c r="L187" s="18">
        <f>IF(ISNUMBER(J187), $B199 * K187, "")</f>
        <v>-1039.2609699768955</v>
      </c>
      <c r="M187" s="31">
        <v>42.8</v>
      </c>
      <c r="N187" s="32">
        <f t="shared" si="101"/>
        <v>-1.1547344110854504E-2</v>
      </c>
      <c r="O187" s="18">
        <f>IF(ISNUMBER(M187), $B199 * N187, "")</f>
        <v>-1732.1016166281756</v>
      </c>
      <c r="Q187" s="33"/>
      <c r="R187" s="33"/>
    </row>
    <row r="188" spans="1:19" ht="17.25" thickBot="1">
      <c r="A188" s="114" t="s">
        <v>169</v>
      </c>
      <c r="B188" s="115">
        <v>290</v>
      </c>
      <c r="C188" s="72">
        <v>2.83687943E-2</v>
      </c>
      <c r="D188" s="24">
        <v>289</v>
      </c>
      <c r="E188" s="25">
        <f t="shared" si="98"/>
        <v>-3.4482758620689655E-3</v>
      </c>
      <c r="F188" s="94">
        <f>IF(ISNUMBER(D188), $B199 * E188, "")</f>
        <v>-517.24137931034477</v>
      </c>
      <c r="G188" s="92">
        <v>287</v>
      </c>
      <c r="H188" s="25">
        <f t="shared" si="99"/>
        <v>-1.0344827586206896E-2</v>
      </c>
      <c r="I188" s="93">
        <f>IF(ISNUMBER(G188), $B199 * H188, "")</f>
        <v>-1551.7241379310344</v>
      </c>
      <c r="J188" s="24">
        <v>287</v>
      </c>
      <c r="K188" s="25">
        <f t="shared" si="100"/>
        <v>-1.0344827586206896E-2</v>
      </c>
      <c r="L188" s="94">
        <f>IF(ISNUMBER(J188), $B199 * K188, "")</f>
        <v>-1551.7241379310344</v>
      </c>
      <c r="M188" s="92">
        <v>280</v>
      </c>
      <c r="N188" s="25">
        <f t="shared" si="101"/>
        <v>-3.4482758620689655E-2</v>
      </c>
      <c r="O188" s="94">
        <f>IF(ISNUMBER(M188), $B199 * N188, "")</f>
        <v>-5172.4137931034484</v>
      </c>
      <c r="Q188" s="147"/>
      <c r="R188" s="148"/>
      <c r="S188" s="149"/>
    </row>
    <row r="189" spans="1:19">
      <c r="A189" s="107" t="s">
        <v>199</v>
      </c>
      <c r="B189" s="108">
        <v>363</v>
      </c>
      <c r="C189" s="69">
        <v>2.8328611900000002E-2</v>
      </c>
      <c r="D189" s="13">
        <v>363</v>
      </c>
      <c r="E189" s="14">
        <f>IF(ISNUMBER(D189), (D189 - $B189) / $B189, "")</f>
        <v>0</v>
      </c>
      <c r="F189" s="16">
        <f>IF(ISNUMBER(D189), $B199 * E189, "")</f>
        <v>0</v>
      </c>
      <c r="G189" s="29">
        <v>362</v>
      </c>
      <c r="H189" s="14">
        <f>IF(ISNUMBER(G189), (G189 - $B189) / $B189, "")</f>
        <v>-2.7548209366391185E-3</v>
      </c>
      <c r="I189" s="90">
        <f>IF(ISNUMBER(G189), $B199 * H189, "")</f>
        <v>-413.22314049586777</v>
      </c>
      <c r="J189" s="13">
        <v>360</v>
      </c>
      <c r="K189" s="14">
        <f>IF(ISNUMBER(J189), (J189 - $B189) / $B189, "")</f>
        <v>-8.2644628099173556E-3</v>
      </c>
      <c r="L189" s="16">
        <f>IF(ISNUMBER(J189), $B199 * K189, "")</f>
        <v>-1239.6694214876034</v>
      </c>
      <c r="M189" s="29">
        <v>356</v>
      </c>
      <c r="N189" s="14">
        <f>IF(ISNUMBER(M189), (M189 - $B189) / $B189, "")</f>
        <v>-1.928374655647383E-2</v>
      </c>
      <c r="O189" s="16">
        <f>IF(ISNUMBER(M189), $B199 * N189, "")</f>
        <v>-2892.5619834710747</v>
      </c>
      <c r="Q189" s="150"/>
      <c r="R189" s="151"/>
      <c r="S189" s="152"/>
    </row>
    <row r="190" spans="1:19" ht="17.25" thickBot="1">
      <c r="A190" s="109" t="s">
        <v>101</v>
      </c>
      <c r="B190" s="110">
        <v>292</v>
      </c>
      <c r="C190" s="70">
        <v>2.8169014100000001E-2</v>
      </c>
      <c r="D190" s="15">
        <v>294</v>
      </c>
      <c r="E190" s="32">
        <f t="shared" ref="E190:E193" si="102">IF(ISNUMBER(D190), (D190 - $B190) / $B190, "")</f>
        <v>6.8493150684931503E-3</v>
      </c>
      <c r="F190" s="18">
        <f>IF(ISNUMBER(D190), $B199 * E190, "")</f>
        <v>1027.3972602739725</v>
      </c>
      <c r="G190" s="31">
        <v>292</v>
      </c>
      <c r="H190" s="32">
        <f t="shared" ref="H190:H193" si="103">IF(ISNUMBER(G190), (G190 - $B190) / $B190, "")</f>
        <v>0</v>
      </c>
      <c r="I190" s="91">
        <f>IF(ISNUMBER(G190), $B199 * H190, "")</f>
        <v>0</v>
      </c>
      <c r="J190" s="15">
        <v>289</v>
      </c>
      <c r="K190" s="32">
        <f t="shared" ref="K190:K193" si="104">IF(ISNUMBER(J190), (J190 - $B190) / $B190, "")</f>
        <v>-1.0273972602739725E-2</v>
      </c>
      <c r="L190" s="18">
        <f>IF(ISNUMBER(J190), $B199 * K190, "")</f>
        <v>-1541.0958904109589</v>
      </c>
      <c r="M190" s="31">
        <v>284</v>
      </c>
      <c r="N190" s="32">
        <f t="shared" ref="N190:N193" si="105">IF(ISNUMBER(M190), (M190 - $B190) / $B190, "")</f>
        <v>-2.7397260273972601E-2</v>
      </c>
      <c r="O190" s="18">
        <f>IF(ISNUMBER(M190), $B199 * N190, "")</f>
        <v>-4109.58904109589</v>
      </c>
      <c r="Q190" s="153"/>
      <c r="R190" s="154"/>
      <c r="S190" s="155"/>
    </row>
    <row r="191" spans="1:19" ht="17.25" thickBot="1">
      <c r="A191" s="109" t="s">
        <v>143</v>
      </c>
      <c r="B191" s="110">
        <v>6.42</v>
      </c>
      <c r="C191" s="70">
        <v>2.7199999999999998E-2</v>
      </c>
      <c r="D191" s="15">
        <v>6.62</v>
      </c>
      <c r="E191" s="32">
        <f t="shared" si="102"/>
        <v>3.1152647975077909E-2</v>
      </c>
      <c r="F191" s="18">
        <f>IF(ISNUMBER(D191), $B199 * E191, "")</f>
        <v>4672.8971962616861</v>
      </c>
      <c r="G191" s="31">
        <v>6.53</v>
      </c>
      <c r="H191" s="32">
        <f t="shared" si="103"/>
        <v>1.7133956386292885E-2</v>
      </c>
      <c r="I191" s="91">
        <f>IF(ISNUMBER(G191), $B199 * H191, "")</f>
        <v>2570.0934579439327</v>
      </c>
      <c r="J191" s="15">
        <v>6.4</v>
      </c>
      <c r="K191" s="32">
        <f t="shared" si="104"/>
        <v>-3.1152647975077217E-3</v>
      </c>
      <c r="L191" s="18">
        <f>IF(ISNUMBER(J191), $B199 * K191, "")</f>
        <v>-467.28971962615827</v>
      </c>
      <c r="M191" s="31">
        <v>6.28</v>
      </c>
      <c r="N191" s="32">
        <f t="shared" si="105"/>
        <v>-2.1806853582554468E-2</v>
      </c>
      <c r="O191" s="18">
        <f>IF(ISNUMBER(M191), $B199 * N191, "")</f>
        <v>-3271.0280373831702</v>
      </c>
      <c r="Q191" s="146"/>
      <c r="R191" s="146"/>
      <c r="S191" s="146"/>
    </row>
    <row r="192" spans="1:19" ht="17.25" thickBot="1">
      <c r="A192" s="109" t="s">
        <v>197</v>
      </c>
      <c r="B192" s="110">
        <v>12.4</v>
      </c>
      <c r="C192" s="70">
        <v>2.4793388400000001E-2</v>
      </c>
      <c r="D192" s="15">
        <v>12.8</v>
      </c>
      <c r="E192" s="32">
        <f t="shared" si="102"/>
        <v>3.2258064516129059E-2</v>
      </c>
      <c r="F192" s="18">
        <f>IF(ISNUMBER(D192), $B199 * E192, "")</f>
        <v>4838.7096774193587</v>
      </c>
      <c r="G192" s="31">
        <v>12.8</v>
      </c>
      <c r="H192" s="32">
        <f t="shared" si="103"/>
        <v>3.2258064516129059E-2</v>
      </c>
      <c r="I192" s="91">
        <f>IF(ISNUMBER(G192), $B199 * H192, "")</f>
        <v>4838.7096774193587</v>
      </c>
      <c r="J192" s="15">
        <v>12.9</v>
      </c>
      <c r="K192" s="32">
        <f t="shared" si="104"/>
        <v>4.0322580645161289E-2</v>
      </c>
      <c r="L192" s="18">
        <f>IF(ISNUMBER(J192), $B199 * K192, "")</f>
        <v>6048.3870967741932</v>
      </c>
      <c r="M192" s="31">
        <v>12.6</v>
      </c>
      <c r="N192" s="32">
        <f t="shared" si="105"/>
        <v>1.6129032258064457E-2</v>
      </c>
      <c r="O192" s="18">
        <f>IF(ISNUMBER(M192), $B199 * N192, "")</f>
        <v>2419.3548387096685</v>
      </c>
      <c r="Q192" s="156"/>
      <c r="R192" s="156"/>
      <c r="S192" s="156"/>
    </row>
    <row r="193" spans="1:19" ht="17.25" thickBot="1">
      <c r="A193" s="111" t="s">
        <v>89</v>
      </c>
      <c r="B193" s="112">
        <v>500</v>
      </c>
      <c r="C193" s="71">
        <v>2.0408163300000001E-2</v>
      </c>
      <c r="D193" s="20">
        <v>493</v>
      </c>
      <c r="E193" s="21">
        <f t="shared" si="102"/>
        <v>-1.4E-2</v>
      </c>
      <c r="F193" s="22">
        <f>IF(ISNUMBER(D193), $B199 * E193, "")</f>
        <v>-2100</v>
      </c>
      <c r="G193" s="30">
        <v>489</v>
      </c>
      <c r="H193" s="21">
        <f t="shared" si="103"/>
        <v>-2.1999999999999999E-2</v>
      </c>
      <c r="I193" s="95">
        <f>IF(ISNUMBER(G193), $B199 * H193, "")</f>
        <v>-3300</v>
      </c>
      <c r="J193" s="20">
        <v>489</v>
      </c>
      <c r="K193" s="21">
        <f t="shared" si="104"/>
        <v>-2.1999999999999999E-2</v>
      </c>
      <c r="L193" s="22">
        <f>IF(ISNUMBER(J193), $B199 * K193, "")</f>
        <v>-3300</v>
      </c>
      <c r="M193" s="30">
        <v>486</v>
      </c>
      <c r="N193" s="21">
        <f t="shared" si="105"/>
        <v>-2.8000000000000001E-2</v>
      </c>
      <c r="O193" s="22">
        <f>IF(ISNUMBER(M193), $B199 * N193, "")</f>
        <v>-4200</v>
      </c>
      <c r="Q193" s="156"/>
      <c r="R193" s="156"/>
      <c r="S193" s="156"/>
    </row>
    <row r="194" spans="1:19" ht="17.25" thickBot="1">
      <c r="A194" s="109" t="s">
        <v>352</v>
      </c>
      <c r="B194" s="113">
        <v>255</v>
      </c>
      <c r="C194" s="73">
        <v>0.02</v>
      </c>
      <c r="D194" s="96">
        <v>255</v>
      </c>
      <c r="E194" s="97">
        <f>IF(ISNUMBER(D194), (D194 - $B194) / $B194, "")</f>
        <v>0</v>
      </c>
      <c r="F194" s="98">
        <f>IF(ISNUMBER(D194), $B199 * E194, "")</f>
        <v>0</v>
      </c>
      <c r="G194" s="99">
        <v>247</v>
      </c>
      <c r="H194" s="97">
        <f>IF(ISNUMBER(G194), (G194 - $B194) / $B194, "")</f>
        <v>-3.1372549019607843E-2</v>
      </c>
      <c r="I194" s="100">
        <f>IF(ISNUMBER(G194), $B199 * H194, "")</f>
        <v>-4705.8823529411766</v>
      </c>
      <c r="J194" s="96">
        <v>244</v>
      </c>
      <c r="K194" s="97">
        <f>IF(ISNUMBER(J194), (J194 - $B194) / $B194, "")</f>
        <v>-4.3137254901960784E-2</v>
      </c>
      <c r="L194" s="98">
        <f>IF(ISNUMBER(J194), $B199 * K194, "")</f>
        <v>-6470.5882352941171</v>
      </c>
      <c r="M194" s="99">
        <v>244</v>
      </c>
      <c r="N194" s="97">
        <f>IF(ISNUMBER(M194), (M194 - $B194) / $B194, "")</f>
        <v>-4.3137254901960784E-2</v>
      </c>
      <c r="O194" s="98">
        <f>IF(ISNUMBER(M194), $B199 * N194, "")</f>
        <v>-6470.5882352941171</v>
      </c>
      <c r="Q194" s="146"/>
      <c r="R194" s="146"/>
      <c r="S194" s="146"/>
    </row>
    <row r="195" spans="1:19" ht="17.25" thickBot="1">
      <c r="A195" s="109" t="s">
        <v>145</v>
      </c>
      <c r="B195" s="110">
        <v>89.4</v>
      </c>
      <c r="C195" s="70">
        <v>1.36054422E-2</v>
      </c>
      <c r="D195" s="15">
        <v>88.1</v>
      </c>
      <c r="E195" s="32">
        <f t="shared" ref="E195:E198" si="106">IF(ISNUMBER(D195), (D195 - $B195) / $B195, "")</f>
        <v>-1.4541387024608627E-2</v>
      </c>
      <c r="F195" s="18">
        <f>IF(ISNUMBER(D195), $B199 * E195, "")</f>
        <v>-2181.208053691294</v>
      </c>
      <c r="G195" s="31">
        <v>87.9</v>
      </c>
      <c r="H195" s="32">
        <f t="shared" ref="H195:H198" si="107">IF(ISNUMBER(G195), (G195 - $B195) / $B195, "")</f>
        <v>-1.6778523489932886E-2</v>
      </c>
      <c r="I195" s="91">
        <f>IF(ISNUMBER(G195), $B199 * H195, "")</f>
        <v>-2516.7785234899329</v>
      </c>
      <c r="J195" s="15">
        <v>87.9</v>
      </c>
      <c r="K195" s="32">
        <f t="shared" ref="K195:K198" si="108">IF(ISNUMBER(J195), (J195 - $B195) / $B195, "")</f>
        <v>-1.6778523489932886E-2</v>
      </c>
      <c r="L195" s="18">
        <f>IF(ISNUMBER(J195), $B199 * K195, "")</f>
        <v>-2516.7785234899329</v>
      </c>
      <c r="M195" s="31">
        <v>87.7</v>
      </c>
      <c r="N195" s="32">
        <f t="shared" ref="N195:N198" si="109">IF(ISNUMBER(M195), (M195 - $B195) / $B195, "")</f>
        <v>-1.9015659955257301E-2</v>
      </c>
      <c r="O195" s="18">
        <f>IF(ISNUMBER(M195), $B199 * N195, "")</f>
        <v>-2852.348993288595</v>
      </c>
      <c r="Q195" s="146"/>
      <c r="R195" s="146"/>
      <c r="S195" s="146"/>
    </row>
    <row r="196" spans="1:19" ht="17.25" thickBot="1">
      <c r="A196" s="109" t="s">
        <v>157</v>
      </c>
      <c r="B196" s="110">
        <v>460</v>
      </c>
      <c r="C196" s="70">
        <v>8.7719297999999998E-3</v>
      </c>
      <c r="D196" s="15">
        <v>457</v>
      </c>
      <c r="E196" s="32">
        <f t="shared" si="106"/>
        <v>-6.5217391304347823E-3</v>
      </c>
      <c r="F196" s="18">
        <f>IF(ISNUMBER(D196), $B199 * E196, "")</f>
        <v>-978.26086956521738</v>
      </c>
      <c r="G196" s="31">
        <v>444</v>
      </c>
      <c r="H196" s="32">
        <f t="shared" si="107"/>
        <v>-3.4782608695652174E-2</v>
      </c>
      <c r="I196" s="91">
        <f>IF(ISNUMBER(G196), $B199 * H196, "")</f>
        <v>-5217.391304347826</v>
      </c>
      <c r="J196" s="15">
        <v>447</v>
      </c>
      <c r="K196" s="32">
        <f t="shared" si="108"/>
        <v>-2.8260869565217391E-2</v>
      </c>
      <c r="L196" s="18">
        <f>IF(ISNUMBER(J196), $B199 * K196, "")</f>
        <v>-4239.130434782609</v>
      </c>
      <c r="M196" s="31">
        <v>436</v>
      </c>
      <c r="N196" s="32">
        <f t="shared" si="109"/>
        <v>-5.2173913043478258E-2</v>
      </c>
      <c r="O196" s="18">
        <f>IF(ISNUMBER(M196), $B199 * N196, "")</f>
        <v>-7826.086956521739</v>
      </c>
      <c r="Q196" s="146"/>
      <c r="R196" s="146"/>
      <c r="S196" s="146"/>
    </row>
    <row r="197" spans="1:19">
      <c r="A197" s="109" t="s">
        <v>97</v>
      </c>
      <c r="B197" s="110">
        <v>8.9999999999999998E-4</v>
      </c>
      <c r="C197" s="70">
        <v>0</v>
      </c>
      <c r="D197" s="15">
        <v>8.9999999999999998E-4</v>
      </c>
      <c r="E197" s="32">
        <f t="shared" si="106"/>
        <v>0</v>
      </c>
      <c r="F197" s="18">
        <f>IF(ISNUMBER(D197), $B199 * E197, "")</f>
        <v>0</v>
      </c>
      <c r="G197" s="31">
        <v>8.0000000000000004E-4</v>
      </c>
      <c r="H197" s="32">
        <f t="shared" si="107"/>
        <v>-0.11111111111111105</v>
      </c>
      <c r="I197" s="91">
        <f>IF(ISNUMBER(G197), $B199 * H197, "")</f>
        <v>-16666.666666666657</v>
      </c>
      <c r="J197" s="15">
        <v>8.9999999999999998E-4</v>
      </c>
      <c r="K197" s="32">
        <f t="shared" si="108"/>
        <v>0</v>
      </c>
      <c r="L197" s="18">
        <f>IF(ISNUMBER(J197), $B199 * K197, "")</f>
        <v>0</v>
      </c>
      <c r="M197" s="31">
        <v>8.9999999999999998E-4</v>
      </c>
      <c r="N197" s="32">
        <f t="shared" si="109"/>
        <v>0</v>
      </c>
      <c r="O197" s="18">
        <f>IF(ISNUMBER(M197), $B199 * N197, "")</f>
        <v>0</v>
      </c>
      <c r="Q197" s="135"/>
      <c r="R197" s="136"/>
      <c r="S197" s="137"/>
    </row>
    <row r="198" spans="1:19" ht="17.25" thickBot="1">
      <c r="A198" s="114" t="s">
        <v>225</v>
      </c>
      <c r="B198" s="115">
        <v>106</v>
      </c>
      <c r="C198" s="72">
        <v>-0.1239669421</v>
      </c>
      <c r="D198" s="24">
        <v>104</v>
      </c>
      <c r="E198" s="25">
        <f t="shared" si="106"/>
        <v>-1.8867924528301886E-2</v>
      </c>
      <c r="F198" s="94">
        <f>IF(ISNUMBER(D198), $B199 * E198, "")</f>
        <v>-2830.1886792452829</v>
      </c>
      <c r="G198" s="92">
        <v>98.9</v>
      </c>
      <c r="H198" s="25">
        <f t="shared" si="107"/>
        <v>-6.6981132075471642E-2</v>
      </c>
      <c r="I198" s="93">
        <f>IF(ISNUMBER(G198), $B199 * H198, "")</f>
        <v>-10047.169811320746</v>
      </c>
      <c r="J198" s="24">
        <v>98.6</v>
      </c>
      <c r="K198" s="25">
        <f t="shared" si="108"/>
        <v>-6.9811320754717035E-2</v>
      </c>
      <c r="L198" s="94">
        <f>IF(ISNUMBER(J198), $B199 * K198, "")</f>
        <v>-10471.698113207556</v>
      </c>
      <c r="M198" s="92">
        <v>98.3</v>
      </c>
      <c r="N198" s="25">
        <f t="shared" si="109"/>
        <v>-7.264150943396229E-2</v>
      </c>
      <c r="O198" s="94">
        <f>IF(ISNUMBER(M198), $B199 * N198, "")</f>
        <v>-10896.226415094343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3.6815236235042937E-3</v>
      </c>
      <c r="F199" s="28">
        <f>SUM(F179:F198)</f>
        <v>11044.57087051288</v>
      </c>
      <c r="G199" s="26" t="s">
        <v>258</v>
      </c>
      <c r="H199" s="27">
        <f>IF(COUNT(H179:H198), SUM(H179:H198) / COUNT(H179:H198), 0)</f>
        <v>-4.6945748973013382E-3</v>
      </c>
      <c r="I199" s="28">
        <f>SUM(I179:I198)</f>
        <v>-14083.724691904021</v>
      </c>
      <c r="J199" s="26" t="s">
        <v>258</v>
      </c>
      <c r="K199" s="27">
        <f>IF(COUNT(K179:K198), SUM(K179:K198) / COUNT(K179:K198), 0)</f>
        <v>-6.5592737439996189E-3</v>
      </c>
      <c r="L199" s="28">
        <f>SUM(L179:L198)</f>
        <v>-19677.821231998856</v>
      </c>
      <c r="M199" s="26" t="s">
        <v>258</v>
      </c>
      <c r="N199" s="27">
        <f>IF(COUNT(N179:N198), SUM(N179:N198) / COUNT(N179:N198), 0)</f>
        <v>-1.6582427525825134E-2</v>
      </c>
      <c r="O199" s="28">
        <f>SUM(O179:O198)</f>
        <v>-49747.282577475387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56A89-D125-408B-98C6-4E59822549CA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45001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-79,751 KRW (-2.66%)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-70,188 KRW (-2.34%)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-51,216 KRW (-1.71%)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-63,051 KRW (-2.10%)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2023-03-16(목) 오전 00:00</v>
      </c>
      <c r="C15" s="196"/>
      <c r="D15" s="170" t="str">
        <f>TEXT($G$1, "[$-ko-KR]yyyy-mm-dd(ddd) ") &amp; "오후 14:00"</f>
        <v>2023-03-16(목) 오후 14:00</v>
      </c>
      <c r="E15" s="171"/>
      <c r="F15" s="172"/>
      <c r="G15" s="170" t="str">
        <f>TEXT($G$1, "[$-ko-KR]yyyy-mm-dd(ddd) ") &amp; "오후 19:00"</f>
        <v>2023-03-16(목) 오후 19:00</v>
      </c>
      <c r="H15" s="171"/>
      <c r="I15" s="172"/>
      <c r="J15" s="170" t="str">
        <f>TEXT($G$1, "[$-ko-KR]yyyy-mm-dd(ddd) ") &amp; "오후 21:00"</f>
        <v>2023-03-16(목) 오후 21:00</v>
      </c>
      <c r="K15" s="171"/>
      <c r="L15" s="172"/>
      <c r="M15" s="170" t="str">
        <f>TEXT($G$1+1, "[$-ko-KR]yyyy-mm-dd(ddd) ") &amp; "오전 00:00"</f>
        <v>2023-03-17(금)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2023-03-16(목) 오전 00:00</v>
      </c>
      <c r="C42" s="198"/>
      <c r="D42" s="170" t="str">
        <f>TEXT($G$1, "[$-ko-KR]yyyy-mm-dd(ddd) ") &amp; "오후 14:00"</f>
        <v>2023-03-16(목) 오후 14:00</v>
      </c>
      <c r="E42" s="171"/>
      <c r="F42" s="172"/>
      <c r="G42" s="170" t="str">
        <f>TEXT($G$1, "[$-ko-KR]yyyy-mm-dd(ddd) ") &amp; "오후 19:00"</f>
        <v>2023-03-16(목) 오후 19:00</v>
      </c>
      <c r="H42" s="171"/>
      <c r="I42" s="172"/>
      <c r="J42" s="170" t="str">
        <f>TEXT($G$1, "[$-ko-KR]yyyy-mm-dd(ddd) ") &amp; "오후 21:00"</f>
        <v>2023-03-16(목) 오후 21:00</v>
      </c>
      <c r="K42" s="171"/>
      <c r="L42" s="172"/>
      <c r="M42" s="170" t="str">
        <f>TEXT($G$1+1, "[$-ko-KR]yyyy-mm-dd(ddd) ") &amp; "오전 00:00"</f>
        <v>2023-03-17(금)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332</v>
      </c>
      <c r="B44" s="108">
        <v>9.66</v>
      </c>
      <c r="C44" s="69">
        <v>0.13380281690000001</v>
      </c>
      <c r="D44" s="13">
        <v>8.5399999999999991</v>
      </c>
      <c r="E44" s="14">
        <f>IF(ISNUMBER(D44), (D44 - $B44) / $B44, "")</f>
        <v>-0.11594202898550734</v>
      </c>
      <c r="F44" s="16">
        <f>IF(ISNUMBER(D44), $B64 * E44, "")</f>
        <v>-17391.304347826102</v>
      </c>
      <c r="G44" s="29">
        <v>8.6300000000000008</v>
      </c>
      <c r="H44" s="14">
        <f>IF(ISNUMBER(G44), (G44 - $B44) / $B44, "")</f>
        <v>-0.10662525879917177</v>
      </c>
      <c r="I44" s="90">
        <f>IF(ISNUMBER(G44), $B64 * H44, "")</f>
        <v>-15993.788819875766</v>
      </c>
      <c r="J44" s="13">
        <v>8.73</v>
      </c>
      <c r="K44" s="14">
        <f>IF(ISNUMBER(J44), (J44 - $B44) / $B44, "")</f>
        <v>-9.6273291925465812E-2</v>
      </c>
      <c r="L44" s="16">
        <f>IF(ISNUMBER(J44), $B64 * K44, "")</f>
        <v>-14440.993788819871</v>
      </c>
      <c r="M44" s="29">
        <v>8.69</v>
      </c>
      <c r="N44" s="14">
        <f>IF(ISNUMBER(M44), (M44 - $B44) / $B44, "")</f>
        <v>-0.10041407867494831</v>
      </c>
      <c r="O44" s="16">
        <f>IF(ISNUMBER(M44), $B64 * N44, "")</f>
        <v>-15062.111801242247</v>
      </c>
      <c r="Q44" s="156"/>
      <c r="R44" s="156"/>
      <c r="S44" s="156"/>
    </row>
    <row r="45" spans="1:19" ht="17.25" customHeight="1" thickBot="1">
      <c r="A45" s="109" t="s">
        <v>97</v>
      </c>
      <c r="B45" s="110">
        <v>8.9999999999999998E-4</v>
      </c>
      <c r="C45" s="70">
        <v>0.125</v>
      </c>
      <c r="D45" s="15">
        <v>8.0000000000000004E-4</v>
      </c>
      <c r="E45" s="32">
        <f t="shared" ref="E45:E48" si="14">IF(ISNUMBER(D45), (D45 - $B45) / $B45, "")</f>
        <v>-0.11111111111111105</v>
      </c>
      <c r="F45" s="18">
        <f>IF(ISNUMBER(D45), $B64 * E45, "")</f>
        <v>-16666.666666666657</v>
      </c>
      <c r="G45" s="31">
        <v>8.0000000000000004E-4</v>
      </c>
      <c r="H45" s="32">
        <f t="shared" ref="H45:H48" si="15">IF(ISNUMBER(G45), (G45 - $B45) / $B45, "")</f>
        <v>-0.11111111111111105</v>
      </c>
      <c r="I45" s="91">
        <f>IF(ISNUMBER(G45), $B64 * H45, "")</f>
        <v>-16666.666666666657</v>
      </c>
      <c r="J45" s="15">
        <v>8.9999999999999998E-4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8.9999999999999998E-4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56"/>
      <c r="R45" s="156"/>
      <c r="S45" s="156"/>
    </row>
    <row r="46" spans="1:19" ht="17.25" customHeight="1" thickBot="1">
      <c r="A46" s="109" t="s">
        <v>141</v>
      </c>
      <c r="B46" s="110">
        <v>5.58</v>
      </c>
      <c r="C46" s="70">
        <v>2.9520295200000001E-2</v>
      </c>
      <c r="D46" s="15">
        <v>5.17</v>
      </c>
      <c r="E46" s="32">
        <f t="shared" si="14"/>
        <v>-7.3476702508960601E-2</v>
      </c>
      <c r="F46" s="18">
        <f>IF(ISNUMBER(D46), $B64 * E46, "")</f>
        <v>-11021.50537634409</v>
      </c>
      <c r="G46" s="31">
        <v>5.32</v>
      </c>
      <c r="H46" s="32">
        <f t="shared" si="15"/>
        <v>-4.6594982078853008E-2</v>
      </c>
      <c r="I46" s="91">
        <f>IF(ISNUMBER(G46), $B64 * H46, "")</f>
        <v>-6989.2473118279513</v>
      </c>
      <c r="J46" s="15">
        <v>5.35</v>
      </c>
      <c r="K46" s="32">
        <f t="shared" si="16"/>
        <v>-4.1218637992831618E-2</v>
      </c>
      <c r="L46" s="18">
        <f>IF(ISNUMBER(J46), $B64 * K46, "")</f>
        <v>-6182.7956989247423</v>
      </c>
      <c r="M46" s="31">
        <v>5.34</v>
      </c>
      <c r="N46" s="32">
        <f t="shared" si="17"/>
        <v>-4.3010752688172081E-2</v>
      </c>
      <c r="O46" s="18">
        <f>IF(ISNUMBER(M46), $B64 * N46, "")</f>
        <v>-6451.6129032258123</v>
      </c>
      <c r="Q46" s="146"/>
      <c r="R46" s="146"/>
      <c r="S46" s="146"/>
    </row>
    <row r="47" spans="1:19" ht="17.25" customHeight="1" thickBot="1">
      <c r="A47" s="109" t="s">
        <v>195</v>
      </c>
      <c r="B47" s="110">
        <v>9.02</v>
      </c>
      <c r="C47" s="70">
        <v>2.61660978E-2</v>
      </c>
      <c r="D47" s="15">
        <v>8.57</v>
      </c>
      <c r="E47" s="32">
        <f t="shared" si="14"/>
        <v>-4.9889135254988837E-2</v>
      </c>
      <c r="F47" s="18">
        <f>IF(ISNUMBER(D47), $B64 * E47, "")</f>
        <v>-7483.3702882483258</v>
      </c>
      <c r="G47" s="31">
        <v>8.6</v>
      </c>
      <c r="H47" s="32">
        <f t="shared" si="15"/>
        <v>-4.6563192904656311E-2</v>
      </c>
      <c r="I47" s="91">
        <f>IF(ISNUMBER(G47), $B64 * H47, "")</f>
        <v>-6984.4789356984465</v>
      </c>
      <c r="J47" s="15">
        <v>8.75</v>
      </c>
      <c r="K47" s="32">
        <f t="shared" si="16"/>
        <v>-2.9933481152993303E-2</v>
      </c>
      <c r="L47" s="18">
        <f>IF(ISNUMBER(J47), $B64 * K47, "")</f>
        <v>-4490.0221729489958</v>
      </c>
      <c r="M47" s="31">
        <v>8.76</v>
      </c>
      <c r="N47" s="32">
        <f t="shared" si="17"/>
        <v>-2.8824833702882462E-2</v>
      </c>
      <c r="O47" s="18">
        <f>IF(ISNUMBER(M47), $B64 * N47, "")</f>
        <v>-4323.7250554323691</v>
      </c>
      <c r="Q47" s="146"/>
      <c r="R47" s="146"/>
      <c r="S47" s="146"/>
    </row>
    <row r="48" spans="1:19" ht="17.25" customHeight="1" thickBot="1">
      <c r="A48" s="111" t="s">
        <v>197</v>
      </c>
      <c r="B48" s="112">
        <v>12.6</v>
      </c>
      <c r="C48" s="71">
        <v>8.0000000000000002E-3</v>
      </c>
      <c r="D48" s="20">
        <v>11.9</v>
      </c>
      <c r="E48" s="21">
        <f t="shared" si="14"/>
        <v>-5.5555555555555504E-2</v>
      </c>
      <c r="F48" s="22">
        <f>IF(ISNUMBER(D48), $B64 * E48, "")</f>
        <v>-8333.3333333333248</v>
      </c>
      <c r="G48" s="30">
        <v>12.1</v>
      </c>
      <c r="H48" s="21">
        <f t="shared" si="15"/>
        <v>-3.968253968253968E-2</v>
      </c>
      <c r="I48" s="95">
        <f>IF(ISNUMBER(G48), $B64 * H48, "")</f>
        <v>-5952.3809523809523</v>
      </c>
      <c r="J48" s="20">
        <v>12.3</v>
      </c>
      <c r="K48" s="21">
        <f t="shared" si="16"/>
        <v>-2.3809523809523725E-2</v>
      </c>
      <c r="L48" s="22">
        <f>IF(ISNUMBER(J48), $B64 * K48, "")</f>
        <v>-3571.4285714285588</v>
      </c>
      <c r="M48" s="30">
        <v>12.1</v>
      </c>
      <c r="N48" s="21">
        <f t="shared" si="17"/>
        <v>-3.968253968253968E-2</v>
      </c>
      <c r="O48" s="22">
        <f>IF(ISNUMBER(M48), $B64 * N48, "")</f>
        <v>-5952.3809523809523</v>
      </c>
      <c r="Q48" s="146"/>
      <c r="R48" s="146"/>
      <c r="S48" s="146"/>
    </row>
    <row r="49" spans="1:19" ht="17.25" customHeight="1" thickBot="1">
      <c r="A49" s="109" t="s">
        <v>126</v>
      </c>
      <c r="B49" s="113">
        <v>37.4</v>
      </c>
      <c r="C49" s="73">
        <v>5.3763441000000004E-3</v>
      </c>
      <c r="D49" s="96">
        <v>34.9</v>
      </c>
      <c r="E49" s="97">
        <f>IF(ISNUMBER(D49), (D49 - $B49) / $B49, "")</f>
        <v>-6.684491978609626E-2</v>
      </c>
      <c r="F49" s="98">
        <f>IF(ISNUMBER(D49), $B64 * E49, "")</f>
        <v>-10026.73796791444</v>
      </c>
      <c r="G49" s="99">
        <v>36</v>
      </c>
      <c r="H49" s="97">
        <f>IF(ISNUMBER(G49), (G49 - $B49) / $B49, "")</f>
        <v>-3.7433155080213866E-2</v>
      </c>
      <c r="I49" s="100">
        <f>IF(ISNUMBER(G49), $B64 * H49, "")</f>
        <v>-5614.9732620320801</v>
      </c>
      <c r="J49" s="96">
        <v>36.5</v>
      </c>
      <c r="K49" s="97">
        <f>IF(ISNUMBER(J49), (J49 - $B49) / $B49, "")</f>
        <v>-2.4064171122994617E-2</v>
      </c>
      <c r="L49" s="98">
        <f>IF(ISNUMBER(J49), $B64 * K49, "")</f>
        <v>-3609.6256684491923</v>
      </c>
      <c r="M49" s="99">
        <v>36.1</v>
      </c>
      <c r="N49" s="97">
        <f>IF(ISNUMBER(M49), (M49 - $B49) / $B49, "")</f>
        <v>-3.4759358288769977E-2</v>
      </c>
      <c r="O49" s="98">
        <f>IF(ISNUMBER(M49), $B64 * N49, "")</f>
        <v>-5213.9037433154963</v>
      </c>
      <c r="Q49" s="146"/>
      <c r="R49" s="146"/>
      <c r="S49" s="146"/>
    </row>
    <row r="50" spans="1:19" ht="17.25" customHeight="1" thickBot="1">
      <c r="A50" s="109" t="s">
        <v>155</v>
      </c>
      <c r="B50" s="110">
        <v>35.5</v>
      </c>
      <c r="C50" s="70">
        <v>2.8248587999999998E-3</v>
      </c>
      <c r="D50" s="15">
        <v>34.299999999999997</v>
      </c>
      <c r="E50" s="32">
        <f t="shared" ref="E50:E53" si="18">IF(ISNUMBER(D50), (D50 - $B50) / $B50, "")</f>
        <v>-3.3802816901408531E-2</v>
      </c>
      <c r="F50" s="18">
        <f>IF(ISNUMBER(D50), $B64 * E50, "")</f>
        <v>-5070.4225352112799</v>
      </c>
      <c r="G50" s="31">
        <v>34.799999999999997</v>
      </c>
      <c r="H50" s="32">
        <f t="shared" ref="H50:H53" si="19">IF(ISNUMBER(G50), (G50 - $B50) / $B50, "")</f>
        <v>-1.9718309859155011E-2</v>
      </c>
      <c r="I50" s="91">
        <f>IF(ISNUMBER(G50), $B64 * H50, "")</f>
        <v>-2957.7464788732518</v>
      </c>
      <c r="J50" s="15">
        <v>35</v>
      </c>
      <c r="K50" s="32">
        <f t="shared" ref="K50:K53" si="20">IF(ISNUMBER(J50), (J50 - $B50) / $B50, "")</f>
        <v>-1.4084507042253521E-2</v>
      </c>
      <c r="L50" s="18">
        <f>IF(ISNUMBER(J50), $B64 * K50, "")</f>
        <v>-2112.676056338028</v>
      </c>
      <c r="M50" s="31">
        <v>34.700000000000003</v>
      </c>
      <c r="N50" s="32">
        <f t="shared" ref="N50:N53" si="21">IF(ISNUMBER(M50), (M50 - $B50) / $B50, "")</f>
        <v>-2.2535211267605555E-2</v>
      </c>
      <c r="O50" s="18">
        <f>IF(ISNUMBER(M50), $B64 * N50, "")</f>
        <v>-3380.2816901408332</v>
      </c>
      <c r="Q50" s="146"/>
      <c r="R50" s="146"/>
      <c r="S50" s="146"/>
    </row>
    <row r="51" spans="1:19" ht="17.25" customHeight="1" thickBot="1">
      <c r="A51" s="109" t="s">
        <v>203</v>
      </c>
      <c r="B51" s="110">
        <v>4.46</v>
      </c>
      <c r="C51" s="70">
        <v>0</v>
      </c>
      <c r="D51" s="15">
        <v>4.22</v>
      </c>
      <c r="E51" s="32">
        <f t="shared" si="18"/>
        <v>-5.3811659192825163E-2</v>
      </c>
      <c r="F51" s="18">
        <f>IF(ISNUMBER(D51), $B64 * E51, "")</f>
        <v>-8071.7488789237741</v>
      </c>
      <c r="G51" s="31">
        <v>4.32</v>
      </c>
      <c r="H51" s="32">
        <f t="shared" si="19"/>
        <v>-3.1390134529147913E-2</v>
      </c>
      <c r="I51" s="91">
        <f>IF(ISNUMBER(G51), $B64 * H51, "")</f>
        <v>-4708.5201793721872</v>
      </c>
      <c r="J51" s="15">
        <v>4.33</v>
      </c>
      <c r="K51" s="32">
        <f t="shared" si="20"/>
        <v>-2.9147982062780246E-2</v>
      </c>
      <c r="L51" s="18">
        <f>IF(ISNUMBER(J51), $B64 * K51, "")</f>
        <v>-4372.1973094170371</v>
      </c>
      <c r="M51" s="31">
        <v>4.3099999999999996</v>
      </c>
      <c r="N51" s="32">
        <f t="shared" si="21"/>
        <v>-3.3632286995515778E-2</v>
      </c>
      <c r="O51" s="18">
        <f>IF(ISNUMBER(M51), $B64 * N51, "")</f>
        <v>-5044.8430493273663</v>
      </c>
      <c r="Q51" s="146"/>
      <c r="R51" s="146"/>
      <c r="S51" s="146"/>
    </row>
    <row r="52" spans="1:19" ht="17.25" customHeight="1" thickBot="1">
      <c r="A52" s="109" t="s">
        <v>124</v>
      </c>
      <c r="B52" s="110">
        <v>43.7</v>
      </c>
      <c r="C52" s="70">
        <v>-4.5558087000000004E-3</v>
      </c>
      <c r="D52" s="15">
        <v>41.5</v>
      </c>
      <c r="E52" s="32">
        <f t="shared" si="18"/>
        <v>-5.034324942791768E-2</v>
      </c>
      <c r="F52" s="18">
        <f>IF(ISNUMBER(D52), $B64 * E52, "")</f>
        <v>-7551.4874141876517</v>
      </c>
      <c r="G52" s="31">
        <v>42.6</v>
      </c>
      <c r="H52" s="32">
        <f t="shared" si="19"/>
        <v>-2.517162471395884E-2</v>
      </c>
      <c r="I52" s="91">
        <f>IF(ISNUMBER(G52), $B64 * H52, "")</f>
        <v>-3775.7437070938258</v>
      </c>
      <c r="J52" s="15">
        <v>43</v>
      </c>
      <c r="K52" s="32">
        <f t="shared" si="20"/>
        <v>-1.6018306636155669E-2</v>
      </c>
      <c r="L52" s="18">
        <f>IF(ISNUMBER(J52), $B64 * K52, "")</f>
        <v>-2402.7459954233505</v>
      </c>
      <c r="M52" s="31">
        <v>42.7</v>
      </c>
      <c r="N52" s="32">
        <f t="shared" si="21"/>
        <v>-2.2883295194508008E-2</v>
      </c>
      <c r="O52" s="18">
        <f>IF(ISNUMBER(M52), $B64 * N52, "")</f>
        <v>-3432.4942791762014</v>
      </c>
      <c r="Q52" s="33"/>
      <c r="R52" s="33"/>
    </row>
    <row r="53" spans="1:19" ht="17.25" customHeight="1" thickBot="1">
      <c r="A53" s="114" t="s">
        <v>118</v>
      </c>
      <c r="B53" s="115">
        <v>8.1</v>
      </c>
      <c r="C53" s="72">
        <v>-4.9140049000000003E-3</v>
      </c>
      <c r="D53" s="24">
        <v>7.7</v>
      </c>
      <c r="E53" s="25">
        <f t="shared" si="18"/>
        <v>-4.9382716049382651E-2</v>
      </c>
      <c r="F53" s="94">
        <f>IF(ISNUMBER(D53), $B64 * E53, "")</f>
        <v>-7407.4074074073978</v>
      </c>
      <c r="G53" s="92">
        <v>7.82</v>
      </c>
      <c r="H53" s="25">
        <f t="shared" si="19"/>
        <v>-3.4567901234567822E-2</v>
      </c>
      <c r="I53" s="93">
        <f>IF(ISNUMBER(G53), $B64 * H53, "")</f>
        <v>-5185.1851851851734</v>
      </c>
      <c r="J53" s="24">
        <v>7.89</v>
      </c>
      <c r="K53" s="25">
        <f t="shared" si="20"/>
        <v>-2.5925925925925922E-2</v>
      </c>
      <c r="L53" s="94">
        <f>IF(ISNUMBER(J53), $B64 * K53, "")</f>
        <v>-3888.8888888888882</v>
      </c>
      <c r="M53" s="92">
        <v>7.8</v>
      </c>
      <c r="N53" s="25">
        <f t="shared" si="21"/>
        <v>-3.7037037037037014E-2</v>
      </c>
      <c r="O53" s="94">
        <f>IF(ISNUMBER(M53), $B64 * N53, "")</f>
        <v>-5555.555555555552</v>
      </c>
      <c r="Q53" s="147"/>
      <c r="R53" s="148"/>
      <c r="S53" s="149"/>
    </row>
    <row r="54" spans="1:19" ht="17.25" customHeight="1">
      <c r="A54" s="107" t="s">
        <v>237</v>
      </c>
      <c r="B54" s="108">
        <v>35.299999999999997</v>
      </c>
      <c r="C54" s="69">
        <v>-5.6338027999999997E-3</v>
      </c>
      <c r="D54" s="13">
        <v>34.6</v>
      </c>
      <c r="E54" s="14">
        <f>IF(ISNUMBER(D54), (D54 - $B54) / $B54, "")</f>
        <v>-1.983002832861178E-2</v>
      </c>
      <c r="F54" s="16">
        <f>IF(ISNUMBER(D54), $B64 * E54, "")</f>
        <v>-2974.5042492917669</v>
      </c>
      <c r="G54" s="29">
        <v>35</v>
      </c>
      <c r="H54" s="14">
        <f>IF(ISNUMBER(G54), (G54 - $B54) / $B54, "")</f>
        <v>-8.4985835694050185E-3</v>
      </c>
      <c r="I54" s="90">
        <f>IF(ISNUMBER(G54), $B64 * H54, "")</f>
        <v>-1274.7875354107528</v>
      </c>
      <c r="J54" s="13">
        <v>35.4</v>
      </c>
      <c r="K54" s="14">
        <f>IF(ISNUMBER(J54), (J54 - $B54) / $B54, "")</f>
        <v>2.8328611898017402E-3</v>
      </c>
      <c r="L54" s="16">
        <f>IF(ISNUMBER(J54), $B64 * K54, "")</f>
        <v>424.92917847026104</v>
      </c>
      <c r="M54" s="29">
        <v>35.1</v>
      </c>
      <c r="N54" s="14">
        <f>IF(ISNUMBER(M54), (M54 - $B54) / $B54, "")</f>
        <v>-5.6657223796032791E-3</v>
      </c>
      <c r="O54" s="16">
        <f>IF(ISNUMBER(M54), $B64 * N54, "")</f>
        <v>-849.85835694049183</v>
      </c>
      <c r="Q54" s="150"/>
      <c r="R54" s="151"/>
      <c r="S54" s="152"/>
    </row>
    <row r="55" spans="1:19" ht="17.25" customHeight="1" thickBot="1">
      <c r="A55" s="109" t="s">
        <v>145</v>
      </c>
      <c r="B55" s="110">
        <v>87.7</v>
      </c>
      <c r="C55" s="70">
        <v>-6.7950170000000004E-3</v>
      </c>
      <c r="D55" s="15">
        <v>87.4</v>
      </c>
      <c r="E55" s="32">
        <f t="shared" ref="E55:E58" si="22">IF(ISNUMBER(D55), (D55 - $B55) / $B55, "")</f>
        <v>-3.4207525655643918E-3</v>
      </c>
      <c r="F55" s="18">
        <f>IF(ISNUMBER(D55), $B64 * E55, "")</f>
        <v>-513.11288483465876</v>
      </c>
      <c r="G55" s="31">
        <v>88.2</v>
      </c>
      <c r="H55" s="32">
        <f t="shared" ref="H55:H58" si="23">IF(ISNUMBER(G55), (G55 - $B55) / $B55, "")</f>
        <v>5.7012542759407071E-3</v>
      </c>
      <c r="I55" s="91">
        <f>IF(ISNUMBER(G55), $B64 * H55, "")</f>
        <v>855.18814139110611</v>
      </c>
      <c r="J55" s="15">
        <v>88.6</v>
      </c>
      <c r="K55" s="32">
        <f t="shared" ref="K55:K58" si="24">IF(ISNUMBER(J55), (J55 - $B55) / $B55, "")</f>
        <v>1.0262257696693176E-2</v>
      </c>
      <c r="L55" s="18">
        <f>IF(ISNUMBER(J55), $B64 * K55, "")</f>
        <v>1539.3386545039764</v>
      </c>
      <c r="M55" s="31">
        <v>87.6</v>
      </c>
      <c r="N55" s="32">
        <f t="shared" ref="N55:N58" si="25">IF(ISNUMBER(M55), (M55 - $B55) / $B55, "")</f>
        <v>-1.1402508551882386E-3</v>
      </c>
      <c r="O55" s="18">
        <f>IF(ISNUMBER(M55), $B64 * N55, "")</f>
        <v>-171.03762827823579</v>
      </c>
      <c r="Q55" s="153"/>
      <c r="R55" s="154"/>
      <c r="S55" s="155"/>
    </row>
    <row r="56" spans="1:19" ht="17.25" customHeight="1" thickBot="1">
      <c r="A56" s="109" t="s">
        <v>71</v>
      </c>
      <c r="B56" s="110">
        <v>14.3</v>
      </c>
      <c r="C56" s="70">
        <v>-6.9444444000000003E-3</v>
      </c>
      <c r="D56" s="15">
        <v>15</v>
      </c>
      <c r="E56" s="32">
        <f t="shared" si="22"/>
        <v>4.8951048951048896E-2</v>
      </c>
      <c r="F56" s="18">
        <f>IF(ISNUMBER(D56), $B64 * E56, "")</f>
        <v>7342.6573426573341</v>
      </c>
      <c r="G56" s="31">
        <v>15.1</v>
      </c>
      <c r="H56" s="32">
        <f t="shared" si="23"/>
        <v>5.5944055944055868E-2</v>
      </c>
      <c r="I56" s="91">
        <f>IF(ISNUMBER(G56), $B64 * H56, "")</f>
        <v>8391.6083916083808</v>
      </c>
      <c r="J56" s="15">
        <v>15.3</v>
      </c>
      <c r="K56" s="32">
        <f t="shared" si="24"/>
        <v>6.9930069930069921E-2</v>
      </c>
      <c r="L56" s="18">
        <f>IF(ISNUMBER(J56), $B64 * K56, "")</f>
        <v>10489.510489510489</v>
      </c>
      <c r="M56" s="31">
        <v>15</v>
      </c>
      <c r="N56" s="32">
        <f t="shared" si="25"/>
        <v>4.8951048951048896E-2</v>
      </c>
      <c r="O56" s="18">
        <f>IF(ISNUMBER(M56), $B64 * N56, "")</f>
        <v>7342.6573426573341</v>
      </c>
      <c r="Q56" s="146"/>
      <c r="R56" s="146"/>
      <c r="S56" s="146"/>
    </row>
    <row r="57" spans="1:19" ht="17.25" customHeight="1" thickBot="1">
      <c r="A57" s="109" t="s">
        <v>221</v>
      </c>
      <c r="B57" s="110">
        <v>25.7</v>
      </c>
      <c r="C57" s="70">
        <v>-7.7220077000000002E-3</v>
      </c>
      <c r="D57" s="15">
        <v>24.6</v>
      </c>
      <c r="E57" s="32">
        <f t="shared" si="22"/>
        <v>-4.280155642023338E-2</v>
      </c>
      <c r="F57" s="18">
        <f>IF(ISNUMBER(D57), $B64 * E57, "")</f>
        <v>-6420.2334630350069</v>
      </c>
      <c r="G57" s="31">
        <v>25.3</v>
      </c>
      <c r="H57" s="32">
        <f t="shared" si="23"/>
        <v>-1.5564202334630295E-2</v>
      </c>
      <c r="I57" s="91">
        <f>IF(ISNUMBER(G57), $B64 * H57, "")</f>
        <v>-2334.630350194544</v>
      </c>
      <c r="J57" s="15">
        <v>25.4</v>
      </c>
      <c r="K57" s="32">
        <f t="shared" si="24"/>
        <v>-1.1673151750972791E-2</v>
      </c>
      <c r="L57" s="18">
        <f>IF(ISNUMBER(J57), $B64 * K57, "")</f>
        <v>-1750.9727626459187</v>
      </c>
      <c r="M57" s="31">
        <v>25.3</v>
      </c>
      <c r="N57" s="32">
        <f t="shared" si="25"/>
        <v>-1.5564202334630295E-2</v>
      </c>
      <c r="O57" s="18">
        <f>IF(ISNUMBER(M57), $B64 * N57, "")</f>
        <v>-2334.630350194544</v>
      </c>
      <c r="Q57" s="156"/>
      <c r="R57" s="156"/>
      <c r="S57" s="156"/>
    </row>
    <row r="58" spans="1:19" ht="17.25" customHeight="1" thickBot="1">
      <c r="A58" s="111" t="s">
        <v>320</v>
      </c>
      <c r="B58" s="112">
        <v>6.13</v>
      </c>
      <c r="C58" s="71">
        <v>-9.6930533000000006E-3</v>
      </c>
      <c r="D58" s="20">
        <v>5.94</v>
      </c>
      <c r="E58" s="21">
        <f t="shared" si="22"/>
        <v>-3.0995106035888991E-2</v>
      </c>
      <c r="F58" s="22">
        <f>IF(ISNUMBER(D58), $B64 * E58, "")</f>
        <v>-4649.2659053833486</v>
      </c>
      <c r="G58" s="30">
        <v>6.02</v>
      </c>
      <c r="H58" s="21">
        <f t="shared" si="23"/>
        <v>-1.7944535073409516E-2</v>
      </c>
      <c r="I58" s="95">
        <f>IF(ISNUMBER(G58), $B64 * H58, "")</f>
        <v>-2691.6802610114273</v>
      </c>
      <c r="J58" s="20">
        <v>6.1</v>
      </c>
      <c r="K58" s="21">
        <f t="shared" si="24"/>
        <v>-4.8939641109298935E-3</v>
      </c>
      <c r="L58" s="22">
        <f>IF(ISNUMBER(J58), $B64 * K58, "")</f>
        <v>-734.094616639484</v>
      </c>
      <c r="M58" s="30">
        <v>6.08</v>
      </c>
      <c r="N58" s="21">
        <f t="shared" si="25"/>
        <v>-8.1566068515497268E-3</v>
      </c>
      <c r="O58" s="22">
        <f>IF(ISNUMBER(M58), $B64 * N58, "")</f>
        <v>-1223.4910277324591</v>
      </c>
      <c r="Q58" s="156"/>
      <c r="R58" s="156"/>
      <c r="S58" s="156"/>
    </row>
    <row r="59" spans="1:19" ht="17.25" customHeight="1" thickBot="1">
      <c r="A59" s="109" t="s">
        <v>181</v>
      </c>
      <c r="B59" s="113">
        <v>5.48</v>
      </c>
      <c r="C59" s="73">
        <v>-1.26126126E-2</v>
      </c>
      <c r="D59" s="96">
        <v>5.23</v>
      </c>
      <c r="E59" s="97">
        <f>IF(ISNUMBER(D59), (D59 - $B59) / $B59, "")</f>
        <v>-4.5620437956204379E-2</v>
      </c>
      <c r="F59" s="98">
        <f>IF(ISNUMBER(D59), $B64 * E59, "")</f>
        <v>-6843.0656934306571</v>
      </c>
      <c r="G59" s="99">
        <v>5.35</v>
      </c>
      <c r="H59" s="97">
        <f>IF(ISNUMBER(G59), (G59 - $B59) / $B59, "")</f>
        <v>-2.3722627737226418E-2</v>
      </c>
      <c r="I59" s="100">
        <f>IF(ISNUMBER(G59), $B64 * H59, "")</f>
        <v>-3558.3941605839627</v>
      </c>
      <c r="J59" s="96">
        <v>5.35</v>
      </c>
      <c r="K59" s="97">
        <f>IF(ISNUMBER(J59), (J59 - $B59) / $B59, "")</f>
        <v>-2.3722627737226418E-2</v>
      </c>
      <c r="L59" s="98">
        <f>IF(ISNUMBER(J59), $B64 * K59, "")</f>
        <v>-3558.3941605839627</v>
      </c>
      <c r="M59" s="99">
        <v>5.29</v>
      </c>
      <c r="N59" s="97">
        <f>IF(ISNUMBER(M59), (M59 - $B59) / $B59, "")</f>
        <v>-3.4671532846715397E-2</v>
      </c>
      <c r="O59" s="98">
        <f>IF(ISNUMBER(M59), $B64 * N59, "")</f>
        <v>-5200.7299270073099</v>
      </c>
      <c r="Q59" s="146"/>
      <c r="R59" s="146"/>
      <c r="S59" s="146"/>
    </row>
    <row r="60" spans="1:19" ht="17.25" customHeight="1" thickBot="1">
      <c r="A60" s="109" t="s">
        <v>56</v>
      </c>
      <c r="B60" s="110">
        <v>51.5</v>
      </c>
      <c r="C60" s="70">
        <v>-1.34099617E-2</v>
      </c>
      <c r="D60" s="15">
        <v>49.1</v>
      </c>
      <c r="E60" s="32">
        <f t="shared" ref="E60:E63" si="26">IF(ISNUMBER(D60), (D60 - $B60) / $B60, "")</f>
        <v>-4.6601941747572789E-2</v>
      </c>
      <c r="F60" s="18">
        <f>IF(ISNUMBER(D60), $B64 * E60, "")</f>
        <v>-6990.2912621359183</v>
      </c>
      <c r="G60" s="31">
        <v>49.8</v>
      </c>
      <c r="H60" s="32">
        <f t="shared" ref="H60:H63" si="27">IF(ISNUMBER(G60), (G60 - $B60) / $B60, "")</f>
        <v>-3.300970873786413E-2</v>
      </c>
      <c r="I60" s="91">
        <f>IF(ISNUMBER(G60), $B64 * H60, "")</f>
        <v>-4951.4563106796195</v>
      </c>
      <c r="J60" s="15">
        <v>50.4</v>
      </c>
      <c r="K60" s="32">
        <f t="shared" ref="K60:K63" si="28">IF(ISNUMBER(J60), (J60 - $B60) / $B60, "")</f>
        <v>-2.1359223300970901E-2</v>
      </c>
      <c r="L60" s="18">
        <f>IF(ISNUMBER(J60), $B64 * K60, "")</f>
        <v>-3203.8834951456352</v>
      </c>
      <c r="M60" s="31">
        <v>49.8</v>
      </c>
      <c r="N60" s="32">
        <f t="shared" ref="N60:N63" si="29">IF(ISNUMBER(M60), (M60 - $B60) / $B60, "")</f>
        <v>-3.300970873786413E-2</v>
      </c>
      <c r="O60" s="18">
        <f>IF(ISNUMBER(M60), $B64 * N60, "")</f>
        <v>-4951.4563106796195</v>
      </c>
      <c r="Q60" s="146"/>
      <c r="R60" s="146"/>
      <c r="S60" s="146"/>
    </row>
    <row r="61" spans="1:19" ht="17.25" customHeight="1" thickBot="1">
      <c r="A61" s="109" t="s">
        <v>338</v>
      </c>
      <c r="B61" s="110">
        <v>4.1000000000000002E-2</v>
      </c>
      <c r="C61" s="70">
        <v>-1.44230769E-2</v>
      </c>
      <c r="D61" s="15">
        <v>3.9600000000000003E-2</v>
      </c>
      <c r="E61" s="32">
        <f t="shared" si="26"/>
        <v>-3.4146341463414595E-2</v>
      </c>
      <c r="F61" s="18">
        <f>IF(ISNUMBER(D61), $B64 * E61, "")</f>
        <v>-5121.9512195121897</v>
      </c>
      <c r="G61" s="31">
        <v>0.04</v>
      </c>
      <c r="H61" s="32">
        <f t="shared" si="27"/>
        <v>-2.4390243902439046E-2</v>
      </c>
      <c r="I61" s="91">
        <f>IF(ISNUMBER(G61), $B64 * H61, "")</f>
        <v>-3658.5365853658568</v>
      </c>
      <c r="J61" s="15">
        <v>4.0500000000000001E-2</v>
      </c>
      <c r="K61" s="32">
        <f t="shared" si="28"/>
        <v>-1.2195121951219523E-2</v>
      </c>
      <c r="L61" s="18">
        <f>IF(ISNUMBER(J61), $B64 * K61, "")</f>
        <v>-1829.2682926829284</v>
      </c>
      <c r="M61" s="31">
        <v>4.0300000000000002E-2</v>
      </c>
      <c r="N61" s="32">
        <f t="shared" si="29"/>
        <v>-1.7073170731707298E-2</v>
      </c>
      <c r="O61" s="18">
        <f>IF(ISNUMBER(M61), $B64 * N61, "")</f>
        <v>-2560.9756097560949</v>
      </c>
      <c r="Q61" s="146"/>
      <c r="R61" s="146"/>
      <c r="S61" s="146"/>
    </row>
    <row r="62" spans="1:19" ht="17.25" customHeight="1">
      <c r="A62" s="109" t="s">
        <v>323</v>
      </c>
      <c r="B62" s="110">
        <v>94.3</v>
      </c>
      <c r="C62" s="70">
        <v>-1.66840459E-2</v>
      </c>
      <c r="D62" s="15">
        <v>91.1</v>
      </c>
      <c r="E62" s="32">
        <f t="shared" si="26"/>
        <v>-3.3934252386002152E-2</v>
      </c>
      <c r="F62" s="18">
        <f>IF(ISNUMBER(D62), $B64 * E62, "")</f>
        <v>-5090.1378579003231</v>
      </c>
      <c r="G62" s="31">
        <v>92.7</v>
      </c>
      <c r="H62" s="32">
        <f t="shared" si="27"/>
        <v>-1.6967126193001E-2</v>
      </c>
      <c r="I62" s="91">
        <f>IF(ISNUMBER(G62), $B64 * H62, "")</f>
        <v>-2545.0689289501502</v>
      </c>
      <c r="J62" s="15">
        <v>93.8</v>
      </c>
      <c r="K62" s="32">
        <f t="shared" si="28"/>
        <v>-5.3022269353128317E-3</v>
      </c>
      <c r="L62" s="18">
        <f>IF(ISNUMBER(J62), $B64 * K62, "")</f>
        <v>-795.33404029692474</v>
      </c>
      <c r="M62" s="31">
        <v>93.1</v>
      </c>
      <c r="N62" s="32">
        <f t="shared" si="29"/>
        <v>-1.2725344644750825E-2</v>
      </c>
      <c r="O62" s="18">
        <f>IF(ISNUMBER(M62), $B64 * N62, "")</f>
        <v>-1908.8016967126239</v>
      </c>
      <c r="Q62" s="135"/>
      <c r="R62" s="136"/>
      <c r="S62" s="137"/>
    </row>
    <row r="63" spans="1:19" ht="17.25" customHeight="1" thickBot="1">
      <c r="A63" s="114" t="s">
        <v>193</v>
      </c>
      <c r="B63" s="115">
        <v>23</v>
      </c>
      <c r="C63" s="72">
        <v>-1.7094017100000001E-2</v>
      </c>
      <c r="D63" s="24">
        <v>22.2</v>
      </c>
      <c r="E63" s="25">
        <f t="shared" si="26"/>
        <v>-3.4782608695652202E-2</v>
      </c>
      <c r="F63" s="94">
        <f>IF(ISNUMBER(D63), $B64 * E63, "")</f>
        <v>-5217.3913043478306</v>
      </c>
      <c r="G63" s="92">
        <v>22.5</v>
      </c>
      <c r="H63" s="25">
        <f t="shared" si="27"/>
        <v>-2.1739130434782608E-2</v>
      </c>
      <c r="I63" s="93">
        <f>IF(ISNUMBER(G63), $B64 * H63, "")</f>
        <v>-3260.869565217391</v>
      </c>
      <c r="J63" s="24">
        <v>22.6</v>
      </c>
      <c r="K63" s="25">
        <f t="shared" si="28"/>
        <v>-1.7391304347826025E-2</v>
      </c>
      <c r="L63" s="94">
        <f>IF(ISNUMBER(J63), $B64 * K63, "")</f>
        <v>-2608.6956521739039</v>
      </c>
      <c r="M63" s="92">
        <v>22.4</v>
      </c>
      <c r="N63" s="25">
        <f t="shared" si="29"/>
        <v>-2.6086956521739191E-2</v>
      </c>
      <c r="O63" s="94">
        <f>IF(ISNUMBER(M63), $B64 * N63, "")</f>
        <v>-3913.0434782608786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-4.516709357109247E-2</v>
      </c>
      <c r="F64" s="28">
        <f>SUM(F44:F63)</f>
        <v>-135501.2807132774</v>
      </c>
      <c r="G64" s="26" t="s">
        <v>258</v>
      </c>
      <c r="H64" s="27">
        <f>IF(COUNT(H44:H63), SUM(H44:H63) / COUNT(H44:H63), 0)</f>
        <v>-2.9952452887806836E-2</v>
      </c>
      <c r="I64" s="28">
        <f>SUM(I44:I63)</f>
        <v>-89857.358663420528</v>
      </c>
      <c r="J64" s="26" t="s">
        <v>258</v>
      </c>
      <c r="K64" s="27">
        <f>IF(COUNT(K44:K63), SUM(K44:K63) / COUNT(K44:K63), 0)</f>
        <v>-1.56994129494409E-2</v>
      </c>
      <c r="L64" s="28">
        <f>SUM(L44:L63)</f>
        <v>-47098.238848322711</v>
      </c>
      <c r="M64" s="26" t="s">
        <v>258</v>
      </c>
      <c r="N64" s="27">
        <f>IF(COUNT(N44:N63), SUM(N44:N63) / COUNT(N44:N63), 0)</f>
        <v>-2.3396092024233921E-2</v>
      </c>
      <c r="O64" s="28">
        <f>SUM(O44:O63)</f>
        <v>-70188.276072701759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2023-03-16(목) 오전 00:00</v>
      </c>
      <c r="C69" s="198"/>
      <c r="D69" s="170" t="str">
        <f>TEXT($G$1, "[$-ko-KR]yyyy-mm-dd(ddd) ") &amp; "오후 14:00"</f>
        <v>2023-03-16(목) 오후 14:00</v>
      </c>
      <c r="E69" s="171"/>
      <c r="F69" s="172"/>
      <c r="G69" s="170" t="str">
        <f>TEXT($G$1, "[$-ko-KR]yyyy-mm-dd(ddd) ") &amp; "오후 19:00"</f>
        <v>2023-03-16(목) 오후 19:00</v>
      </c>
      <c r="H69" s="171"/>
      <c r="I69" s="172"/>
      <c r="J69" s="170" t="str">
        <f>TEXT($G$1, "[$-ko-KR]yyyy-mm-dd(ddd) ") &amp; "오후 21:00"</f>
        <v>2023-03-16(목) 오후 21:00</v>
      </c>
      <c r="K69" s="171"/>
      <c r="L69" s="172"/>
      <c r="M69" s="170" t="str">
        <f>TEXT($G$1+1, "[$-ko-KR]yyyy-mm-dd(ddd) ") &amp; "오전 00:00"</f>
        <v>2023-03-17(금)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239</v>
      </c>
      <c r="B71" s="108">
        <v>600</v>
      </c>
      <c r="C71" s="69">
        <v>5.0788091100000002E-2</v>
      </c>
      <c r="D71" s="13">
        <v>580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583</v>
      </c>
      <c r="H71" s="14">
        <f>IF(ISNUMBER(G71), (G71 - $B71) / $B71, "")</f>
        <v>-2.8333333333333332E-2</v>
      </c>
      <c r="I71" s="90">
        <f>IF(ISNUMBER(G71), $B91 * H71, "")</f>
        <v>-4250</v>
      </c>
      <c r="J71" s="13">
        <v>584</v>
      </c>
      <c r="K71" s="14">
        <f>IF(ISNUMBER(J71), (J71 - $B71) / $B71, "")</f>
        <v>-2.6666666666666668E-2</v>
      </c>
      <c r="L71" s="16">
        <f>IF(ISNUMBER(J71), $B91 * K71, "")</f>
        <v>-4000.0000000000005</v>
      </c>
      <c r="M71" s="29">
        <v>579</v>
      </c>
      <c r="N71" s="14">
        <f>IF(ISNUMBER(M71), (M71 - $B71) / $B71, "")</f>
        <v>-3.5000000000000003E-2</v>
      </c>
      <c r="O71" s="16">
        <f>IF(ISNUMBER(M71), $B91 * N71, "")</f>
        <v>-5250.0000000000009</v>
      </c>
      <c r="Q71" s="156"/>
      <c r="R71" s="156"/>
      <c r="S71" s="156"/>
    </row>
    <row r="72" spans="1:19" ht="17.25" thickBot="1">
      <c r="A72" s="109" t="s">
        <v>329</v>
      </c>
      <c r="B72" s="110">
        <v>598</v>
      </c>
      <c r="C72" s="70">
        <v>2.9259896699999999E-2</v>
      </c>
      <c r="D72" s="15">
        <v>582</v>
      </c>
      <c r="E72" s="32">
        <f t="shared" ref="E72:E75" si="30">IF(ISNUMBER(D72), (D72 - $B72) / $B72, "")</f>
        <v>-2.6755852842809364E-2</v>
      </c>
      <c r="F72" s="18">
        <f>IF(ISNUMBER(D72), $B91 * E72, "")</f>
        <v>-4013.3779264214045</v>
      </c>
      <c r="G72" s="31">
        <v>584</v>
      </c>
      <c r="H72" s="32">
        <f t="shared" ref="H72:H75" si="31">IF(ISNUMBER(G72), (G72 - $B72) / $B72, "")</f>
        <v>-2.3411371237458192E-2</v>
      </c>
      <c r="I72" s="91">
        <f>IF(ISNUMBER(G72), $B91 * H72, "")</f>
        <v>-3511.7056856187287</v>
      </c>
      <c r="J72" s="15">
        <v>588</v>
      </c>
      <c r="K72" s="32">
        <f t="shared" ref="K72:K75" si="32">IF(ISNUMBER(J72), (J72 - $B72) / $B72, "")</f>
        <v>-1.6722408026755852E-2</v>
      </c>
      <c r="L72" s="18">
        <f>IF(ISNUMBER(J72), $B91 * K72, "")</f>
        <v>-2508.361204013378</v>
      </c>
      <c r="M72" s="31">
        <v>577</v>
      </c>
      <c r="N72" s="32">
        <f t="shared" ref="N72:N75" si="33">IF(ISNUMBER(M72), (M72 - $B72) / $B72, "")</f>
        <v>-3.5117056856187288E-2</v>
      </c>
      <c r="O72" s="18">
        <f>IF(ISNUMBER(M72), $B91 * N72, "")</f>
        <v>-5267.5585284280933</v>
      </c>
      <c r="Q72" s="156"/>
      <c r="R72" s="156"/>
      <c r="S72" s="156"/>
    </row>
    <row r="73" spans="1:19" ht="17.25" thickBot="1">
      <c r="A73" s="109" t="s">
        <v>231</v>
      </c>
      <c r="B73" s="110">
        <v>454</v>
      </c>
      <c r="C73" s="70">
        <v>6.6518847000000001E-3</v>
      </c>
      <c r="D73" s="15">
        <v>431</v>
      </c>
      <c r="E73" s="32">
        <f t="shared" si="30"/>
        <v>-5.0660792951541848E-2</v>
      </c>
      <c r="F73" s="18">
        <f>IF(ISNUMBER(D73), $B91 * E73, "")</f>
        <v>-7599.1189427312775</v>
      </c>
      <c r="G73" s="31">
        <v>439</v>
      </c>
      <c r="H73" s="32">
        <f t="shared" si="31"/>
        <v>-3.3039647577092511E-2</v>
      </c>
      <c r="I73" s="91">
        <f>IF(ISNUMBER(G73), $B91 * H73, "")</f>
        <v>-4955.9471365638765</v>
      </c>
      <c r="J73" s="15">
        <v>444</v>
      </c>
      <c r="K73" s="32">
        <f t="shared" si="32"/>
        <v>-2.2026431718061675E-2</v>
      </c>
      <c r="L73" s="18">
        <f>IF(ISNUMBER(J73), $B91 * K73, "")</f>
        <v>-3303.9647577092514</v>
      </c>
      <c r="M73" s="31">
        <v>440</v>
      </c>
      <c r="N73" s="32">
        <f t="shared" si="33"/>
        <v>-3.0837004405286344E-2</v>
      </c>
      <c r="O73" s="18">
        <f>IF(ISNUMBER(M73), $B91 * N73, "")</f>
        <v>-4625.5506607929519</v>
      </c>
      <c r="Q73" s="146"/>
      <c r="R73" s="146"/>
      <c r="S73" s="146"/>
    </row>
    <row r="74" spans="1:19" ht="17.25" thickBot="1">
      <c r="A74" s="109" t="s">
        <v>176</v>
      </c>
      <c r="B74" s="110">
        <v>383</v>
      </c>
      <c r="C74" s="70">
        <v>-5.1948052000000003E-3</v>
      </c>
      <c r="D74" s="15">
        <v>382</v>
      </c>
      <c r="E74" s="32">
        <f t="shared" si="30"/>
        <v>-2.6109660574412533E-3</v>
      </c>
      <c r="F74" s="18">
        <f>IF(ISNUMBER(D74), $B91 * E74, "")</f>
        <v>-391.64490861618799</v>
      </c>
      <c r="G74" s="31">
        <v>381</v>
      </c>
      <c r="H74" s="32">
        <f t="shared" si="31"/>
        <v>-5.2219321148825066E-3</v>
      </c>
      <c r="I74" s="91">
        <f>IF(ISNUMBER(G74), $B91 * H74, "")</f>
        <v>-783.28981723237598</v>
      </c>
      <c r="J74" s="15">
        <v>380</v>
      </c>
      <c r="K74" s="32">
        <f t="shared" si="32"/>
        <v>-7.832898172323759E-3</v>
      </c>
      <c r="L74" s="18">
        <f>IF(ISNUMBER(J74), $B91 * K74, "")</f>
        <v>-1174.9347258485639</v>
      </c>
      <c r="M74" s="31">
        <v>381</v>
      </c>
      <c r="N74" s="32">
        <f t="shared" si="33"/>
        <v>-5.2219321148825066E-3</v>
      </c>
      <c r="O74" s="18">
        <f>IF(ISNUMBER(M74), $B91 * N74, "")</f>
        <v>-783.28981723237598</v>
      </c>
      <c r="Q74" s="146"/>
      <c r="R74" s="146"/>
      <c r="S74" s="146"/>
    </row>
    <row r="75" spans="1:19" ht="17.25" thickBot="1">
      <c r="A75" s="111" t="s">
        <v>105</v>
      </c>
      <c r="B75" s="112">
        <v>285</v>
      </c>
      <c r="C75" s="71">
        <v>-6.9686410999999998E-3</v>
      </c>
      <c r="D75" s="20">
        <v>268</v>
      </c>
      <c r="E75" s="21">
        <f t="shared" si="30"/>
        <v>-5.9649122807017542E-2</v>
      </c>
      <c r="F75" s="22">
        <f>IF(ISNUMBER(D75), $B91 * E75, "")</f>
        <v>-8947.3684210526317</v>
      </c>
      <c r="G75" s="30">
        <v>275</v>
      </c>
      <c r="H75" s="21">
        <f t="shared" si="31"/>
        <v>-3.5087719298245612E-2</v>
      </c>
      <c r="I75" s="95">
        <f>IF(ISNUMBER(G75), $B91 * H75, "")</f>
        <v>-5263.1578947368416</v>
      </c>
      <c r="J75" s="20">
        <v>277</v>
      </c>
      <c r="K75" s="21">
        <f t="shared" si="32"/>
        <v>-2.8070175438596492E-2</v>
      </c>
      <c r="L75" s="22">
        <f>IF(ISNUMBER(J75), $B91 * K75, "")</f>
        <v>-4210.5263157894742</v>
      </c>
      <c r="M75" s="30">
        <v>274</v>
      </c>
      <c r="N75" s="21">
        <f t="shared" si="33"/>
        <v>-3.8596491228070177E-2</v>
      </c>
      <c r="O75" s="22">
        <f>IF(ISNUMBER(M75), $B91 * N75, "")</f>
        <v>-5789.4736842105267</v>
      </c>
      <c r="Q75" s="146"/>
      <c r="R75" s="146"/>
      <c r="S75" s="146"/>
    </row>
    <row r="76" spans="1:19" ht="17.25" thickBot="1">
      <c r="A76" s="109" t="s">
        <v>89</v>
      </c>
      <c r="B76" s="113">
        <v>486</v>
      </c>
      <c r="C76" s="73">
        <v>-8.1632652999999999E-3</v>
      </c>
      <c r="D76" s="96">
        <v>484</v>
      </c>
      <c r="E76" s="97">
        <f>IF(ISNUMBER(D76), (D76 - $B76) / $B76, "")</f>
        <v>-4.11522633744856E-3</v>
      </c>
      <c r="F76" s="98">
        <f>IF(ISNUMBER(D76), $B91 * E76, "")</f>
        <v>-617.28395061728395</v>
      </c>
      <c r="G76" s="99">
        <v>484</v>
      </c>
      <c r="H76" s="97">
        <f>IF(ISNUMBER(G76), (G76 - $B76) / $B76, "")</f>
        <v>-4.11522633744856E-3</v>
      </c>
      <c r="I76" s="100">
        <f>IF(ISNUMBER(G76), $B91 * H76, "")</f>
        <v>-617.28395061728395</v>
      </c>
      <c r="J76" s="96">
        <v>485</v>
      </c>
      <c r="K76" s="97">
        <f>IF(ISNUMBER(J76), (J76 - $B76) / $B76, "")</f>
        <v>-2.05761316872428E-3</v>
      </c>
      <c r="L76" s="98">
        <f>IF(ISNUMBER(J76), $B91 * K76, "")</f>
        <v>-308.64197530864197</v>
      </c>
      <c r="M76" s="99">
        <v>484</v>
      </c>
      <c r="N76" s="97">
        <f>IF(ISNUMBER(M76), (M76 - $B76) / $B76, "")</f>
        <v>-4.11522633744856E-3</v>
      </c>
      <c r="O76" s="98">
        <f>IF(ISNUMBER(M76), $B91 * N76, "")</f>
        <v>-617.28395061728395</v>
      </c>
      <c r="Q76" s="146"/>
      <c r="R76" s="146"/>
      <c r="S76" s="146"/>
    </row>
    <row r="77" spans="1:19" ht="17.25" thickBot="1">
      <c r="A77" s="109" t="s">
        <v>66</v>
      </c>
      <c r="B77" s="110">
        <v>950</v>
      </c>
      <c r="C77" s="70">
        <v>-8.3507306999999996E-3</v>
      </c>
      <c r="D77" s="15">
        <v>920</v>
      </c>
      <c r="E77" s="32">
        <f t="shared" ref="E77:E80" si="34">IF(ISNUMBER(D77), (D77 - $B77) / $B77, "")</f>
        <v>-3.1578947368421054E-2</v>
      </c>
      <c r="F77" s="18">
        <f>IF(ISNUMBER(D77), $B91 * E77, "")</f>
        <v>-4736.8421052631584</v>
      </c>
      <c r="G77" s="31">
        <v>939</v>
      </c>
      <c r="H77" s="32">
        <f t="shared" ref="H77:H80" si="35">IF(ISNUMBER(G77), (G77 - $B77) / $B77, "")</f>
        <v>-1.1578947368421053E-2</v>
      </c>
      <c r="I77" s="91">
        <f>IF(ISNUMBER(G77), $B91 * H77, "")</f>
        <v>-1736.8421052631579</v>
      </c>
      <c r="J77" s="15">
        <v>943</v>
      </c>
      <c r="K77" s="32">
        <f t="shared" ref="K77:K80" si="36">IF(ISNUMBER(J77), (J77 - $B77) / $B77, "")</f>
        <v>-7.3684210526315788E-3</v>
      </c>
      <c r="L77" s="18">
        <f>IF(ISNUMBER(J77), $B91 * K77, "")</f>
        <v>-1105.2631578947369</v>
      </c>
      <c r="M77" s="31">
        <v>940</v>
      </c>
      <c r="N77" s="32">
        <f t="shared" ref="N77:N80" si="37">IF(ISNUMBER(M77), (M77 - $B77) / $B77, "")</f>
        <v>-1.0526315789473684E-2</v>
      </c>
      <c r="O77" s="18">
        <f>IF(ISNUMBER(M77), $B91 * N77, "")</f>
        <v>-1578.9473684210525</v>
      </c>
      <c r="Q77" s="146"/>
      <c r="R77" s="146"/>
      <c r="S77" s="146"/>
    </row>
    <row r="78" spans="1:19" ht="17.25" thickBot="1">
      <c r="A78" s="109" t="s">
        <v>336</v>
      </c>
      <c r="B78" s="110">
        <v>367</v>
      </c>
      <c r="C78" s="70">
        <v>-1.0781671200000001E-2</v>
      </c>
      <c r="D78" s="15">
        <v>348</v>
      </c>
      <c r="E78" s="32">
        <f t="shared" si="34"/>
        <v>-5.1771117166212535E-2</v>
      </c>
      <c r="F78" s="18">
        <f>IF(ISNUMBER(D78), $B91 * E78, "")</f>
        <v>-7765.6675749318802</v>
      </c>
      <c r="G78" s="31">
        <v>354</v>
      </c>
      <c r="H78" s="32">
        <f t="shared" si="35"/>
        <v>-3.5422343324250684E-2</v>
      </c>
      <c r="I78" s="91">
        <f>IF(ISNUMBER(G78), $B91 * H78, "")</f>
        <v>-5313.3514986376022</v>
      </c>
      <c r="J78" s="15">
        <v>357</v>
      </c>
      <c r="K78" s="32">
        <f t="shared" si="36"/>
        <v>-2.7247956403269755E-2</v>
      </c>
      <c r="L78" s="18">
        <f>IF(ISNUMBER(J78), $B91 * K78, "")</f>
        <v>-4087.1934604904632</v>
      </c>
      <c r="M78" s="31">
        <v>354</v>
      </c>
      <c r="N78" s="32">
        <f t="shared" si="37"/>
        <v>-3.5422343324250684E-2</v>
      </c>
      <c r="O78" s="18">
        <f>IF(ISNUMBER(M78), $B91 * N78, "")</f>
        <v>-5313.3514986376022</v>
      </c>
      <c r="Q78" s="146"/>
      <c r="R78" s="146"/>
      <c r="S78" s="146"/>
    </row>
    <row r="79" spans="1:19" ht="17.25" thickBot="1">
      <c r="A79" s="109" t="s">
        <v>187</v>
      </c>
      <c r="B79" s="110">
        <v>975</v>
      </c>
      <c r="C79" s="70">
        <v>-1.11561866E-2</v>
      </c>
      <c r="D79" s="15">
        <v>942</v>
      </c>
      <c r="E79" s="32">
        <f t="shared" si="34"/>
        <v>-3.3846153846153845E-2</v>
      </c>
      <c r="F79" s="18">
        <f>IF(ISNUMBER(D79), $B91 * E79, "")</f>
        <v>-5076.9230769230771</v>
      </c>
      <c r="G79" s="31">
        <v>952</v>
      </c>
      <c r="H79" s="32">
        <f t="shared" si="35"/>
        <v>-2.3589743589743591E-2</v>
      </c>
      <c r="I79" s="91">
        <f>IF(ISNUMBER(G79), $B91 * H79, "")</f>
        <v>-3538.4615384615386</v>
      </c>
      <c r="J79" s="15">
        <v>965</v>
      </c>
      <c r="K79" s="32">
        <f t="shared" si="36"/>
        <v>-1.0256410256410256E-2</v>
      </c>
      <c r="L79" s="18">
        <f>IF(ISNUMBER(J79), $B91 * K79, "")</f>
        <v>-1538.4615384615386</v>
      </c>
      <c r="M79" s="31">
        <v>956</v>
      </c>
      <c r="N79" s="32">
        <f t="shared" si="37"/>
        <v>-1.9487179487179488E-2</v>
      </c>
      <c r="O79" s="18">
        <f>IF(ISNUMBER(M79), $B91 * N79, "")</f>
        <v>-2923.0769230769233</v>
      </c>
      <c r="Q79" s="33"/>
      <c r="R79" s="33"/>
    </row>
    <row r="80" spans="1:19" ht="17.25" thickBot="1">
      <c r="A80" s="114" t="s">
        <v>183</v>
      </c>
      <c r="B80" s="115">
        <v>164</v>
      </c>
      <c r="C80" s="72">
        <v>-1.20481928E-2</v>
      </c>
      <c r="D80" s="24">
        <v>164</v>
      </c>
      <c r="E80" s="25">
        <f t="shared" si="34"/>
        <v>0</v>
      </c>
      <c r="F80" s="94">
        <f>IF(ISNUMBER(D80), $B91 * E80, "")</f>
        <v>0</v>
      </c>
      <c r="G80" s="92">
        <v>169</v>
      </c>
      <c r="H80" s="25">
        <f t="shared" si="35"/>
        <v>3.048780487804878E-2</v>
      </c>
      <c r="I80" s="93">
        <f>IF(ISNUMBER(G80), $B91 * H80, "")</f>
        <v>4573.1707317073169</v>
      </c>
      <c r="J80" s="24">
        <v>169</v>
      </c>
      <c r="K80" s="25">
        <f t="shared" si="36"/>
        <v>3.048780487804878E-2</v>
      </c>
      <c r="L80" s="94">
        <f>IF(ISNUMBER(J80), $B91 * K80, "")</f>
        <v>4573.1707317073169</v>
      </c>
      <c r="M80" s="92">
        <v>167</v>
      </c>
      <c r="N80" s="25">
        <f t="shared" si="37"/>
        <v>1.8292682926829267E-2</v>
      </c>
      <c r="O80" s="94">
        <f>IF(ISNUMBER(M80), $B91 * N80, "")</f>
        <v>2743.9024390243899</v>
      </c>
      <c r="Q80" s="147"/>
      <c r="R80" s="148"/>
      <c r="S80" s="149"/>
    </row>
    <row r="81" spans="1:19">
      <c r="A81" s="107" t="s">
        <v>229</v>
      </c>
      <c r="B81" s="108">
        <v>317</v>
      </c>
      <c r="C81" s="69">
        <v>-1.2461059199999999E-2</v>
      </c>
      <c r="D81" s="13">
        <v>323</v>
      </c>
      <c r="E81" s="14">
        <f>IF(ISNUMBER(D81), (D81 - $B81) / $B81, "")</f>
        <v>1.8927444794952682E-2</v>
      </c>
      <c r="F81" s="16">
        <f>IF(ISNUMBER(D81), $B91 * E81, "")</f>
        <v>2839.116719242902</v>
      </c>
      <c r="G81" s="29">
        <v>329</v>
      </c>
      <c r="H81" s="14">
        <f>IF(ISNUMBER(G81), (G81 - $B81) / $B81, "")</f>
        <v>3.7854889589905363E-2</v>
      </c>
      <c r="I81" s="90">
        <f>IF(ISNUMBER(G81), $B91 * H81, "")</f>
        <v>5678.2334384858041</v>
      </c>
      <c r="J81" s="13">
        <v>330</v>
      </c>
      <c r="K81" s="14">
        <f>IF(ISNUMBER(J81), (J81 - $B81) / $B81, "")</f>
        <v>4.1009463722397478E-2</v>
      </c>
      <c r="L81" s="16">
        <f>IF(ISNUMBER(J81), $B91 * K81, "")</f>
        <v>6151.419558359622</v>
      </c>
      <c r="M81" s="29">
        <v>329</v>
      </c>
      <c r="N81" s="14">
        <f>IF(ISNUMBER(M81), (M81 - $B81) / $B81, "")</f>
        <v>3.7854889589905363E-2</v>
      </c>
      <c r="O81" s="16">
        <f>IF(ISNUMBER(M81), $B91 * N81, "")</f>
        <v>5678.2334384858041</v>
      </c>
      <c r="Q81" s="150"/>
      <c r="R81" s="151"/>
      <c r="S81" s="152"/>
    </row>
    <row r="82" spans="1:19" ht="17.25" thickBot="1">
      <c r="A82" s="109" t="s">
        <v>85</v>
      </c>
      <c r="B82" s="110">
        <v>158</v>
      </c>
      <c r="C82" s="70">
        <v>-1.2500000000000001E-2</v>
      </c>
      <c r="D82" s="15">
        <v>152</v>
      </c>
      <c r="E82" s="32">
        <f t="shared" ref="E82:E85" si="38">IF(ISNUMBER(D82), (D82 - $B82) / $B82, "")</f>
        <v>-3.7974683544303799E-2</v>
      </c>
      <c r="F82" s="18">
        <f>IF(ISNUMBER(D82), $B91 * E82, "")</f>
        <v>-5696.2025316455702</v>
      </c>
      <c r="G82" s="31">
        <v>155</v>
      </c>
      <c r="H82" s="32">
        <f t="shared" ref="H82:H85" si="39">IF(ISNUMBER(G82), (G82 - $B82) / $B82, "")</f>
        <v>-1.8987341772151899E-2</v>
      </c>
      <c r="I82" s="91">
        <f>IF(ISNUMBER(G82), $B91 * H82, "")</f>
        <v>-2848.1012658227851</v>
      </c>
      <c r="J82" s="15">
        <v>157</v>
      </c>
      <c r="K82" s="32">
        <f t="shared" ref="K82:K85" si="40">IF(ISNUMBER(J82), (J82 - $B82) / $B82, "")</f>
        <v>-6.3291139240506328E-3</v>
      </c>
      <c r="L82" s="18">
        <f>IF(ISNUMBER(J82), $B91 * K82, "")</f>
        <v>-949.36708860759495</v>
      </c>
      <c r="M82" s="31">
        <v>155</v>
      </c>
      <c r="N82" s="32">
        <f t="shared" ref="N82:N85" si="41">IF(ISNUMBER(M82), (M82 - $B82) / $B82, "")</f>
        <v>-1.8987341772151899E-2</v>
      </c>
      <c r="O82" s="18">
        <f>IF(ISNUMBER(M82), $B91 * N82, "")</f>
        <v>-2848.1012658227851</v>
      </c>
      <c r="Q82" s="153"/>
      <c r="R82" s="154"/>
      <c r="S82" s="155"/>
    </row>
    <row r="83" spans="1:19" ht="17.25" thickBot="1">
      <c r="A83" s="109" t="s">
        <v>235</v>
      </c>
      <c r="B83" s="110">
        <v>705</v>
      </c>
      <c r="C83" s="70">
        <v>-1.3986014E-2</v>
      </c>
      <c r="D83" s="15">
        <v>690</v>
      </c>
      <c r="E83" s="32">
        <f t="shared" si="38"/>
        <v>-2.1276595744680851E-2</v>
      </c>
      <c r="F83" s="18">
        <f>IF(ISNUMBER(D83), $B91 * E83, "")</f>
        <v>-3191.4893617021276</v>
      </c>
      <c r="G83" s="31">
        <v>715</v>
      </c>
      <c r="H83" s="32">
        <f t="shared" si="39"/>
        <v>1.4184397163120567E-2</v>
      </c>
      <c r="I83" s="91">
        <f>IF(ISNUMBER(G83), $B91 * H83, "")</f>
        <v>2127.6595744680849</v>
      </c>
      <c r="J83" s="15">
        <v>715</v>
      </c>
      <c r="K83" s="32">
        <f t="shared" si="40"/>
        <v>1.4184397163120567E-2</v>
      </c>
      <c r="L83" s="18">
        <f>IF(ISNUMBER(J83), $B91 * K83, "")</f>
        <v>2127.6595744680849</v>
      </c>
      <c r="M83" s="31">
        <v>711</v>
      </c>
      <c r="N83" s="32">
        <f t="shared" si="41"/>
        <v>8.5106382978723406E-3</v>
      </c>
      <c r="O83" s="18">
        <f>IF(ISNUMBER(M83), $B91 * N83, "")</f>
        <v>1276.5957446808511</v>
      </c>
      <c r="Q83" s="146"/>
      <c r="R83" s="146"/>
      <c r="S83" s="146"/>
    </row>
    <row r="84" spans="1:19" ht="17.25" thickBot="1">
      <c r="A84" s="109" t="s">
        <v>205</v>
      </c>
      <c r="B84" s="110">
        <v>139</v>
      </c>
      <c r="C84" s="70">
        <v>-1.4184397200000001E-2</v>
      </c>
      <c r="D84" s="15">
        <v>135</v>
      </c>
      <c r="E84" s="32">
        <f t="shared" si="38"/>
        <v>-2.8776978417266189E-2</v>
      </c>
      <c r="F84" s="18">
        <f>IF(ISNUMBER(D84), $B91 * E84, "")</f>
        <v>-4316.5467625899282</v>
      </c>
      <c r="G84" s="31">
        <v>137</v>
      </c>
      <c r="H84" s="32">
        <f t="shared" si="39"/>
        <v>-1.4388489208633094E-2</v>
      </c>
      <c r="I84" s="91">
        <f>IF(ISNUMBER(G84), $B91 * H84, "")</f>
        <v>-2158.2733812949641</v>
      </c>
      <c r="J84" s="15">
        <v>138</v>
      </c>
      <c r="K84" s="32">
        <f t="shared" si="40"/>
        <v>-7.1942446043165471E-3</v>
      </c>
      <c r="L84" s="18">
        <f>IF(ISNUMBER(J84), $B91 * K84, "")</f>
        <v>-1079.1366906474821</v>
      </c>
      <c r="M84" s="31">
        <v>137</v>
      </c>
      <c r="N84" s="32">
        <f t="shared" si="41"/>
        <v>-1.4388489208633094E-2</v>
      </c>
      <c r="O84" s="18">
        <f>IF(ISNUMBER(M84), $B91 * N84, "")</f>
        <v>-2158.2733812949641</v>
      </c>
      <c r="Q84" s="156"/>
      <c r="R84" s="156"/>
      <c r="S84" s="156"/>
    </row>
    <row r="85" spans="1:19" ht="17.25" thickBot="1">
      <c r="A85" s="111" t="s">
        <v>149</v>
      </c>
      <c r="B85" s="112">
        <v>555</v>
      </c>
      <c r="C85" s="71">
        <v>-1.42095915E-2</v>
      </c>
      <c r="D85" s="20">
        <v>507</v>
      </c>
      <c r="E85" s="21">
        <f t="shared" si="38"/>
        <v>-8.6486486486486491E-2</v>
      </c>
      <c r="F85" s="22">
        <f>IF(ISNUMBER(D85), $B91 * E85, "")</f>
        <v>-12972.972972972973</v>
      </c>
      <c r="G85" s="30">
        <v>517</v>
      </c>
      <c r="H85" s="21">
        <f t="shared" si="39"/>
        <v>-6.8468468468468463E-2</v>
      </c>
      <c r="I85" s="95">
        <f>IF(ISNUMBER(G85), $B91 * H85, "")</f>
        <v>-10270.27027027027</v>
      </c>
      <c r="J85" s="20">
        <v>524</v>
      </c>
      <c r="K85" s="21">
        <f t="shared" si="40"/>
        <v>-5.5855855855855854E-2</v>
      </c>
      <c r="L85" s="22">
        <f>IF(ISNUMBER(J85), $B91 * K85, "")</f>
        <v>-8378.3783783783783</v>
      </c>
      <c r="M85" s="30">
        <v>519</v>
      </c>
      <c r="N85" s="21">
        <f t="shared" si="41"/>
        <v>-6.4864864864864868E-2</v>
      </c>
      <c r="O85" s="22">
        <f>IF(ISNUMBER(M85), $B91 * N85, "")</f>
        <v>-9729.72972972973</v>
      </c>
      <c r="Q85" s="156"/>
      <c r="R85" s="156"/>
      <c r="S85" s="156"/>
    </row>
    <row r="86" spans="1:19" ht="17.25" thickBot="1">
      <c r="A86" s="109" t="s">
        <v>340</v>
      </c>
      <c r="B86" s="113">
        <v>831</v>
      </c>
      <c r="C86" s="73">
        <v>-1.54028436E-2</v>
      </c>
      <c r="D86" s="96">
        <v>789</v>
      </c>
      <c r="E86" s="97">
        <f>IF(ISNUMBER(D86), (D86 - $B86) / $B86, "")</f>
        <v>-5.0541516245487361E-2</v>
      </c>
      <c r="F86" s="98">
        <f>IF(ISNUMBER(D86), $B91 * E86, "")</f>
        <v>-7581.2274368231037</v>
      </c>
      <c r="G86" s="99">
        <v>812</v>
      </c>
      <c r="H86" s="97">
        <f>IF(ISNUMBER(G86), (G86 - $B86) / $B86, "")</f>
        <v>-2.2864019253910951E-2</v>
      </c>
      <c r="I86" s="100">
        <f>IF(ISNUMBER(G86), $B91 * H86, "")</f>
        <v>-3429.6028880866425</v>
      </c>
      <c r="J86" s="96">
        <v>824</v>
      </c>
      <c r="K86" s="97">
        <f>IF(ISNUMBER(J86), (J86 - $B86) / $B86, "")</f>
        <v>-8.4235860409145602E-3</v>
      </c>
      <c r="L86" s="98">
        <f>IF(ISNUMBER(J86), $B91 * K86, "")</f>
        <v>-1263.5379061371841</v>
      </c>
      <c r="M86" s="99">
        <v>816</v>
      </c>
      <c r="N86" s="97">
        <f>IF(ISNUMBER(M86), (M86 - $B86) / $B86, "")</f>
        <v>-1.8050541516245487E-2</v>
      </c>
      <c r="O86" s="98">
        <f>IF(ISNUMBER(M86), $B91 * N86, "")</f>
        <v>-2707.5812274368232</v>
      </c>
      <c r="Q86" s="146"/>
      <c r="R86" s="146"/>
      <c r="S86" s="146"/>
    </row>
    <row r="87" spans="1:19" ht="17.25" thickBot="1">
      <c r="A87" s="109" t="s">
        <v>325</v>
      </c>
      <c r="B87" s="110">
        <v>680</v>
      </c>
      <c r="C87" s="70">
        <v>-1.5918958E-2</v>
      </c>
      <c r="D87" s="15">
        <v>650</v>
      </c>
      <c r="E87" s="32">
        <f t="shared" ref="E87:E90" si="42">IF(ISNUMBER(D87), (D87 - $B87) / $B87, "")</f>
        <v>-4.4117647058823532E-2</v>
      </c>
      <c r="F87" s="18">
        <f>IF(ISNUMBER(D87), $B91 * E87, "")</f>
        <v>-6617.6470588235297</v>
      </c>
      <c r="G87" s="31">
        <v>660</v>
      </c>
      <c r="H87" s="32">
        <f t="shared" ref="H87:H90" si="43">IF(ISNUMBER(G87), (G87 - $B87) / $B87, "")</f>
        <v>-2.9411764705882353E-2</v>
      </c>
      <c r="I87" s="91">
        <f>IF(ISNUMBER(G87), $B91 * H87, "")</f>
        <v>-4411.7647058823532</v>
      </c>
      <c r="J87" s="15">
        <v>663</v>
      </c>
      <c r="K87" s="32">
        <f t="shared" ref="K87:K90" si="44">IF(ISNUMBER(J87), (J87 - $B87) / $B87, "")</f>
        <v>-2.5000000000000001E-2</v>
      </c>
      <c r="L87" s="18">
        <f>IF(ISNUMBER(J87), $B91 * K87, "")</f>
        <v>-3750</v>
      </c>
      <c r="M87" s="31">
        <v>658</v>
      </c>
      <c r="N87" s="32">
        <f t="shared" ref="N87:N90" si="45">IF(ISNUMBER(M87), (M87 - $B87) / $B87, "")</f>
        <v>-3.2352941176470591E-2</v>
      </c>
      <c r="O87" s="18">
        <f>IF(ISNUMBER(M87), $B91 * N87, "")</f>
        <v>-4852.9411764705883</v>
      </c>
      <c r="Q87" s="146"/>
      <c r="R87" s="146"/>
      <c r="S87" s="146"/>
    </row>
    <row r="88" spans="1:19" ht="17.25" thickBot="1">
      <c r="A88" s="109" t="s">
        <v>103</v>
      </c>
      <c r="B88" s="110">
        <v>304</v>
      </c>
      <c r="C88" s="70">
        <v>-1.6181229799999999E-2</v>
      </c>
      <c r="D88" s="15">
        <v>290</v>
      </c>
      <c r="E88" s="32">
        <f t="shared" si="42"/>
        <v>-4.6052631578947366E-2</v>
      </c>
      <c r="F88" s="18">
        <f>IF(ISNUMBER(D88), $B91 * E88, "")</f>
        <v>-6907.894736842105</v>
      </c>
      <c r="G88" s="31">
        <v>293</v>
      </c>
      <c r="H88" s="32">
        <f t="shared" si="43"/>
        <v>-3.6184210526315791E-2</v>
      </c>
      <c r="I88" s="91">
        <f>IF(ISNUMBER(G88), $B91 * H88, "")</f>
        <v>-5427.6315789473683</v>
      </c>
      <c r="J88" s="15">
        <v>295</v>
      </c>
      <c r="K88" s="32">
        <f t="shared" si="44"/>
        <v>-2.9605263157894735E-2</v>
      </c>
      <c r="L88" s="18">
        <f>IF(ISNUMBER(J88), $B91 * K88, "")</f>
        <v>-4440.78947368421</v>
      </c>
      <c r="M88" s="31">
        <v>294</v>
      </c>
      <c r="N88" s="32">
        <f t="shared" si="45"/>
        <v>-3.2894736842105261E-2</v>
      </c>
      <c r="O88" s="18">
        <f>IF(ISNUMBER(M88), $B91 * N88, "")</f>
        <v>-4934.2105263157891</v>
      </c>
      <c r="Q88" s="146"/>
      <c r="R88" s="146"/>
      <c r="S88" s="146"/>
    </row>
    <row r="89" spans="1:19">
      <c r="A89" s="109" t="s">
        <v>223</v>
      </c>
      <c r="B89" s="110">
        <v>271</v>
      </c>
      <c r="C89" s="70">
        <v>-1.8115941999999999E-2</v>
      </c>
      <c r="D89" s="15">
        <v>267</v>
      </c>
      <c r="E89" s="32">
        <f t="shared" si="42"/>
        <v>-1.4760147601476014E-2</v>
      </c>
      <c r="F89" s="18">
        <f>IF(ISNUMBER(D89), $B91 * E89, "")</f>
        <v>-2214.022140221402</v>
      </c>
      <c r="G89" s="31">
        <v>270</v>
      </c>
      <c r="H89" s="32">
        <f t="shared" si="43"/>
        <v>-3.6900369003690036E-3</v>
      </c>
      <c r="I89" s="91">
        <f>IF(ISNUMBER(G89), $B91 * H89, "")</f>
        <v>-553.50553505535049</v>
      </c>
      <c r="J89" s="15">
        <v>271</v>
      </c>
      <c r="K89" s="32">
        <f t="shared" si="44"/>
        <v>0</v>
      </c>
      <c r="L89" s="18">
        <f>IF(ISNUMBER(J89), $B91 * K89, "")</f>
        <v>0</v>
      </c>
      <c r="M89" s="31">
        <v>270</v>
      </c>
      <c r="N89" s="32">
        <f t="shared" si="45"/>
        <v>-3.6900369003690036E-3</v>
      </c>
      <c r="O89" s="18">
        <f>IF(ISNUMBER(M89), $B91 * N89, "")</f>
        <v>-553.50553505535049</v>
      </c>
      <c r="Q89" s="135"/>
      <c r="R89" s="136"/>
      <c r="S89" s="137"/>
    </row>
    <row r="90" spans="1:19" ht="17.25" thickBot="1">
      <c r="A90" s="114" t="s">
        <v>213</v>
      </c>
      <c r="B90" s="115">
        <v>611</v>
      </c>
      <c r="C90" s="72">
        <v>-1.9261637200000001E-2</v>
      </c>
      <c r="D90" s="24">
        <v>599</v>
      </c>
      <c r="E90" s="25">
        <f t="shared" si="42"/>
        <v>-1.9639934533551555E-2</v>
      </c>
      <c r="F90" s="94">
        <f>IF(ISNUMBER(D90), $B91 * E90, "")</f>
        <v>-2945.9901800327334</v>
      </c>
      <c r="G90" s="92">
        <v>607</v>
      </c>
      <c r="H90" s="25">
        <f t="shared" si="43"/>
        <v>-6.5466448445171853E-3</v>
      </c>
      <c r="I90" s="93">
        <f>IF(ISNUMBER(G90), $B91 * H90, "")</f>
        <v>-981.99672667757784</v>
      </c>
      <c r="J90" s="24">
        <v>609</v>
      </c>
      <c r="K90" s="25">
        <f t="shared" si="44"/>
        <v>-3.2733224222585926E-3</v>
      </c>
      <c r="L90" s="94">
        <f>IF(ISNUMBER(J90), $B91 * K90, "")</f>
        <v>-490.99836333878892</v>
      </c>
      <c r="M90" s="92">
        <v>607</v>
      </c>
      <c r="N90" s="25">
        <f t="shared" si="45"/>
        <v>-6.5466448445171853E-3</v>
      </c>
      <c r="O90" s="94">
        <f>IF(ISNUMBER(M90), $B91 * N90, "")</f>
        <v>-981.99672667757784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-3.1251034456322484E-2</v>
      </c>
      <c r="F91" s="28">
        <f>SUM(F71:F90)</f>
        <v>-93753.10336896748</v>
      </c>
      <c r="G91" s="26" t="s">
        <v>258</v>
      </c>
      <c r="H91" s="27">
        <f>IF(COUNT(H71:H90), SUM(H71:H90) / COUNT(H71:H90), 0)</f>
        <v>-1.5890707411502499E-2</v>
      </c>
      <c r="I91" s="28">
        <f>SUM(I71:I90)</f>
        <v>-47672.122234507508</v>
      </c>
      <c r="J91" s="26" t="s">
        <v>258</v>
      </c>
      <c r="K91" s="27">
        <f>IF(COUNT(K71:K90), SUM(K71:K90) / COUNT(K71:K90), 0)</f>
        <v>-9.9124350572582214E-3</v>
      </c>
      <c r="L91" s="28">
        <f>SUM(L71:L90)</f>
        <v>-29737.30517177466</v>
      </c>
      <c r="M91" s="26" t="s">
        <v>258</v>
      </c>
      <c r="N91" s="27">
        <f>IF(COUNT(N71:N90), SUM(N71:N90) / COUNT(N71:N90), 0)</f>
        <v>-1.7072046792676456E-2</v>
      </c>
      <c r="O91" s="28">
        <f>SUM(O71:O90)</f>
        <v>-51216.140378029369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2023-03-16(목) 오전 00:00</v>
      </c>
      <c r="C96" s="198"/>
      <c r="D96" s="170" t="str">
        <f>TEXT($G$1, "[$-ko-KR]yyyy-mm-dd(ddd) ") &amp; "오후 14:00"</f>
        <v>2023-03-16(목) 오후 14:00</v>
      </c>
      <c r="E96" s="171"/>
      <c r="F96" s="172"/>
      <c r="G96" s="170" t="str">
        <f>TEXT($G$1, "[$-ko-KR]yyyy-mm-dd(ddd) ") &amp; "오후 19:00"</f>
        <v>2023-03-16(목) 오후 19:00</v>
      </c>
      <c r="H96" s="171"/>
      <c r="I96" s="172"/>
      <c r="J96" s="170" t="str">
        <f>TEXT($G$1, "[$-ko-KR]yyyy-mm-dd(ddd) ") &amp; "오후 21:00"</f>
        <v>2023-03-16(목) 오후 21:00</v>
      </c>
      <c r="K96" s="171"/>
      <c r="L96" s="172"/>
      <c r="M96" s="170" t="str">
        <f>TEXT($G$1+1, "[$-ko-KR]yyyy-mm-dd(ddd) ") &amp; "오전 00:00"</f>
        <v>2023-03-17(금)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354</v>
      </c>
      <c r="B98" s="108">
        <v>5345</v>
      </c>
      <c r="C98" s="69">
        <v>0.16703056769999999</v>
      </c>
      <c r="D98" s="13">
        <v>5000</v>
      </c>
      <c r="E98" s="14">
        <f>IF(ISNUMBER(D98), (D98 - $B98) / $B98, "")</f>
        <v>-6.4546304957904588E-2</v>
      </c>
      <c r="F98" s="16">
        <f>IF(ISNUMBER(D98), $B118 * E98, "")</f>
        <v>-9681.9457436856883</v>
      </c>
      <c r="G98" s="29">
        <v>5330</v>
      </c>
      <c r="H98" s="14">
        <f>IF(ISNUMBER(G98), (G98 - $B98) / $B98, "")</f>
        <v>-2.8063610851262861E-3</v>
      </c>
      <c r="I98" s="90">
        <f>IF(ISNUMBER(G98), $B118 * H98, "")</f>
        <v>-420.95416276894292</v>
      </c>
      <c r="J98" s="13">
        <v>5465</v>
      </c>
      <c r="K98" s="14">
        <f>IF(ISNUMBER(J98), (J98 - $B98) / $B98, "")</f>
        <v>2.2450888681010289E-2</v>
      </c>
      <c r="L98" s="16">
        <f>IF(ISNUMBER(J98), $B118 * K98, "")</f>
        <v>3367.6333021515434</v>
      </c>
      <c r="M98" s="29">
        <v>5365</v>
      </c>
      <c r="N98" s="14">
        <f>IF(ISNUMBER(M98), (M98 - $B98) / $B98, "")</f>
        <v>3.7418147801683817E-3</v>
      </c>
      <c r="O98" s="16">
        <f>IF(ISNUMBER(M98), $B118 * N98, "")</f>
        <v>561.27221702525731</v>
      </c>
      <c r="Q98" s="156"/>
      <c r="R98" s="156"/>
      <c r="S98" s="156"/>
    </row>
    <row r="99" spans="1:19" ht="17.25" thickBot="1">
      <c r="A99" s="109" t="s">
        <v>332</v>
      </c>
      <c r="B99" s="110">
        <v>9.66</v>
      </c>
      <c r="C99" s="70">
        <v>0.13380281690000001</v>
      </c>
      <c r="D99" s="15">
        <v>8.5399999999999991</v>
      </c>
      <c r="E99" s="32">
        <f t="shared" ref="E99:E102" si="46">IF(ISNUMBER(D99), (D99 - $B99) / $B99, "")</f>
        <v>-0.11594202898550734</v>
      </c>
      <c r="F99" s="18">
        <f>IF(ISNUMBER(D99), $B118 * E99, "")</f>
        <v>-17391.304347826102</v>
      </c>
      <c r="G99" s="31">
        <v>8.6300000000000008</v>
      </c>
      <c r="H99" s="32">
        <f t="shared" ref="H99:H102" si="47">IF(ISNUMBER(G99), (G99 - $B99) / $B99, "")</f>
        <v>-0.10662525879917177</v>
      </c>
      <c r="I99" s="91">
        <f>IF(ISNUMBER(G99), $B118 * H99, "")</f>
        <v>-15993.788819875766</v>
      </c>
      <c r="J99" s="15">
        <v>8.73</v>
      </c>
      <c r="K99" s="32">
        <f t="shared" ref="K99:K102" si="48">IF(ISNUMBER(J99), (J99 - $B99) / $B99, "")</f>
        <v>-9.6273291925465812E-2</v>
      </c>
      <c r="L99" s="18">
        <f>IF(ISNUMBER(J99), $B118 * K99, "")</f>
        <v>-14440.993788819871</v>
      </c>
      <c r="M99" s="31">
        <v>8.69</v>
      </c>
      <c r="N99" s="32">
        <f t="shared" ref="N99:N102" si="49">IF(ISNUMBER(M99), (M99 - $B99) / $B99, "")</f>
        <v>-0.10041407867494831</v>
      </c>
      <c r="O99" s="18">
        <f>IF(ISNUMBER(M99), $B118 * N99, "")</f>
        <v>-15062.111801242247</v>
      </c>
      <c r="Q99" s="156"/>
      <c r="R99" s="156"/>
      <c r="S99" s="156"/>
    </row>
    <row r="100" spans="1:19" ht="17.25" thickBot="1">
      <c r="A100" s="109" t="s">
        <v>97</v>
      </c>
      <c r="B100" s="110">
        <v>8.9999999999999998E-4</v>
      </c>
      <c r="C100" s="70">
        <v>0.125</v>
      </c>
      <c r="D100" s="15">
        <v>8.0000000000000004E-4</v>
      </c>
      <c r="E100" s="32">
        <f t="shared" si="46"/>
        <v>-0.11111111111111105</v>
      </c>
      <c r="F100" s="18">
        <f>IF(ISNUMBER(D100), $B118 * E100, "")</f>
        <v>-16666.666666666657</v>
      </c>
      <c r="G100" s="31">
        <v>8.0000000000000004E-4</v>
      </c>
      <c r="H100" s="32">
        <f t="shared" si="47"/>
        <v>-0.11111111111111105</v>
      </c>
      <c r="I100" s="91">
        <f>IF(ISNUMBER(G100), $B118 * H100, "")</f>
        <v>-16666.666666666657</v>
      </c>
      <c r="J100" s="15">
        <v>8.9999999999999998E-4</v>
      </c>
      <c r="K100" s="32">
        <f t="shared" si="48"/>
        <v>0</v>
      </c>
      <c r="L100" s="18">
        <f>IF(ISNUMBER(J100), $B118 * K100, "")</f>
        <v>0</v>
      </c>
      <c r="M100" s="31">
        <v>8.9999999999999998E-4</v>
      </c>
      <c r="N100" s="32">
        <f t="shared" si="49"/>
        <v>0</v>
      </c>
      <c r="O100" s="18">
        <f>IF(ISNUMBER(M100), $B118 * N100, "")</f>
        <v>0</v>
      </c>
      <c r="Q100" s="146"/>
      <c r="R100" s="146"/>
      <c r="S100" s="146"/>
    </row>
    <row r="101" spans="1:19" ht="17.25" thickBot="1">
      <c r="A101" s="109" t="s">
        <v>239</v>
      </c>
      <c r="B101" s="110">
        <v>600</v>
      </c>
      <c r="C101" s="70">
        <v>5.0788091100000002E-2</v>
      </c>
      <c r="D101" s="15">
        <v>580</v>
      </c>
      <c r="E101" s="32">
        <f t="shared" si="46"/>
        <v>-3.3333333333333333E-2</v>
      </c>
      <c r="F101" s="18">
        <f>IF(ISNUMBER(D101), $B118 * E101, "")</f>
        <v>-5000</v>
      </c>
      <c r="G101" s="31">
        <v>583</v>
      </c>
      <c r="H101" s="32">
        <f t="shared" si="47"/>
        <v>-2.8333333333333332E-2</v>
      </c>
      <c r="I101" s="91">
        <f>IF(ISNUMBER(G101), $B118 * H101, "")</f>
        <v>-4250</v>
      </c>
      <c r="J101" s="15">
        <v>584</v>
      </c>
      <c r="K101" s="32">
        <f t="shared" si="48"/>
        <v>-2.6666666666666668E-2</v>
      </c>
      <c r="L101" s="18">
        <f>IF(ISNUMBER(J101), $B118 * K101, "")</f>
        <v>-4000.0000000000005</v>
      </c>
      <c r="M101" s="31">
        <v>579</v>
      </c>
      <c r="N101" s="32">
        <f t="shared" si="49"/>
        <v>-3.5000000000000003E-2</v>
      </c>
      <c r="O101" s="18">
        <f>IF(ISNUMBER(M101), $B118 * N101, "")</f>
        <v>-5250.0000000000009</v>
      </c>
      <c r="Q101" s="146"/>
      <c r="R101" s="146"/>
      <c r="S101" s="146"/>
    </row>
    <row r="102" spans="1:19" ht="17.25" thickBot="1">
      <c r="A102" s="111" t="s">
        <v>141</v>
      </c>
      <c r="B102" s="112">
        <v>5.58</v>
      </c>
      <c r="C102" s="71">
        <v>2.9520295200000001E-2</v>
      </c>
      <c r="D102" s="20">
        <v>5.17</v>
      </c>
      <c r="E102" s="21">
        <f t="shared" si="46"/>
        <v>-7.3476702508960601E-2</v>
      </c>
      <c r="F102" s="22">
        <f>IF(ISNUMBER(D102), $B118 * E102, "")</f>
        <v>-11021.50537634409</v>
      </c>
      <c r="G102" s="30">
        <v>5.32</v>
      </c>
      <c r="H102" s="21">
        <f t="shared" si="47"/>
        <v>-4.6594982078853008E-2</v>
      </c>
      <c r="I102" s="95">
        <f>IF(ISNUMBER(G102), $B118 * H102, "")</f>
        <v>-6989.2473118279513</v>
      </c>
      <c r="J102" s="20">
        <v>5.35</v>
      </c>
      <c r="K102" s="21">
        <f t="shared" si="48"/>
        <v>-4.1218637992831618E-2</v>
      </c>
      <c r="L102" s="22">
        <f>IF(ISNUMBER(J102), $B118 * K102, "")</f>
        <v>-6182.7956989247423</v>
      </c>
      <c r="M102" s="30">
        <v>5.34</v>
      </c>
      <c r="N102" s="21">
        <f t="shared" si="49"/>
        <v>-4.3010752688172081E-2</v>
      </c>
      <c r="O102" s="22">
        <f>IF(ISNUMBER(M102), $B118 * N102, "")</f>
        <v>-6451.6129032258123</v>
      </c>
      <c r="Q102" s="146"/>
      <c r="R102" s="146"/>
      <c r="S102" s="146"/>
    </row>
    <row r="103" spans="1:19" ht="17.25" thickBot="1">
      <c r="A103" s="109" t="s">
        <v>329</v>
      </c>
      <c r="B103" s="113">
        <v>598</v>
      </c>
      <c r="C103" s="73">
        <v>2.9259896699999999E-2</v>
      </c>
      <c r="D103" s="96">
        <v>582</v>
      </c>
      <c r="E103" s="97">
        <f>IF(ISNUMBER(D103), (D103 - $B103) / $B103, "")</f>
        <v>-2.6755852842809364E-2</v>
      </c>
      <c r="F103" s="98">
        <f>IF(ISNUMBER(D103), $B118 * E103, "")</f>
        <v>-4013.3779264214045</v>
      </c>
      <c r="G103" s="99">
        <v>584</v>
      </c>
      <c r="H103" s="97">
        <f>IF(ISNUMBER(G103), (G103 - $B103) / $B103, "")</f>
        <v>-2.3411371237458192E-2</v>
      </c>
      <c r="I103" s="100">
        <f>IF(ISNUMBER(G103), $B118 * H103, "")</f>
        <v>-3511.7056856187287</v>
      </c>
      <c r="J103" s="96">
        <v>588</v>
      </c>
      <c r="K103" s="97">
        <f>IF(ISNUMBER(J103), (J103 - $B103) / $B103, "")</f>
        <v>-1.6722408026755852E-2</v>
      </c>
      <c r="L103" s="98">
        <f>IF(ISNUMBER(J103), $B118 * K103, "")</f>
        <v>-2508.361204013378</v>
      </c>
      <c r="M103" s="99">
        <v>577</v>
      </c>
      <c r="N103" s="97">
        <f>IF(ISNUMBER(M103), (M103 - $B103) / $B103, "")</f>
        <v>-3.5117056856187288E-2</v>
      </c>
      <c r="O103" s="98">
        <f>IF(ISNUMBER(M103), $B118 * N103, "")</f>
        <v>-5267.5585284280933</v>
      </c>
      <c r="Q103" s="146"/>
      <c r="R103" s="146"/>
      <c r="S103" s="146"/>
    </row>
    <row r="104" spans="1:19" ht="17.25" thickBot="1">
      <c r="A104" s="109" t="s">
        <v>195</v>
      </c>
      <c r="B104" s="110">
        <v>9.02</v>
      </c>
      <c r="C104" s="70">
        <v>2.61660978E-2</v>
      </c>
      <c r="D104" s="15">
        <v>8.57</v>
      </c>
      <c r="E104" s="32">
        <f t="shared" ref="E104:E107" si="50">IF(ISNUMBER(D104), (D104 - $B104) / $B104, "")</f>
        <v>-4.9889135254988837E-2</v>
      </c>
      <c r="F104" s="18">
        <f>IF(ISNUMBER(D104), $B118 * E104, "")</f>
        <v>-7483.3702882483258</v>
      </c>
      <c r="G104" s="31">
        <v>8.6</v>
      </c>
      <c r="H104" s="32">
        <f t="shared" ref="H104:H107" si="51">IF(ISNUMBER(G104), (G104 - $B104) / $B104, "")</f>
        <v>-4.6563192904656311E-2</v>
      </c>
      <c r="I104" s="91">
        <f>IF(ISNUMBER(G104), $B118 * H104, "")</f>
        <v>-6984.4789356984465</v>
      </c>
      <c r="J104" s="15">
        <v>8.75</v>
      </c>
      <c r="K104" s="32">
        <f t="shared" ref="K104:K107" si="52">IF(ISNUMBER(J104), (J104 - $B104) / $B104, "")</f>
        <v>-2.9933481152993303E-2</v>
      </c>
      <c r="L104" s="18">
        <f>IF(ISNUMBER(J104), $B118 * K104, "")</f>
        <v>-4490.0221729489958</v>
      </c>
      <c r="M104" s="31">
        <v>8.76</v>
      </c>
      <c r="N104" s="32">
        <f t="shared" ref="N104:N107" si="53">IF(ISNUMBER(M104), (M104 - $B104) / $B104, "")</f>
        <v>-2.8824833702882462E-2</v>
      </c>
      <c r="O104" s="18">
        <f>IF(ISNUMBER(M104), $B118 * N104, "")</f>
        <v>-4323.7250554323691</v>
      </c>
      <c r="Q104" s="146"/>
      <c r="R104" s="146"/>
      <c r="S104" s="146"/>
    </row>
    <row r="105" spans="1:19" ht="17.25" thickBot="1">
      <c r="A105" s="109" t="s">
        <v>49</v>
      </c>
      <c r="B105" s="110">
        <v>32992000</v>
      </c>
      <c r="C105" s="70">
        <v>1.5450907999999999E-2</v>
      </c>
      <c r="D105" s="15">
        <v>32382000</v>
      </c>
      <c r="E105" s="32">
        <f t="shared" si="50"/>
        <v>-1.8489330746847721E-2</v>
      </c>
      <c r="F105" s="18">
        <f>IF(ISNUMBER(D105), $B118 * E105, "")</f>
        <v>-2773.3996120271581</v>
      </c>
      <c r="G105" s="31">
        <v>32923000</v>
      </c>
      <c r="H105" s="32">
        <f t="shared" si="51"/>
        <v>-2.0914161008729389E-3</v>
      </c>
      <c r="I105" s="91">
        <f>IF(ISNUMBER(G105), $B118 * H105, "")</f>
        <v>-313.71241513094083</v>
      </c>
      <c r="J105" s="15">
        <v>33258000</v>
      </c>
      <c r="K105" s="32">
        <f t="shared" si="52"/>
        <v>8.0625606207565467E-3</v>
      </c>
      <c r="L105" s="18">
        <f>IF(ISNUMBER(J105), $B118 * K105, "")</f>
        <v>1209.3840931134821</v>
      </c>
      <c r="M105" s="31">
        <v>33160000</v>
      </c>
      <c r="N105" s="32">
        <f t="shared" si="53"/>
        <v>5.0921435499515031E-3</v>
      </c>
      <c r="O105" s="18">
        <f>IF(ISNUMBER(M105), $B118 * N105, "")</f>
        <v>763.82153249272551</v>
      </c>
      <c r="Q105" s="146"/>
      <c r="R105" s="146"/>
      <c r="S105" s="146"/>
    </row>
    <row r="106" spans="1:19" ht="17.25" thickBot="1">
      <c r="A106" s="109" t="s">
        <v>95</v>
      </c>
      <c r="B106" s="110">
        <v>1590</v>
      </c>
      <c r="C106" s="70">
        <v>9.5238094999999991E-3</v>
      </c>
      <c r="D106" s="15">
        <v>1565</v>
      </c>
      <c r="E106" s="32">
        <f t="shared" si="50"/>
        <v>-1.5723270440251572E-2</v>
      </c>
      <c r="F106" s="18">
        <f>IF(ISNUMBER(D106), $B118 * E106, "")</f>
        <v>-2358.4905660377358</v>
      </c>
      <c r="G106" s="31">
        <v>1585</v>
      </c>
      <c r="H106" s="32">
        <f t="shared" si="51"/>
        <v>-3.1446540880503146E-3</v>
      </c>
      <c r="I106" s="91">
        <f>IF(ISNUMBER(G106), $B118 * H106, "")</f>
        <v>-471.69811320754718</v>
      </c>
      <c r="J106" s="15">
        <v>1605</v>
      </c>
      <c r="K106" s="32">
        <f t="shared" si="52"/>
        <v>9.433962264150943E-3</v>
      </c>
      <c r="L106" s="18">
        <f>IF(ISNUMBER(J106), $B118 * K106, "")</f>
        <v>1415.0943396226414</v>
      </c>
      <c r="M106" s="31">
        <v>1585</v>
      </c>
      <c r="N106" s="32">
        <f t="shared" si="53"/>
        <v>-3.1446540880503146E-3</v>
      </c>
      <c r="O106" s="18">
        <f>IF(ISNUMBER(M106), $B118 * N106, "")</f>
        <v>-471.69811320754718</v>
      </c>
      <c r="Q106" s="33"/>
      <c r="R106" s="33"/>
    </row>
    <row r="107" spans="1:19" ht="17.25" thickBot="1">
      <c r="A107" s="114" t="s">
        <v>163</v>
      </c>
      <c r="B107" s="115">
        <v>11530</v>
      </c>
      <c r="C107" s="72">
        <v>8.7489063999999991E-3</v>
      </c>
      <c r="D107" s="24">
        <v>10970</v>
      </c>
      <c r="E107" s="25">
        <f t="shared" si="50"/>
        <v>-4.856895056374675E-2</v>
      </c>
      <c r="F107" s="94">
        <f>IF(ISNUMBER(D107), $B118 * E107, "")</f>
        <v>-7285.3425845620122</v>
      </c>
      <c r="G107" s="92">
        <v>11170</v>
      </c>
      <c r="H107" s="25">
        <f t="shared" si="51"/>
        <v>-3.1222896790980052E-2</v>
      </c>
      <c r="I107" s="93">
        <f>IF(ISNUMBER(G107), $B118 * H107, "")</f>
        <v>-4683.4345186470082</v>
      </c>
      <c r="J107" s="24">
        <v>11320</v>
      </c>
      <c r="K107" s="25">
        <f t="shared" si="52"/>
        <v>-1.8213356461405029E-2</v>
      </c>
      <c r="L107" s="94">
        <f>IF(ISNUMBER(J107), $B118 * K107, "")</f>
        <v>-2732.0034692107542</v>
      </c>
      <c r="M107" s="92">
        <v>11190</v>
      </c>
      <c r="N107" s="25">
        <f t="shared" si="53"/>
        <v>-2.9488291413703384E-2</v>
      </c>
      <c r="O107" s="94">
        <f>IF(ISNUMBER(M107), $B118 * N107, "")</f>
        <v>-4423.2437120555078</v>
      </c>
      <c r="Q107" s="147"/>
      <c r="R107" s="148"/>
      <c r="S107" s="149"/>
    </row>
    <row r="108" spans="1:19">
      <c r="A108" s="107" t="s">
        <v>197</v>
      </c>
      <c r="B108" s="108">
        <v>12.6</v>
      </c>
      <c r="C108" s="69">
        <v>8.0000000000000002E-3</v>
      </c>
      <c r="D108" s="13">
        <v>11.9</v>
      </c>
      <c r="E108" s="14">
        <f>IF(ISNUMBER(D108), (D108 - $B108) / $B108, "")</f>
        <v>-5.5555555555555504E-2</v>
      </c>
      <c r="F108" s="16">
        <f>IF(ISNUMBER(D108), $B118 * E108, "")</f>
        <v>-8333.3333333333248</v>
      </c>
      <c r="G108" s="29">
        <v>12.1</v>
      </c>
      <c r="H108" s="14">
        <f>IF(ISNUMBER(G108), (G108 - $B108) / $B108, "")</f>
        <v>-3.968253968253968E-2</v>
      </c>
      <c r="I108" s="90">
        <f>IF(ISNUMBER(G108), $B118 * H108, "")</f>
        <v>-5952.3809523809523</v>
      </c>
      <c r="J108" s="13">
        <v>12.3</v>
      </c>
      <c r="K108" s="14">
        <f>IF(ISNUMBER(J108), (J108 - $B108) / $B108, "")</f>
        <v>-2.3809523809523725E-2</v>
      </c>
      <c r="L108" s="16">
        <f>IF(ISNUMBER(J108), $B118 * K108, "")</f>
        <v>-3571.4285714285588</v>
      </c>
      <c r="M108" s="29">
        <v>12.1</v>
      </c>
      <c r="N108" s="14">
        <f>IF(ISNUMBER(M108), (M108 - $B108) / $B108, "")</f>
        <v>-3.968253968253968E-2</v>
      </c>
      <c r="O108" s="16">
        <f>IF(ISNUMBER(M108), $B118 * N108, "")</f>
        <v>-5952.3809523809523</v>
      </c>
      <c r="Q108" s="150"/>
      <c r="R108" s="151"/>
      <c r="S108" s="152"/>
    </row>
    <row r="109" spans="1:19" ht="17.25" thickBot="1">
      <c r="A109" s="109" t="s">
        <v>231</v>
      </c>
      <c r="B109" s="110">
        <v>454</v>
      </c>
      <c r="C109" s="70">
        <v>6.6518847000000001E-3</v>
      </c>
      <c r="D109" s="15">
        <v>431</v>
      </c>
      <c r="E109" s="32">
        <f t="shared" ref="E109:E112" si="54">IF(ISNUMBER(D109), (D109 - $B109) / $B109, "")</f>
        <v>-5.0660792951541848E-2</v>
      </c>
      <c r="F109" s="18">
        <f>IF(ISNUMBER(D109), $B118 * E109, "")</f>
        <v>-7599.1189427312775</v>
      </c>
      <c r="G109" s="31">
        <v>439</v>
      </c>
      <c r="H109" s="32">
        <f t="shared" ref="H109:H112" si="55">IF(ISNUMBER(G109), (G109 - $B109) / $B109, "")</f>
        <v>-3.3039647577092511E-2</v>
      </c>
      <c r="I109" s="91">
        <f>IF(ISNUMBER(G109), $B118 * H109, "")</f>
        <v>-4955.9471365638765</v>
      </c>
      <c r="J109" s="15">
        <v>444</v>
      </c>
      <c r="K109" s="32">
        <f t="shared" ref="K109:K112" si="56">IF(ISNUMBER(J109), (J109 - $B109) / $B109, "")</f>
        <v>-2.2026431718061675E-2</v>
      </c>
      <c r="L109" s="18">
        <f>IF(ISNUMBER(J109), $B118 * K109, "")</f>
        <v>-3303.9647577092514</v>
      </c>
      <c r="M109" s="31">
        <v>440</v>
      </c>
      <c r="N109" s="32">
        <f t="shared" ref="N109:N112" si="57">IF(ISNUMBER(M109), (M109 - $B109) / $B109, "")</f>
        <v>-3.0837004405286344E-2</v>
      </c>
      <c r="O109" s="18">
        <f>IF(ISNUMBER(M109), $B118 * N109, "")</f>
        <v>-4625.5506607929519</v>
      </c>
      <c r="Q109" s="153"/>
      <c r="R109" s="154"/>
      <c r="S109" s="155"/>
    </row>
    <row r="110" spans="1:19" ht="17.25" thickBot="1">
      <c r="A110" s="109" t="s">
        <v>126</v>
      </c>
      <c r="B110" s="110">
        <v>37.4</v>
      </c>
      <c r="C110" s="70">
        <v>5.3763441000000004E-3</v>
      </c>
      <c r="D110" s="15">
        <v>34.9</v>
      </c>
      <c r="E110" s="32">
        <f t="shared" si="54"/>
        <v>-6.684491978609626E-2</v>
      </c>
      <c r="F110" s="18">
        <f>IF(ISNUMBER(D110), $B118 * E110, "")</f>
        <v>-10026.73796791444</v>
      </c>
      <c r="G110" s="31">
        <v>36</v>
      </c>
      <c r="H110" s="32">
        <f t="shared" si="55"/>
        <v>-3.7433155080213866E-2</v>
      </c>
      <c r="I110" s="91">
        <f>IF(ISNUMBER(G110), $B118 * H110, "")</f>
        <v>-5614.9732620320801</v>
      </c>
      <c r="J110" s="15">
        <v>36.5</v>
      </c>
      <c r="K110" s="32">
        <f t="shared" si="56"/>
        <v>-2.4064171122994617E-2</v>
      </c>
      <c r="L110" s="18">
        <f>IF(ISNUMBER(J110), $B118 * K110, "")</f>
        <v>-3609.6256684491923</v>
      </c>
      <c r="M110" s="31">
        <v>36.1</v>
      </c>
      <c r="N110" s="32">
        <f t="shared" si="57"/>
        <v>-3.4759358288769977E-2</v>
      </c>
      <c r="O110" s="18">
        <f>IF(ISNUMBER(M110), $B118 * N110, "")</f>
        <v>-5213.9037433154963</v>
      </c>
      <c r="Q110" s="146"/>
      <c r="R110" s="146"/>
      <c r="S110" s="146"/>
    </row>
    <row r="111" spans="1:19" ht="17.25" thickBot="1">
      <c r="A111" s="109" t="s">
        <v>155</v>
      </c>
      <c r="B111" s="110">
        <v>35.5</v>
      </c>
      <c r="C111" s="70">
        <v>2.8248587999999998E-3</v>
      </c>
      <c r="D111" s="15">
        <v>34.299999999999997</v>
      </c>
      <c r="E111" s="32">
        <f t="shared" si="54"/>
        <v>-3.3802816901408531E-2</v>
      </c>
      <c r="F111" s="18">
        <f>IF(ISNUMBER(D111), $B118 * E111, "")</f>
        <v>-5070.4225352112799</v>
      </c>
      <c r="G111" s="31">
        <v>34.799999999999997</v>
      </c>
      <c r="H111" s="32">
        <f t="shared" si="55"/>
        <v>-1.9718309859155011E-2</v>
      </c>
      <c r="I111" s="91">
        <f>IF(ISNUMBER(G111), $B118 * H111, "")</f>
        <v>-2957.7464788732518</v>
      </c>
      <c r="J111" s="15">
        <v>35</v>
      </c>
      <c r="K111" s="32">
        <f t="shared" si="56"/>
        <v>-1.4084507042253521E-2</v>
      </c>
      <c r="L111" s="18">
        <f>IF(ISNUMBER(J111), $B118 * K111, "")</f>
        <v>-2112.676056338028</v>
      </c>
      <c r="M111" s="31">
        <v>34.700000000000003</v>
      </c>
      <c r="N111" s="32">
        <f t="shared" si="57"/>
        <v>-2.2535211267605555E-2</v>
      </c>
      <c r="O111" s="18">
        <f>IF(ISNUMBER(M111), $B118 * N111, "")</f>
        <v>-3380.2816901408332</v>
      </c>
      <c r="Q111" s="156"/>
      <c r="R111" s="156"/>
      <c r="S111" s="156"/>
    </row>
    <row r="112" spans="1:19" ht="17.25" thickBot="1">
      <c r="A112" s="111" t="s">
        <v>113</v>
      </c>
      <c r="B112" s="112">
        <v>1710</v>
      </c>
      <c r="C112" s="71">
        <v>0</v>
      </c>
      <c r="D112" s="20">
        <v>1665</v>
      </c>
      <c r="E112" s="21">
        <f t="shared" si="54"/>
        <v>-2.6315789473684209E-2</v>
      </c>
      <c r="F112" s="22">
        <f>IF(ISNUMBER(D112), $B118 * E112, "")</f>
        <v>-3947.3684210526312</v>
      </c>
      <c r="G112" s="30">
        <v>1685</v>
      </c>
      <c r="H112" s="21">
        <f t="shared" si="55"/>
        <v>-1.4619883040935672E-2</v>
      </c>
      <c r="I112" s="95">
        <f>IF(ISNUMBER(G112), $B118 * H112, "")</f>
        <v>-2192.9824561403507</v>
      </c>
      <c r="J112" s="20">
        <v>1690</v>
      </c>
      <c r="K112" s="21">
        <f t="shared" si="56"/>
        <v>-1.1695906432748537E-2</v>
      </c>
      <c r="L112" s="22">
        <f>IF(ISNUMBER(J112), $B118 * K112, "")</f>
        <v>-1754.3859649122805</v>
      </c>
      <c r="M112" s="30">
        <v>1665</v>
      </c>
      <c r="N112" s="21">
        <f t="shared" si="57"/>
        <v>-2.6315789473684209E-2</v>
      </c>
      <c r="O112" s="22">
        <f>IF(ISNUMBER(M112), $B118 * N112, "")</f>
        <v>-3947.3684210526312</v>
      </c>
      <c r="Q112" s="156"/>
      <c r="R112" s="156"/>
      <c r="S112" s="156"/>
    </row>
    <row r="113" spans="1:19" ht="17.25" thickBot="1">
      <c r="A113" s="109" t="s">
        <v>203</v>
      </c>
      <c r="B113" s="113">
        <v>4.46</v>
      </c>
      <c r="C113" s="73">
        <v>0</v>
      </c>
      <c r="D113" s="96">
        <v>4.22</v>
      </c>
      <c r="E113" s="97">
        <f>IF(ISNUMBER(D113), (D113 - $B113) / $B113, "")</f>
        <v>-5.3811659192825163E-2</v>
      </c>
      <c r="F113" s="98">
        <f>IF(ISNUMBER(D113), $B118 * E113, "")</f>
        <v>-8071.7488789237741</v>
      </c>
      <c r="G113" s="99">
        <v>4.32</v>
      </c>
      <c r="H113" s="97">
        <f>IF(ISNUMBER(G113), (G113 - $B113) / $B113, "")</f>
        <v>-3.1390134529147913E-2</v>
      </c>
      <c r="I113" s="100">
        <f>IF(ISNUMBER(G113), $B118 * H113, "")</f>
        <v>-4708.5201793721872</v>
      </c>
      <c r="J113" s="96">
        <v>4.33</v>
      </c>
      <c r="K113" s="97">
        <f>IF(ISNUMBER(J113), (J113 - $B113) / $B113, "")</f>
        <v>-2.9147982062780246E-2</v>
      </c>
      <c r="L113" s="98">
        <f>IF(ISNUMBER(J113), $B118 * K113, "")</f>
        <v>-4372.1973094170371</v>
      </c>
      <c r="M113" s="99">
        <v>4.3099999999999996</v>
      </c>
      <c r="N113" s="97">
        <f>IF(ISNUMBER(M113), (M113 - $B113) / $B113, "")</f>
        <v>-3.3632286995515778E-2</v>
      </c>
      <c r="O113" s="98">
        <f>IF(ISNUMBER(M113), $B118 * N113, "")</f>
        <v>-5044.8430493273663</v>
      </c>
      <c r="Q113" s="146"/>
      <c r="R113" s="146"/>
      <c r="S113" s="146"/>
    </row>
    <row r="114" spans="1:19" ht="17.25" thickBot="1">
      <c r="A114" s="109" t="s">
        <v>174</v>
      </c>
      <c r="B114" s="110">
        <v>17970</v>
      </c>
      <c r="C114" s="70">
        <v>-1.6666667E-3</v>
      </c>
      <c r="D114" s="15">
        <v>17510</v>
      </c>
      <c r="E114" s="32">
        <f t="shared" ref="E114:E117" si="58">IF(ISNUMBER(D114), (D114 - $B114) / $B114, "")</f>
        <v>-2.5598219254312743E-2</v>
      </c>
      <c r="F114" s="18">
        <f>IF(ISNUMBER(D114), $B118 * E114, "")</f>
        <v>-3839.7328881469116</v>
      </c>
      <c r="G114" s="31">
        <v>17940</v>
      </c>
      <c r="H114" s="32">
        <f t="shared" ref="H114:H117" si="59">IF(ISNUMBER(G114), (G114 - $B114) / $B114, "")</f>
        <v>-1.6694490818030051E-3</v>
      </c>
      <c r="I114" s="91">
        <f>IF(ISNUMBER(G114), $B118 * H114, "")</f>
        <v>-250.41736227045075</v>
      </c>
      <c r="J114" s="15">
        <v>18020</v>
      </c>
      <c r="K114" s="32">
        <f t="shared" ref="K114:K117" si="60">IF(ISNUMBER(J114), (J114 - $B114) / $B114, "")</f>
        <v>2.7824151363383415E-3</v>
      </c>
      <c r="L114" s="18">
        <f>IF(ISNUMBER(J114), $B118 * K114, "")</f>
        <v>417.36227045075123</v>
      </c>
      <c r="M114" s="31">
        <v>17870</v>
      </c>
      <c r="N114" s="32">
        <f t="shared" ref="N114:N117" si="61">IF(ISNUMBER(M114), (M114 - $B114) / $B114, "")</f>
        <v>-5.5648302726766831E-3</v>
      </c>
      <c r="O114" s="18">
        <f>IF(ISNUMBER(M114), $B118 * N114, "")</f>
        <v>-834.72454090150245</v>
      </c>
      <c r="Q114" s="146"/>
      <c r="R114" s="146"/>
      <c r="S114" s="146"/>
    </row>
    <row r="115" spans="1:19" ht="17.25" thickBot="1">
      <c r="A115" s="109" t="s">
        <v>124</v>
      </c>
      <c r="B115" s="110">
        <v>43.7</v>
      </c>
      <c r="C115" s="70">
        <v>-4.5558087000000004E-3</v>
      </c>
      <c r="D115" s="15">
        <v>41.5</v>
      </c>
      <c r="E115" s="32">
        <f t="shared" si="58"/>
        <v>-5.034324942791768E-2</v>
      </c>
      <c r="F115" s="18">
        <f>IF(ISNUMBER(D115), $B118 * E115, "")</f>
        <v>-7551.4874141876517</v>
      </c>
      <c r="G115" s="31">
        <v>42.6</v>
      </c>
      <c r="H115" s="32">
        <f t="shared" si="59"/>
        <v>-2.517162471395884E-2</v>
      </c>
      <c r="I115" s="91">
        <f>IF(ISNUMBER(G115), $B118 * H115, "")</f>
        <v>-3775.7437070938258</v>
      </c>
      <c r="J115" s="15">
        <v>43</v>
      </c>
      <c r="K115" s="32">
        <f t="shared" si="60"/>
        <v>-1.6018306636155669E-2</v>
      </c>
      <c r="L115" s="18">
        <f>IF(ISNUMBER(J115), $B118 * K115, "")</f>
        <v>-2402.7459954233505</v>
      </c>
      <c r="M115" s="31">
        <v>42.7</v>
      </c>
      <c r="N115" s="32">
        <f t="shared" si="61"/>
        <v>-2.2883295194508008E-2</v>
      </c>
      <c r="O115" s="18">
        <f>IF(ISNUMBER(M115), $B118 * N115, "")</f>
        <v>-3432.4942791762014</v>
      </c>
      <c r="Q115" s="146"/>
      <c r="R115" s="146"/>
      <c r="S115" s="146"/>
    </row>
    <row r="116" spans="1:19">
      <c r="A116" s="109" t="s">
        <v>128</v>
      </c>
      <c r="B116" s="110">
        <v>8155</v>
      </c>
      <c r="C116" s="70">
        <v>-4.8810249999999998E-3</v>
      </c>
      <c r="D116" s="15">
        <v>7865</v>
      </c>
      <c r="E116" s="32">
        <f t="shared" si="58"/>
        <v>-3.5561005518087066E-2</v>
      </c>
      <c r="F116" s="18">
        <f>IF(ISNUMBER(D116), $B118 * E116, "")</f>
        <v>-5334.1508277130597</v>
      </c>
      <c r="G116" s="31">
        <v>8035</v>
      </c>
      <c r="H116" s="32">
        <f t="shared" si="59"/>
        <v>-1.4714898835070508E-2</v>
      </c>
      <c r="I116" s="91">
        <f>IF(ISNUMBER(G116), $B118 * H116, "")</f>
        <v>-2207.2348252605761</v>
      </c>
      <c r="J116" s="15">
        <v>8115</v>
      </c>
      <c r="K116" s="32">
        <f t="shared" si="60"/>
        <v>-4.904966278356836E-3</v>
      </c>
      <c r="L116" s="18">
        <f>IF(ISNUMBER(J116), $B118 * K116, "")</f>
        <v>-735.74494175352538</v>
      </c>
      <c r="M116" s="31">
        <v>8055</v>
      </c>
      <c r="N116" s="32">
        <f t="shared" si="61"/>
        <v>-1.2262415695892091E-2</v>
      </c>
      <c r="O116" s="18">
        <f>IF(ISNUMBER(M116), $B118 * N116, "")</f>
        <v>-1839.3623543838137</v>
      </c>
      <c r="Q116" s="135"/>
      <c r="R116" s="136"/>
      <c r="S116" s="137"/>
    </row>
    <row r="117" spans="1:19" ht="17.25" thickBot="1">
      <c r="A117" s="114" t="s">
        <v>118</v>
      </c>
      <c r="B117" s="115">
        <v>8.1</v>
      </c>
      <c r="C117" s="72">
        <v>-4.9140049000000003E-3</v>
      </c>
      <c r="D117" s="24">
        <v>7.7</v>
      </c>
      <c r="E117" s="25">
        <f t="shared" si="58"/>
        <v>-4.9382716049382651E-2</v>
      </c>
      <c r="F117" s="94">
        <f>IF(ISNUMBER(D117), $B118 * E117, "")</f>
        <v>-7407.4074074073978</v>
      </c>
      <c r="G117" s="92">
        <v>7.82</v>
      </c>
      <c r="H117" s="25">
        <f t="shared" si="59"/>
        <v>-3.4567901234567822E-2</v>
      </c>
      <c r="I117" s="93">
        <f>IF(ISNUMBER(G117), $B118 * H117, "")</f>
        <v>-5185.1851851851734</v>
      </c>
      <c r="J117" s="24">
        <v>7.89</v>
      </c>
      <c r="K117" s="25">
        <f t="shared" si="60"/>
        <v>-2.5925925925925922E-2</v>
      </c>
      <c r="L117" s="94">
        <f>IF(ISNUMBER(J117), $B118 * K117, "")</f>
        <v>-3888.8888888888882</v>
      </c>
      <c r="M117" s="92">
        <v>7.8</v>
      </c>
      <c r="N117" s="25">
        <f t="shared" si="61"/>
        <v>-3.7037037037037014E-2</v>
      </c>
      <c r="O117" s="94">
        <f>IF(ISNUMBER(M117), $B118 * N117, "")</f>
        <v>-5555.555555555552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-5.0285637242813631E-2</v>
      </c>
      <c r="F118" s="28">
        <f>SUM(F98:F117)</f>
        <v>-150856.9117284409</v>
      </c>
      <c r="G118" s="26" t="s">
        <v>258</v>
      </c>
      <c r="H118" s="27">
        <f>IF(COUNT(H98:H117), SUM(H98:H117) / COUNT(H98:H117), 0)</f>
        <v>-3.2695606058204908E-2</v>
      </c>
      <c r="I118" s="28">
        <f>SUM(I98:I117)</f>
        <v>-98086.818174614717</v>
      </c>
      <c r="J118" s="26" t="s">
        <v>258</v>
      </c>
      <c r="K118" s="27">
        <f>IF(COUNT(K98:K117), SUM(K98:K117) / COUNT(K98:K117), 0)</f>
        <v>-1.7898786827633142E-2</v>
      </c>
      <c r="L118" s="28">
        <f>SUM(L98:L117)</f>
        <v>-53696.360482899436</v>
      </c>
      <c r="M118" s="26" t="s">
        <v>258</v>
      </c>
      <c r="N118" s="27">
        <f>IF(COUNT(N98:N117), SUM(N98:N117) / COUNT(N98:N117), 0)</f>
        <v>-2.6583773870366968E-2</v>
      </c>
      <c r="O118" s="28">
        <f>SUM(O98:O117)</f>
        <v>-79751.321611100895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2023-03-16(목) 오전 00:00</v>
      </c>
      <c r="C123" s="198"/>
      <c r="D123" s="170" t="str">
        <f>TEXT($G$1, "[$-ko-KR]yyyy-mm-dd(ddd) ") &amp; "오후 14:00"</f>
        <v>2023-03-16(목) 오후 14:00</v>
      </c>
      <c r="E123" s="171"/>
      <c r="F123" s="172"/>
      <c r="G123" s="170" t="str">
        <f>TEXT($G$1, "[$-ko-KR]yyyy-mm-dd(ddd) ") &amp; "오후 19:00"</f>
        <v>2023-03-16(목) 오후 19:00</v>
      </c>
      <c r="H123" s="171"/>
      <c r="I123" s="172"/>
      <c r="J123" s="170" t="str">
        <f>TEXT($G$1, "[$-ko-KR]yyyy-mm-dd(ddd) ") &amp; "오후 21:00"</f>
        <v>2023-03-16(목) 오후 21:00</v>
      </c>
      <c r="K123" s="171"/>
      <c r="L123" s="172"/>
      <c r="M123" s="170" t="str">
        <f>TEXT($G$1+1, "[$-ko-KR]yyyy-mm-dd(ddd) ") &amp; "오전 00:00"</f>
        <v>2023-03-17(금)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56</v>
      </c>
      <c r="B125" s="108">
        <v>51.5</v>
      </c>
      <c r="C125" s="69">
        <v>-1.34099617E-2</v>
      </c>
      <c r="D125" s="13">
        <v>49.1</v>
      </c>
      <c r="E125" s="14">
        <f>IF(ISNUMBER(D125), (D125 - $B125) / $B125, "")</f>
        <v>-4.6601941747572789E-2</v>
      </c>
      <c r="F125" s="16">
        <f>IF(ISNUMBER(D125), $B145 * E125, "")</f>
        <v>-6990.2912621359183</v>
      </c>
      <c r="G125" s="29">
        <v>49.8</v>
      </c>
      <c r="H125" s="14">
        <f>IF(ISNUMBER(G125), (G125 - $B125) / $B125, "")</f>
        <v>-3.300970873786413E-2</v>
      </c>
      <c r="I125" s="90">
        <f>IF(ISNUMBER(G125), $B145 * H125, "")</f>
        <v>-4951.4563106796195</v>
      </c>
      <c r="J125" s="13">
        <v>50.4</v>
      </c>
      <c r="K125" s="14">
        <f>IF(ISNUMBER(J125), (J125 - $B125) / $B125, "")</f>
        <v>-2.1359223300970901E-2</v>
      </c>
      <c r="L125" s="16">
        <f>IF(ISNUMBER(J125), $B145 * K125, "")</f>
        <v>-3203.8834951456352</v>
      </c>
      <c r="M125" s="29">
        <v>49.8</v>
      </c>
      <c r="N125" s="14">
        <f>IF(ISNUMBER(M125), (M125 - $B125) / $B125, "")</f>
        <v>-3.300970873786413E-2</v>
      </c>
      <c r="O125" s="16">
        <f>IF(ISNUMBER(M125), $B145 * N125, "")</f>
        <v>-4951.4563106796195</v>
      </c>
      <c r="Q125" s="156"/>
      <c r="R125" s="156"/>
      <c r="S125" s="156"/>
    </row>
    <row r="126" spans="1:19" ht="17.25" thickBot="1">
      <c r="A126" s="109" t="s">
        <v>338</v>
      </c>
      <c r="B126" s="110">
        <v>4.1000000000000002E-2</v>
      </c>
      <c r="C126" s="70">
        <v>-1.44230769E-2</v>
      </c>
      <c r="D126" s="15">
        <v>3.9600000000000003E-2</v>
      </c>
      <c r="E126" s="32">
        <f t="shared" ref="E126:E129" si="62">IF(ISNUMBER(D126), (D126 - $B126) / $B126, "")</f>
        <v>-3.4146341463414595E-2</v>
      </c>
      <c r="F126" s="18">
        <f>IF(ISNUMBER(D126), $B145 * E126, "")</f>
        <v>-5121.9512195121897</v>
      </c>
      <c r="G126" s="31">
        <v>0.04</v>
      </c>
      <c r="H126" s="32">
        <f t="shared" ref="H126:H129" si="63">IF(ISNUMBER(G126), (G126 - $B126) / $B126, "")</f>
        <v>-2.4390243902439046E-2</v>
      </c>
      <c r="I126" s="91">
        <f>IF(ISNUMBER(G126), $B145 * H126, "")</f>
        <v>-3658.5365853658568</v>
      </c>
      <c r="J126" s="15">
        <v>4.0500000000000001E-2</v>
      </c>
      <c r="K126" s="32">
        <f t="shared" ref="K126:K129" si="64">IF(ISNUMBER(J126), (J126 - $B126) / $B126, "")</f>
        <v>-1.2195121951219523E-2</v>
      </c>
      <c r="L126" s="18">
        <f>IF(ISNUMBER(J126), $B145 * K126, "")</f>
        <v>-1829.2682926829284</v>
      </c>
      <c r="M126" s="31">
        <v>4.0300000000000002E-2</v>
      </c>
      <c r="N126" s="32">
        <f t="shared" ref="N126:N129" si="65">IF(ISNUMBER(M126), (M126 - $B126) / $B126, "")</f>
        <v>-1.7073170731707298E-2</v>
      </c>
      <c r="O126" s="18">
        <f>IF(ISNUMBER(M126), $B145 * N126, "")</f>
        <v>-2560.9756097560949</v>
      </c>
      <c r="Q126" s="156"/>
      <c r="R126" s="156"/>
      <c r="S126" s="156"/>
    </row>
    <row r="127" spans="1:19" ht="17.25" thickBot="1">
      <c r="A127" s="109" t="s">
        <v>323</v>
      </c>
      <c r="B127" s="110">
        <v>94.3</v>
      </c>
      <c r="C127" s="70">
        <v>-1.66840459E-2</v>
      </c>
      <c r="D127" s="15">
        <v>91.1</v>
      </c>
      <c r="E127" s="32">
        <f t="shared" si="62"/>
        <v>-3.3934252386002152E-2</v>
      </c>
      <c r="F127" s="18">
        <f>IF(ISNUMBER(D127), $B145 * E127, "")</f>
        <v>-5090.1378579003231</v>
      </c>
      <c r="G127" s="31">
        <v>92.7</v>
      </c>
      <c r="H127" s="32">
        <f t="shared" si="63"/>
        <v>-1.6967126193001E-2</v>
      </c>
      <c r="I127" s="91">
        <f>IF(ISNUMBER(G127), $B145 * H127, "")</f>
        <v>-2545.0689289501502</v>
      </c>
      <c r="J127" s="15">
        <v>93.8</v>
      </c>
      <c r="K127" s="32">
        <f t="shared" si="64"/>
        <v>-5.3022269353128317E-3</v>
      </c>
      <c r="L127" s="18">
        <f>IF(ISNUMBER(J127), $B145 * K127, "")</f>
        <v>-795.33404029692474</v>
      </c>
      <c r="M127" s="31">
        <v>93.1</v>
      </c>
      <c r="N127" s="32">
        <f t="shared" si="65"/>
        <v>-1.2725344644750825E-2</v>
      </c>
      <c r="O127" s="18">
        <f>IF(ISNUMBER(M127), $B145 * N127, "")</f>
        <v>-1908.8016967126239</v>
      </c>
      <c r="Q127" s="146"/>
      <c r="R127" s="146"/>
      <c r="S127" s="146"/>
    </row>
    <row r="128" spans="1:19" ht="17.25" thickBot="1">
      <c r="A128" s="109" t="s">
        <v>193</v>
      </c>
      <c r="B128" s="110">
        <v>23</v>
      </c>
      <c r="C128" s="70">
        <v>-1.7094017100000001E-2</v>
      </c>
      <c r="D128" s="15">
        <v>22.2</v>
      </c>
      <c r="E128" s="32">
        <f t="shared" si="62"/>
        <v>-3.4782608695652202E-2</v>
      </c>
      <c r="F128" s="18">
        <f>IF(ISNUMBER(D128), $B145 * E128, "")</f>
        <v>-5217.3913043478306</v>
      </c>
      <c r="G128" s="31">
        <v>22.5</v>
      </c>
      <c r="H128" s="32">
        <f t="shared" si="63"/>
        <v>-2.1739130434782608E-2</v>
      </c>
      <c r="I128" s="91">
        <f>IF(ISNUMBER(G128), $B145 * H128, "")</f>
        <v>-3260.869565217391</v>
      </c>
      <c r="J128" s="15">
        <v>22.6</v>
      </c>
      <c r="K128" s="32">
        <f t="shared" si="64"/>
        <v>-1.7391304347826025E-2</v>
      </c>
      <c r="L128" s="18">
        <f>IF(ISNUMBER(J128), $B145 * K128, "")</f>
        <v>-2608.6956521739039</v>
      </c>
      <c r="M128" s="31">
        <v>22.4</v>
      </c>
      <c r="N128" s="32">
        <f t="shared" si="65"/>
        <v>-2.6086956521739191E-2</v>
      </c>
      <c r="O128" s="18">
        <f>IF(ISNUMBER(M128), $B145 * N128, "")</f>
        <v>-3913.0434782608786</v>
      </c>
      <c r="Q128" s="146"/>
      <c r="R128" s="146"/>
      <c r="S128" s="146"/>
    </row>
    <row r="129" spans="1:19" ht="17.25" thickBot="1">
      <c r="A129" s="111" t="s">
        <v>132</v>
      </c>
      <c r="B129" s="112">
        <v>74.8</v>
      </c>
      <c r="C129" s="71">
        <v>-1.9659239799999999E-2</v>
      </c>
      <c r="D129" s="20">
        <v>72.900000000000006</v>
      </c>
      <c r="E129" s="21">
        <f t="shared" si="62"/>
        <v>-2.5401069518716464E-2</v>
      </c>
      <c r="F129" s="22">
        <f>IF(ISNUMBER(D129), $B145 * E129, "")</f>
        <v>-3810.1604278074697</v>
      </c>
      <c r="G129" s="30">
        <v>74.2</v>
      </c>
      <c r="H129" s="21">
        <f t="shared" si="63"/>
        <v>-8.0213903743314753E-3</v>
      </c>
      <c r="I129" s="95">
        <f>IF(ISNUMBER(G129), $B145 * H129, "")</f>
        <v>-1203.2085561497213</v>
      </c>
      <c r="J129" s="20">
        <v>74.599999999999994</v>
      </c>
      <c r="K129" s="21">
        <f t="shared" si="64"/>
        <v>-2.6737967914438883E-3</v>
      </c>
      <c r="L129" s="22">
        <f>IF(ISNUMBER(J129), $B145 * K129, "")</f>
        <v>-401.06951871658322</v>
      </c>
      <c r="M129" s="30">
        <v>74</v>
      </c>
      <c r="N129" s="21">
        <f t="shared" si="65"/>
        <v>-1.0695187165775364E-2</v>
      </c>
      <c r="O129" s="22">
        <f>IF(ISNUMBER(M129), $B145 * N129, "")</f>
        <v>-1604.2780748663047</v>
      </c>
      <c r="Q129" s="146"/>
      <c r="R129" s="146"/>
      <c r="S129" s="146"/>
    </row>
    <row r="130" spans="1:19" ht="17.25" thickBot="1">
      <c r="A130" s="109" t="s">
        <v>185</v>
      </c>
      <c r="B130" s="113">
        <v>42.8</v>
      </c>
      <c r="C130" s="73">
        <v>-2.0594965699999999E-2</v>
      </c>
      <c r="D130" s="96">
        <v>40.799999999999997</v>
      </c>
      <c r="E130" s="97">
        <f>IF(ISNUMBER(D130), (D130 - $B130) / $B130, "")</f>
        <v>-4.6728971962616828E-2</v>
      </c>
      <c r="F130" s="98">
        <f>IF(ISNUMBER(D130), $B145 * E130, "")</f>
        <v>-7009.3457943925241</v>
      </c>
      <c r="G130" s="99">
        <v>41.6</v>
      </c>
      <c r="H130" s="97">
        <f>IF(ISNUMBER(G130), (G130 - $B130) / $B130, "")</f>
        <v>-2.8037383177569996E-2</v>
      </c>
      <c r="I130" s="100">
        <f>IF(ISNUMBER(G130), $B145 * H130, "")</f>
        <v>-4205.6074766354996</v>
      </c>
      <c r="J130" s="96">
        <v>42</v>
      </c>
      <c r="K130" s="97">
        <f>IF(ISNUMBER(J130), (J130 - $B130) / $B130, "")</f>
        <v>-1.8691588785046665E-2</v>
      </c>
      <c r="L130" s="98">
        <f>IF(ISNUMBER(J130), $B145 * K130, "")</f>
        <v>-2803.7383177569995</v>
      </c>
      <c r="M130" s="99">
        <v>41.7</v>
      </c>
      <c r="N130" s="97">
        <f>IF(ISNUMBER(M130), (M130 - $B130) / $B130, "")</f>
        <v>-2.570093457943912E-2</v>
      </c>
      <c r="O130" s="98">
        <f>IF(ISNUMBER(M130), $B145 * N130, "")</f>
        <v>-3855.1401869158681</v>
      </c>
      <c r="Q130" s="146"/>
      <c r="R130" s="146"/>
      <c r="S130" s="146"/>
    </row>
    <row r="131" spans="1:19" ht="17.25" thickBot="1">
      <c r="A131" s="109" t="s">
        <v>253</v>
      </c>
      <c r="B131" s="110">
        <v>96</v>
      </c>
      <c r="C131" s="70">
        <v>-2.1406727800000001E-2</v>
      </c>
      <c r="D131" s="15">
        <v>92.9</v>
      </c>
      <c r="E131" s="32">
        <f t="shared" ref="E131:E134" si="66">IF(ISNUMBER(D131), (D131 - $B131) / $B131, "")</f>
        <v>-3.2291666666666607E-2</v>
      </c>
      <c r="F131" s="18">
        <f>IF(ISNUMBER(D131), $B145 * E131, "")</f>
        <v>-4843.7499999999909</v>
      </c>
      <c r="G131" s="31">
        <v>94</v>
      </c>
      <c r="H131" s="32">
        <f t="shared" ref="H131:H134" si="67">IF(ISNUMBER(G131), (G131 - $B131) / $B131, "")</f>
        <v>-2.0833333333333332E-2</v>
      </c>
      <c r="I131" s="91">
        <f>IF(ISNUMBER(G131), $B145 * H131, "")</f>
        <v>-3125</v>
      </c>
      <c r="J131" s="15">
        <v>94.9</v>
      </c>
      <c r="K131" s="32">
        <f t="shared" ref="K131:K134" si="68">IF(ISNUMBER(J131), (J131 - $B131) / $B131, "")</f>
        <v>-1.1458333333333274E-2</v>
      </c>
      <c r="L131" s="18">
        <f>IF(ISNUMBER(J131), $B145 * K131, "")</f>
        <v>-1718.7499999999911</v>
      </c>
      <c r="M131" s="31">
        <v>94.2</v>
      </c>
      <c r="N131" s="32">
        <f t="shared" ref="N131:N134" si="69">IF(ISNUMBER(M131), (M131 - $B131) / $B131, "")</f>
        <v>-1.8749999999999972E-2</v>
      </c>
      <c r="O131" s="18">
        <f>IF(ISNUMBER(M131), $B145 * N131, "")</f>
        <v>-2812.4999999999959</v>
      </c>
      <c r="Q131" s="146"/>
      <c r="R131" s="146"/>
      <c r="S131" s="146"/>
    </row>
    <row r="132" spans="1:19" ht="17.25" thickBot="1">
      <c r="A132" s="109" t="s">
        <v>227</v>
      </c>
      <c r="B132" s="110">
        <v>64.599999999999994</v>
      </c>
      <c r="C132" s="70">
        <v>-2.2692889599999998E-2</v>
      </c>
      <c r="D132" s="15">
        <v>64.3</v>
      </c>
      <c r="E132" s="32">
        <f t="shared" si="66"/>
        <v>-4.6439628482971701E-3</v>
      </c>
      <c r="F132" s="18">
        <f>IF(ISNUMBER(D132), $B145 * E132, "")</f>
        <v>-696.59442724457551</v>
      </c>
      <c r="G132" s="31">
        <v>65.599999999999994</v>
      </c>
      <c r="H132" s="32">
        <f t="shared" si="67"/>
        <v>1.5479876160990714E-2</v>
      </c>
      <c r="I132" s="91">
        <f>IF(ISNUMBER(G132), $B145 * H132, "")</f>
        <v>2321.9814241486069</v>
      </c>
      <c r="J132" s="15">
        <v>66.3</v>
      </c>
      <c r="K132" s="32">
        <f t="shared" si="68"/>
        <v>2.6315789473684258E-2</v>
      </c>
      <c r="L132" s="18">
        <f>IF(ISNUMBER(J132), $B145 * K132, "")</f>
        <v>3947.3684210526385</v>
      </c>
      <c r="M132" s="31">
        <v>66.2</v>
      </c>
      <c r="N132" s="32">
        <f t="shared" si="69"/>
        <v>2.4767801857585273E-2</v>
      </c>
      <c r="O132" s="18">
        <f>IF(ISNUMBER(M132), $B145 * N132, "")</f>
        <v>3715.1702786377909</v>
      </c>
      <c r="Q132" s="146"/>
      <c r="R132" s="146"/>
      <c r="S132" s="146"/>
    </row>
    <row r="133" spans="1:19" ht="17.25" thickBot="1">
      <c r="A133" s="109" t="s">
        <v>122</v>
      </c>
      <c r="B133" s="110">
        <v>30.8</v>
      </c>
      <c r="C133" s="70">
        <v>-2.5316455700000001E-2</v>
      </c>
      <c r="D133" s="15">
        <v>29.3</v>
      </c>
      <c r="E133" s="32">
        <f t="shared" si="66"/>
        <v>-4.8701298701298704E-2</v>
      </c>
      <c r="F133" s="18">
        <f>IF(ISNUMBER(D133), $B145 * E133, "")</f>
        <v>-7305.1948051948057</v>
      </c>
      <c r="G133" s="31">
        <v>29.8</v>
      </c>
      <c r="H133" s="32">
        <f t="shared" si="67"/>
        <v>-3.2467532467532464E-2</v>
      </c>
      <c r="I133" s="91">
        <f>IF(ISNUMBER(G133), $B145 * H133, "")</f>
        <v>-4870.1298701298692</v>
      </c>
      <c r="J133" s="15">
        <v>30.3</v>
      </c>
      <c r="K133" s="32">
        <f t="shared" si="68"/>
        <v>-1.6233766233766232E-2</v>
      </c>
      <c r="L133" s="18">
        <f>IF(ISNUMBER(J133), $B145 * K133, "")</f>
        <v>-2435.0649350649346</v>
      </c>
      <c r="M133" s="31">
        <v>30.3</v>
      </c>
      <c r="N133" s="32">
        <f t="shared" si="69"/>
        <v>-1.6233766233766232E-2</v>
      </c>
      <c r="O133" s="18">
        <f>IF(ISNUMBER(M133), $B145 * N133, "")</f>
        <v>-2435.0649350649346</v>
      </c>
      <c r="Q133" s="33"/>
      <c r="R133" s="33"/>
    </row>
    <row r="134" spans="1:19" ht="17.25" thickBot="1">
      <c r="A134" s="114" t="s">
        <v>107</v>
      </c>
      <c r="B134" s="115">
        <v>49.2</v>
      </c>
      <c r="C134" s="72">
        <v>-2.5742574300000001E-2</v>
      </c>
      <c r="D134" s="24">
        <v>47.3</v>
      </c>
      <c r="E134" s="25">
        <f t="shared" si="66"/>
        <v>-3.8617886178861902E-2</v>
      </c>
      <c r="F134" s="94">
        <f>IF(ISNUMBER(D134), $B145 * E134, "")</f>
        <v>-5792.682926829285</v>
      </c>
      <c r="G134" s="92">
        <v>48.5</v>
      </c>
      <c r="H134" s="25">
        <f t="shared" si="67"/>
        <v>-1.4227642276422821E-2</v>
      </c>
      <c r="I134" s="93">
        <f>IF(ISNUMBER(G134), $B145 * H134, "")</f>
        <v>-2134.1463414634231</v>
      </c>
      <c r="J134" s="24">
        <v>48.8</v>
      </c>
      <c r="K134" s="25">
        <f t="shared" si="68"/>
        <v>-8.1300813008131235E-3</v>
      </c>
      <c r="L134" s="94">
        <f>IF(ISNUMBER(J134), $B145 * K134, "")</f>
        <v>-1219.5121951219685</v>
      </c>
      <c r="M134" s="92">
        <v>48.4</v>
      </c>
      <c r="N134" s="25">
        <f t="shared" si="69"/>
        <v>-1.6260162601626101E-2</v>
      </c>
      <c r="O134" s="94">
        <f>IF(ISNUMBER(M134), $B145 * N134, "")</f>
        <v>-2439.0243902439151</v>
      </c>
      <c r="Q134" s="147"/>
      <c r="R134" s="148"/>
      <c r="S134" s="149"/>
    </row>
    <row r="135" spans="1:19">
      <c r="A135" s="107" t="s">
        <v>334</v>
      </c>
      <c r="B135" s="108">
        <v>55.6</v>
      </c>
      <c r="C135" s="69">
        <v>-2.6269702299999999E-2</v>
      </c>
      <c r="D135" s="13">
        <v>52.7</v>
      </c>
      <c r="E135" s="14">
        <f>IF(ISNUMBER(D135), (D135 - $B135) / $B135, "")</f>
        <v>-5.2158273381294938E-2</v>
      </c>
      <c r="F135" s="16">
        <f>IF(ISNUMBER(D135), $B145 * E135, "")</f>
        <v>-7823.7410071942404</v>
      </c>
      <c r="G135" s="29">
        <v>53.9</v>
      </c>
      <c r="H135" s="14">
        <f>IF(ISNUMBER(G135), (G135 - $B135) / $B135, "")</f>
        <v>-3.0575539568345373E-2</v>
      </c>
      <c r="I135" s="90">
        <f>IF(ISNUMBER(G135), $B145 * H135, "")</f>
        <v>-4586.3309352518063</v>
      </c>
      <c r="J135" s="13">
        <v>54.7</v>
      </c>
      <c r="K135" s="14">
        <f>IF(ISNUMBER(J135), (J135 - $B135) / $B135, "")</f>
        <v>-1.6187050359712206E-2</v>
      </c>
      <c r="L135" s="16">
        <f>IF(ISNUMBER(J135), $B145 * K135, "")</f>
        <v>-2428.0575539568308</v>
      </c>
      <c r="M135" s="29">
        <v>54.1</v>
      </c>
      <c r="N135" s="14">
        <f>IF(ISNUMBER(M135), (M135 - $B135) / $B135, "")</f>
        <v>-2.6978417266187049E-2</v>
      </c>
      <c r="O135" s="16">
        <f>IF(ISNUMBER(M135), $B145 * N135, "")</f>
        <v>-4046.7625899280574</v>
      </c>
      <c r="Q135" s="150"/>
      <c r="R135" s="151"/>
      <c r="S135" s="152"/>
    </row>
    <row r="136" spans="1:19" ht="17.25" thickBot="1">
      <c r="A136" s="109" t="s">
        <v>143</v>
      </c>
      <c r="B136" s="110">
        <v>6.28</v>
      </c>
      <c r="C136" s="70">
        <v>-2.6356589100000001E-2</v>
      </c>
      <c r="D136" s="15">
        <v>6.1</v>
      </c>
      <c r="E136" s="32">
        <f t="shared" ref="E136:E139" si="70">IF(ISNUMBER(D136), (D136 - $B136) / $B136, "")</f>
        <v>-2.8662420382165699E-2</v>
      </c>
      <c r="F136" s="18">
        <f>IF(ISNUMBER(D136), $B145 * E136, "")</f>
        <v>-4299.3630573248547</v>
      </c>
      <c r="G136" s="31">
        <v>6.25</v>
      </c>
      <c r="H136" s="32">
        <f t="shared" ref="H136:H139" si="71">IF(ISNUMBER(G136), (G136 - $B136) / $B136, "")</f>
        <v>-4.7770700636943072E-3</v>
      </c>
      <c r="I136" s="91">
        <f>IF(ISNUMBER(G136), $B145 * H136, "")</f>
        <v>-716.56050955414605</v>
      </c>
      <c r="J136" s="15">
        <v>6.26</v>
      </c>
      <c r="K136" s="32">
        <f t="shared" ref="K136:K139" si="72">IF(ISNUMBER(J136), (J136 - $B136) / $B136, "")</f>
        <v>-3.1847133757962518E-3</v>
      </c>
      <c r="L136" s="18">
        <f>IF(ISNUMBER(J136), $B145 * K136, "")</f>
        <v>-477.70700636943775</v>
      </c>
      <c r="M136" s="31">
        <v>6.25</v>
      </c>
      <c r="N136" s="32">
        <f t="shared" ref="N136:N139" si="73">IF(ISNUMBER(M136), (M136 - $B136) / $B136, "")</f>
        <v>-4.7770700636943072E-3</v>
      </c>
      <c r="O136" s="18">
        <f>IF(ISNUMBER(M136), $B145 * N136, "")</f>
        <v>-716.56050955414605</v>
      </c>
      <c r="Q136" s="153"/>
      <c r="R136" s="154"/>
      <c r="S136" s="155"/>
    </row>
    <row r="137" spans="1:19" ht="17.25" thickBot="1">
      <c r="A137" s="109" t="s">
        <v>317</v>
      </c>
      <c r="B137" s="110">
        <v>1.44E-2</v>
      </c>
      <c r="C137" s="70">
        <v>-2.7027026999999999E-2</v>
      </c>
      <c r="D137" s="15">
        <v>1.37E-2</v>
      </c>
      <c r="E137" s="32">
        <f t="shared" si="70"/>
        <v>-4.8611111111111056E-2</v>
      </c>
      <c r="F137" s="18">
        <f>IF(ISNUMBER(D137), $B145 * E137, "")</f>
        <v>-7291.6666666666588</v>
      </c>
      <c r="G137" s="31">
        <v>1.4E-2</v>
      </c>
      <c r="H137" s="32">
        <f t="shared" si="71"/>
        <v>-2.7777777777777731E-2</v>
      </c>
      <c r="I137" s="91">
        <f>IF(ISNUMBER(G137), $B145 * H137, "")</f>
        <v>-4166.6666666666597</v>
      </c>
      <c r="J137" s="15">
        <v>1.4E-2</v>
      </c>
      <c r="K137" s="32">
        <f t="shared" si="72"/>
        <v>-2.7777777777777731E-2</v>
      </c>
      <c r="L137" s="18">
        <f>IF(ISNUMBER(J137), $B145 * K137, "")</f>
        <v>-4166.6666666666597</v>
      </c>
      <c r="M137" s="31">
        <v>1.4E-2</v>
      </c>
      <c r="N137" s="32">
        <f t="shared" si="73"/>
        <v>-2.7777777777777731E-2</v>
      </c>
      <c r="O137" s="18">
        <f>IF(ISNUMBER(M137), $B145 * N137, "")</f>
        <v>-4166.6666666666597</v>
      </c>
      <c r="Q137" s="146"/>
      <c r="R137" s="146"/>
      <c r="S137" s="146"/>
    </row>
    <row r="138" spans="1:19" ht="17.25" thickBot="1">
      <c r="A138" s="109" t="s">
        <v>217</v>
      </c>
      <c r="B138" s="110">
        <v>92.2</v>
      </c>
      <c r="C138" s="70">
        <v>-2.7426160299999999E-2</v>
      </c>
      <c r="D138" s="15">
        <v>87.8</v>
      </c>
      <c r="E138" s="32">
        <f t="shared" si="70"/>
        <v>-4.7722342733188781E-2</v>
      </c>
      <c r="F138" s="18">
        <f>IF(ISNUMBER(D138), $B145 * E138, "")</f>
        <v>-7158.351409978317</v>
      </c>
      <c r="G138" s="31">
        <v>90</v>
      </c>
      <c r="H138" s="32">
        <f t="shared" si="71"/>
        <v>-2.3861171366594391E-2</v>
      </c>
      <c r="I138" s="91">
        <f>IF(ISNUMBER(G138), $B145 * H138, "")</f>
        <v>-3579.1757049891585</v>
      </c>
      <c r="J138" s="15">
        <v>90.4</v>
      </c>
      <c r="K138" s="32">
        <f t="shared" si="72"/>
        <v>-1.9522776572668082E-2</v>
      </c>
      <c r="L138" s="18">
        <f>IF(ISNUMBER(J138), $B145 * K138, "")</f>
        <v>-2928.4164859002121</v>
      </c>
      <c r="M138" s="31">
        <v>89.9</v>
      </c>
      <c r="N138" s="32">
        <f t="shared" si="73"/>
        <v>-2.4945770065075892E-2</v>
      </c>
      <c r="O138" s="18">
        <f>IF(ISNUMBER(M138), $B145 * N138, "")</f>
        <v>-3741.8655097613837</v>
      </c>
      <c r="Q138" s="156"/>
      <c r="R138" s="156"/>
      <c r="S138" s="156"/>
    </row>
    <row r="139" spans="1:19" ht="17.25" thickBot="1">
      <c r="A139" s="111" t="s">
        <v>64</v>
      </c>
      <c r="B139" s="112">
        <v>13.6</v>
      </c>
      <c r="C139" s="71">
        <v>-2.85714286E-2</v>
      </c>
      <c r="D139" s="20">
        <v>13.1</v>
      </c>
      <c r="E139" s="21">
        <f t="shared" si="70"/>
        <v>-3.6764705882352942E-2</v>
      </c>
      <c r="F139" s="22">
        <f>IF(ISNUMBER(D139), $B145 * E139, "")</f>
        <v>-5514.7058823529414</v>
      </c>
      <c r="G139" s="30">
        <v>13.2</v>
      </c>
      <c r="H139" s="21">
        <f t="shared" si="71"/>
        <v>-2.941176470588238E-2</v>
      </c>
      <c r="I139" s="95">
        <f>IF(ISNUMBER(G139), $B145 * H139, "")</f>
        <v>-4411.7647058823568</v>
      </c>
      <c r="J139" s="20">
        <v>13.4</v>
      </c>
      <c r="K139" s="21">
        <f t="shared" si="72"/>
        <v>-1.4705882352941124E-2</v>
      </c>
      <c r="L139" s="22">
        <f>IF(ISNUMBER(J139), $B145 * K139, "")</f>
        <v>-2205.8823529411688</v>
      </c>
      <c r="M139" s="30">
        <v>13.2</v>
      </c>
      <c r="N139" s="21">
        <f t="shared" si="73"/>
        <v>-2.941176470588238E-2</v>
      </c>
      <c r="O139" s="22">
        <f>IF(ISNUMBER(M139), $B145 * N139, "")</f>
        <v>-4411.7647058823568</v>
      </c>
      <c r="Q139" s="156"/>
      <c r="R139" s="156"/>
      <c r="S139" s="156"/>
    </row>
    <row r="140" spans="1:19" ht="17.25" thickBot="1">
      <c r="A140" s="109" t="s">
        <v>335</v>
      </c>
      <c r="B140" s="113">
        <v>84.2</v>
      </c>
      <c r="C140" s="73">
        <v>-3.2183907999999997E-2</v>
      </c>
      <c r="D140" s="96">
        <v>78.900000000000006</v>
      </c>
      <c r="E140" s="97">
        <f>IF(ISNUMBER(D140), (D140 - $B140) / $B140, "")</f>
        <v>-6.2945368171021338E-2</v>
      </c>
      <c r="F140" s="98">
        <f>IF(ISNUMBER(D140), $B145 * E140, "")</f>
        <v>-9441.805225653201</v>
      </c>
      <c r="G140" s="99">
        <v>80.5</v>
      </c>
      <c r="H140" s="97">
        <f>IF(ISNUMBER(G140), (G140 - $B140) / $B140, "")</f>
        <v>-4.3942992874109299E-2</v>
      </c>
      <c r="I140" s="100">
        <f>IF(ISNUMBER(G140), $B145 * H140, "")</f>
        <v>-6591.4489311163952</v>
      </c>
      <c r="J140" s="96">
        <v>81.5</v>
      </c>
      <c r="K140" s="97">
        <f>IF(ISNUMBER(J140), (J140 - $B140) / $B140, "")</f>
        <v>-3.2066508313539223E-2</v>
      </c>
      <c r="L140" s="98">
        <f>IF(ISNUMBER(J140), $B145 * K140, "")</f>
        <v>-4809.9762470308833</v>
      </c>
      <c r="M140" s="99">
        <v>81.099999999999994</v>
      </c>
      <c r="N140" s="97">
        <f>IF(ISNUMBER(M140), (M140 - $B140) / $B140, "")</f>
        <v>-3.6817102137767323E-2</v>
      </c>
      <c r="O140" s="98">
        <f>IF(ISNUMBER(M140), $B145 * N140, "")</f>
        <v>-5522.5653206650986</v>
      </c>
      <c r="Q140" s="146"/>
      <c r="R140" s="146"/>
      <c r="S140" s="146"/>
    </row>
    <row r="141" spans="1:19" ht="17.25" thickBot="1">
      <c r="A141" s="109" t="s">
        <v>138</v>
      </c>
      <c r="B141" s="110">
        <v>46.1</v>
      </c>
      <c r="C141" s="70">
        <v>-3.35429769E-2</v>
      </c>
      <c r="D141" s="15">
        <v>45.2</v>
      </c>
      <c r="E141" s="32">
        <f t="shared" ref="E141:E144" si="74">IF(ISNUMBER(D141), (D141 - $B141) / $B141, "")</f>
        <v>-1.9522776572668082E-2</v>
      </c>
      <c r="F141" s="18">
        <f>IF(ISNUMBER(D141), $B145 * E141, "")</f>
        <v>-2928.4164859002121</v>
      </c>
      <c r="G141" s="31">
        <v>46</v>
      </c>
      <c r="H141" s="32">
        <f t="shared" ref="H141:H144" si="75">IF(ISNUMBER(G141), (G141 - $B141) / $B141, "")</f>
        <v>-2.1691973969631545E-3</v>
      </c>
      <c r="I141" s="91">
        <f>IF(ISNUMBER(G141), $B145 * H141, "")</f>
        <v>-325.37960954447317</v>
      </c>
      <c r="J141" s="15">
        <v>46.7</v>
      </c>
      <c r="K141" s="32">
        <f t="shared" ref="K141:K144" si="76">IF(ISNUMBER(J141), (J141 - $B141) / $B141, "")</f>
        <v>1.3015184381778773E-2</v>
      </c>
      <c r="L141" s="18">
        <f>IF(ISNUMBER(J141), $B145 * K141, "")</f>
        <v>1952.2776572668158</v>
      </c>
      <c r="M141" s="31">
        <v>46.6</v>
      </c>
      <c r="N141" s="32">
        <f t="shared" ref="N141:N144" si="77">IF(ISNUMBER(M141), (M141 - $B141) / $B141, "")</f>
        <v>1.0845986984815618E-2</v>
      </c>
      <c r="O141" s="18">
        <f>IF(ISNUMBER(M141), $B145 * N141, "")</f>
        <v>1626.8980477223427</v>
      </c>
      <c r="Q141" s="146"/>
      <c r="R141" s="146"/>
      <c r="S141" s="146"/>
    </row>
    <row r="142" spans="1:19" ht="17.25" thickBot="1">
      <c r="A142" s="109" t="s">
        <v>207</v>
      </c>
      <c r="B142" s="110">
        <v>96.9</v>
      </c>
      <c r="C142" s="70">
        <v>-0.05</v>
      </c>
      <c r="D142" s="15">
        <v>94</v>
      </c>
      <c r="E142" s="32">
        <f t="shared" si="74"/>
        <v>-2.9927760577915432E-2</v>
      </c>
      <c r="F142" s="18">
        <f>IF(ISNUMBER(D142), $B145 * E142, "")</f>
        <v>-4489.1640866873149</v>
      </c>
      <c r="G142" s="31">
        <v>95.4</v>
      </c>
      <c r="H142" s="32">
        <f t="shared" si="75"/>
        <v>-1.547987616099071E-2</v>
      </c>
      <c r="I142" s="91">
        <f>IF(ISNUMBER(G142), $B145 * H142, "")</f>
        <v>-2321.9814241486065</v>
      </c>
      <c r="J142" s="15">
        <v>96.4</v>
      </c>
      <c r="K142" s="32">
        <f t="shared" si="76"/>
        <v>-5.1599587203302374E-3</v>
      </c>
      <c r="L142" s="18">
        <f>IF(ISNUMBER(J142), $B145 * K142, "")</f>
        <v>-773.99380804953557</v>
      </c>
      <c r="M142" s="31">
        <v>95.9</v>
      </c>
      <c r="N142" s="32">
        <f t="shared" si="77"/>
        <v>-1.0319917440660475E-2</v>
      </c>
      <c r="O142" s="18">
        <f>IF(ISNUMBER(M142), $B145 * N142, "")</f>
        <v>-1547.9876160990711</v>
      </c>
      <c r="Q142" s="146"/>
      <c r="R142" s="146"/>
      <c r="S142" s="146"/>
    </row>
    <row r="143" spans="1:19">
      <c r="A143" s="109" t="s">
        <v>191</v>
      </c>
      <c r="B143" s="110">
        <v>95</v>
      </c>
      <c r="C143" s="70">
        <v>-5.9405940599999998E-2</v>
      </c>
      <c r="D143" s="15">
        <v>92.4</v>
      </c>
      <c r="E143" s="32">
        <f t="shared" si="74"/>
        <v>-2.7368421052631518E-2</v>
      </c>
      <c r="F143" s="18">
        <f>IF(ISNUMBER(D143), $B145 * E143, "")</f>
        <v>-4105.2631578947276</v>
      </c>
      <c r="G143" s="31">
        <v>94</v>
      </c>
      <c r="H143" s="32">
        <f t="shared" si="75"/>
        <v>-1.0526315789473684E-2</v>
      </c>
      <c r="I143" s="91">
        <f>IF(ISNUMBER(G143), $B145 * H143, "")</f>
        <v>-1578.9473684210525</v>
      </c>
      <c r="J143" s="15">
        <v>94.6</v>
      </c>
      <c r="K143" s="32">
        <f t="shared" si="76"/>
        <v>-4.2105263157895334E-3</v>
      </c>
      <c r="L143" s="18">
        <f>IF(ISNUMBER(J143), $B145 * K143, "")</f>
        <v>-631.57894736843002</v>
      </c>
      <c r="M143" s="31">
        <v>94.4</v>
      </c>
      <c r="N143" s="32">
        <f t="shared" si="77"/>
        <v>-6.3157894736841505E-3</v>
      </c>
      <c r="O143" s="18">
        <f>IF(ISNUMBER(M143), $B145 * N143, "")</f>
        <v>-947.36842105262258</v>
      </c>
      <c r="Q143" s="135"/>
      <c r="R143" s="136"/>
      <c r="S143" s="137"/>
    </row>
    <row r="144" spans="1:19" ht="17.25" thickBot="1">
      <c r="A144" s="114" t="s">
        <v>225</v>
      </c>
      <c r="B144" s="115">
        <v>98.3</v>
      </c>
      <c r="C144" s="72">
        <v>-8.13084112E-2</v>
      </c>
      <c r="D144" s="24">
        <v>92.9</v>
      </c>
      <c r="E144" s="25">
        <f t="shared" si="74"/>
        <v>-5.4933875890132162E-2</v>
      </c>
      <c r="F144" s="94">
        <f>IF(ISNUMBER(D144), $B145 * E144, "")</f>
        <v>-8240.0813835198242</v>
      </c>
      <c r="G144" s="92">
        <v>94</v>
      </c>
      <c r="H144" s="25">
        <f t="shared" si="75"/>
        <v>-4.374364191251269E-2</v>
      </c>
      <c r="I144" s="93">
        <f>IF(ISNUMBER(G144), $B145 * H144, "")</f>
        <v>-6561.5462868769037</v>
      </c>
      <c r="J144" s="24">
        <v>95.6</v>
      </c>
      <c r="K144" s="25">
        <f t="shared" si="76"/>
        <v>-2.7466937945066154E-2</v>
      </c>
      <c r="L144" s="94">
        <f>IF(ISNUMBER(J144), $B145 * K144, "")</f>
        <v>-4120.040691759923</v>
      </c>
      <c r="M144" s="92">
        <v>93.8</v>
      </c>
      <c r="N144" s="25">
        <f t="shared" si="77"/>
        <v>-4.5778229908443539E-2</v>
      </c>
      <c r="O144" s="94">
        <f>IF(ISNUMBER(M144), $B145 * N144, "")</f>
        <v>-6866.7344862665304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-3.7723352796179069E-2</v>
      </c>
      <c r="F145" s="28">
        <f>SUM(F125:F144)</f>
        <v>-113170.0583885372</v>
      </c>
      <c r="G145" s="26" t="s">
        <v>258</v>
      </c>
      <c r="H145" s="27">
        <f>IF(COUNT(H125:H144), SUM(H125:H144) / COUNT(H125:H144), 0)</f>
        <v>-2.082394811763149E-2</v>
      </c>
      <c r="I145" s="28">
        <f>SUM(I125:I144)</f>
        <v>-62471.844352894477</v>
      </c>
      <c r="J145" s="26" t="s">
        <v>258</v>
      </c>
      <c r="K145" s="27">
        <f>IF(COUNT(K125:K144), SUM(K125:K144) / COUNT(K125:K144), 0)</f>
        <v>-1.1219330042894497E-2</v>
      </c>
      <c r="L145" s="28">
        <f>SUM(L125:L144)</f>
        <v>-33657.990128683487</v>
      </c>
      <c r="M145" s="26" t="s">
        <v>258</v>
      </c>
      <c r="N145" s="27">
        <f>IF(COUNT(N125:N144), SUM(N125:N144) / COUNT(N125:N144), 0)</f>
        <v>-1.7702164060672008E-2</v>
      </c>
      <c r="O145" s="28">
        <f>SUM(O125:O144)</f>
        <v>-53106.492182016023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2023-03-16(목) 오전 00:00</v>
      </c>
      <c r="C150" s="198"/>
      <c r="D150" s="170" t="str">
        <f>TEXT($G$1, "[$-ko-KR]yyyy-mm-dd(ddd) ") &amp; "오후 14:00"</f>
        <v>2023-03-16(목) 오후 14:00</v>
      </c>
      <c r="E150" s="171"/>
      <c r="F150" s="172"/>
      <c r="G150" s="170" t="str">
        <f>TEXT($G$1, "[$-ko-KR]yyyy-mm-dd(ddd) ") &amp; "오후 19:00"</f>
        <v>2023-03-16(목) 오후 19:00</v>
      </c>
      <c r="H150" s="171"/>
      <c r="I150" s="172"/>
      <c r="J150" s="170" t="str">
        <f>TEXT($G$1, "[$-ko-KR]yyyy-mm-dd(ddd) ") &amp; "오후 21:00"</f>
        <v>2023-03-16(목) 오후 21:00</v>
      </c>
      <c r="K150" s="171"/>
      <c r="L150" s="172"/>
      <c r="M150" s="170" t="str">
        <f>TEXT($G$1+1, "[$-ko-KR]yyyy-mm-dd(ddd) ") &amp; "오전 00:00"</f>
        <v>2023-03-17(금)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219</v>
      </c>
      <c r="B152" s="108">
        <v>529</v>
      </c>
      <c r="C152" s="69">
        <v>-2.2181145999999999E-2</v>
      </c>
      <c r="D152" s="13">
        <v>529</v>
      </c>
      <c r="E152" s="14">
        <f>IF(ISNUMBER(D152), (D152 - $B152) / $B152, "")</f>
        <v>0</v>
      </c>
      <c r="F152" s="16">
        <f>IF(ISNUMBER(D152), $B172 * E152, "")</f>
        <v>0</v>
      </c>
      <c r="G152" s="29">
        <v>535</v>
      </c>
      <c r="H152" s="14">
        <f>IF(ISNUMBER(G152), (G152 - $B152) / $B152, "")</f>
        <v>1.1342155009451797E-2</v>
      </c>
      <c r="I152" s="90">
        <f>IF(ISNUMBER(G152), $B172 * H152, "")</f>
        <v>1701.3232514177696</v>
      </c>
      <c r="J152" s="13">
        <v>536</v>
      </c>
      <c r="K152" s="14">
        <f>IF(ISNUMBER(J152), (J152 - $B152) / $B152, "")</f>
        <v>1.3232514177693762E-2</v>
      </c>
      <c r="L152" s="16">
        <f>IF(ISNUMBER(J152), $B172 * K152, "")</f>
        <v>1984.8771266540643</v>
      </c>
      <c r="M152" s="29">
        <v>535</v>
      </c>
      <c r="N152" s="14">
        <f>IF(ISNUMBER(M152), (M152 - $B152) / $B152, "")</f>
        <v>1.1342155009451797E-2</v>
      </c>
      <c r="O152" s="16">
        <f>IF(ISNUMBER(M152), $B172 * N152, "")</f>
        <v>1701.3232514177696</v>
      </c>
      <c r="Q152" s="156"/>
      <c r="R152" s="156"/>
      <c r="S152" s="156"/>
    </row>
    <row r="153" spans="1:19" ht="17.25" thickBot="1">
      <c r="A153" s="109" t="s">
        <v>319</v>
      </c>
      <c r="B153" s="110">
        <v>218</v>
      </c>
      <c r="C153" s="70">
        <v>-2.2421524700000001E-2</v>
      </c>
      <c r="D153" s="15">
        <v>210</v>
      </c>
      <c r="E153" s="32">
        <f t="shared" ref="E153:E156" si="78">IF(ISNUMBER(D153), (D153 - $B153) / $B153, "")</f>
        <v>-3.669724770642202E-2</v>
      </c>
      <c r="F153" s="18">
        <f>IF(ISNUMBER(D153), $B172 * E153, "")</f>
        <v>-5504.5871559633033</v>
      </c>
      <c r="G153" s="31">
        <v>215</v>
      </c>
      <c r="H153" s="32">
        <f t="shared" ref="H153:H156" si="79">IF(ISNUMBER(G153), (G153 - $B153) / $B153, "")</f>
        <v>-1.3761467889908258E-2</v>
      </c>
      <c r="I153" s="91">
        <f>IF(ISNUMBER(G153), $B172 * H153, "")</f>
        <v>-2064.2201834862385</v>
      </c>
      <c r="J153" s="15">
        <v>217</v>
      </c>
      <c r="K153" s="32">
        <f t="shared" ref="K153:K156" si="80">IF(ISNUMBER(J153), (J153 - $B153) / $B153, "")</f>
        <v>-4.5871559633027525E-3</v>
      </c>
      <c r="L153" s="18">
        <f>IF(ISNUMBER(J153), $B172 * K153, "")</f>
        <v>-688.07339449541291</v>
      </c>
      <c r="M153" s="31">
        <v>215</v>
      </c>
      <c r="N153" s="32">
        <f t="shared" ref="N153:N156" si="81">IF(ISNUMBER(M153), (M153 - $B153) / $B153, "")</f>
        <v>-1.3761467889908258E-2</v>
      </c>
      <c r="O153" s="18">
        <f>IF(ISNUMBER(M153), $B172 * N153, "")</f>
        <v>-2064.2201834862385</v>
      </c>
      <c r="Q153" s="156"/>
      <c r="R153" s="156"/>
      <c r="S153" s="156"/>
    </row>
    <row r="154" spans="1:19" ht="17.25" thickBot="1">
      <c r="A154" s="109" t="s">
        <v>215</v>
      </c>
      <c r="B154" s="110">
        <v>520</v>
      </c>
      <c r="C154" s="70">
        <v>-2.2556390999999999E-2</v>
      </c>
      <c r="D154" s="15">
        <v>522</v>
      </c>
      <c r="E154" s="32">
        <f t="shared" si="78"/>
        <v>3.8461538461538464E-3</v>
      </c>
      <c r="F154" s="18">
        <f>IF(ISNUMBER(D154), $B172 * E154, "")</f>
        <v>576.92307692307691</v>
      </c>
      <c r="G154" s="31">
        <v>527</v>
      </c>
      <c r="H154" s="32">
        <f t="shared" si="79"/>
        <v>1.3461538461538462E-2</v>
      </c>
      <c r="I154" s="91">
        <f>IF(ISNUMBER(G154), $B172 * H154, "")</f>
        <v>2019.2307692307693</v>
      </c>
      <c r="J154" s="15">
        <v>529</v>
      </c>
      <c r="K154" s="32">
        <f t="shared" si="80"/>
        <v>1.7307692307692309E-2</v>
      </c>
      <c r="L154" s="18">
        <f>IF(ISNUMBER(J154), $B172 * K154, "")</f>
        <v>2596.1538461538462</v>
      </c>
      <c r="M154" s="31">
        <v>524</v>
      </c>
      <c r="N154" s="32">
        <f t="shared" si="81"/>
        <v>7.6923076923076927E-3</v>
      </c>
      <c r="O154" s="18">
        <f>IF(ISNUMBER(M154), $B172 * N154, "")</f>
        <v>1153.8461538461538</v>
      </c>
      <c r="Q154" s="146"/>
      <c r="R154" s="146"/>
      <c r="S154" s="146"/>
    </row>
    <row r="155" spans="1:19" ht="17.25" thickBot="1">
      <c r="A155" s="109" t="s">
        <v>241</v>
      </c>
      <c r="B155" s="110">
        <v>120</v>
      </c>
      <c r="C155" s="70">
        <v>-2.4390243900000001E-2</v>
      </c>
      <c r="D155" s="15">
        <v>118</v>
      </c>
      <c r="E155" s="32">
        <f t="shared" si="78"/>
        <v>-1.6666666666666666E-2</v>
      </c>
      <c r="F155" s="18">
        <f>IF(ISNUMBER(D155), $B172 * E155, "")</f>
        <v>-2500</v>
      </c>
      <c r="G155" s="31">
        <v>120</v>
      </c>
      <c r="H155" s="32">
        <f t="shared" si="79"/>
        <v>0</v>
      </c>
      <c r="I155" s="91">
        <f>IF(ISNUMBER(G155), $B172 * H155, "")</f>
        <v>0</v>
      </c>
      <c r="J155" s="15">
        <v>120</v>
      </c>
      <c r="K155" s="32">
        <f t="shared" si="80"/>
        <v>0</v>
      </c>
      <c r="L155" s="18">
        <f>IF(ISNUMBER(J155), $B172 * K155, "")</f>
        <v>0</v>
      </c>
      <c r="M155" s="31">
        <v>120</v>
      </c>
      <c r="N155" s="32">
        <f t="shared" si="81"/>
        <v>0</v>
      </c>
      <c r="O155" s="18">
        <f>IF(ISNUMBER(M155), $B172 * N155, "")</f>
        <v>0</v>
      </c>
      <c r="Q155" s="146"/>
      <c r="R155" s="146"/>
      <c r="S155" s="146"/>
    </row>
    <row r="156" spans="1:19" ht="17.25" thickBot="1">
      <c r="A156" s="111" t="s">
        <v>153</v>
      </c>
      <c r="B156" s="112">
        <v>474</v>
      </c>
      <c r="C156" s="71">
        <v>-2.4691358E-2</v>
      </c>
      <c r="D156" s="20">
        <v>452</v>
      </c>
      <c r="E156" s="21">
        <f t="shared" si="78"/>
        <v>-4.6413502109704644E-2</v>
      </c>
      <c r="F156" s="22">
        <f>IF(ISNUMBER(D156), $B172 * E156, "")</f>
        <v>-6962.0253164556962</v>
      </c>
      <c r="G156" s="30">
        <v>461</v>
      </c>
      <c r="H156" s="21">
        <f t="shared" si="79"/>
        <v>-2.7426160337552744E-2</v>
      </c>
      <c r="I156" s="95">
        <f>IF(ISNUMBER(G156), $B172 * H156, "")</f>
        <v>-4113.9240506329115</v>
      </c>
      <c r="J156" s="20">
        <v>465</v>
      </c>
      <c r="K156" s="21">
        <f t="shared" si="80"/>
        <v>-1.8987341772151899E-2</v>
      </c>
      <c r="L156" s="22">
        <f>IF(ISNUMBER(J156), $B172 * K156, "")</f>
        <v>-2848.1012658227851</v>
      </c>
      <c r="M156" s="30">
        <v>462</v>
      </c>
      <c r="N156" s="21">
        <f t="shared" si="81"/>
        <v>-2.5316455696202531E-2</v>
      </c>
      <c r="O156" s="22">
        <f>IF(ISNUMBER(M156), $B172 * N156, "")</f>
        <v>-3797.4683544303798</v>
      </c>
      <c r="Q156" s="146"/>
      <c r="R156" s="146"/>
      <c r="S156" s="146"/>
    </row>
    <row r="157" spans="1:19" ht="17.25" thickBot="1">
      <c r="A157" s="109" t="s">
        <v>60</v>
      </c>
      <c r="B157" s="113">
        <v>783</v>
      </c>
      <c r="C157" s="73">
        <v>-2.6119402999999999E-2</v>
      </c>
      <c r="D157" s="96">
        <v>737</v>
      </c>
      <c r="E157" s="97">
        <f>IF(ISNUMBER(D157), (D157 - $B157) / $B157, "")</f>
        <v>-5.8748403575989781E-2</v>
      </c>
      <c r="F157" s="98">
        <f>IF(ISNUMBER(D157), $B172 * E157, "")</f>
        <v>-8812.2605363984676</v>
      </c>
      <c r="G157" s="99">
        <v>752</v>
      </c>
      <c r="H157" s="97">
        <f>IF(ISNUMBER(G157), (G157 - $B157) / $B157, "")</f>
        <v>-3.9591315453384422E-2</v>
      </c>
      <c r="I157" s="100">
        <f>IF(ISNUMBER(G157), $B172 * H157, "")</f>
        <v>-5938.6973180076629</v>
      </c>
      <c r="J157" s="96">
        <v>756</v>
      </c>
      <c r="K157" s="97">
        <f>IF(ISNUMBER(J157), (J157 - $B157) / $B157, "")</f>
        <v>-3.4482758620689655E-2</v>
      </c>
      <c r="L157" s="98">
        <f>IF(ISNUMBER(J157), $B172 * K157, "")</f>
        <v>-5172.4137931034484</v>
      </c>
      <c r="M157" s="99">
        <v>750</v>
      </c>
      <c r="N157" s="97">
        <f>IF(ISNUMBER(M157), (M157 - $B157) / $B157, "")</f>
        <v>-4.2145593869731802E-2</v>
      </c>
      <c r="O157" s="98">
        <f>IF(ISNUMBER(M157), $B172 * N157, "")</f>
        <v>-6321.8390804597702</v>
      </c>
      <c r="Q157" s="146"/>
      <c r="R157" s="146"/>
      <c r="S157" s="146"/>
    </row>
    <row r="158" spans="1:19" ht="17.25" thickBot="1">
      <c r="A158" s="109" t="s">
        <v>101</v>
      </c>
      <c r="B158" s="110">
        <v>284</v>
      </c>
      <c r="C158" s="70">
        <v>-2.73972603E-2</v>
      </c>
      <c r="D158" s="15">
        <v>274</v>
      </c>
      <c r="E158" s="32">
        <f t="shared" ref="E158:E161" si="82">IF(ISNUMBER(D158), (D158 - $B158) / $B158, "")</f>
        <v>-3.5211267605633804E-2</v>
      </c>
      <c r="F158" s="18">
        <f>IF(ISNUMBER(D158), $B172 * E158, "")</f>
        <v>-5281.6901408450703</v>
      </c>
      <c r="G158" s="31">
        <v>277</v>
      </c>
      <c r="H158" s="32">
        <f t="shared" ref="H158:H161" si="83">IF(ISNUMBER(G158), (G158 - $B158) / $B158, "")</f>
        <v>-2.464788732394366E-2</v>
      </c>
      <c r="I158" s="91">
        <f>IF(ISNUMBER(G158), $B172 * H158, "")</f>
        <v>-3697.183098591549</v>
      </c>
      <c r="J158" s="15">
        <v>280</v>
      </c>
      <c r="K158" s="32">
        <f t="shared" ref="K158:K161" si="84">IF(ISNUMBER(J158), (J158 - $B158) / $B158, "")</f>
        <v>-1.4084507042253521E-2</v>
      </c>
      <c r="L158" s="18">
        <f>IF(ISNUMBER(J158), $B172 * K158, "")</f>
        <v>-2112.676056338028</v>
      </c>
      <c r="M158" s="31">
        <v>278</v>
      </c>
      <c r="N158" s="32">
        <f t="shared" ref="N158:N161" si="85">IF(ISNUMBER(M158), (M158 - $B158) / $B158, "")</f>
        <v>-2.1126760563380281E-2</v>
      </c>
      <c r="O158" s="18">
        <f>IF(ISNUMBER(M158), $B172 * N158, "")</f>
        <v>-3169.0140845070423</v>
      </c>
      <c r="Q158" s="146"/>
      <c r="R158" s="146"/>
      <c r="S158" s="146"/>
    </row>
    <row r="159" spans="1:19" ht="17.25" thickBot="1">
      <c r="A159" s="109" t="s">
        <v>201</v>
      </c>
      <c r="B159" s="110">
        <v>284</v>
      </c>
      <c r="C159" s="70">
        <v>-2.73972603E-2</v>
      </c>
      <c r="D159" s="15">
        <v>274</v>
      </c>
      <c r="E159" s="32">
        <f t="shared" si="82"/>
        <v>-3.5211267605633804E-2</v>
      </c>
      <c r="F159" s="18">
        <f>IF(ISNUMBER(D159), $B172 * E159, "")</f>
        <v>-5281.6901408450703</v>
      </c>
      <c r="G159" s="31">
        <v>279</v>
      </c>
      <c r="H159" s="32">
        <f t="shared" si="83"/>
        <v>-1.7605633802816902E-2</v>
      </c>
      <c r="I159" s="91">
        <f>IF(ISNUMBER(G159), $B172 * H159, "")</f>
        <v>-2640.8450704225352</v>
      </c>
      <c r="J159" s="15">
        <v>280</v>
      </c>
      <c r="K159" s="32">
        <f t="shared" si="84"/>
        <v>-1.4084507042253521E-2</v>
      </c>
      <c r="L159" s="18">
        <f>IF(ISNUMBER(J159), $B172 * K159, "")</f>
        <v>-2112.676056338028</v>
      </c>
      <c r="M159" s="31">
        <v>277</v>
      </c>
      <c r="N159" s="32">
        <f t="shared" si="85"/>
        <v>-2.464788732394366E-2</v>
      </c>
      <c r="O159" s="18">
        <f>IF(ISNUMBER(M159), $B172 * N159, "")</f>
        <v>-3697.183098591549</v>
      </c>
      <c r="Q159" s="146"/>
      <c r="R159" s="146"/>
      <c r="S159" s="146"/>
    </row>
    <row r="160" spans="1:19" ht="17.25" thickBot="1">
      <c r="A160" s="109" t="s">
        <v>79</v>
      </c>
      <c r="B160" s="110">
        <v>319</v>
      </c>
      <c r="C160" s="70">
        <v>-2.7439024400000001E-2</v>
      </c>
      <c r="D160" s="15">
        <v>307</v>
      </c>
      <c r="E160" s="32">
        <f t="shared" si="82"/>
        <v>-3.7617554858934171E-2</v>
      </c>
      <c r="F160" s="18">
        <f>IF(ISNUMBER(D160), $B172 * E160, "")</f>
        <v>-5642.6332288401254</v>
      </c>
      <c r="G160" s="31">
        <v>313</v>
      </c>
      <c r="H160" s="32">
        <f t="shared" si="83"/>
        <v>-1.8808777429467086E-2</v>
      </c>
      <c r="I160" s="91">
        <f>IF(ISNUMBER(G160), $B172 * H160, "")</f>
        <v>-2821.3166144200627</v>
      </c>
      <c r="J160" s="15">
        <v>315</v>
      </c>
      <c r="K160" s="32">
        <f t="shared" si="84"/>
        <v>-1.2539184952978056E-2</v>
      </c>
      <c r="L160" s="18">
        <f>IF(ISNUMBER(J160), $B172 * K160, "")</f>
        <v>-1880.8777429467084</v>
      </c>
      <c r="M160" s="31">
        <v>312</v>
      </c>
      <c r="N160" s="32">
        <f t="shared" si="85"/>
        <v>-2.1943573667711599E-2</v>
      </c>
      <c r="O160" s="18">
        <f>IF(ISNUMBER(M160), $B172 * N160, "")</f>
        <v>-3291.5360501567397</v>
      </c>
      <c r="Q160" s="33"/>
      <c r="R160" s="33"/>
    </row>
    <row r="161" spans="1:19" ht="17.25" thickBot="1">
      <c r="A161" s="114" t="s">
        <v>68</v>
      </c>
      <c r="B161" s="115">
        <v>564</v>
      </c>
      <c r="C161" s="72">
        <v>-2.75862069E-2</v>
      </c>
      <c r="D161" s="24">
        <v>545</v>
      </c>
      <c r="E161" s="25">
        <f t="shared" si="82"/>
        <v>-3.3687943262411348E-2</v>
      </c>
      <c r="F161" s="94">
        <f>IF(ISNUMBER(D161), $B172 * E161, "")</f>
        <v>-5053.1914893617022</v>
      </c>
      <c r="G161" s="92">
        <v>552</v>
      </c>
      <c r="H161" s="25">
        <f t="shared" si="83"/>
        <v>-2.1276595744680851E-2</v>
      </c>
      <c r="I161" s="93">
        <f>IF(ISNUMBER(G161), $B172 * H161, "")</f>
        <v>-3191.4893617021276</v>
      </c>
      <c r="J161" s="24">
        <v>557</v>
      </c>
      <c r="K161" s="25">
        <f t="shared" si="84"/>
        <v>-1.2411347517730497E-2</v>
      </c>
      <c r="L161" s="94">
        <f>IF(ISNUMBER(J161), $B172 * K161, "")</f>
        <v>-1861.7021276595744</v>
      </c>
      <c r="M161" s="92">
        <v>552</v>
      </c>
      <c r="N161" s="25">
        <f t="shared" si="85"/>
        <v>-2.1276595744680851E-2</v>
      </c>
      <c r="O161" s="94">
        <f>IF(ISNUMBER(M161), $B172 * N161, "")</f>
        <v>-3191.4893617021276</v>
      </c>
      <c r="Q161" s="147"/>
      <c r="R161" s="148"/>
      <c r="S161" s="149"/>
    </row>
    <row r="162" spans="1:19">
      <c r="A162" s="107" t="s">
        <v>169</v>
      </c>
      <c r="B162" s="108">
        <v>280</v>
      </c>
      <c r="C162" s="69">
        <v>-2.77777778E-2</v>
      </c>
      <c r="D162" s="13">
        <v>271</v>
      </c>
      <c r="E162" s="14">
        <f>IF(ISNUMBER(D162), (D162 - $B162) / $B162, "")</f>
        <v>-3.214285714285714E-2</v>
      </c>
      <c r="F162" s="16">
        <f>IF(ISNUMBER(D162), $B172 * E162, "")</f>
        <v>-4821.4285714285706</v>
      </c>
      <c r="G162" s="29">
        <v>273</v>
      </c>
      <c r="H162" s="14">
        <f>IF(ISNUMBER(G162), (G162 - $B162) / $B162, "")</f>
        <v>-2.5000000000000001E-2</v>
      </c>
      <c r="I162" s="90">
        <f>IF(ISNUMBER(G162), $B172 * H162, "")</f>
        <v>-3750</v>
      </c>
      <c r="J162" s="13">
        <v>277</v>
      </c>
      <c r="K162" s="14">
        <f>IF(ISNUMBER(J162), (J162 - $B162) / $B162, "")</f>
        <v>-1.0714285714285714E-2</v>
      </c>
      <c r="L162" s="16">
        <f>IF(ISNUMBER(J162), $B172 * K162, "")</f>
        <v>-1607.1428571428571</v>
      </c>
      <c r="M162" s="29">
        <v>277</v>
      </c>
      <c r="N162" s="14">
        <f>IF(ISNUMBER(M162), (M162 - $B162) / $B162, "")</f>
        <v>-1.0714285714285714E-2</v>
      </c>
      <c r="O162" s="16">
        <f>IF(ISNUMBER(M162), $B172 * N162, "")</f>
        <v>-1607.1428571428571</v>
      </c>
      <c r="Q162" s="150"/>
      <c r="R162" s="151"/>
      <c r="S162" s="152"/>
    </row>
    <row r="163" spans="1:19" ht="17.25" thickBot="1">
      <c r="A163" s="109" t="s">
        <v>130</v>
      </c>
      <c r="B163" s="110">
        <v>944</v>
      </c>
      <c r="C163" s="70">
        <v>-2.7806385199999999E-2</v>
      </c>
      <c r="D163" s="15">
        <v>896</v>
      </c>
      <c r="E163" s="32">
        <f t="shared" ref="E163:E166" si="86">IF(ISNUMBER(D163), (D163 - $B163) / $B163, "")</f>
        <v>-5.0847457627118647E-2</v>
      </c>
      <c r="F163" s="18">
        <f>IF(ISNUMBER(D163), $B172 * E163, "")</f>
        <v>-7627.1186440677975</v>
      </c>
      <c r="G163" s="31">
        <v>908</v>
      </c>
      <c r="H163" s="32">
        <f t="shared" ref="H163:H166" si="87">IF(ISNUMBER(G163), (G163 - $B163) / $B163, "")</f>
        <v>-3.8135593220338986E-2</v>
      </c>
      <c r="I163" s="91">
        <f>IF(ISNUMBER(G163), $B172 * H163, "")</f>
        <v>-5720.3389830508477</v>
      </c>
      <c r="J163" s="15">
        <v>915</v>
      </c>
      <c r="K163" s="32">
        <f t="shared" ref="K163:K166" si="88">IF(ISNUMBER(J163), (J163 - $B163) / $B163, "")</f>
        <v>-3.0720338983050849E-2</v>
      </c>
      <c r="L163" s="18">
        <f>IF(ISNUMBER(J163), $B172 * K163, "")</f>
        <v>-4608.0508474576272</v>
      </c>
      <c r="M163" s="31">
        <v>908</v>
      </c>
      <c r="N163" s="32">
        <f t="shared" ref="N163:N166" si="89">IF(ISNUMBER(M163), (M163 - $B163) / $B163, "")</f>
        <v>-3.8135593220338986E-2</v>
      </c>
      <c r="O163" s="18">
        <f>IF(ISNUMBER(M163), $B172 * N163, "")</f>
        <v>-5720.3389830508477</v>
      </c>
      <c r="Q163" s="153"/>
      <c r="R163" s="154"/>
      <c r="S163" s="155"/>
    </row>
    <row r="164" spans="1:19" ht="17.25" thickBot="1">
      <c r="A164" s="109" t="s">
        <v>209</v>
      </c>
      <c r="B164" s="110">
        <v>137</v>
      </c>
      <c r="C164" s="70">
        <v>-2.83687943E-2</v>
      </c>
      <c r="D164" s="15">
        <v>134</v>
      </c>
      <c r="E164" s="32">
        <f t="shared" si="86"/>
        <v>-2.1897810218978103E-2</v>
      </c>
      <c r="F164" s="18">
        <f>IF(ISNUMBER(D164), $B172 * E164, "")</f>
        <v>-3284.6715328467153</v>
      </c>
      <c r="G164" s="31">
        <v>135</v>
      </c>
      <c r="H164" s="32">
        <f t="shared" si="87"/>
        <v>-1.4598540145985401E-2</v>
      </c>
      <c r="I164" s="91">
        <f>IF(ISNUMBER(G164), $B172 * H164, "")</f>
        <v>-2189.7810218978102</v>
      </c>
      <c r="J164" s="15">
        <v>136</v>
      </c>
      <c r="K164" s="32">
        <f t="shared" si="88"/>
        <v>-7.2992700729927005E-3</v>
      </c>
      <c r="L164" s="18">
        <f>IF(ISNUMBER(J164), $B172 * K164, "")</f>
        <v>-1094.8905109489051</v>
      </c>
      <c r="M164" s="31">
        <v>136</v>
      </c>
      <c r="N164" s="32">
        <f t="shared" si="89"/>
        <v>-7.2992700729927005E-3</v>
      </c>
      <c r="O164" s="18">
        <f>IF(ISNUMBER(M164), $B172 * N164, "")</f>
        <v>-1094.8905109489051</v>
      </c>
      <c r="Q164" s="146"/>
      <c r="R164" s="146"/>
      <c r="S164" s="146"/>
    </row>
    <row r="165" spans="1:19" ht="17.25" thickBot="1">
      <c r="A165" s="109" t="s">
        <v>159</v>
      </c>
      <c r="B165" s="110">
        <v>238</v>
      </c>
      <c r="C165" s="70">
        <v>-2.85714286E-2</v>
      </c>
      <c r="D165" s="15">
        <v>229</v>
      </c>
      <c r="E165" s="32">
        <f t="shared" si="86"/>
        <v>-3.7815126050420166E-2</v>
      </c>
      <c r="F165" s="18">
        <f>IF(ISNUMBER(D165), $B172 * E165, "")</f>
        <v>-5672.2689075630251</v>
      </c>
      <c r="G165" s="31">
        <v>233</v>
      </c>
      <c r="H165" s="32">
        <f t="shared" si="87"/>
        <v>-2.100840336134454E-2</v>
      </c>
      <c r="I165" s="91">
        <f>IF(ISNUMBER(G165), $B172 * H165, "")</f>
        <v>-3151.2605042016808</v>
      </c>
      <c r="J165" s="15">
        <v>234</v>
      </c>
      <c r="K165" s="32">
        <f t="shared" si="88"/>
        <v>-1.680672268907563E-2</v>
      </c>
      <c r="L165" s="18">
        <f>IF(ISNUMBER(J165), $B172 * K165, "")</f>
        <v>-2521.0084033613443</v>
      </c>
      <c r="M165" s="31">
        <v>233</v>
      </c>
      <c r="N165" s="32">
        <f t="shared" si="89"/>
        <v>-2.100840336134454E-2</v>
      </c>
      <c r="O165" s="18">
        <f>IF(ISNUMBER(M165), $B172 * N165, "")</f>
        <v>-3151.2605042016808</v>
      </c>
      <c r="Q165" s="156"/>
      <c r="R165" s="156"/>
      <c r="S165" s="156"/>
    </row>
    <row r="166" spans="1:19" ht="17.25" thickBot="1">
      <c r="A166" s="111" t="s">
        <v>111</v>
      </c>
      <c r="B166" s="112">
        <v>823</v>
      </c>
      <c r="C166" s="71">
        <v>-2.9481132100000002E-2</v>
      </c>
      <c r="D166" s="20">
        <v>776</v>
      </c>
      <c r="E166" s="21">
        <f t="shared" si="86"/>
        <v>-5.7108140947752128E-2</v>
      </c>
      <c r="F166" s="22">
        <f>IF(ISNUMBER(D166), $B172 * E166, "")</f>
        <v>-8566.2211421628199</v>
      </c>
      <c r="G166" s="30">
        <v>790</v>
      </c>
      <c r="H166" s="21">
        <f t="shared" si="87"/>
        <v>-4.0097205346294046E-2</v>
      </c>
      <c r="I166" s="95">
        <f>IF(ISNUMBER(G166), $B172 * H166, "")</f>
        <v>-6014.5808019441065</v>
      </c>
      <c r="J166" s="20">
        <v>798</v>
      </c>
      <c r="K166" s="21">
        <f t="shared" si="88"/>
        <v>-3.0376670716889428E-2</v>
      </c>
      <c r="L166" s="22">
        <f>IF(ISNUMBER(J166), $B172 * K166, "")</f>
        <v>-4556.500607533414</v>
      </c>
      <c r="M166" s="30">
        <v>790</v>
      </c>
      <c r="N166" s="21">
        <f t="shared" si="89"/>
        <v>-4.0097205346294046E-2</v>
      </c>
      <c r="O166" s="22">
        <f>IF(ISNUMBER(M166), $B172 * N166, "")</f>
        <v>-6014.5808019441065</v>
      </c>
      <c r="Q166" s="156"/>
      <c r="R166" s="156"/>
      <c r="S166" s="156"/>
    </row>
    <row r="167" spans="1:19" ht="17.25" thickBot="1">
      <c r="A167" s="109" t="s">
        <v>346</v>
      </c>
      <c r="B167" s="113">
        <v>283</v>
      </c>
      <c r="C167" s="73">
        <v>-3.0821917800000001E-2</v>
      </c>
      <c r="D167" s="96">
        <v>272</v>
      </c>
      <c r="E167" s="97">
        <f>IF(ISNUMBER(D167), (D167 - $B167) / $B167, "")</f>
        <v>-3.8869257950530034E-2</v>
      </c>
      <c r="F167" s="98">
        <f>IF(ISNUMBER(D167), $B172 * E167, "")</f>
        <v>-5830.388692579505</v>
      </c>
      <c r="G167" s="99">
        <v>276</v>
      </c>
      <c r="H167" s="97">
        <f>IF(ISNUMBER(G167), (G167 - $B167) / $B167, "")</f>
        <v>-2.4734982332155476E-2</v>
      </c>
      <c r="I167" s="100">
        <f>IF(ISNUMBER(G167), $B172 * H167, "")</f>
        <v>-3710.2473498233212</v>
      </c>
      <c r="J167" s="96">
        <v>279</v>
      </c>
      <c r="K167" s="97">
        <f>IF(ISNUMBER(J167), (J167 - $B167) / $B167, "")</f>
        <v>-1.4134275618374558E-2</v>
      </c>
      <c r="L167" s="98">
        <f>IF(ISNUMBER(J167), $B172 * K167, "")</f>
        <v>-2120.1413427561838</v>
      </c>
      <c r="M167" s="99">
        <v>276</v>
      </c>
      <c r="N167" s="97">
        <f>IF(ISNUMBER(M167), (M167 - $B167) / $B167, "")</f>
        <v>-2.4734982332155476E-2</v>
      </c>
      <c r="O167" s="98">
        <f>IF(ISNUMBER(M167), $B172 * N167, "")</f>
        <v>-3710.2473498233212</v>
      </c>
      <c r="Q167" s="146"/>
      <c r="R167" s="146"/>
      <c r="S167" s="146"/>
    </row>
    <row r="168" spans="1:19" ht="17.25" thickBot="1">
      <c r="A168" s="109" t="s">
        <v>327</v>
      </c>
      <c r="B168" s="110">
        <v>521</v>
      </c>
      <c r="C168" s="70">
        <v>-3.3395176300000003E-2</v>
      </c>
      <c r="D168" s="15">
        <v>479</v>
      </c>
      <c r="E168" s="32">
        <f t="shared" ref="E168:E171" si="90">IF(ISNUMBER(D168), (D168 - $B168) / $B168, "")</f>
        <v>-8.0614203454894437E-2</v>
      </c>
      <c r="F168" s="18">
        <f>IF(ISNUMBER(D168), $B172 * E168, "")</f>
        <v>-12092.130518234166</v>
      </c>
      <c r="G168" s="31">
        <v>488</v>
      </c>
      <c r="H168" s="32">
        <f t="shared" ref="H168:H171" si="91">IF(ISNUMBER(G168), (G168 - $B168) / $B168, "")</f>
        <v>-6.3339731285988479E-2</v>
      </c>
      <c r="I168" s="91">
        <f>IF(ISNUMBER(G168), $B172 * H168, "")</f>
        <v>-9500.9596928982719</v>
      </c>
      <c r="J168" s="15">
        <v>496</v>
      </c>
      <c r="K168" s="32">
        <f t="shared" ref="K168:K171" si="92">IF(ISNUMBER(J168), (J168 - $B168) / $B168, "")</f>
        <v>-4.7984644913627639E-2</v>
      </c>
      <c r="L168" s="18">
        <f>IF(ISNUMBER(J168), $B172 * K168, "")</f>
        <v>-7197.6967370441462</v>
      </c>
      <c r="M168" s="31">
        <v>499</v>
      </c>
      <c r="N168" s="32">
        <f t="shared" ref="N168:N171" si="93">IF(ISNUMBER(M168), (M168 - $B168) / $B168, "")</f>
        <v>-4.2226487523992322E-2</v>
      </c>
      <c r="O168" s="18">
        <f>IF(ISNUMBER(M168), $B172 * N168, "")</f>
        <v>-6333.9731285988482</v>
      </c>
      <c r="Q168" s="146"/>
      <c r="R168" s="146"/>
      <c r="S168" s="146"/>
    </row>
    <row r="169" spans="1:19" ht="17.25" thickBot="1">
      <c r="A169" s="109" t="s">
        <v>51</v>
      </c>
      <c r="B169" s="110">
        <v>113</v>
      </c>
      <c r="C169" s="70">
        <v>-3.4188034200000002E-2</v>
      </c>
      <c r="D169" s="15">
        <v>111</v>
      </c>
      <c r="E169" s="32">
        <f t="shared" si="90"/>
        <v>-1.7699115044247787E-2</v>
      </c>
      <c r="F169" s="18">
        <f>IF(ISNUMBER(D169), $B172 * E169, "")</f>
        <v>-2654.8672566371679</v>
      </c>
      <c r="G169" s="31">
        <v>113</v>
      </c>
      <c r="H169" s="32">
        <f t="shared" si="91"/>
        <v>0</v>
      </c>
      <c r="I169" s="91">
        <f>IF(ISNUMBER(G169), $B172 * H169, "")</f>
        <v>0</v>
      </c>
      <c r="J169" s="15">
        <v>114</v>
      </c>
      <c r="K169" s="32">
        <f t="shared" si="92"/>
        <v>8.8495575221238937E-3</v>
      </c>
      <c r="L169" s="18">
        <f>IF(ISNUMBER(J169), $B172 * K169, "")</f>
        <v>1327.4336283185839</v>
      </c>
      <c r="M169" s="31">
        <v>113</v>
      </c>
      <c r="N169" s="32">
        <f t="shared" si="93"/>
        <v>0</v>
      </c>
      <c r="O169" s="18">
        <f>IF(ISNUMBER(M169), $B172 * N169, "")</f>
        <v>0</v>
      </c>
      <c r="Q169" s="146"/>
      <c r="R169" s="146"/>
      <c r="S169" s="146"/>
    </row>
    <row r="170" spans="1:19">
      <c r="A170" s="109" t="s">
        <v>352</v>
      </c>
      <c r="B170" s="110">
        <v>244</v>
      </c>
      <c r="C170" s="70">
        <v>-5.0583657599999998E-2</v>
      </c>
      <c r="D170" s="15">
        <v>232</v>
      </c>
      <c r="E170" s="32">
        <f t="shared" si="90"/>
        <v>-4.9180327868852458E-2</v>
      </c>
      <c r="F170" s="18">
        <f>IF(ISNUMBER(D170), $B172 * E170, "")</f>
        <v>-7377.0491803278683</v>
      </c>
      <c r="G170" s="31">
        <v>241</v>
      </c>
      <c r="H170" s="32">
        <f t="shared" si="91"/>
        <v>-1.2295081967213115E-2</v>
      </c>
      <c r="I170" s="91">
        <f>IF(ISNUMBER(G170), $B172 * H170, "")</f>
        <v>-1844.2622950819671</v>
      </c>
      <c r="J170" s="15">
        <v>241</v>
      </c>
      <c r="K170" s="32">
        <f t="shared" si="92"/>
        <v>-1.2295081967213115E-2</v>
      </c>
      <c r="L170" s="18">
        <f>IF(ISNUMBER(J170), $B172 * K170, "")</f>
        <v>-1844.2622950819671</v>
      </c>
      <c r="M170" s="31">
        <v>236</v>
      </c>
      <c r="N170" s="32">
        <f t="shared" si="93"/>
        <v>-3.2786885245901641E-2</v>
      </c>
      <c r="O170" s="18">
        <f>IF(ISNUMBER(M170), $B172 * N170, "")</f>
        <v>-4918.0327868852464</v>
      </c>
      <c r="Q170" s="135"/>
      <c r="R170" s="136"/>
      <c r="S170" s="137"/>
    </row>
    <row r="171" spans="1:19" ht="17.25" thickBot="1">
      <c r="A171" s="114" t="s">
        <v>157</v>
      </c>
      <c r="B171" s="115">
        <v>436</v>
      </c>
      <c r="C171" s="72">
        <v>-5.83153348E-2</v>
      </c>
      <c r="D171" s="24">
        <v>419</v>
      </c>
      <c r="E171" s="25">
        <f t="shared" si="90"/>
        <v>-3.8990825688073397E-2</v>
      </c>
      <c r="F171" s="94">
        <f>IF(ISNUMBER(D171), $B172 * E171, "")</f>
        <v>-5848.6238532110092</v>
      </c>
      <c r="G171" s="92">
        <v>422</v>
      </c>
      <c r="H171" s="25">
        <f t="shared" si="91"/>
        <v>-3.2110091743119268E-2</v>
      </c>
      <c r="I171" s="93">
        <f>IF(ISNUMBER(G171), $B172 * H171, "")</f>
        <v>-4816.5137614678906</v>
      </c>
      <c r="J171" s="24">
        <v>422</v>
      </c>
      <c r="K171" s="25">
        <f t="shared" si="92"/>
        <v>-3.2110091743119268E-2</v>
      </c>
      <c r="L171" s="94">
        <f>IF(ISNUMBER(J171), $B172 * K171, "")</f>
        <v>-4816.5137614678906</v>
      </c>
      <c r="M171" s="92">
        <v>420</v>
      </c>
      <c r="N171" s="25">
        <f t="shared" si="93"/>
        <v>-3.669724770642202E-2</v>
      </c>
      <c r="O171" s="94">
        <f>IF(ISNUMBER(M171), $B172 * N171, "")</f>
        <v>-5504.5871559633033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-3.6078641076948345E-2</v>
      </c>
      <c r="F172" s="28">
        <f>SUM(F152:F171)</f>
        <v>-108235.92323084502</v>
      </c>
      <c r="G172" s="26" t="s">
        <v>258</v>
      </c>
      <c r="H172" s="27">
        <f>IF(COUNT(H152:H171), SUM(H152:H171) / COUNT(H152:H171), 0)</f>
        <v>-2.0481688695660149E-2</v>
      </c>
      <c r="I172" s="28">
        <f>SUM(I152:I171)</f>
        <v>-61445.066086980449</v>
      </c>
      <c r="J172" s="26" t="s">
        <v>258</v>
      </c>
      <c r="K172" s="27">
        <f>IF(COUNT(K152:K171), SUM(K152:K171) / COUNT(K152:K171), 0)</f>
        <v>-1.3711421066123941E-2</v>
      </c>
      <c r="L172" s="28">
        <f>SUM(L152:L171)</f>
        <v>-41134.263198371824</v>
      </c>
      <c r="M172" s="26" t="s">
        <v>258</v>
      </c>
      <c r="N172" s="27">
        <f>IF(COUNT(N152:N171), SUM(N152:N171) / COUNT(N152:N171), 0)</f>
        <v>-2.0244211628876345E-2</v>
      </c>
      <c r="O172" s="28">
        <f>SUM(O152:O171)</f>
        <v>-60732.634886629043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2023-03-16(목) 오전 00:00</v>
      </c>
      <c r="C177" s="198"/>
      <c r="D177" s="170" t="str">
        <f>TEXT($G$1, "[$-ko-KR]yyyy-mm-dd(ddd) ") &amp; "오후 14:00"</f>
        <v>2023-03-16(목) 오후 14:00</v>
      </c>
      <c r="E177" s="171"/>
      <c r="F177" s="172"/>
      <c r="G177" s="170" t="str">
        <f>TEXT($G$1, "[$-ko-KR]yyyy-mm-dd(ddd) ") &amp; "오후 19:00"</f>
        <v>2023-03-16(목) 오후 19:00</v>
      </c>
      <c r="H177" s="171"/>
      <c r="I177" s="172"/>
      <c r="J177" s="170" t="str">
        <f>TEXT($G$1, "[$-ko-KR]yyyy-mm-dd(ddd) ") &amp; "오후 21:00"</f>
        <v>2023-03-16(목) 오후 21:00</v>
      </c>
      <c r="K177" s="171"/>
      <c r="L177" s="172"/>
      <c r="M177" s="170" t="str">
        <f>TEXT($G$1+1, "[$-ko-KR]yyyy-mm-dd(ddd) ") &amp; "오전 00:00"</f>
        <v>2023-03-17(금)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209</v>
      </c>
      <c r="B179" s="108">
        <v>137</v>
      </c>
      <c r="C179" s="69">
        <v>-2.83687943E-2</v>
      </c>
      <c r="D179" s="13">
        <v>134</v>
      </c>
      <c r="E179" s="14">
        <f>IF(ISNUMBER(D179), (D179 - $B179) / $B179, "")</f>
        <v>-2.1897810218978103E-2</v>
      </c>
      <c r="F179" s="16">
        <f>IF(ISNUMBER(D179), $B199 * E179, "")</f>
        <v>-3284.6715328467153</v>
      </c>
      <c r="G179" s="29">
        <v>135</v>
      </c>
      <c r="H179" s="14">
        <f>IF(ISNUMBER(G179), (G179 - $B179) / $B179, "")</f>
        <v>-1.4598540145985401E-2</v>
      </c>
      <c r="I179" s="90">
        <f>IF(ISNUMBER(G179), $B199 * H179, "")</f>
        <v>-2189.7810218978102</v>
      </c>
      <c r="J179" s="13">
        <v>136</v>
      </c>
      <c r="K179" s="14">
        <f>IF(ISNUMBER(J179), (J179 - $B179) / $B179, "")</f>
        <v>-7.2992700729927005E-3</v>
      </c>
      <c r="L179" s="16">
        <f>IF(ISNUMBER(J179), $B199 * K179, "")</f>
        <v>-1094.8905109489051</v>
      </c>
      <c r="M179" s="29">
        <v>136</v>
      </c>
      <c r="N179" s="14">
        <f>IF(ISNUMBER(M179), (M179 - $B179) / $B179, "")</f>
        <v>-7.2992700729927005E-3</v>
      </c>
      <c r="O179" s="16">
        <f>IF(ISNUMBER(M179), $B199 * N179, "")</f>
        <v>-1094.8905109489051</v>
      </c>
      <c r="Q179" s="156"/>
      <c r="R179" s="156"/>
      <c r="S179" s="156"/>
    </row>
    <row r="180" spans="1:19" ht="17.25" thickBot="1">
      <c r="A180" s="109" t="s">
        <v>159</v>
      </c>
      <c r="B180" s="110">
        <v>238</v>
      </c>
      <c r="C180" s="70">
        <v>-2.85714286E-2</v>
      </c>
      <c r="D180" s="15">
        <v>229</v>
      </c>
      <c r="E180" s="32">
        <f t="shared" ref="E180:E183" si="94">IF(ISNUMBER(D180), (D180 - $B180) / $B180, "")</f>
        <v>-3.7815126050420166E-2</v>
      </c>
      <c r="F180" s="18">
        <f>IF(ISNUMBER(D180), $B199 * E180, "")</f>
        <v>-5672.2689075630251</v>
      </c>
      <c r="G180" s="31">
        <v>233</v>
      </c>
      <c r="H180" s="32">
        <f t="shared" ref="H180:H183" si="95">IF(ISNUMBER(G180), (G180 - $B180) / $B180, "")</f>
        <v>-2.100840336134454E-2</v>
      </c>
      <c r="I180" s="91">
        <f>IF(ISNUMBER(G180), $B199 * H180, "")</f>
        <v>-3151.2605042016808</v>
      </c>
      <c r="J180" s="15">
        <v>234</v>
      </c>
      <c r="K180" s="32">
        <f t="shared" ref="K180:K183" si="96">IF(ISNUMBER(J180), (J180 - $B180) / $B180, "")</f>
        <v>-1.680672268907563E-2</v>
      </c>
      <c r="L180" s="18">
        <f>IF(ISNUMBER(J180), $B199 * K180, "")</f>
        <v>-2521.0084033613443</v>
      </c>
      <c r="M180" s="31">
        <v>233</v>
      </c>
      <c r="N180" s="32">
        <f t="shared" ref="N180:N183" si="97">IF(ISNUMBER(M180), (M180 - $B180) / $B180, "")</f>
        <v>-2.100840336134454E-2</v>
      </c>
      <c r="O180" s="18">
        <f>IF(ISNUMBER(M180), $B199 * N180, "")</f>
        <v>-3151.2605042016808</v>
      </c>
      <c r="Q180" s="156"/>
      <c r="R180" s="156"/>
      <c r="S180" s="156"/>
    </row>
    <row r="181" spans="1:19" ht="17.25" thickBot="1">
      <c r="A181" s="109" t="s">
        <v>64</v>
      </c>
      <c r="B181" s="110">
        <v>13.6</v>
      </c>
      <c r="C181" s="70">
        <v>-2.85714286E-2</v>
      </c>
      <c r="D181" s="15">
        <v>13.1</v>
      </c>
      <c r="E181" s="32">
        <f t="shared" si="94"/>
        <v>-3.6764705882352942E-2</v>
      </c>
      <c r="F181" s="18">
        <f>IF(ISNUMBER(D181), $B199 * E181, "")</f>
        <v>-5514.7058823529414</v>
      </c>
      <c r="G181" s="31">
        <v>13.2</v>
      </c>
      <c r="H181" s="32">
        <f t="shared" si="95"/>
        <v>-2.941176470588238E-2</v>
      </c>
      <c r="I181" s="91">
        <f>IF(ISNUMBER(G181), $B199 * H181, "")</f>
        <v>-4411.7647058823568</v>
      </c>
      <c r="J181" s="15">
        <v>13.4</v>
      </c>
      <c r="K181" s="32">
        <f t="shared" si="96"/>
        <v>-1.4705882352941124E-2</v>
      </c>
      <c r="L181" s="18">
        <f>IF(ISNUMBER(J181), $B199 * K181, "")</f>
        <v>-2205.8823529411688</v>
      </c>
      <c r="M181" s="31">
        <v>13.2</v>
      </c>
      <c r="N181" s="32">
        <f t="shared" si="97"/>
        <v>-2.941176470588238E-2</v>
      </c>
      <c r="O181" s="18">
        <f>IF(ISNUMBER(M181), $B199 * N181, "")</f>
        <v>-4411.7647058823568</v>
      </c>
      <c r="Q181" s="146"/>
      <c r="R181" s="146"/>
      <c r="S181" s="146"/>
    </row>
    <row r="182" spans="1:19" ht="17.25" thickBot="1">
      <c r="A182" s="109" t="s">
        <v>342</v>
      </c>
      <c r="B182" s="110">
        <v>101100</v>
      </c>
      <c r="C182" s="70">
        <v>-2.8818443799999999E-2</v>
      </c>
      <c r="D182" s="15">
        <v>98030</v>
      </c>
      <c r="E182" s="32">
        <f t="shared" si="94"/>
        <v>-3.0365974282888231E-2</v>
      </c>
      <c r="F182" s="18">
        <f>IF(ISNUMBER(D182), $B199 * E182, "")</f>
        <v>-4554.8961424332347</v>
      </c>
      <c r="G182" s="31">
        <v>99430</v>
      </c>
      <c r="H182" s="32">
        <f t="shared" si="95"/>
        <v>-1.6518298714144411E-2</v>
      </c>
      <c r="I182" s="91">
        <f>IF(ISNUMBER(G182), $B199 * H182, "")</f>
        <v>-2477.7448071216618</v>
      </c>
      <c r="J182" s="15">
        <v>100550</v>
      </c>
      <c r="K182" s="32">
        <f t="shared" si="96"/>
        <v>-5.440158259149357E-3</v>
      </c>
      <c r="L182" s="18">
        <f>IF(ISNUMBER(J182), $B199 * K182, "")</f>
        <v>-816.02373887240356</v>
      </c>
      <c r="M182" s="31">
        <v>100050</v>
      </c>
      <c r="N182" s="32">
        <f t="shared" si="97"/>
        <v>-1.0385756676557863E-2</v>
      </c>
      <c r="O182" s="18">
        <f>IF(ISNUMBER(M182), $B199 * N182, "")</f>
        <v>-1557.8635014836796</v>
      </c>
      <c r="Q182" s="146"/>
      <c r="R182" s="146"/>
      <c r="S182" s="146"/>
    </row>
    <row r="183" spans="1:19" ht="17.25" thickBot="1">
      <c r="A183" s="111" t="s">
        <v>111</v>
      </c>
      <c r="B183" s="112">
        <v>823</v>
      </c>
      <c r="C183" s="71">
        <v>-2.9481132100000002E-2</v>
      </c>
      <c r="D183" s="20">
        <v>776</v>
      </c>
      <c r="E183" s="21">
        <f t="shared" si="94"/>
        <v>-5.7108140947752128E-2</v>
      </c>
      <c r="F183" s="22">
        <f>IF(ISNUMBER(D183), $B199 * E183, "")</f>
        <v>-8566.2211421628199</v>
      </c>
      <c r="G183" s="30">
        <v>790</v>
      </c>
      <c r="H183" s="21">
        <f t="shared" si="95"/>
        <v>-4.0097205346294046E-2</v>
      </c>
      <c r="I183" s="95">
        <f>IF(ISNUMBER(G183), $B199 * H183, "")</f>
        <v>-6014.5808019441065</v>
      </c>
      <c r="J183" s="20">
        <v>798</v>
      </c>
      <c r="K183" s="21">
        <f t="shared" si="96"/>
        <v>-3.0376670716889428E-2</v>
      </c>
      <c r="L183" s="22">
        <f>IF(ISNUMBER(J183), $B199 * K183, "")</f>
        <v>-4556.500607533414</v>
      </c>
      <c r="M183" s="30">
        <v>790</v>
      </c>
      <c r="N183" s="21">
        <f t="shared" si="97"/>
        <v>-4.0097205346294046E-2</v>
      </c>
      <c r="O183" s="22">
        <f>IF(ISNUMBER(M183), $B199 * N183, "")</f>
        <v>-6014.5808019441065</v>
      </c>
      <c r="Q183" s="146"/>
      <c r="R183" s="146"/>
      <c r="S183" s="146"/>
    </row>
    <row r="184" spans="1:19" ht="17.25" thickBot="1">
      <c r="A184" s="109" t="s">
        <v>346</v>
      </c>
      <c r="B184" s="113">
        <v>283</v>
      </c>
      <c r="C184" s="73">
        <v>-3.0821917800000001E-2</v>
      </c>
      <c r="D184" s="96">
        <v>272</v>
      </c>
      <c r="E184" s="97">
        <f>IF(ISNUMBER(D184), (D184 - $B184) / $B184, "")</f>
        <v>-3.8869257950530034E-2</v>
      </c>
      <c r="F184" s="98">
        <f>IF(ISNUMBER(D184), $B199 * E184, "")</f>
        <v>-5830.388692579505</v>
      </c>
      <c r="G184" s="99">
        <v>276</v>
      </c>
      <c r="H184" s="97">
        <f>IF(ISNUMBER(G184), (G184 - $B184) / $B184, "")</f>
        <v>-2.4734982332155476E-2</v>
      </c>
      <c r="I184" s="100">
        <f>IF(ISNUMBER(G184), $B199 * H184, "")</f>
        <v>-3710.2473498233212</v>
      </c>
      <c r="J184" s="96">
        <v>279</v>
      </c>
      <c r="K184" s="97">
        <f>IF(ISNUMBER(J184), (J184 - $B184) / $B184, "")</f>
        <v>-1.4134275618374558E-2</v>
      </c>
      <c r="L184" s="98">
        <f>IF(ISNUMBER(J184), $B199 * K184, "")</f>
        <v>-2120.1413427561838</v>
      </c>
      <c r="M184" s="99">
        <v>276</v>
      </c>
      <c r="N184" s="97">
        <f>IF(ISNUMBER(M184), (M184 - $B184) / $B184, "")</f>
        <v>-2.4734982332155476E-2</v>
      </c>
      <c r="O184" s="98">
        <f>IF(ISNUMBER(M184), $B199 * N184, "")</f>
        <v>-3710.2473498233212</v>
      </c>
      <c r="Q184" s="146"/>
      <c r="R184" s="146"/>
      <c r="S184" s="146"/>
    </row>
    <row r="185" spans="1:19" ht="17.25" thickBot="1">
      <c r="A185" s="109" t="s">
        <v>161</v>
      </c>
      <c r="B185" s="110">
        <v>1230</v>
      </c>
      <c r="C185" s="70">
        <v>-3.1496062999999998E-2</v>
      </c>
      <c r="D185" s="15">
        <v>1165</v>
      </c>
      <c r="E185" s="32">
        <f t="shared" ref="E185:E188" si="98">IF(ISNUMBER(D185), (D185 - $B185) / $B185, "")</f>
        <v>-5.2845528455284556E-2</v>
      </c>
      <c r="F185" s="18">
        <f>IF(ISNUMBER(D185), $B199 * E185, "")</f>
        <v>-7926.8292682926831</v>
      </c>
      <c r="G185" s="31">
        <v>1225</v>
      </c>
      <c r="H185" s="32">
        <f t="shared" ref="H185:H188" si="99">IF(ISNUMBER(G185), (G185 - $B185) / $B185, "")</f>
        <v>-4.0650406504065045E-3</v>
      </c>
      <c r="I185" s="91">
        <f>IF(ISNUMBER(G185), $B199 * H185, "")</f>
        <v>-609.75609756097572</v>
      </c>
      <c r="J185" s="15">
        <v>1235</v>
      </c>
      <c r="K185" s="32">
        <f t="shared" ref="K185:K188" si="100">IF(ISNUMBER(J185), (J185 - $B185) / $B185, "")</f>
        <v>4.0650406504065045E-3</v>
      </c>
      <c r="L185" s="18">
        <f>IF(ISNUMBER(J185), $B199 * K185, "")</f>
        <v>609.75609756097572</v>
      </c>
      <c r="M185" s="31">
        <v>1220</v>
      </c>
      <c r="N185" s="32">
        <f t="shared" ref="N185:N188" si="101">IF(ISNUMBER(M185), (M185 - $B185) / $B185, "")</f>
        <v>-8.130081300813009E-3</v>
      </c>
      <c r="O185" s="18">
        <f>IF(ISNUMBER(M185), $B199 * N185, "")</f>
        <v>-1219.5121951219514</v>
      </c>
      <c r="Q185" s="146"/>
      <c r="R185" s="146"/>
      <c r="S185" s="146"/>
    </row>
    <row r="186" spans="1:19" ht="17.25" thickBot="1">
      <c r="A186" s="109" t="s">
        <v>335</v>
      </c>
      <c r="B186" s="110">
        <v>84.2</v>
      </c>
      <c r="C186" s="70">
        <v>-3.2183907999999997E-2</v>
      </c>
      <c r="D186" s="15">
        <v>78.900000000000006</v>
      </c>
      <c r="E186" s="32">
        <f t="shared" si="98"/>
        <v>-6.2945368171021338E-2</v>
      </c>
      <c r="F186" s="18">
        <f>IF(ISNUMBER(D186), $B199 * E186, "")</f>
        <v>-9441.805225653201</v>
      </c>
      <c r="G186" s="31">
        <v>80.5</v>
      </c>
      <c r="H186" s="32">
        <f t="shared" si="99"/>
        <v>-4.3942992874109299E-2</v>
      </c>
      <c r="I186" s="91">
        <f>IF(ISNUMBER(G186), $B199 * H186, "")</f>
        <v>-6591.4489311163952</v>
      </c>
      <c r="J186" s="15">
        <v>81.5</v>
      </c>
      <c r="K186" s="32">
        <f t="shared" si="100"/>
        <v>-3.2066508313539223E-2</v>
      </c>
      <c r="L186" s="18">
        <f>IF(ISNUMBER(J186), $B199 * K186, "")</f>
        <v>-4809.9762470308833</v>
      </c>
      <c r="M186" s="31">
        <v>81.099999999999994</v>
      </c>
      <c r="N186" s="32">
        <f t="shared" si="101"/>
        <v>-3.6817102137767323E-2</v>
      </c>
      <c r="O186" s="18">
        <f>IF(ISNUMBER(M186), $B199 * N186, "")</f>
        <v>-5522.5653206650986</v>
      </c>
      <c r="Q186" s="146"/>
      <c r="R186" s="146"/>
      <c r="S186" s="146"/>
    </row>
    <row r="187" spans="1:19" ht="17.25" thickBot="1">
      <c r="A187" s="109" t="s">
        <v>147</v>
      </c>
      <c r="B187" s="110">
        <v>10980</v>
      </c>
      <c r="C187" s="70">
        <v>-3.2599118900000001E-2</v>
      </c>
      <c r="D187" s="15">
        <v>10380</v>
      </c>
      <c r="E187" s="32">
        <f t="shared" si="98"/>
        <v>-5.4644808743169397E-2</v>
      </c>
      <c r="F187" s="18">
        <f>IF(ISNUMBER(D187), $B199 * E187, "")</f>
        <v>-8196.7213114754104</v>
      </c>
      <c r="G187" s="31">
        <v>10620</v>
      </c>
      <c r="H187" s="32">
        <f t="shared" si="99"/>
        <v>-3.2786885245901641E-2</v>
      </c>
      <c r="I187" s="91">
        <f>IF(ISNUMBER(G187), $B199 * H187, "")</f>
        <v>-4918.0327868852464</v>
      </c>
      <c r="J187" s="15">
        <v>10690</v>
      </c>
      <c r="K187" s="32">
        <f t="shared" si="100"/>
        <v>-2.6411657559198543E-2</v>
      </c>
      <c r="L187" s="18">
        <f>IF(ISNUMBER(J187), $B199 * K187, "")</f>
        <v>-3961.7486338797817</v>
      </c>
      <c r="M187" s="31">
        <v>10570</v>
      </c>
      <c r="N187" s="32">
        <f t="shared" si="101"/>
        <v>-3.7340619307832425E-2</v>
      </c>
      <c r="O187" s="18">
        <f>IF(ISNUMBER(M187), $B199 * N187, "")</f>
        <v>-5601.0928961748641</v>
      </c>
      <c r="Q187" s="33"/>
      <c r="R187" s="33"/>
    </row>
    <row r="188" spans="1:19" ht="17.25" thickBot="1">
      <c r="A188" s="114" t="s">
        <v>327</v>
      </c>
      <c r="B188" s="115">
        <v>521</v>
      </c>
      <c r="C188" s="72">
        <v>-3.3395176300000003E-2</v>
      </c>
      <c r="D188" s="24">
        <v>479</v>
      </c>
      <c r="E188" s="25">
        <f t="shared" si="98"/>
        <v>-8.0614203454894437E-2</v>
      </c>
      <c r="F188" s="94">
        <f>IF(ISNUMBER(D188), $B199 * E188, "")</f>
        <v>-12092.130518234166</v>
      </c>
      <c r="G188" s="92">
        <v>488</v>
      </c>
      <c r="H188" s="25">
        <f t="shared" si="99"/>
        <v>-6.3339731285988479E-2</v>
      </c>
      <c r="I188" s="93">
        <f>IF(ISNUMBER(G188), $B199 * H188, "")</f>
        <v>-9500.9596928982719</v>
      </c>
      <c r="J188" s="24">
        <v>496</v>
      </c>
      <c r="K188" s="25">
        <f t="shared" si="100"/>
        <v>-4.7984644913627639E-2</v>
      </c>
      <c r="L188" s="94">
        <f>IF(ISNUMBER(J188), $B199 * K188, "")</f>
        <v>-7197.6967370441462</v>
      </c>
      <c r="M188" s="92">
        <v>499</v>
      </c>
      <c r="N188" s="25">
        <f t="shared" si="101"/>
        <v>-4.2226487523992322E-2</v>
      </c>
      <c r="O188" s="94">
        <f>IF(ISNUMBER(M188), $B199 * N188, "")</f>
        <v>-6333.9731285988482</v>
      </c>
      <c r="Q188" s="147"/>
      <c r="R188" s="148"/>
      <c r="S188" s="149"/>
    </row>
    <row r="189" spans="1:19">
      <c r="A189" s="107" t="s">
        <v>138</v>
      </c>
      <c r="B189" s="108">
        <v>46.1</v>
      </c>
      <c r="C189" s="69">
        <v>-3.35429769E-2</v>
      </c>
      <c r="D189" s="13">
        <v>45.2</v>
      </c>
      <c r="E189" s="14">
        <f>IF(ISNUMBER(D189), (D189 - $B189) / $B189, "")</f>
        <v>-1.9522776572668082E-2</v>
      </c>
      <c r="F189" s="16">
        <f>IF(ISNUMBER(D189), $B199 * E189, "")</f>
        <v>-2928.4164859002121</v>
      </c>
      <c r="G189" s="29">
        <v>46</v>
      </c>
      <c r="H189" s="14">
        <f>IF(ISNUMBER(G189), (G189 - $B189) / $B189, "")</f>
        <v>-2.1691973969631545E-3</v>
      </c>
      <c r="I189" s="90">
        <f>IF(ISNUMBER(G189), $B199 * H189, "")</f>
        <v>-325.37960954447317</v>
      </c>
      <c r="J189" s="13">
        <v>46.7</v>
      </c>
      <c r="K189" s="14">
        <f>IF(ISNUMBER(J189), (J189 - $B189) / $B189, "")</f>
        <v>1.3015184381778773E-2</v>
      </c>
      <c r="L189" s="16">
        <f>IF(ISNUMBER(J189), $B199 * K189, "")</f>
        <v>1952.2776572668158</v>
      </c>
      <c r="M189" s="29">
        <v>46.6</v>
      </c>
      <c r="N189" s="14">
        <f>IF(ISNUMBER(M189), (M189 - $B189) / $B189, "")</f>
        <v>1.0845986984815618E-2</v>
      </c>
      <c r="O189" s="16">
        <f>IF(ISNUMBER(M189), $B199 * N189, "")</f>
        <v>1626.8980477223427</v>
      </c>
      <c r="Q189" s="150"/>
      <c r="R189" s="151"/>
      <c r="S189" s="152"/>
    </row>
    <row r="190" spans="1:19" ht="17.25" thickBot="1">
      <c r="A190" s="109" t="s">
        <v>51</v>
      </c>
      <c r="B190" s="110">
        <v>113</v>
      </c>
      <c r="C190" s="70">
        <v>-3.4188034200000002E-2</v>
      </c>
      <c r="D190" s="15">
        <v>111</v>
      </c>
      <c r="E190" s="32">
        <f t="shared" ref="E190:E193" si="102">IF(ISNUMBER(D190), (D190 - $B190) / $B190, "")</f>
        <v>-1.7699115044247787E-2</v>
      </c>
      <c r="F190" s="18">
        <f>IF(ISNUMBER(D190), $B199 * E190, "")</f>
        <v>-2654.8672566371679</v>
      </c>
      <c r="G190" s="31">
        <v>113</v>
      </c>
      <c r="H190" s="32">
        <f t="shared" ref="H190:H193" si="103">IF(ISNUMBER(G190), (G190 - $B190) / $B190, "")</f>
        <v>0</v>
      </c>
      <c r="I190" s="91">
        <f>IF(ISNUMBER(G190), $B199 * H190, "")</f>
        <v>0</v>
      </c>
      <c r="J190" s="15">
        <v>114</v>
      </c>
      <c r="K190" s="32">
        <f t="shared" ref="K190:K193" si="104">IF(ISNUMBER(J190), (J190 - $B190) / $B190, "")</f>
        <v>8.8495575221238937E-3</v>
      </c>
      <c r="L190" s="18">
        <f>IF(ISNUMBER(J190), $B199 * K190, "")</f>
        <v>1327.4336283185839</v>
      </c>
      <c r="M190" s="31">
        <v>113</v>
      </c>
      <c r="N190" s="32">
        <f t="shared" ref="N190:N193" si="105">IF(ISNUMBER(M190), (M190 - $B190) / $B190, "")</f>
        <v>0</v>
      </c>
      <c r="O190" s="18">
        <f>IF(ISNUMBER(M190), $B199 * N190, "")</f>
        <v>0</v>
      </c>
      <c r="Q190" s="153"/>
      <c r="R190" s="154"/>
      <c r="S190" s="155"/>
    </row>
    <row r="191" spans="1:19" ht="17.25" thickBot="1">
      <c r="A191" s="109" t="s">
        <v>350</v>
      </c>
      <c r="B191" s="110">
        <v>2685</v>
      </c>
      <c r="C191" s="70">
        <v>-3.5906642699999998E-2</v>
      </c>
      <c r="D191" s="15">
        <v>2565</v>
      </c>
      <c r="E191" s="32">
        <f t="shared" si="102"/>
        <v>-4.4692737430167599E-2</v>
      </c>
      <c r="F191" s="18">
        <f>IF(ISNUMBER(D191), $B199 * E191, "")</f>
        <v>-6703.9106145251399</v>
      </c>
      <c r="G191" s="31">
        <v>2605</v>
      </c>
      <c r="H191" s="32">
        <f t="shared" si="103"/>
        <v>-2.9795158286778398E-2</v>
      </c>
      <c r="I191" s="91">
        <f>IF(ISNUMBER(G191), $B199 * H191, "")</f>
        <v>-4469.2737430167599</v>
      </c>
      <c r="J191" s="15">
        <v>2635</v>
      </c>
      <c r="K191" s="32">
        <f t="shared" si="104"/>
        <v>-1.86219739292365E-2</v>
      </c>
      <c r="L191" s="18">
        <f>IF(ISNUMBER(J191), $B199 * K191, "")</f>
        <v>-2793.2960893854752</v>
      </c>
      <c r="M191" s="31">
        <v>2595</v>
      </c>
      <c r="N191" s="32">
        <f t="shared" si="105"/>
        <v>-3.3519553072625698E-2</v>
      </c>
      <c r="O191" s="18">
        <f>IF(ISNUMBER(M191), $B199 * N191, "")</f>
        <v>-5027.9329608938542</v>
      </c>
      <c r="Q191" s="146"/>
      <c r="R191" s="146"/>
      <c r="S191" s="146"/>
    </row>
    <row r="192" spans="1:19" ht="17.25" thickBot="1">
      <c r="A192" s="109" t="s">
        <v>151</v>
      </c>
      <c r="B192" s="110">
        <v>3040</v>
      </c>
      <c r="C192" s="70">
        <v>-3.7974683500000002E-2</v>
      </c>
      <c r="D192" s="15">
        <v>2880</v>
      </c>
      <c r="E192" s="32">
        <f t="shared" si="102"/>
        <v>-5.2631578947368418E-2</v>
      </c>
      <c r="F192" s="18">
        <f>IF(ISNUMBER(D192), $B199 * E192, "")</f>
        <v>-7894.7368421052624</v>
      </c>
      <c r="G192" s="31">
        <v>2945</v>
      </c>
      <c r="H192" s="32">
        <f t="shared" si="103"/>
        <v>-3.125E-2</v>
      </c>
      <c r="I192" s="91">
        <f>IF(ISNUMBER(G192), $B199 * H192, "")</f>
        <v>-4687.5</v>
      </c>
      <c r="J192" s="15">
        <v>3000</v>
      </c>
      <c r="K192" s="32">
        <f t="shared" si="104"/>
        <v>-1.3157894736842105E-2</v>
      </c>
      <c r="L192" s="18">
        <f>IF(ISNUMBER(J192), $B199 * K192, "")</f>
        <v>-1973.6842105263156</v>
      </c>
      <c r="M192" s="31">
        <v>2965</v>
      </c>
      <c r="N192" s="32">
        <f t="shared" si="105"/>
        <v>-2.4671052631578948E-2</v>
      </c>
      <c r="O192" s="18">
        <f>IF(ISNUMBER(M192), $B199 * N192, "")</f>
        <v>-3700.6578947368421</v>
      </c>
      <c r="Q192" s="156"/>
      <c r="R192" s="156"/>
      <c r="S192" s="156"/>
    </row>
    <row r="193" spans="1:19" ht="17.25" thickBot="1">
      <c r="A193" s="111" t="s">
        <v>73</v>
      </c>
      <c r="B193" s="112">
        <v>16510</v>
      </c>
      <c r="C193" s="71">
        <v>-3.8998835900000001E-2</v>
      </c>
      <c r="D193" s="20">
        <v>16520</v>
      </c>
      <c r="E193" s="21">
        <f t="shared" si="102"/>
        <v>6.0569351907934583E-4</v>
      </c>
      <c r="F193" s="22">
        <f>IF(ISNUMBER(D193), $B199 * E193, "")</f>
        <v>90.854027861901869</v>
      </c>
      <c r="G193" s="30">
        <v>16770</v>
      </c>
      <c r="H193" s="21">
        <f t="shared" si="103"/>
        <v>1.5748031496062992E-2</v>
      </c>
      <c r="I193" s="95">
        <f>IF(ISNUMBER(G193), $B199 * H193, "")</f>
        <v>2362.2047244094488</v>
      </c>
      <c r="J193" s="20">
        <v>16960</v>
      </c>
      <c r="K193" s="21">
        <f t="shared" si="104"/>
        <v>2.7256208358570563E-2</v>
      </c>
      <c r="L193" s="22">
        <f>IF(ISNUMBER(J193), $B199 * K193, "")</f>
        <v>4088.4312537855844</v>
      </c>
      <c r="M193" s="30">
        <v>16780</v>
      </c>
      <c r="N193" s="21">
        <f t="shared" si="105"/>
        <v>1.6353725015142338E-2</v>
      </c>
      <c r="O193" s="22">
        <f>IF(ISNUMBER(M193), $B199 * N193, "")</f>
        <v>2453.0587522713508</v>
      </c>
      <c r="Q193" s="156"/>
      <c r="R193" s="156"/>
      <c r="S193" s="156"/>
    </row>
    <row r="194" spans="1:19" ht="17.25" thickBot="1">
      <c r="A194" s="109" t="s">
        <v>207</v>
      </c>
      <c r="B194" s="113">
        <v>96.9</v>
      </c>
      <c r="C194" s="73">
        <v>-0.05</v>
      </c>
      <c r="D194" s="96">
        <v>94</v>
      </c>
      <c r="E194" s="97">
        <f>IF(ISNUMBER(D194), (D194 - $B194) / $B194, "")</f>
        <v>-2.9927760577915432E-2</v>
      </c>
      <c r="F194" s="98">
        <f>IF(ISNUMBER(D194), $B199 * E194, "")</f>
        <v>-4489.1640866873149</v>
      </c>
      <c r="G194" s="99">
        <v>95.4</v>
      </c>
      <c r="H194" s="97">
        <f>IF(ISNUMBER(G194), (G194 - $B194) / $B194, "")</f>
        <v>-1.547987616099071E-2</v>
      </c>
      <c r="I194" s="100">
        <f>IF(ISNUMBER(G194), $B199 * H194, "")</f>
        <v>-2321.9814241486065</v>
      </c>
      <c r="J194" s="96">
        <v>96.4</v>
      </c>
      <c r="K194" s="97">
        <f>IF(ISNUMBER(J194), (J194 - $B194) / $B194, "")</f>
        <v>-5.1599587203302374E-3</v>
      </c>
      <c r="L194" s="98">
        <f>IF(ISNUMBER(J194), $B199 * K194, "")</f>
        <v>-773.99380804953557</v>
      </c>
      <c r="M194" s="99">
        <v>95.9</v>
      </c>
      <c r="N194" s="97">
        <f>IF(ISNUMBER(M194), (M194 - $B194) / $B194, "")</f>
        <v>-1.0319917440660475E-2</v>
      </c>
      <c r="O194" s="98">
        <f>IF(ISNUMBER(M194), $B199 * N194, "")</f>
        <v>-1547.9876160990711</v>
      </c>
      <c r="Q194" s="146"/>
      <c r="R194" s="146"/>
      <c r="S194" s="146"/>
    </row>
    <row r="195" spans="1:19" ht="17.25" thickBot="1">
      <c r="A195" s="109" t="s">
        <v>352</v>
      </c>
      <c r="B195" s="110">
        <v>244</v>
      </c>
      <c r="C195" s="70">
        <v>-5.0583657599999998E-2</v>
      </c>
      <c r="D195" s="15">
        <v>232</v>
      </c>
      <c r="E195" s="32">
        <f t="shared" ref="E195:E198" si="106">IF(ISNUMBER(D195), (D195 - $B195) / $B195, "")</f>
        <v>-4.9180327868852458E-2</v>
      </c>
      <c r="F195" s="18">
        <f>IF(ISNUMBER(D195), $B199 * E195, "")</f>
        <v>-7377.0491803278683</v>
      </c>
      <c r="G195" s="31">
        <v>241</v>
      </c>
      <c r="H195" s="32">
        <f t="shared" ref="H195:H198" si="107">IF(ISNUMBER(G195), (G195 - $B195) / $B195, "")</f>
        <v>-1.2295081967213115E-2</v>
      </c>
      <c r="I195" s="91">
        <f>IF(ISNUMBER(G195), $B199 * H195, "")</f>
        <v>-1844.2622950819671</v>
      </c>
      <c r="J195" s="15">
        <v>241</v>
      </c>
      <c r="K195" s="32">
        <f t="shared" ref="K195:K198" si="108">IF(ISNUMBER(J195), (J195 - $B195) / $B195, "")</f>
        <v>-1.2295081967213115E-2</v>
      </c>
      <c r="L195" s="18">
        <f>IF(ISNUMBER(J195), $B199 * K195, "")</f>
        <v>-1844.2622950819671</v>
      </c>
      <c r="M195" s="31">
        <v>236</v>
      </c>
      <c r="N195" s="32">
        <f t="shared" ref="N195:N198" si="109">IF(ISNUMBER(M195), (M195 - $B195) / $B195, "")</f>
        <v>-3.2786885245901641E-2</v>
      </c>
      <c r="O195" s="18">
        <f>IF(ISNUMBER(M195), $B199 * N195, "")</f>
        <v>-4918.0327868852464</v>
      </c>
      <c r="Q195" s="146"/>
      <c r="R195" s="146"/>
      <c r="S195" s="146"/>
    </row>
    <row r="196" spans="1:19" ht="17.25" thickBot="1">
      <c r="A196" s="109" t="s">
        <v>157</v>
      </c>
      <c r="B196" s="110">
        <v>436</v>
      </c>
      <c r="C196" s="70">
        <v>-5.83153348E-2</v>
      </c>
      <c r="D196" s="15">
        <v>419</v>
      </c>
      <c r="E196" s="32">
        <f t="shared" si="106"/>
        <v>-3.8990825688073397E-2</v>
      </c>
      <c r="F196" s="18">
        <f>IF(ISNUMBER(D196), $B199 * E196, "")</f>
        <v>-5848.6238532110092</v>
      </c>
      <c r="G196" s="31">
        <v>422</v>
      </c>
      <c r="H196" s="32">
        <f t="shared" si="107"/>
        <v>-3.2110091743119268E-2</v>
      </c>
      <c r="I196" s="91">
        <f>IF(ISNUMBER(G196), $B199 * H196, "")</f>
        <v>-4816.5137614678906</v>
      </c>
      <c r="J196" s="15">
        <v>422</v>
      </c>
      <c r="K196" s="32">
        <f t="shared" si="108"/>
        <v>-3.2110091743119268E-2</v>
      </c>
      <c r="L196" s="18">
        <f>IF(ISNUMBER(J196), $B199 * K196, "")</f>
        <v>-4816.5137614678906</v>
      </c>
      <c r="M196" s="31">
        <v>420</v>
      </c>
      <c r="N196" s="32">
        <f t="shared" si="109"/>
        <v>-3.669724770642202E-2</v>
      </c>
      <c r="O196" s="18">
        <f>IF(ISNUMBER(M196), $B199 * N196, "")</f>
        <v>-5504.5871559633033</v>
      </c>
      <c r="Q196" s="146"/>
      <c r="R196" s="146"/>
      <c r="S196" s="146"/>
    </row>
    <row r="197" spans="1:19">
      <c r="A197" s="109" t="s">
        <v>191</v>
      </c>
      <c r="B197" s="110">
        <v>95</v>
      </c>
      <c r="C197" s="70">
        <v>-5.9405940599999998E-2</v>
      </c>
      <c r="D197" s="15">
        <v>92.4</v>
      </c>
      <c r="E197" s="32">
        <f t="shared" si="106"/>
        <v>-2.7368421052631518E-2</v>
      </c>
      <c r="F197" s="18">
        <f>IF(ISNUMBER(D197), $B199 * E197, "")</f>
        <v>-4105.2631578947276</v>
      </c>
      <c r="G197" s="31">
        <v>94</v>
      </c>
      <c r="H197" s="32">
        <f t="shared" si="107"/>
        <v>-1.0526315789473684E-2</v>
      </c>
      <c r="I197" s="91">
        <f>IF(ISNUMBER(G197), $B199 * H197, "")</f>
        <v>-1578.9473684210525</v>
      </c>
      <c r="J197" s="15">
        <v>94.6</v>
      </c>
      <c r="K197" s="32">
        <f t="shared" si="108"/>
        <v>-4.2105263157895334E-3</v>
      </c>
      <c r="L197" s="18">
        <f>IF(ISNUMBER(J197), $B199 * K197, "")</f>
        <v>-631.57894736843002</v>
      </c>
      <c r="M197" s="31">
        <v>94.4</v>
      </c>
      <c r="N197" s="32">
        <f t="shared" si="109"/>
        <v>-6.3157894736841505E-3</v>
      </c>
      <c r="O197" s="18">
        <f>IF(ISNUMBER(M197), $B199 * N197, "")</f>
        <v>-947.36842105262258</v>
      </c>
      <c r="Q197" s="135"/>
      <c r="R197" s="136"/>
      <c r="S197" s="137"/>
    </row>
    <row r="198" spans="1:19" ht="17.25" thickBot="1">
      <c r="A198" s="114" t="s">
        <v>225</v>
      </c>
      <c r="B198" s="115">
        <v>98.3</v>
      </c>
      <c r="C198" s="72">
        <v>-8.13084112E-2</v>
      </c>
      <c r="D198" s="24">
        <v>92.9</v>
      </c>
      <c r="E198" s="25">
        <f t="shared" si="106"/>
        <v>-5.4933875890132162E-2</v>
      </c>
      <c r="F198" s="94">
        <f>IF(ISNUMBER(D198), $B199 * E198, "")</f>
        <v>-8240.0813835198242</v>
      </c>
      <c r="G198" s="92">
        <v>94</v>
      </c>
      <c r="H198" s="25">
        <f t="shared" si="107"/>
        <v>-4.374364191251269E-2</v>
      </c>
      <c r="I198" s="93">
        <f>IF(ISNUMBER(G198), $B199 * H198, "")</f>
        <v>-6561.5462868769037</v>
      </c>
      <c r="J198" s="24">
        <v>95.6</v>
      </c>
      <c r="K198" s="25">
        <f t="shared" si="108"/>
        <v>-2.7466937945066154E-2</v>
      </c>
      <c r="L198" s="94">
        <f>IF(ISNUMBER(J198), $B199 * K198, "")</f>
        <v>-4120.040691759923</v>
      </c>
      <c r="M198" s="92">
        <v>93.8</v>
      </c>
      <c r="N198" s="25">
        <f t="shared" si="109"/>
        <v>-4.5778229908443539E-2</v>
      </c>
      <c r="O198" s="94">
        <f>IF(ISNUMBER(M198), $B199 * N198, "")</f>
        <v>-6866.7344862665304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-4.0410632485513444E-2</v>
      </c>
      <c r="F199" s="28">
        <f>SUM(F179:F198)</f>
        <v>-121231.89745654036</v>
      </c>
      <c r="G199" s="26" t="s">
        <v>258</v>
      </c>
      <c r="H199" s="27">
        <f>IF(COUNT(H179:H198), SUM(H179:H198) / COUNT(H179:H198), 0)</f>
        <v>-2.2606258821160012E-2</v>
      </c>
      <c r="I199" s="28">
        <f>SUM(I179:I198)</f>
        <v>-67818.776463480026</v>
      </c>
      <c r="J199" s="26" t="s">
        <v>258</v>
      </c>
      <c r="K199" s="27">
        <f>IF(COUNT(K179:K198), SUM(K179:K198) / COUNT(K179:K198), 0)</f>
        <v>-1.2753113247025272E-2</v>
      </c>
      <c r="L199" s="28">
        <f>SUM(L179:L198)</f>
        <v>-38259.339741075812</v>
      </c>
      <c r="M199" s="26" t="s">
        <v>258</v>
      </c>
      <c r="N199" s="27">
        <f>IF(COUNT(N179:N198), SUM(N179:N198) / COUNT(N179:N198), 0)</f>
        <v>-2.101703181224953E-2</v>
      </c>
      <c r="O199" s="28">
        <f>SUM(O179:O198)</f>
        <v>-63051.095436748583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87BED-36E4-4079-9985-6ACC39123561}">
  <sheetPr codeName="Sheet18"/>
  <dimension ref="A1:S199"/>
  <sheetViews>
    <sheetView tabSelected="1"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45002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34290000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2.8648567600000001E-2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2023-03-17(금) 오전 00:00</v>
      </c>
      <c r="C15" s="196"/>
      <c r="D15" s="170" t="str">
        <f>TEXT($G$1, "[$-ko-KR]yyyy-mm-dd(ddd) ") &amp; "오후 14:00"</f>
        <v>2023-03-17(금) 오후 14:00</v>
      </c>
      <c r="E15" s="171"/>
      <c r="F15" s="172"/>
      <c r="G15" s="170" t="str">
        <f>TEXT($G$1, "[$-ko-KR]yyyy-mm-dd(ddd) ") &amp; "오후 19:00"</f>
        <v>2023-03-17(금) 오후 19:00</v>
      </c>
      <c r="H15" s="171"/>
      <c r="I15" s="172"/>
      <c r="J15" s="170" t="str">
        <f>TEXT($G$1, "[$-ko-KR]yyyy-mm-dd(ddd) ") &amp; "오후 21:00"</f>
        <v>2023-03-17(금) 오후 21:00</v>
      </c>
      <c r="K15" s="171"/>
      <c r="L15" s="172"/>
      <c r="M15" s="170" t="str">
        <f>TEXT($G$1+1, "[$-ko-KR]yyyy-mm-dd(ddd) ") &amp; "오전 00:00"</f>
        <v>2023-03-18(토)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34290000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2.8648567600000001E-2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2023-03-17(금) 오전 00:00</v>
      </c>
      <c r="C42" s="198"/>
      <c r="D42" s="170" t="str">
        <f>TEXT($G$1, "[$-ko-KR]yyyy-mm-dd(ddd) ") &amp; "오후 14:00"</f>
        <v>2023-03-17(금) 오후 14:00</v>
      </c>
      <c r="E42" s="171"/>
      <c r="F42" s="172"/>
      <c r="G42" s="170" t="str">
        <f>TEXT($G$1, "[$-ko-KR]yyyy-mm-dd(ddd) ") &amp; "오후 19:00"</f>
        <v>2023-03-17(금) 오후 19:00</v>
      </c>
      <c r="H42" s="171"/>
      <c r="I42" s="172"/>
      <c r="J42" s="170" t="str">
        <f>TEXT($G$1, "[$-ko-KR]yyyy-mm-dd(ddd) ") &amp; "오후 21:00"</f>
        <v>2023-03-17(금) 오후 21:00</v>
      </c>
      <c r="K42" s="171"/>
      <c r="L42" s="172"/>
      <c r="M42" s="170" t="str">
        <f>TEXT($G$1+1, "[$-ko-KR]yyyy-mm-dd(ddd) ") &amp; "오전 00:00"</f>
        <v>2023-03-18(토)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71</v>
      </c>
      <c r="B44" s="108">
        <v>15</v>
      </c>
      <c r="C44" s="69">
        <v>6.3829787200000002E-2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227</v>
      </c>
      <c r="B45" s="110">
        <v>66.2</v>
      </c>
      <c r="C45" s="70">
        <v>5.7507987199999999E-2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122</v>
      </c>
      <c r="B46" s="110">
        <v>30.3</v>
      </c>
      <c r="C46" s="70">
        <v>3.41296928E-2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09" t="s">
        <v>338</v>
      </c>
      <c r="B47" s="110">
        <v>4.0300000000000002E-2</v>
      </c>
      <c r="C47" s="70">
        <v>1.7676767699999998E-2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11" t="s">
        <v>141</v>
      </c>
      <c r="B48" s="112">
        <v>5.34</v>
      </c>
      <c r="C48" s="71">
        <v>1.52091255E-2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09" t="s">
        <v>320</v>
      </c>
      <c r="B49" s="113">
        <v>6.08</v>
      </c>
      <c r="C49" s="73">
        <v>1.33333333E-2</v>
      </c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09" t="s">
        <v>132</v>
      </c>
      <c r="B50" s="110">
        <v>74</v>
      </c>
      <c r="C50" s="70">
        <v>1.23119015E-2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09" t="s">
        <v>253</v>
      </c>
      <c r="B51" s="110">
        <v>94.2</v>
      </c>
      <c r="C51" s="70">
        <v>1.07296137E-2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09" t="s">
        <v>207</v>
      </c>
      <c r="B52" s="110">
        <v>95.9</v>
      </c>
      <c r="C52" s="70">
        <v>9.4736842000000005E-3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203</v>
      </c>
      <c r="B53" s="115">
        <v>4.3099999999999996</v>
      </c>
      <c r="C53" s="72">
        <v>9.3676815000000007E-3</v>
      </c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07" t="s">
        <v>323</v>
      </c>
      <c r="B54" s="108">
        <v>93.1</v>
      </c>
      <c r="C54" s="69">
        <v>7.5757576E-3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09" t="s">
        <v>191</v>
      </c>
      <c r="B55" s="110">
        <v>94.4</v>
      </c>
      <c r="C55" s="70">
        <v>7.470651E-3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09" t="s">
        <v>335</v>
      </c>
      <c r="B56" s="110">
        <v>81.099999999999994</v>
      </c>
      <c r="C56" s="70">
        <v>6.2034739E-3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09" t="s">
        <v>155</v>
      </c>
      <c r="B57" s="110">
        <v>34.700000000000003</v>
      </c>
      <c r="C57" s="70">
        <v>5.7971014E-3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126</v>
      </c>
      <c r="B58" s="112">
        <v>36.1</v>
      </c>
      <c r="C58" s="71">
        <v>5.5710305999999996E-3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118</v>
      </c>
      <c r="B59" s="113">
        <v>7.8</v>
      </c>
      <c r="C59" s="73">
        <v>5.1546392E-3</v>
      </c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09" t="s">
        <v>124</v>
      </c>
      <c r="B60" s="110">
        <v>42.7</v>
      </c>
      <c r="C60" s="70">
        <v>4.7058823999999999E-3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09" t="s">
        <v>56</v>
      </c>
      <c r="B61" s="110">
        <v>49.8</v>
      </c>
      <c r="C61" s="70">
        <v>4.0322581E-3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09" t="s">
        <v>221</v>
      </c>
      <c r="B62" s="110">
        <v>25.3</v>
      </c>
      <c r="C62" s="70">
        <v>3.9682540000000001E-3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114" t="s">
        <v>334</v>
      </c>
      <c r="B63" s="115">
        <v>54.1</v>
      </c>
      <c r="C63" s="72">
        <v>3.7105750999999998E-3</v>
      </c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34290000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2.8648567600000001E-2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2023-03-17(금) 오전 00:00</v>
      </c>
      <c r="C69" s="198"/>
      <c r="D69" s="170" t="str">
        <f>TEXT($G$1, "[$-ko-KR]yyyy-mm-dd(ddd) ") &amp; "오후 14:00"</f>
        <v>2023-03-17(금) 오후 14:00</v>
      </c>
      <c r="E69" s="171"/>
      <c r="F69" s="172"/>
      <c r="G69" s="170" t="str">
        <f>TEXT($G$1, "[$-ko-KR]yyyy-mm-dd(ddd) ") &amp; "오후 19:00"</f>
        <v>2023-03-17(금) 오후 19:00</v>
      </c>
      <c r="H69" s="171"/>
      <c r="I69" s="172"/>
      <c r="J69" s="170" t="str">
        <f>TEXT($G$1, "[$-ko-KR]yyyy-mm-dd(ddd) ") &amp; "오후 21:00"</f>
        <v>2023-03-17(금) 오후 21:00</v>
      </c>
      <c r="K69" s="171"/>
      <c r="L69" s="172"/>
      <c r="M69" s="170" t="str">
        <f>TEXT($G$1+1, "[$-ko-KR]yyyy-mm-dd(ddd) ") &amp; "오전 00:00"</f>
        <v>2023-03-18(토)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229</v>
      </c>
      <c r="B71" s="108">
        <v>329</v>
      </c>
      <c r="C71" s="69">
        <v>6.8181818199999994E-2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183</v>
      </c>
      <c r="B72" s="110">
        <v>167</v>
      </c>
      <c r="C72" s="70">
        <v>4.3749999999999997E-2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215</v>
      </c>
      <c r="B73" s="110">
        <v>524</v>
      </c>
      <c r="C73" s="70">
        <v>4.1749503E-2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09" t="s">
        <v>235</v>
      </c>
      <c r="B74" s="110">
        <v>711</v>
      </c>
      <c r="C74" s="70">
        <v>3.6443148699999997E-2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11" t="s">
        <v>329</v>
      </c>
      <c r="B75" s="112">
        <v>577</v>
      </c>
      <c r="C75" s="71">
        <v>3.5906642699999998E-2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09" t="s">
        <v>340</v>
      </c>
      <c r="B76" s="113">
        <v>816</v>
      </c>
      <c r="C76" s="73">
        <v>2.90037831E-2</v>
      </c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09" t="s">
        <v>176</v>
      </c>
      <c r="B77" s="110">
        <v>381</v>
      </c>
      <c r="C77" s="70">
        <v>2.1447721199999999E-2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09" t="s">
        <v>327</v>
      </c>
      <c r="B78" s="110">
        <v>499</v>
      </c>
      <c r="C78" s="70">
        <v>2.0449897799999998E-2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09" t="s">
        <v>85</v>
      </c>
      <c r="B79" s="110">
        <v>155</v>
      </c>
      <c r="C79" s="70">
        <v>1.9736842099999999E-2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219</v>
      </c>
      <c r="B80" s="115">
        <v>535</v>
      </c>
      <c r="C80" s="72">
        <v>1.9047618999999998E-2</v>
      </c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07" t="s">
        <v>213</v>
      </c>
      <c r="B81" s="108">
        <v>607</v>
      </c>
      <c r="C81" s="69">
        <v>1.8456375800000001E-2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09" t="s">
        <v>159</v>
      </c>
      <c r="B82" s="110">
        <v>233</v>
      </c>
      <c r="C82" s="70">
        <v>1.7467248899999999E-2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09" t="s">
        <v>167</v>
      </c>
      <c r="B83" s="110">
        <v>237</v>
      </c>
      <c r="C83" s="70">
        <v>1.7167381999999998E-2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09" t="s">
        <v>241</v>
      </c>
      <c r="B84" s="110">
        <v>120</v>
      </c>
      <c r="C84" s="70">
        <v>1.6949152499999998E-2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66</v>
      </c>
      <c r="B85" s="112">
        <v>940</v>
      </c>
      <c r="C85" s="71">
        <v>1.51187905E-2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209</v>
      </c>
      <c r="B86" s="113">
        <v>136</v>
      </c>
      <c r="C86" s="73">
        <v>1.49253731E-2</v>
      </c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09" t="s">
        <v>120</v>
      </c>
      <c r="B87" s="110">
        <v>137</v>
      </c>
      <c r="C87" s="70">
        <v>1.4814814799999999E-2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09" t="s">
        <v>68</v>
      </c>
      <c r="B88" s="110">
        <v>552</v>
      </c>
      <c r="C88" s="70">
        <v>1.47058824E-2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09" t="s">
        <v>101</v>
      </c>
      <c r="B89" s="110">
        <v>278</v>
      </c>
      <c r="C89" s="70">
        <v>1.45985401E-2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114" t="s">
        <v>319</v>
      </c>
      <c r="B90" s="115">
        <v>215</v>
      </c>
      <c r="C90" s="72">
        <v>1.4150943399999999E-2</v>
      </c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34290000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2.8648567600000001E-2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2023-03-17(금) 오전 00:00</v>
      </c>
      <c r="C96" s="198"/>
      <c r="D96" s="170" t="str">
        <f>TEXT($G$1, "[$-ko-KR]yyyy-mm-dd(ddd) ") &amp; "오후 14:00"</f>
        <v>2023-03-17(금) 오후 14:00</v>
      </c>
      <c r="E96" s="171"/>
      <c r="F96" s="172"/>
      <c r="G96" s="170" t="str">
        <f>TEXT($G$1, "[$-ko-KR]yyyy-mm-dd(ddd) ") &amp; "오후 19:00"</f>
        <v>2023-03-17(금) 오후 19:00</v>
      </c>
      <c r="H96" s="171"/>
      <c r="I96" s="172"/>
      <c r="J96" s="170" t="str">
        <f>TEXT($G$1, "[$-ko-KR]yyyy-mm-dd(ddd) ") &amp; "오후 21:00"</f>
        <v>2023-03-17(금) 오후 21:00</v>
      </c>
      <c r="K96" s="171"/>
      <c r="L96" s="172"/>
      <c r="M96" s="170" t="str">
        <f>TEXT($G$1+1, "[$-ko-KR]yyyy-mm-dd(ddd) ") &amp; "오전 00:00"</f>
        <v>2023-03-18(토)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136</v>
      </c>
      <c r="B98" s="108">
        <v>4695</v>
      </c>
      <c r="C98" s="69">
        <v>0.134057971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229</v>
      </c>
      <c r="B99" s="110">
        <v>329</v>
      </c>
      <c r="C99" s="70">
        <v>6.8181818199999994E-2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71</v>
      </c>
      <c r="B100" s="110">
        <v>15</v>
      </c>
      <c r="C100" s="70">
        <v>6.3829787200000002E-2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09" t="s">
        <v>227</v>
      </c>
      <c r="B101" s="110">
        <v>66.2</v>
      </c>
      <c r="C101" s="70">
        <v>5.7507987199999999E-2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11" t="s">
        <v>354</v>
      </c>
      <c r="B102" s="112">
        <v>5365</v>
      </c>
      <c r="C102" s="71">
        <v>4.9902152599999999E-2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09" t="s">
        <v>183</v>
      </c>
      <c r="B103" s="113">
        <v>167</v>
      </c>
      <c r="C103" s="73">
        <v>4.3749999999999997E-2</v>
      </c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09" t="s">
        <v>165</v>
      </c>
      <c r="B104" s="110">
        <v>1575</v>
      </c>
      <c r="C104" s="70">
        <v>4.3046357600000001E-2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09" t="s">
        <v>215</v>
      </c>
      <c r="B105" s="110">
        <v>524</v>
      </c>
      <c r="C105" s="70">
        <v>4.1749503E-2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09" t="s">
        <v>235</v>
      </c>
      <c r="B106" s="110">
        <v>711</v>
      </c>
      <c r="C106" s="70">
        <v>3.6443148699999997E-2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95</v>
      </c>
      <c r="B107" s="115">
        <v>1585</v>
      </c>
      <c r="C107" s="72">
        <v>3.5947712399999998E-2</v>
      </c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07" t="s">
        <v>329</v>
      </c>
      <c r="B108" s="108">
        <v>577</v>
      </c>
      <c r="C108" s="69">
        <v>3.5906642699999998E-2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09" t="s">
        <v>122</v>
      </c>
      <c r="B109" s="110">
        <v>30.3</v>
      </c>
      <c r="C109" s="70">
        <v>3.41296928E-2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09" t="s">
        <v>161</v>
      </c>
      <c r="B110" s="110">
        <v>1220</v>
      </c>
      <c r="C110" s="70">
        <v>3.3898305099999998E-2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09" t="s">
        <v>340</v>
      </c>
      <c r="B111" s="110">
        <v>816</v>
      </c>
      <c r="C111" s="70">
        <v>2.90037831E-2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62</v>
      </c>
      <c r="B112" s="112">
        <v>14340</v>
      </c>
      <c r="C112" s="71">
        <v>2.50178699E-2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128</v>
      </c>
      <c r="B113" s="113">
        <v>8055</v>
      </c>
      <c r="C113" s="73">
        <v>2.4809160300000001E-2</v>
      </c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09" t="s">
        <v>233</v>
      </c>
      <c r="B114" s="110">
        <v>3810</v>
      </c>
      <c r="C114" s="70">
        <v>2.4193548400000001E-2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09" t="s">
        <v>211</v>
      </c>
      <c r="B115" s="110">
        <v>1410</v>
      </c>
      <c r="C115" s="70">
        <v>2.1739130400000001E-2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09" t="s">
        <v>176</v>
      </c>
      <c r="B116" s="110">
        <v>381</v>
      </c>
      <c r="C116" s="70">
        <v>2.1447721199999999E-2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114" t="s">
        <v>327</v>
      </c>
      <c r="B117" s="115">
        <v>499</v>
      </c>
      <c r="C117" s="72">
        <v>2.0449897799999998E-2</v>
      </c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34290000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2.8648567600000001E-2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2023-03-17(금) 오전 00:00</v>
      </c>
      <c r="C123" s="198"/>
      <c r="D123" s="170" t="str">
        <f>TEXT($G$1, "[$-ko-KR]yyyy-mm-dd(ddd) ") &amp; "오후 14:00"</f>
        <v>2023-03-17(금) 오후 14:00</v>
      </c>
      <c r="E123" s="171"/>
      <c r="F123" s="172"/>
      <c r="G123" s="170" t="str">
        <f>TEXT($G$1, "[$-ko-KR]yyyy-mm-dd(ddd) ") &amp; "오후 19:00"</f>
        <v>2023-03-17(금) 오후 19:00</v>
      </c>
      <c r="H123" s="171"/>
      <c r="I123" s="172"/>
      <c r="J123" s="170" t="str">
        <f>TEXT($G$1, "[$-ko-KR]yyyy-mm-dd(ddd) ") &amp; "오후 21:00"</f>
        <v>2023-03-17(금) 오후 21:00</v>
      </c>
      <c r="K123" s="171"/>
      <c r="L123" s="172"/>
      <c r="M123" s="170" t="str">
        <f>TEXT($G$1+1, "[$-ko-KR]yyyy-mm-dd(ddd) ") &amp; "오전 00:00"</f>
        <v>2023-03-18(토)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124</v>
      </c>
      <c r="B125" s="108">
        <v>42.7</v>
      </c>
      <c r="C125" s="69">
        <v>4.7058823999999999E-3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56</v>
      </c>
      <c r="B126" s="110">
        <v>49.8</v>
      </c>
      <c r="C126" s="70">
        <v>4.0322581E-3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221</v>
      </c>
      <c r="B127" s="110">
        <v>25.3</v>
      </c>
      <c r="C127" s="70">
        <v>3.9682540000000001E-3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09" t="s">
        <v>334</v>
      </c>
      <c r="B128" s="110">
        <v>54.1</v>
      </c>
      <c r="C128" s="70">
        <v>3.7105750999999998E-3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11" t="s">
        <v>145</v>
      </c>
      <c r="B129" s="112">
        <v>87.6</v>
      </c>
      <c r="C129" s="71">
        <v>3.4364260999999998E-3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09" t="s">
        <v>185</v>
      </c>
      <c r="B130" s="113">
        <v>41.7</v>
      </c>
      <c r="C130" s="73">
        <v>2.4038461999999999E-3</v>
      </c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09" t="s">
        <v>217</v>
      </c>
      <c r="B131" s="110">
        <v>89.9</v>
      </c>
      <c r="C131" s="70">
        <v>2.2296543999999999E-3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09" t="s">
        <v>138</v>
      </c>
      <c r="B132" s="110">
        <v>46.6</v>
      </c>
      <c r="C132" s="70">
        <v>2.1505375999999999E-3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09" t="s">
        <v>107</v>
      </c>
      <c r="B133" s="110">
        <v>48.4</v>
      </c>
      <c r="C133" s="70">
        <v>2.0703933999999999E-3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97</v>
      </c>
      <c r="B134" s="115">
        <v>8.9999999999999998E-4</v>
      </c>
      <c r="C134" s="72">
        <v>0</v>
      </c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07" t="s">
        <v>64</v>
      </c>
      <c r="B135" s="108">
        <v>13.2</v>
      </c>
      <c r="C135" s="69">
        <v>0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09" t="s">
        <v>237</v>
      </c>
      <c r="B136" s="110">
        <v>35.1</v>
      </c>
      <c r="C136" s="70">
        <v>0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09" t="s">
        <v>193</v>
      </c>
      <c r="B137" s="110">
        <v>22.4</v>
      </c>
      <c r="C137" s="70">
        <v>0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09" t="s">
        <v>317</v>
      </c>
      <c r="B138" s="110">
        <v>1.4E-2</v>
      </c>
      <c r="C138" s="70">
        <v>0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143</v>
      </c>
      <c r="B139" s="112">
        <v>6.25</v>
      </c>
      <c r="C139" s="71">
        <v>-1.5974441E-3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181</v>
      </c>
      <c r="B140" s="113">
        <v>5.29</v>
      </c>
      <c r="C140" s="73">
        <v>-5.6390976999999998E-3</v>
      </c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09" t="s">
        <v>197</v>
      </c>
      <c r="B141" s="110">
        <v>12.1</v>
      </c>
      <c r="C141" s="70">
        <v>-1.6260162599999999E-2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09" t="s">
        <v>195</v>
      </c>
      <c r="B142" s="110">
        <v>8.76</v>
      </c>
      <c r="C142" s="70">
        <v>-1.90369541E-2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09" t="s">
        <v>225</v>
      </c>
      <c r="B143" s="110">
        <v>93.8</v>
      </c>
      <c r="C143" s="70">
        <v>-3.1991744099999997E-2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114" t="s">
        <v>332</v>
      </c>
      <c r="B144" s="115">
        <v>8.69</v>
      </c>
      <c r="C144" s="72">
        <v>-4.1896361600000001E-2</v>
      </c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34290000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2.8648567600000001E-2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2023-03-17(금) 오전 00:00</v>
      </c>
      <c r="C150" s="198"/>
      <c r="D150" s="170" t="str">
        <f>TEXT($G$1, "[$-ko-KR]yyyy-mm-dd(ddd) ") &amp; "오후 14:00"</f>
        <v>2023-03-17(금) 오후 14:00</v>
      </c>
      <c r="E150" s="171"/>
      <c r="F150" s="172"/>
      <c r="G150" s="170" t="str">
        <f>TEXT($G$1, "[$-ko-KR]yyyy-mm-dd(ddd) ") &amp; "오후 19:00"</f>
        <v>2023-03-17(금) 오후 19:00</v>
      </c>
      <c r="H150" s="171"/>
      <c r="I150" s="172"/>
      <c r="J150" s="170" t="str">
        <f>TEXT($G$1, "[$-ko-KR]yyyy-mm-dd(ddd) ") &amp; "오후 21:00"</f>
        <v>2023-03-17(금) 오후 21:00</v>
      </c>
      <c r="K150" s="171"/>
      <c r="L150" s="172"/>
      <c r="M150" s="170" t="str">
        <f>TEXT($G$1+1, "[$-ko-KR]yyyy-mm-dd(ddd) ") &amp; "오전 00:00"</f>
        <v>2023-03-18(토)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346</v>
      </c>
      <c r="B152" s="108">
        <v>276</v>
      </c>
      <c r="C152" s="69">
        <v>1.0989011E-2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169</v>
      </c>
      <c r="B153" s="110">
        <v>277</v>
      </c>
      <c r="C153" s="70">
        <v>1.09489051E-2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201</v>
      </c>
      <c r="B154" s="110">
        <v>277</v>
      </c>
      <c r="C154" s="70">
        <v>1.09489051E-2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09" t="s">
        <v>103</v>
      </c>
      <c r="B155" s="110">
        <v>294</v>
      </c>
      <c r="C155" s="70">
        <v>1.03092784E-2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11" t="s">
        <v>153</v>
      </c>
      <c r="B156" s="112">
        <v>462</v>
      </c>
      <c r="C156" s="71">
        <v>8.7336245000000003E-3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09" t="s">
        <v>205</v>
      </c>
      <c r="B157" s="113">
        <v>137</v>
      </c>
      <c r="C157" s="73">
        <v>7.3529412000000001E-3</v>
      </c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09" t="s">
        <v>111</v>
      </c>
      <c r="B158" s="110">
        <v>790</v>
      </c>
      <c r="C158" s="70">
        <v>6.3694268000000004E-3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09" t="s">
        <v>89</v>
      </c>
      <c r="B159" s="110">
        <v>484</v>
      </c>
      <c r="C159" s="70">
        <v>6.2370061999999999E-3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09" t="s">
        <v>325</v>
      </c>
      <c r="B160" s="110">
        <v>658</v>
      </c>
      <c r="C160" s="70">
        <v>6.1162079999999997E-3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336</v>
      </c>
      <c r="B161" s="115">
        <v>354</v>
      </c>
      <c r="C161" s="72">
        <v>5.6818182E-3</v>
      </c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07" t="s">
        <v>231</v>
      </c>
      <c r="B162" s="108">
        <v>440</v>
      </c>
      <c r="C162" s="69">
        <v>4.5662100000000002E-3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09" t="s">
        <v>130</v>
      </c>
      <c r="B163" s="110">
        <v>908</v>
      </c>
      <c r="C163" s="70">
        <v>4.4247788000000001E-3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09" t="s">
        <v>60</v>
      </c>
      <c r="B164" s="110">
        <v>750</v>
      </c>
      <c r="C164" s="70">
        <v>4.0160643000000003E-3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09" t="s">
        <v>149</v>
      </c>
      <c r="B165" s="110">
        <v>519</v>
      </c>
      <c r="C165" s="70">
        <v>1.9305018999999999E-3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81</v>
      </c>
      <c r="B166" s="112">
        <v>434</v>
      </c>
      <c r="C166" s="71">
        <v>0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157</v>
      </c>
      <c r="B167" s="113">
        <v>420</v>
      </c>
      <c r="C167" s="73">
        <v>0</v>
      </c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09" t="s">
        <v>51</v>
      </c>
      <c r="B168" s="110">
        <v>113</v>
      </c>
      <c r="C168" s="70">
        <v>0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09" t="s">
        <v>187</v>
      </c>
      <c r="B169" s="110">
        <v>956</v>
      </c>
      <c r="C169" s="70">
        <v>-6.2370061999999999E-3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09" t="s">
        <v>352</v>
      </c>
      <c r="B170" s="110">
        <v>236</v>
      </c>
      <c r="C170" s="70">
        <v>-2.4793388400000001E-2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114" t="s">
        <v>239</v>
      </c>
      <c r="B171" s="115">
        <v>579</v>
      </c>
      <c r="C171" s="72">
        <v>-4.7697368400000002E-2</v>
      </c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34290000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2.8648567600000001E-2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2023-03-17(금) 오전 00:00</v>
      </c>
      <c r="C177" s="198"/>
      <c r="D177" s="170" t="str">
        <f>TEXT($G$1, "[$-ko-KR]yyyy-mm-dd(ddd) ") &amp; "오후 14:00"</f>
        <v>2023-03-17(금) 오후 14:00</v>
      </c>
      <c r="E177" s="171"/>
      <c r="F177" s="172"/>
      <c r="G177" s="170" t="str">
        <f>TEXT($G$1, "[$-ko-KR]yyyy-mm-dd(ddd) ") &amp; "오후 19:00"</f>
        <v>2023-03-17(금) 오후 19:00</v>
      </c>
      <c r="H177" s="171"/>
      <c r="I177" s="172"/>
      <c r="J177" s="170" t="str">
        <f>TEXT($G$1, "[$-ko-KR]yyyy-mm-dd(ddd) ") &amp; "오후 21:00"</f>
        <v>2023-03-17(금) 오후 21:00</v>
      </c>
      <c r="K177" s="171"/>
      <c r="L177" s="172"/>
      <c r="M177" s="170" t="str">
        <f>TEXT($G$1+1, "[$-ko-KR]yyyy-mm-dd(ddd) ") &amp; "오전 00:00"</f>
        <v>2023-03-18(토)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81</v>
      </c>
      <c r="B179" s="108">
        <v>434</v>
      </c>
      <c r="C179" s="69">
        <v>0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97</v>
      </c>
      <c r="B180" s="110">
        <v>8.9999999999999998E-4</v>
      </c>
      <c r="C180" s="70">
        <v>0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157</v>
      </c>
      <c r="B181" s="110">
        <v>420</v>
      </c>
      <c r="C181" s="70">
        <v>0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09" t="s">
        <v>64</v>
      </c>
      <c r="B182" s="110">
        <v>13.2</v>
      </c>
      <c r="C182" s="70">
        <v>0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11" t="s">
        <v>237</v>
      </c>
      <c r="B183" s="112">
        <v>35.1</v>
      </c>
      <c r="C183" s="71">
        <v>0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09" t="s">
        <v>193</v>
      </c>
      <c r="B184" s="113">
        <v>22.4</v>
      </c>
      <c r="C184" s="73">
        <v>0</v>
      </c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09" t="s">
        <v>317</v>
      </c>
      <c r="B185" s="110">
        <v>1.4E-2</v>
      </c>
      <c r="C185" s="70">
        <v>0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09" t="s">
        <v>51</v>
      </c>
      <c r="B186" s="110">
        <v>113</v>
      </c>
      <c r="C186" s="70">
        <v>0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09" t="s">
        <v>143</v>
      </c>
      <c r="B187" s="110">
        <v>6.25</v>
      </c>
      <c r="C187" s="70">
        <v>-1.5974441E-3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163</v>
      </c>
      <c r="B188" s="115">
        <v>11190</v>
      </c>
      <c r="C188" s="72">
        <v>-4.4483986000000003E-3</v>
      </c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07" t="s">
        <v>344</v>
      </c>
      <c r="B189" s="108">
        <v>16320</v>
      </c>
      <c r="C189" s="69">
        <v>-4.8780487999999997E-3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09" t="s">
        <v>181</v>
      </c>
      <c r="B190" s="110">
        <v>5.29</v>
      </c>
      <c r="C190" s="70">
        <v>-5.6390976999999998E-3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09" t="s">
        <v>187</v>
      </c>
      <c r="B191" s="110">
        <v>956</v>
      </c>
      <c r="C191" s="70">
        <v>-6.2370061999999999E-3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09" t="s">
        <v>197</v>
      </c>
      <c r="B192" s="110">
        <v>12.1</v>
      </c>
      <c r="C192" s="70">
        <v>-1.6260162599999999E-2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195</v>
      </c>
      <c r="B193" s="112">
        <v>8.76</v>
      </c>
      <c r="C193" s="71">
        <v>-1.90369541E-2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352</v>
      </c>
      <c r="B194" s="113">
        <v>236</v>
      </c>
      <c r="C194" s="73">
        <v>-2.4793388400000001E-2</v>
      </c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09" t="s">
        <v>225</v>
      </c>
      <c r="B195" s="110">
        <v>93.8</v>
      </c>
      <c r="C195" s="70">
        <v>-3.1991744099999997E-2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09" t="s">
        <v>332</v>
      </c>
      <c r="B196" s="110">
        <v>8.69</v>
      </c>
      <c r="C196" s="70">
        <v>-4.1896361600000001E-2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09" t="s">
        <v>113</v>
      </c>
      <c r="B197" s="110">
        <v>1665</v>
      </c>
      <c r="C197" s="70">
        <v>-4.31034483E-2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114" t="s">
        <v>239</v>
      </c>
      <c r="B198" s="115">
        <v>579</v>
      </c>
      <c r="C198" s="72">
        <v>-4.7697368400000002E-2</v>
      </c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2023.03.01</vt:lpstr>
      <vt:lpstr>2023.03.07</vt:lpstr>
      <vt:lpstr>2023.03.08</vt:lpstr>
      <vt:lpstr>2023.03.09</vt:lpstr>
      <vt:lpstr>2023.03.10</vt:lpstr>
      <vt:lpstr>2023.03.11</vt:lpstr>
      <vt:lpstr>2023.03.12</vt:lpstr>
      <vt:lpstr>2023.03.13</vt:lpstr>
      <vt:lpstr>2023.03.14</vt:lpstr>
      <vt:lpstr>2023.03.15</vt:lpstr>
      <vt:lpstr>2023.03.16</vt:lpstr>
      <vt:lpstr>2023.03.17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2023-03-17T05:00:39Z</dcterms:modified>
</cp:coreProperties>
</file>